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visible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<sst xmlns="http://schemas.openxmlformats.org/spreadsheetml/2006/main" count="9641" uniqueCount="349">
  <si>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</si>
  <si>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</si>
  <si>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</si>
  <si>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</si>
  <si>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</si>
  <si>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</si>
  <si>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</si>
  <si>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</si>
  <si>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</si>
  <si>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</si>
  <si>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</si>
  <si>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</si>
  <si>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</si>
  <si>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</si>
  <si>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</si>
  <si>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</si>
  <si>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</si>
  <si>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</si>
  <si>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</si>
  <si>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</si>
  <si>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</si>
  <si>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</si>
  <si>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</si>
  <si>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</si>
  <si>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</si>
  <si>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</si>
  <si>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</si>
  <si>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</si>
  <si>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</si>
  <si>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</si>
  <si>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</si>
  <si>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</si>
  <si>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</si>
  <si>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</si>
  <si>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</si>
  <si>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</si>
  <si>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</si>
  <si>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</si>
  <si>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</si>
  <si>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</si>
  <si>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</si>
  <si>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</si>
  <si>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</si>
  <si>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</si>
  <si>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</si>
  <si>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</si>
  <si>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</si>
  <si>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</si>
  <si>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</si>
  <si>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</si>
  <si>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</si>
  <si>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</si>
  <si>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</si>
  <si>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</si>
  <si>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</si>
  <si>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</si>
  <si>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</si>
  <si>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</si>
  <si>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</si>
  <si>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</si>
  <si>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</si>
  <si>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</si>
  <si>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</si>
  <si>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</si>
  <si>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</si>
  <si>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</si>
  <si>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</si>
  <si>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</si>
  <si>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</si>
  <si>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</si>
  <si>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</si>
  <si>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</si>
  <si>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</si>
  <si>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</si>
  <si>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</si>
  <si>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</si>
  <si>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</si>
  <si>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</si>
  <si>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</si>
  <si>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</si>
  <si>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</si>
  <si>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</si>
  <si>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</si>
  <si>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</si>
  <si>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</si>
  <si>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</si>
  <si>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</si>
  <si>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</si>
  <si>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</si>
  <si>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</si>
  <si>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</si>
  <si>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</si>
  <si>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</si>
  <si>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</si>
  <si>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</si>
  <si>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</si>
  <si>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</si>
  <si>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</si>
  <si>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</si>
  <si>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</si>
  <si>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</si>
  <si>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</si>
  <si>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</si>
  <si>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</si>
  <si>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</si>
  <si>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</si>
  <si>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</si>
  <si>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</si>
  <si>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</si>
  <si>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</si>
  <si>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</si>
  <si>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</si>
  <si>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</si>
  <si>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</si>
  <si>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</si>
  <si>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</si>
  <si>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</si>
  <si>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</si>
  <si>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</si>
  <si>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</si>
  <si>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</si>
  <si>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</si>
  <si>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</si>
  <si>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</si>
  <si>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</si>
  <si>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</si>
  <si>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</si>
  <si>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</si>
  <si>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</si>
  <si>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</si>
  <si>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</si>
  <si>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</si>
  <si>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</si>
  <si>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</si>
  <si>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</si>
  <si>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</si>
  <si>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</si>
  <si>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</si>
  <si>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</si>
  <si>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</si>
  <si>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</si>
  <si>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</si>
  <si>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</si>
  <si>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</si>
  <si>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</si>
  <si>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</si>
  <si>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</si>
  <si>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</si>
  <si>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</si>
  <si>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</si>
  <si>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</si>
  <si>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</si>
  <si>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</si>
  <si>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</si>
  <si>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</si>
  <si>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</si>
  <si>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</si>
  <si>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</si>
  <si>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</si>
  <si>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</si>
  <si>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</si>
  <si>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</si>
  <si>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</si>
  <si>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</si>
  <si>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</si>
  <si>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</si>
  <si>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</si>
  <si>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</si>
  <si>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</si>
  <si>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</si>
  <si>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</si>
  <si>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</si>
  <si>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</si>
  <si>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</si>
  <si>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</si>
  <si>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</si>
  <si>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</si>
  <si>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</si>
  <si>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</si>
  <si>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</si>
  <si>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</si>
  <si>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</si>
  <si>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</si>
  <si>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</si>
  <si>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</si>
  <si>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</si>
  <si>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</si>
  <si>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</si>
  <si>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</si>
  <si>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</si>
  <si>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</si>
  <si>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</si>
  <si>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</si>
  <si>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</si>
  <si>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</si>
  <si>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</si>
  <si>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</si>
  <si>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</si>
  <si>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</si>
  <si>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</si>
  <si>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</si>
  <si>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</si>
  <si>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</si>
  <si>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</si>
  <si>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</si>
  <si>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</si>
  <si>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</si>
  <si>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</si>
  <si>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</si>
  <si>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</si>
  <si>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</si>
  <si>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</si>
  <si>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</si>
  <si>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</si>
  <si>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</si>
  <si>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</si>
  <si>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</si>
  <si>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</si>
  <si>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</si>
  <si>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</si>
  <si>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</si>
  <si>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</si>
  <si>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</si>
  <si>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</si>
  <si>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</si>
  <si>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</si>
  <si>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</si>
  <si>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</si>
  <si>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</si>
  <si>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</si>
  <si>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</si>
  <si>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</si>
  <si>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</si>
  <si>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</si>
  <si>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</si>
  <si>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</si>
  <si>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</si>
  <si>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</si>
  <si>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</si>
  <si>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</si>
  <si>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</si>
  <si>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</si>
  <si>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</si>
  <si>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</si>
  <si>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</si>
  <si>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</si>
  <si>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</si>
  <si>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</si>
  <si>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</si>
  <si>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</si>
  <si>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</si>
  <si>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</si>
  <si>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</si>
  <si>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</si>
  <si>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</si>
  <si>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</si>
  <si>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</si>
  <si>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</si>
  <si>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</si>
  <si>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</si>
  <si>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</si>
  <si>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</si>
  <si>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</si>
  <si>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</si>
  <si>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</si>
  <si>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</si>
  <si>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</si>
  <si>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</si>
  <si>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</si>
  <si>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</si>
  <si>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</si>
  <si>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</si>
  <si>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</si>
  <si>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</si>
  <si>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</si>
  <si>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</si>
  <si>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</si>
  <si>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</si>
  <si>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</si>
  <si>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</si>
  <si>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</si>
  <si>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</si>
  <si>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</si>
  <si>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</si>
  <si>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</si>
  <si>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</si>
  <si>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</si>
  <si>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</si>
  <si>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</si>
  <si>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</si>
  <si>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</si>
  <si>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</si>
  <si>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</si>
  <si>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</si>
  <si>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</si>
  <si>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</si>
  <si>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</si>
  <si>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</si>
  <si>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</si>
  <si>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</si>
  <si>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</si>
  <si>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</si>
  <si>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</si>
  <si>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</si>
  <si>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</si>
  <si>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</si>
  <si>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</si>
  <si>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</si>
  <si>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</si>
  <si>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</si>
  <si>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</si>
  <si>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</si>
  <si>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</si>
  <si>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</si>
  <si>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</si>
  <si>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</si>
  <si>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</si>
  <si>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</si>
  <si>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</si>
  <si>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</si>
  <si>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</si>
  <si>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</si>
  <si>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</si>
  <si>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</si>
  <si>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</si>
  <si>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</si>
  <si>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</si>
  <si>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</si>
  <si>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</si>
  <si>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</si>
  <si>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</si>
  <si>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</si>
  <si>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</si>
  <si>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</si>
  <si>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</si>
  <si>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</si>
  <si>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</si>
  <si>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</si>
  <si>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</si>
  <si>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Штрафной балл</t>
  </si>
  <si>
    <t>Результаты отборочных серий Лиги "7+3", Серия № (.08.2024)</t>
  </si>
  <si>
    <t xml:space="preserve">Продолжительность игры: </t>
  </si>
  <si>
    <t>Продолжительность игры:</t>
  </si>
  <si>
    <t>Продолжительность игры:46:00</t>
  </si>
  <si>
    <t>Продолжительность игры: 52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</si>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</sst>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1" numFmtId="2" xfId="0" applyAlignment="1" applyFont="1" applyNumberFormat="1">
      <alignment horizontal="right" vertical="bottom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1326377588"/>
        <c:axId val="755202584"/>
      </c:barChart>
      <c:catAx>
        <c:axId val="13263775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755202584"/>
      </c:catAx>
      <c:valAx>
        <c:axId val="755202584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6377588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533369639"/>
        <c:axId val="1482792424"/>
      </c:barChart>
      <c:catAx>
        <c:axId val="5333696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482792424"/>
      </c:catAx>
      <c:valAx>
        <c:axId val="1482792424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3369639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1930515205"/>
        <c:axId val="434301753"/>
      </c:barChart>
      <c:catAx>
        <c:axId val="19305152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4301753"/>
      </c:catAx>
      <c:valAx>
        <c:axId val="4343017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051520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508546139"/>
        <c:axId val="601706509"/>
      </c:barChart>
      <c:catAx>
        <c:axId val="5085461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706509"/>
      </c:catAx>
      <c:valAx>
        <c:axId val="6017065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85461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73447912"/>
        <c:axId val="2079489992"/>
      </c:barChart>
      <c:catAx>
        <c:axId val="1734479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9489992"/>
      </c:catAx>
      <c:valAx>
        <c:axId val="20794899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4479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475583428"/>
        <c:axId val="938034313"/>
      </c:barChart>
      <c:catAx>
        <c:axId val="4755834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8034313"/>
      </c:catAx>
      <c:valAx>
        <c:axId val="9380343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558342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999536758"/>
        <c:axId val="178339863"/>
      </c:barChart>
      <c:catAx>
        <c:axId val="9995367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339863"/>
      </c:catAx>
      <c:valAx>
        <c:axId val="1783398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95367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1177854993"/>
        <c:axId val="2055311329"/>
      </c:barChart>
      <c:catAx>
        <c:axId val="11778549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5311329"/>
      </c:catAx>
      <c:valAx>
        <c:axId val="205531132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785499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1778154449"/>
        <c:axId val="875368709"/>
      </c:barChart>
      <c:catAx>
        <c:axId val="177815444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5368709"/>
      </c:catAx>
      <c:valAx>
        <c:axId val="8753687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815444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5</v>
      </c>
      <c r="E7" s="28">
        <f t="shared" ref="E7:E66" si="2">SUM(T7:BZ7)-R7-S7</f>
        <v>22.75</v>
      </c>
      <c r="F7" s="29">
        <f t="shared" ref="F7:F66" si="3">IFERROR((((E7)/D7)*5), )</f>
        <v>22.75</v>
      </c>
      <c r="G7" s="30">
        <f t="shared" ref="G7:G66" si="4">IFERROR(((I7+J7+K7)/D7), )</f>
        <v>3.05</v>
      </c>
      <c r="H7" s="30">
        <f>SUMIFS('Все игры'!C$3:C1011,'Все игры'!A$3:A1011,C7)</f>
        <v>7.5</v>
      </c>
      <c r="I7" s="30">
        <f t="shared" ref="I7:I66" si="5">E7-H7-J7-K7</f>
        <v>15.25</v>
      </c>
      <c r="J7" s="31">
        <f>SUMIFS('Все игры'!F$3:F1011,'Все игры'!A$3:A1011,C7)</f>
        <v>0</v>
      </c>
      <c r="K7" s="32">
        <f>SUMIFS('Все игры'!G$3:G1011,'Все игры'!A$3:A1011,C7)</f>
        <v>0</v>
      </c>
      <c r="L7" s="33">
        <f>'Игроки статистика'!G5</f>
        <v>0</v>
      </c>
      <c r="M7" s="34">
        <f t="shared" ref="M7:M66" si="6">H7/2.5</f>
        <v>3</v>
      </c>
      <c r="N7" s="34">
        <f>SUM('Игроки статистика'!O5,'Игроки статистика'!Q5)</f>
        <v>0</v>
      </c>
      <c r="O7" s="35">
        <f>SUM('Игроки статистика'!P5,'Игроки статистика'!R5)</f>
        <v>0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)"),22.75)</f>
        <v>22.75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серия'!$B$6:$C$15,'9 серия'!$B$6:$B$15=C7)), )"),0.0)</f>
        <v>0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)"),0.0)</f>
        <v>0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серия'!$B$6:$C$15,'9 серия'!$B$6:$B$15=C8)),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5</v>
      </c>
      <c r="E9" s="28">
        <f t="shared" si="2"/>
        <v>20</v>
      </c>
      <c r="F9" s="29">
        <f t="shared" si="3"/>
        <v>20</v>
      </c>
      <c r="G9" s="44">
        <f t="shared" si="4"/>
        <v>3</v>
      </c>
      <c r="H9" s="44">
        <f>SUMIFS('Все игры'!C$3:C1011,'Все игры'!A$3:A1011,C9)</f>
        <v>5</v>
      </c>
      <c r="I9" s="44">
        <f t="shared" si="5"/>
        <v>13</v>
      </c>
      <c r="J9" s="45">
        <f>SUMIFS('Все игры'!F$3:F1011,'Все игры'!A$3:A1011,C9)</f>
        <v>0.5</v>
      </c>
      <c r="K9" s="46">
        <f>SUMIFS('Все игры'!G$3:G1011,'Все игры'!A$3:A1011,C9)</f>
        <v>1.5</v>
      </c>
      <c r="L9" s="33">
        <f>'Игроки статистика'!G7</f>
        <v>2</v>
      </c>
      <c r="M9" s="34">
        <f t="shared" si="6"/>
        <v>2</v>
      </c>
      <c r="N9" s="34">
        <f>SUM('Игроки статистика'!O7,'Игроки статистика'!Q7)</f>
        <v>0</v>
      </c>
      <c r="O9" s="35">
        <f>SUM('Игроки статистика'!P7,'Игроки статистика'!R7)</f>
        <v>1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>
        <f>IFERROR(__xludf.DUMMYFUNCTION("IFNA(SUM(FILTER('8 серия'!$B$6:$C$15,'8 серия'!$B$6:$B$15=C9)), )"),0.0)</f>
        <v>0</v>
      </c>
      <c r="AB9" s="30" t="str">
        <f>IFERROR(__xludf.DUMMYFUNCTION("IFNA(SUM(FILTER('9 серия'!$B$6:$C$15,'9 серия'!$B$6:$B$15=C9)), )"),"")</f>
        <v/>
      </c>
      <c r="AC9" s="30" t="str">
        <f>IFERROR(__xludf.DUMMYFUNCTION("IFNA(SUM(FILTER('10 серия'!$B$6:$C$15,'10 серия'!$B$6:$B$15=C9)), )"),"")</f>
        <v/>
      </c>
      <c r="AD9" s="30">
        <f>IFERROR(__xludf.DUMMYFUNCTION("IFNA(SUM(FILTER('11 серия'!$B$6:$C$15,'11 серия'!$B$6:$B$15=C9)), )"),0.0)</f>
        <v>0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)"),0.0)</f>
        <v>0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10</v>
      </c>
      <c r="E10" s="28">
        <f t="shared" si="2"/>
        <v>43</v>
      </c>
      <c r="F10" s="29">
        <f t="shared" si="3"/>
        <v>21.5</v>
      </c>
      <c r="G10" s="44">
        <f t="shared" si="4"/>
        <v>3.05</v>
      </c>
      <c r="H10" s="44">
        <f>SUMIFS('Все игры'!C$3:C1011,'Все игры'!A$3:A1011,C10)</f>
        <v>12.5</v>
      </c>
      <c r="I10" s="44">
        <f t="shared" si="5"/>
        <v>28</v>
      </c>
      <c r="J10" s="45">
        <f>SUMIFS('Все игры'!F$3:F1011,'Все игры'!A$3:A1011,C10)</f>
        <v>0.5</v>
      </c>
      <c r="K10" s="46">
        <f>SUMIFS('Все игры'!G$3:G1011,'Все игры'!A$3:A1011,C10)</f>
        <v>2</v>
      </c>
      <c r="L10" s="33">
        <f>'Игроки статистика'!G8</f>
        <v>3</v>
      </c>
      <c r="M10" s="34">
        <f t="shared" si="6"/>
        <v>5</v>
      </c>
      <c r="N10" s="34">
        <f>SUM('Игроки статистика'!O8,'Игроки статистика'!Q8)</f>
        <v>0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)"),15.5)</f>
        <v>15.5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серия'!$B$6:$C$15,'9 серия'!$B$6:$B$15=C10)),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)"),0.0)</f>
        <v>0</v>
      </c>
      <c r="AH10" s="30" t="str">
        <f>IFERROR(__xludf.DUMMYFUNCTION("IFNA(SUM(FILTER('15 серия'!$B$6:$C$15,'15 серия'!$B$6:$B$15=C10)), )"),"")</f>
        <v/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0</v>
      </c>
      <c r="E11" s="28">
        <f t="shared" si="2"/>
        <v>0</v>
      </c>
      <c r="F11" s="29" t="str">
        <f t="shared" si="3"/>
        <v/>
      </c>
      <c r="G11" s="44" t="str">
        <f t="shared" si="4"/>
        <v/>
      </c>
      <c r="H11" s="44">
        <f>SUMIFS('Все игры'!C$3:C1011,'Все игры'!A$3:A1011,C11)</f>
        <v>0</v>
      </c>
      <c r="I11" s="44">
        <f t="shared" si="5"/>
        <v>0</v>
      </c>
      <c r="J11" s="45">
        <f>SUMIFS('Все игры'!F$3:F1011,'Все игры'!A$3:A1011,C11)</f>
        <v>0</v>
      </c>
      <c r="K11" s="46">
        <f>SUMIFS('Все игры'!G$3:G1011,'Все игры'!A$3:A1011,C11)</f>
        <v>0</v>
      </c>
      <c r="L11" s="33">
        <f>'Игроки статистика'!G9</f>
        <v>0</v>
      </c>
      <c r="M11" s="34">
        <f t="shared" si="6"/>
        <v>0</v>
      </c>
      <c r="N11" s="34">
        <f>SUM('Игроки статистика'!O9,'Игроки статистика'!Q9)</f>
        <v>0</v>
      </c>
      <c r="O11" s="35">
        <f>SUM('Игроки статистика'!P9,'Игроки статистика'!R9)</f>
        <v>0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серия'!$B$6:$C$15,'9 серия'!$B$6:$B$15=C11)),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)"),0.0)</f>
        <v>0</v>
      </c>
      <c r="AK11" s="30">
        <f>IFERROR(__xludf.DUMMYFUNCTION("IFNA(SUM(FILTER('18 серия'!$B$6:$C$15,'18 серия'!$B$6:$B$15=C11)), )"),0.0)</f>
        <v>0</v>
      </c>
      <c r="AL11" s="30">
        <f>IFERROR(__xludf.DUMMYFUNCTION("IFNA(SUM(FILTER('19 серия'!$B$6:$C$15,'19 серия'!$B$6:$B$15=C11)), )"),0.0)</f>
        <v>0</v>
      </c>
      <c r="AM11" s="30">
        <f>IFERROR(__xludf.DUMMYFUNCTION("IFNA(SUM(FILTER('20 серия'!$B$6:$C$15,'20 серия'!$B$6:$B$15=C11)), )"),0.0)</f>
        <v>0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0</v>
      </c>
      <c r="E12" s="28">
        <f t="shared" si="2"/>
        <v>0</v>
      </c>
      <c r="F12" s="29" t="str">
        <f t="shared" si="3"/>
        <v/>
      </c>
      <c r="G12" s="44" t="str">
        <f t="shared" si="4"/>
        <v/>
      </c>
      <c r="H12" s="44">
        <f>SUMIFS('Все игры'!C$3:C1011,'Все игры'!A$3:A1011,C12)</f>
        <v>0</v>
      </c>
      <c r="I12" s="44">
        <f t="shared" si="5"/>
        <v>0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0</v>
      </c>
      <c r="N12" s="34">
        <f>SUM('Игроки статистика'!O10,'Игроки статистика'!Q10)</f>
        <v>0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серия'!$B$6:$C$15,'9 серия'!$B$6:$B$15=C12)),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)"),0.0)</f>
        <v>0</v>
      </c>
      <c r="AK12" s="30">
        <f>IFERROR(__xludf.DUMMYFUNCTION("IFNA(SUM(FILTER('18 серия'!$B$6:$C$15,'18 серия'!$B$6:$B$15=C12)), )"),0.0)</f>
        <v>0</v>
      </c>
      <c r="AL12" s="30">
        <f>IFERROR(__xludf.DUMMYFUNCTION("IFNA(SUM(FILTER('19 серия'!$B$6:$C$15,'19 серия'!$B$6:$B$15=C12)), )"),0.0)</f>
        <v>0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15</v>
      </c>
      <c r="E13" s="28">
        <f t="shared" si="2"/>
        <v>46.5</v>
      </c>
      <c r="F13" s="29">
        <f t="shared" si="3"/>
        <v>15.5</v>
      </c>
      <c r="G13" s="44">
        <f t="shared" si="4"/>
        <v>2.433333333</v>
      </c>
      <c r="H13" s="44">
        <f>SUMIFS('Все игры'!C$3:C1011,'Все игры'!A$3:A1011,C13)</f>
        <v>10</v>
      </c>
      <c r="I13" s="44">
        <f t="shared" si="5"/>
        <v>36.5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4</v>
      </c>
      <c r="N13" s="34">
        <f>SUM('Игроки статистика'!O11,'Игроки статистика'!Q11)</f>
        <v>2</v>
      </c>
      <c r="O13" s="35">
        <f>SUM('Игроки статистика'!P11,'Игроки статистика'!R11)</f>
        <v>2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)"),16.5)</f>
        <v>16.5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)"),15.75)</f>
        <v>15.75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серия'!$B$6:$C$15,'9 серия'!$B$6:$B$15=C13)), )"),"")</f>
        <v/>
      </c>
      <c r="AC13" s="30">
        <f>IFERROR(__xludf.DUMMYFUNCTION("IFNA(SUM(FILTER('10 серия'!$B$6:$C$15,'10 серия'!$B$6:$B$15=C13)), )"),0.0)</f>
        <v>0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 t="str">
        <f>IFERROR(__xludf.DUMMYFUNCTION("IFNA(SUM(FILTER('22 серия'!$B$6:$C$15,'22 серия'!$B$6:$B$15=C13)), )"),"")</f>
        <v/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10</v>
      </c>
      <c r="E14" s="28">
        <f t="shared" si="2"/>
        <v>41.25</v>
      </c>
      <c r="F14" s="29">
        <f t="shared" si="3"/>
        <v>20.625</v>
      </c>
      <c r="G14" s="44">
        <f t="shared" si="4"/>
        <v>2.875</v>
      </c>
      <c r="H14" s="44">
        <f>SUMIFS('Все игры'!C$3:C1011,'Все игры'!A$3:A1011,C14)</f>
        <v>12.5</v>
      </c>
      <c r="I14" s="44">
        <f t="shared" si="5"/>
        <v>28.25</v>
      </c>
      <c r="J14" s="45">
        <f>SUMIFS('Все игры'!F$3:F1011,'Все игры'!A$3:A1011,C14)</f>
        <v>0</v>
      </c>
      <c r="K14" s="46">
        <f>SUMIFS('Все игры'!G$3:G1011,'Все игры'!A$3:A1011,C14)</f>
        <v>0.5</v>
      </c>
      <c r="L14" s="33">
        <f>'Игроки статистика'!G12</f>
        <v>1</v>
      </c>
      <c r="M14" s="34">
        <f t="shared" si="6"/>
        <v>5</v>
      </c>
      <c r="N14" s="34">
        <f>SUM('Игроки статистика'!O12,'Игроки статистика'!Q12)</f>
        <v>3</v>
      </c>
      <c r="O14" s="35">
        <f>SUM('Игроки статистика'!P12,'Игроки статистика'!R12)</f>
        <v>1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)"),21.75)</f>
        <v>21.75</v>
      </c>
      <c r="Y14" s="30">
        <f>IFERROR(__xludf.DUMMYFUNCTION("IFNA(SUM(FILTER('6 серия'!$B$6:$C$15,'6 серия'!$B$6:$B$15=C14)), )"),19.5)</f>
        <v>19.5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серия'!$B$6:$C$15,'9 серия'!$B$6:$B$15=C14)),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)"),0.0)</f>
        <v>0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)"),0.0)</f>
        <v>0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 t="str">
        <f>IFERROR(__xludf.DUMMYFUNCTION("IFNA(SUM(FILTER('21 серия'!$B$6:$C$15,'21 серия'!$B$6:$B$15=C14)), )"),"")</f>
        <v/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0</v>
      </c>
      <c r="E15" s="28">
        <f t="shared" si="2"/>
        <v>0</v>
      </c>
      <c r="F15" s="29" t="str">
        <f t="shared" si="3"/>
        <v/>
      </c>
      <c r="G15" s="44" t="str">
        <f t="shared" si="4"/>
        <v/>
      </c>
      <c r="H15" s="44">
        <f>SUMIFS('Все игры'!C$3:C1011,'Все игры'!A$3:A1011,C15)</f>
        <v>0</v>
      </c>
      <c r="I15" s="44">
        <f t="shared" si="5"/>
        <v>0</v>
      </c>
      <c r="J15" s="45">
        <f>SUMIFS('Все игры'!F$3:F1011,'Все игры'!A$3:A1011,C15)</f>
        <v>0</v>
      </c>
      <c r="K15" s="46">
        <f>SUMIFS('Все игры'!G$3:G1011,'Все игры'!A$3:A1011,C15)</f>
        <v>0</v>
      </c>
      <c r="L15" s="33">
        <f>'Игроки статистика'!G13</f>
        <v>0</v>
      </c>
      <c r="M15" s="34">
        <f t="shared" si="6"/>
        <v>0</v>
      </c>
      <c r="N15" s="34">
        <f>SUM('Игроки статистика'!O13,'Игроки статистика'!Q13)</f>
        <v>0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серия'!$B$6:$C$15,'9 серия'!$B$6:$B$15=C15)),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)"),0.0)</f>
        <v>0</v>
      </c>
      <c r="AE15" s="30">
        <f>IFERROR(__xludf.DUMMYFUNCTION("IFNA(SUM(FILTER('12 серия'!$B$6:$C$15,'12 серия'!$B$6:$B$15=C15)), )"),0.0)</f>
        <v>0</v>
      </c>
      <c r="AF15" s="30">
        <f>IFERROR(__xludf.DUMMYFUNCTION("IFNA(SUM(FILTER('13 серия'!$B$6:$C$15,'13 серия'!$B$6:$B$15=C15)), )"),0.0)</f>
        <v>0</v>
      </c>
      <c r="AG15" s="30">
        <f>IFERROR(__xludf.DUMMYFUNCTION("IFNA(SUM(FILTER('14 серия'!$B$6:$C$15,'14 серия'!$B$6:$B$15=C15)), )"),0.0)</f>
        <v>0</v>
      </c>
      <c r="AH15" s="30">
        <f>IFERROR(__xludf.DUMMYFUNCTION("IFNA(SUM(FILTER('15 серия'!$B$6:$C$15,'15 серия'!$B$6:$B$15=C15)), )"),0.0)</f>
        <v>0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0</v>
      </c>
      <c r="E16" s="28">
        <f t="shared" si="2"/>
        <v>0</v>
      </c>
      <c r="F16" s="29" t="str">
        <f t="shared" si="3"/>
        <v/>
      </c>
      <c r="G16" s="44" t="str">
        <f t="shared" si="4"/>
        <v/>
      </c>
      <c r="H16" s="44">
        <f>SUMIFS('Все игры'!C$3:C1011,'Все игры'!A$3:A1011,C16)</f>
        <v>0</v>
      </c>
      <c r="I16" s="44">
        <f t="shared" si="5"/>
        <v>0</v>
      </c>
      <c r="J16" s="45">
        <f>SUMIFS('Все игры'!F$3:F1011,'Все игры'!A$3:A1011,C16)</f>
        <v>0</v>
      </c>
      <c r="K16" s="46">
        <f>SUMIFS('Все игры'!G$3:G1011,'Все игры'!A$3:A1011,C16)</f>
        <v>0</v>
      </c>
      <c r="L16" s="33">
        <f>'Игроки статистика'!G14</f>
        <v>0</v>
      </c>
      <c r="M16" s="34">
        <f t="shared" si="6"/>
        <v>0</v>
      </c>
      <c r="N16" s="34">
        <f>SUM('Игроки статистика'!O14,'Игроки статистика'!Q14)</f>
        <v>0</v>
      </c>
      <c r="O16" s="35">
        <f>SUM('Игроки статистика'!P14,'Игроки статистика'!R14)</f>
        <v>0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)"),0.0)</f>
        <v>0</v>
      </c>
      <c r="AB16" s="30">
        <f>IFERROR(__xludf.DUMMYFUNCTION("IFNA(SUM(FILTER('9 серия'!$B$6:$C$15,'9 серия'!$B$6:$B$15=C16)), )"),0.0)</f>
        <v>0</v>
      </c>
      <c r="AC16" s="30">
        <f>IFERROR(__xludf.DUMMYFUNCTION("IFNA(SUM(FILTER('10 серия'!$B$6:$C$15,'10 серия'!$B$6:$B$15=C16)), )"),0.0)</f>
        <v>0</v>
      </c>
      <c r="AD16" s="30">
        <f>IFERROR(__xludf.DUMMYFUNCTION("IFNA(SUM(FILTER('11 серия'!$B$6:$C$15,'11 серия'!$B$6:$B$15=C16)), )"),0.0)</f>
        <v>0</v>
      </c>
      <c r="AE16" s="30">
        <f>IFERROR(__xludf.DUMMYFUNCTION("IFNA(SUM(FILTER('12 серия'!$B$6:$C$15,'12 серия'!$B$6:$B$15=C16)), )"),0.0)</f>
        <v>0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0</v>
      </c>
      <c r="E17" s="28">
        <f t="shared" si="2"/>
        <v>0</v>
      </c>
      <c r="F17" s="29" t="str">
        <f t="shared" si="3"/>
        <v/>
      </c>
      <c r="G17" s="44" t="str">
        <f t="shared" si="4"/>
        <v/>
      </c>
      <c r="H17" s="44">
        <f>SUMIFS('Все игры'!C$3:C1011,'Все игры'!A$3:A1011,C17)</f>
        <v>0</v>
      </c>
      <c r="I17" s="44">
        <f t="shared" si="5"/>
        <v>0</v>
      </c>
      <c r="J17" s="45">
        <f>SUMIFS('Все игры'!F$3:F1011,'Все игры'!A$3:A1011,C17)</f>
        <v>0</v>
      </c>
      <c r="K17" s="46">
        <f>SUMIFS('Все игры'!G$3:G1011,'Все игры'!A$3:A1011,C17)</f>
        <v>0</v>
      </c>
      <c r="L17" s="33">
        <f>'Игроки статистика'!G15</f>
        <v>0</v>
      </c>
      <c r="M17" s="34">
        <f t="shared" si="6"/>
        <v>0</v>
      </c>
      <c r="N17" s="34">
        <f>SUM('Игроки статистика'!O15,'Игроки статистика'!Q15)</f>
        <v>0</v>
      </c>
      <c r="O17" s="35">
        <f>SUM('Игроки статистика'!P15,'Игроки статистика'!R15)</f>
        <v>0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)"),0.0)</f>
        <v>0</v>
      </c>
      <c r="AA17" s="30">
        <f>IFERROR(__xludf.DUMMYFUNCTION("IFNA(SUM(FILTER('8 серия'!$B$6:$C$15,'8 серия'!$B$6:$B$15=C17)), )"),0.0)</f>
        <v>0</v>
      </c>
      <c r="AB17" s="30">
        <f>IFERROR(__xludf.DUMMYFUNCTION("IFNA(SUM(FILTER('9 серия'!$B$6:$C$15,'9 серия'!$B$6:$B$15=C17)), )"),0.0)</f>
        <v>0</v>
      </c>
      <c r="AC17" s="30">
        <f>IFERROR(__xludf.DUMMYFUNCTION("IFNA(SUM(FILTER('10 серия'!$B$6:$C$15,'10 серия'!$B$6:$B$15=C17)), )"),0.0)</f>
        <v>0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5</v>
      </c>
      <c r="E18" s="28">
        <f t="shared" si="2"/>
        <v>22</v>
      </c>
      <c r="F18" s="29">
        <f t="shared" si="3"/>
        <v>22</v>
      </c>
      <c r="G18" s="44">
        <f t="shared" si="4"/>
        <v>2.9</v>
      </c>
      <c r="H18" s="44">
        <f>SUMIFS('Все игры'!C$3:C1011,'Все игры'!A$3:A1011,C18)</f>
        <v>7.5</v>
      </c>
      <c r="I18" s="44">
        <f t="shared" si="5"/>
        <v>14.5</v>
      </c>
      <c r="J18" s="45">
        <f>SUMIFS('Все игры'!F$3:F1011,'Все игры'!A$3:A1011,C18)</f>
        <v>0</v>
      </c>
      <c r="K18" s="46">
        <f>SUMIFS('Все игры'!G$3:G1011,'Все игры'!A$3:A1011,C18)</f>
        <v>0</v>
      </c>
      <c r="L18" s="33">
        <f>'Игроки статистика'!G16</f>
        <v>0</v>
      </c>
      <c r="M18" s="34">
        <f t="shared" si="6"/>
        <v>3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)"),0.0)</f>
        <v>0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серия'!$B$6:$C$15,'9 серия'!$B$6:$B$15=C18)), )"),"")</f>
        <v/>
      </c>
      <c r="AC18" s="30">
        <f>IFERROR(__xludf.DUMMYFUNCTION("IFNA(SUM(FILTER('10 серия'!$B$6:$C$15,'10 серия'!$B$6:$B$15=C18)), )"),0.0)</f>
        <v>0</v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)"),0.0)</f>
        <v>0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10</v>
      </c>
      <c r="E19" s="28">
        <f t="shared" si="2"/>
        <v>43.75</v>
      </c>
      <c r="F19" s="29">
        <f t="shared" si="3"/>
        <v>21.875</v>
      </c>
      <c r="G19" s="44">
        <f t="shared" si="4"/>
        <v>2.875</v>
      </c>
      <c r="H19" s="44">
        <f>SUMIFS('Все игры'!C$3:C1011,'Все игры'!A$3:A1011,C19)</f>
        <v>15</v>
      </c>
      <c r="I19" s="44">
        <f t="shared" si="5"/>
        <v>27.75</v>
      </c>
      <c r="J19" s="45">
        <f>SUMIFS('Все игры'!F$3:F1011,'Все игры'!A$3:A1011,C19)</f>
        <v>0</v>
      </c>
      <c r="K19" s="46">
        <f>SUMIFS('Все игры'!G$3:G1011,'Все игры'!A$3:A1011,C19)</f>
        <v>1</v>
      </c>
      <c r="L19" s="33">
        <f>'Игроки статистика'!G17</f>
        <v>2</v>
      </c>
      <c r="M19" s="34">
        <f t="shared" si="6"/>
        <v>6</v>
      </c>
      <c r="N19" s="34">
        <f>SUM('Игроки статистика'!O17,'Игроки статистика'!Q17)</f>
        <v>1</v>
      </c>
      <c r="O19" s="35">
        <f>SUM('Игроки статистика'!P17,'Игроки статистика'!R17)</f>
        <v>0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>
        <f>IFERROR(__xludf.DUMMYFUNCTION("IFNA(SUM(FILTER('3 серия'!$B$6:$C$15,'3 серия'!$B$6:$B$15=C19)), )
"),23.25)</f>
        <v>23.25</v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)"),20.5)</f>
        <v>20.5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)"),0.0)</f>
        <v>0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серия'!$B$6:$C$15,'9 серия'!$B$6:$B$15=C19)),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>
        <f>IFERROR(__xludf.DUMMYFUNCTION("IFNA(SUM(FILTER('15 серия'!$B$6:$C$15,'15 серия'!$B$6:$B$15=C19)), )"),0.0)</f>
        <v>0</v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)"),0.0)</f>
        <v>0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0</v>
      </c>
      <c r="E20" s="28">
        <f t="shared" si="2"/>
        <v>0</v>
      </c>
      <c r="F20" s="29" t="str">
        <f t="shared" si="3"/>
        <v/>
      </c>
      <c r="G20" s="44" t="str">
        <f t="shared" si="4"/>
        <v/>
      </c>
      <c r="H20" s="44">
        <f>SUMIFS('Все игры'!C$3:C1011,'Все игры'!A$3:A1011,C20)</f>
        <v>0</v>
      </c>
      <c r="I20" s="44">
        <f t="shared" si="5"/>
        <v>0</v>
      </c>
      <c r="J20" s="45">
        <f>SUMIFS('Все игры'!F$3:F1011,'Все игры'!A$3:A1011,C20)</f>
        <v>0</v>
      </c>
      <c r="K20" s="46">
        <f>SUMIFS('Все игры'!G$3:G1011,'Все игры'!A$3:A1011,C20)</f>
        <v>0</v>
      </c>
      <c r="L20" s="33">
        <f>'Игроки статистика'!G18</f>
        <v>0</v>
      </c>
      <c r="M20" s="34">
        <f t="shared" si="6"/>
        <v>0</v>
      </c>
      <c r="N20" s="34">
        <f>SUM('Игроки статистика'!O18,'Игроки статистика'!Q18)</f>
        <v>0</v>
      </c>
      <c r="O20" s="35">
        <f>SUM('Игроки статистика'!P18,'Игроки статистика'!R18)</f>
        <v>0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серия'!$B$6:$C$15,'9 серия'!$B$6:$B$15=C20)),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)"),0.0)</f>
        <v>0</v>
      </c>
      <c r="AI20" s="30">
        <f>IFERROR(__xludf.DUMMYFUNCTION("IFNA(SUM(FILTER('16 серия'!$B$6:$C$15,'16 серия'!$B$6:$B$15=C20)), )"),0.0)</f>
        <v>0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)"),0.0)</f>
        <v>0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серия'!$B$6:$C$15,'9 серия'!$B$6:$B$15=C21)),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10</v>
      </c>
      <c r="E22" s="28">
        <f t="shared" si="2"/>
        <v>32.5</v>
      </c>
      <c r="F22" s="29">
        <f t="shared" si="3"/>
        <v>16.25</v>
      </c>
      <c r="G22" s="44">
        <f t="shared" si="4"/>
        <v>2.5</v>
      </c>
      <c r="H22" s="44">
        <f>SUMIFS('Все игры'!C$3:C1011,'Все игры'!A$3:A1011,C22)</f>
        <v>7.5</v>
      </c>
      <c r="I22" s="44">
        <f t="shared" si="5"/>
        <v>25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3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2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)"),18.25)</f>
        <v>18.25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)"),14.25)</f>
        <v>14.25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серия'!$B$6:$C$15,'9 серия'!$B$6:$B$15=C22)),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)"),0.0)</f>
        <v>0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10</v>
      </c>
      <c r="E23" s="28">
        <f t="shared" si="2"/>
        <v>32.25</v>
      </c>
      <c r="F23" s="29">
        <f t="shared" si="3"/>
        <v>16.125</v>
      </c>
      <c r="G23" s="44">
        <f t="shared" si="4"/>
        <v>2.725</v>
      </c>
      <c r="H23" s="44">
        <f>SUMIFS('Все игры'!C$3:C1011,'Все игры'!A$3:A1011,C23)</f>
        <v>5</v>
      </c>
      <c r="I23" s="44">
        <f t="shared" si="5"/>
        <v>25.75</v>
      </c>
      <c r="J23" s="45">
        <f>SUMIFS('Все игры'!F$3:F1011,'Все игры'!A$3:A1011,C23)</f>
        <v>0.5</v>
      </c>
      <c r="K23" s="46">
        <f>SUMIFS('Все игры'!G$3:G1011,'Все игры'!A$3:A1011,C23)</f>
        <v>1</v>
      </c>
      <c r="L23" s="33">
        <f>'Игроки статистика'!G21</f>
        <v>2</v>
      </c>
      <c r="M23" s="34">
        <f t="shared" si="6"/>
        <v>2</v>
      </c>
      <c r="N23" s="34">
        <f>SUM('Игроки статистика'!O21,'Игроки статистика'!Q21)</f>
        <v>1</v>
      </c>
      <c r="O23" s="35">
        <f>SUM('Игроки статистика'!P21,'Игроки статистика'!R21)</f>
        <v>3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"),15.5)</f>
        <v>15.5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)"),16.75)</f>
        <v>16.75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серия'!$B$6:$C$15,'9 серия'!$B$6:$B$15=C23)),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)"),0.0)</f>
        <v>0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)"),0.0)</f>
        <v>0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5</v>
      </c>
      <c r="E24" s="28">
        <f t="shared" si="2"/>
        <v>22.5</v>
      </c>
      <c r="F24" s="29">
        <f t="shared" si="3"/>
        <v>22.5</v>
      </c>
      <c r="G24" s="44">
        <f t="shared" si="4"/>
        <v>2.5</v>
      </c>
      <c r="H24" s="44">
        <f>SUMIFS('Все игры'!C$3:C1011,'Все игры'!A$3:A1011,C24)</f>
        <v>10</v>
      </c>
      <c r="I24" s="44">
        <f t="shared" si="5"/>
        <v>12</v>
      </c>
      <c r="J24" s="45">
        <f>SUMIFS('Все игры'!F$3:F1011,'Все игры'!A$3:A1011,C24)</f>
        <v>0</v>
      </c>
      <c r="K24" s="46">
        <f>SUMIFS('Все игры'!G$3:G1011,'Все игры'!A$3:A1011,C24)</f>
        <v>0.5</v>
      </c>
      <c r="L24" s="33">
        <f>'Игроки статистика'!G22</f>
        <v>1</v>
      </c>
      <c r="M24" s="34">
        <f t="shared" si="6"/>
        <v>4</v>
      </c>
      <c r="N24" s="34">
        <f>SUM('Игроки статистика'!O22,'Игроки статистика'!Q22)</f>
        <v>1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)"),22.5)</f>
        <v>22.5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)"),0.0)</f>
        <v>0</v>
      </c>
      <c r="AB24" s="30" t="str">
        <f>IFERROR(__xludf.DUMMYFUNCTION("IFNA(SUM(FILTER('9 серия'!$B$6:$C$15,'9 серия'!$B$6:$B$15=C24)),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)"),0.0)</f>
        <v>0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)"),0.0)</f>
        <v>0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0</v>
      </c>
      <c r="E25" s="28">
        <f t="shared" si="2"/>
        <v>0</v>
      </c>
      <c r="F25" s="29" t="str">
        <f t="shared" si="3"/>
        <v/>
      </c>
      <c r="G25" s="44" t="str">
        <f t="shared" si="4"/>
        <v/>
      </c>
      <c r="H25" s="44">
        <f>SUMIFS('Все игры'!C$3:C1011,'Все игры'!A$3:A1011,C25)</f>
        <v>0</v>
      </c>
      <c r="I25" s="44">
        <f t="shared" si="5"/>
        <v>0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0</v>
      </c>
      <c r="N25" s="34">
        <f>SUM('Игроки статистика'!O23,'Игроки статистика'!Q23)</f>
        <v>0</v>
      </c>
      <c r="O25" s="35">
        <f>SUM('Игроки статистика'!P23,'Игроки статистика'!R23)</f>
        <v>0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)"),0.0)</f>
        <v>0</v>
      </c>
      <c r="AB25" s="30" t="str">
        <f>IFERROR(__xludf.DUMMYFUNCTION("IFNA(SUM(FILTER('9 серия'!$B$6:$C$15,'9 серия'!$B$6:$B$15=C25)),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)"),0.0)</f>
        <v>0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)"),0.0)</f>
        <v>0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)"),0.0)</f>
        <v>0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5</v>
      </c>
      <c r="E26" s="28">
        <f t="shared" si="2"/>
        <v>21.5</v>
      </c>
      <c r="F26" s="29">
        <f t="shared" si="3"/>
        <v>21.5</v>
      </c>
      <c r="G26" s="44">
        <f t="shared" si="4"/>
        <v>2.8</v>
      </c>
      <c r="H26" s="44">
        <f>SUMIFS('Все игры'!C$3:C1011,'Все игры'!A$3:A1011,C26)</f>
        <v>7.5</v>
      </c>
      <c r="I26" s="44">
        <f t="shared" si="5"/>
        <v>13</v>
      </c>
      <c r="J26" s="45">
        <f>SUMIFS('Все игры'!F$3:F1011,'Все игры'!A$3:A1011,C26)</f>
        <v>0.5</v>
      </c>
      <c r="K26" s="46">
        <f>SUMIFS('Все игры'!G$3:G1011,'Все игры'!A$3:A1011,C26)</f>
        <v>0.5</v>
      </c>
      <c r="L26" s="33">
        <f>'Игроки статистика'!G24</f>
        <v>1</v>
      </c>
      <c r="M26" s="34">
        <f t="shared" si="6"/>
        <v>3</v>
      </c>
      <c r="N26" s="34">
        <f>SUM('Игроки статистика'!O24,'Игроки статистика'!Q24)</f>
        <v>2</v>
      </c>
      <c r="O26" s="35">
        <f>SUM('Игроки статистика'!P24,'Игроки статистика'!R24)</f>
        <v>1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)"),0.0)</f>
        <v>0</v>
      </c>
      <c r="AB26" s="30" t="str">
        <f>IFERROR(__xludf.DUMMYFUNCTION("IFNA(SUM(FILTER('9 серия'!$B$6:$C$15,'9 серия'!$B$6:$B$15=C26)),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)"),0.0)</f>
        <v>0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)"),0.0)</f>
        <v>0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0</v>
      </c>
      <c r="E27" s="28">
        <f t="shared" si="2"/>
        <v>0</v>
      </c>
      <c r="F27" s="29" t="str">
        <f t="shared" si="3"/>
        <v/>
      </c>
      <c r="G27" s="44" t="str">
        <f t="shared" si="4"/>
        <v/>
      </c>
      <c r="H27" s="44">
        <f>SUMIFS('Все игры'!C$3:C1011,'Все игры'!A$3:A1011,C27)</f>
        <v>0</v>
      </c>
      <c r="I27" s="44">
        <f t="shared" si="5"/>
        <v>0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0</v>
      </c>
      <c r="N27" s="34">
        <f>SUM('Игроки статистика'!O25,'Игроки статистика'!Q25)</f>
        <v>0</v>
      </c>
      <c r="O27" s="35">
        <f>SUM('Игроки статистика'!P25,'Игроки статистика'!R25)</f>
        <v>0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 t="str">
        <f>IFERROR(__xludf.DUMMYFUNCTION("IFNA(SUM(FILTER('3 серия'!$B$6:$C$15,'3 серия'!$B$6:$B$15=C27)), )
"),"")</f>
        <v/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)"),0.0)</f>
        <v>0</v>
      </c>
      <c r="AB27" s="30" t="str">
        <f>IFERROR(__xludf.DUMMYFUNCTION("IFNA(SUM(FILTER('9 серия'!$B$6:$C$15,'9 серия'!$B$6:$B$15=C27)),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)"),0.0)</f>
        <v>0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)"),0.0)</f>
        <v>0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0</v>
      </c>
      <c r="E28" s="28">
        <f t="shared" si="2"/>
        <v>0</v>
      </c>
      <c r="F28" s="29" t="str">
        <f t="shared" si="3"/>
        <v/>
      </c>
      <c r="G28" s="44" t="str">
        <f t="shared" si="4"/>
        <v/>
      </c>
      <c r="H28" s="44">
        <f>SUMIFS('Все игры'!C$3:C1011,'Все игры'!A$3:A1011,C28)</f>
        <v>0</v>
      </c>
      <c r="I28" s="44">
        <f t="shared" si="5"/>
        <v>0</v>
      </c>
      <c r="J28" s="45">
        <f>SUMIFS('Все игры'!F$3:F1011,'Все игры'!A$3:A1011,C28)</f>
        <v>0</v>
      </c>
      <c r="K28" s="46">
        <f>SUMIFS('Все игры'!G$3:G1011,'Все игры'!A$3:A1011,C28)</f>
        <v>0</v>
      </c>
      <c r="L28" s="33">
        <f>'Игроки статистика'!G26</f>
        <v>0</v>
      </c>
      <c r="M28" s="34">
        <f t="shared" si="6"/>
        <v>0</v>
      </c>
      <c r="N28" s="34">
        <f>SUM('Игроки статистика'!O26,'Игроки статистика'!Q26)</f>
        <v>0</v>
      </c>
      <c r="O28" s="35">
        <f>SUM('Игроки статистика'!P26,'Игроки статистика'!R26)</f>
        <v>0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серия'!$B$6:$C$15,'9 серия'!$B$6:$B$15=C28)),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>
        <f>IFERROR(__xludf.DUMMYFUNCTION("IFNA(SUM(FILTER('15 серия'!$B$6:$C$15,'15 серия'!$B$6:$B$15=C28)), )"),0.0)</f>
        <v>0</v>
      </c>
      <c r="AI28" s="30">
        <f>IFERROR(__xludf.DUMMYFUNCTION("IFNA(SUM(FILTER('16 серия'!$B$6:$C$15,'16 серия'!$B$6:$B$15=C28)), )"),0.0)</f>
        <v>0</v>
      </c>
      <c r="AJ28" s="30">
        <f>IFERROR(__xludf.DUMMYFUNCTION("IFNA(SUM(FILTER('17 серия'!$B$6:$C$15,'17 серия'!$B$6:$B$15=C28)), )"),0.0)</f>
        <v>0</v>
      </c>
      <c r="AK28" s="30">
        <f>IFERROR(__xludf.DUMMYFUNCTION("IFNA(SUM(FILTER('18 серия'!$B$6:$C$15,'18 серия'!$B$6:$B$15=C28)), )"),0.0)</f>
        <v>0</v>
      </c>
      <c r="AL28" s="30">
        <f>IFERROR(__xludf.DUMMYFUNCTION("IFNA(SUM(FILTER('19 серия'!$B$6:$C$15,'19 серия'!$B$6:$B$15=C28)), )"),0.0)</f>
        <v>0</v>
      </c>
      <c r="AM28" s="30" t="str">
        <f>IFERROR(__xludf.DUMMYFUNCTION("IFNA(SUM(FILTER('20 серия'!$B$6:$C$15,'20 серия'!$B$6:$B$15=C28)), )"),"")</f>
        <v/>
      </c>
      <c r="AN28" s="30" t="str">
        <f>IFERROR(__xludf.DUMMYFUNCTION("IFNA(SUM(FILTER('21 серия'!$B$6:$C$15,'21 серия'!$B$6:$B$15=C28)), )"),"")</f>
        <v/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10</v>
      </c>
      <c r="E29" s="28">
        <f t="shared" si="2"/>
        <v>38</v>
      </c>
      <c r="F29" s="29">
        <f t="shared" si="3"/>
        <v>19</v>
      </c>
      <c r="G29" s="44">
        <f t="shared" si="4"/>
        <v>2.55</v>
      </c>
      <c r="H29" s="44">
        <f>SUMIFS('Все игры'!C$3:C1011,'Все игры'!A$3:A1011,C29)</f>
        <v>12.5</v>
      </c>
      <c r="I29" s="44">
        <f t="shared" si="5"/>
        <v>25</v>
      </c>
      <c r="J29" s="45">
        <f>SUMIFS('Все игры'!F$3:F1011,'Все игры'!A$3:A1011,C29)</f>
        <v>0</v>
      </c>
      <c r="K29" s="46">
        <f>SUMIFS('Все игры'!G$3:G1011,'Все игры'!A$3:A1011,C29)</f>
        <v>0.5</v>
      </c>
      <c r="L29" s="33">
        <f>'Игроки статистика'!G27</f>
        <v>1</v>
      </c>
      <c r="M29" s="34">
        <f t="shared" si="6"/>
        <v>5</v>
      </c>
      <c r="N29" s="34">
        <f>SUM('Игроки статистика'!O27,'Игроки статистика'!Q27)</f>
        <v>0</v>
      </c>
      <c r="O29" s="35">
        <f>SUM('Игроки статистика'!P27,'Игроки статистика'!R27)</f>
        <v>1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)"),21.0)</f>
        <v>21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серия'!$B$6:$C$15,'9 серия'!$B$6:$B$15=C29)),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)"),0.0)</f>
        <v>0</v>
      </c>
      <c r="AG29" s="30" t="str">
        <f>IFERROR(__xludf.DUMMYFUNCTION("IFNA(SUM(FILTER('14 серия'!$B$6:$C$15,'14 серия'!$B$6:$B$15=C29)), )"),"")</f>
        <v/>
      </c>
      <c r="AH29" s="30" t="str">
        <f>IFERROR(__xludf.DUMMYFUNCTION("IFNA(SUM(FILTER('15 серия'!$B$6:$C$15,'15 серия'!$B$6:$B$15=C29)), )"),"")</f>
        <v/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)"),0.0)</f>
        <v>0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10</v>
      </c>
      <c r="E30" s="28">
        <f t="shared" si="2"/>
        <v>45.5</v>
      </c>
      <c r="F30" s="29">
        <f t="shared" si="3"/>
        <v>22.75</v>
      </c>
      <c r="G30" s="44">
        <f t="shared" si="4"/>
        <v>3.05</v>
      </c>
      <c r="H30" s="44">
        <f>SUMIFS('Все игры'!C$3:C1011,'Все игры'!A$3:A1011,C30)</f>
        <v>15</v>
      </c>
      <c r="I30" s="44">
        <f t="shared" si="5"/>
        <v>30</v>
      </c>
      <c r="J30" s="45">
        <f>SUMIFS('Все игры'!F$3:F1011,'Все игры'!A$3:A1011,C30)</f>
        <v>0</v>
      </c>
      <c r="K30" s="46">
        <f>SUMIFS('Все игры'!G$3:G1011,'Все игры'!A$3:A1011,C30)</f>
        <v>0.5</v>
      </c>
      <c r="L30" s="33">
        <f>'Игроки статистика'!G28</f>
        <v>1</v>
      </c>
      <c r="M30" s="34">
        <f t="shared" si="6"/>
        <v>6</v>
      </c>
      <c r="N30" s="34">
        <f>SUM('Игроки статистика'!O28,'Игроки статистика'!Q28)</f>
        <v>2</v>
      </c>
      <c r="O30" s="35">
        <f>SUM('Игроки статистика'!P28,'Игроки статистика'!R28)</f>
        <v>1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)"),22.5)</f>
        <v>22.5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серия'!$B$6:$C$15,'9 серия'!$B$6:$B$15=C30)),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)"),0.0)</f>
        <v>0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)"),0.0)</f>
        <v>0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5</v>
      </c>
      <c r="E31" s="28">
        <f t="shared" si="2"/>
        <v>14</v>
      </c>
      <c r="F31" s="29">
        <f t="shared" si="3"/>
        <v>14</v>
      </c>
      <c r="G31" s="44">
        <f t="shared" si="4"/>
        <v>1.8</v>
      </c>
      <c r="H31" s="44">
        <f>SUMIFS('Все игры'!C$3:C1011,'Все игры'!A$3:A1011,C31)</f>
        <v>5</v>
      </c>
      <c r="I31" s="44">
        <f t="shared" si="5"/>
        <v>9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2</v>
      </c>
      <c r="N31" s="34">
        <f>SUM('Игроки статистика'!O29,'Игроки статистика'!Q29)</f>
        <v>2</v>
      </c>
      <c r="O31" s="35">
        <f>SUM('Игроки статистика'!P29,'Игроки статистика'!R29)</f>
        <v>0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)"),14.0)</f>
        <v>14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)"),0.0)</f>
        <v>0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серия'!$B$6:$C$15,'9 серия'!$B$6:$B$15=C31)), )"),"")</f>
        <v/>
      </c>
      <c r="AC31" s="30">
        <f>IFERROR(__xludf.DUMMYFUNCTION("IFNA(SUM(FILTER('10 серия'!$B$6:$C$15,'10 серия'!$B$6:$B$15=C31)), )"),0.0)</f>
        <v>0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5</v>
      </c>
      <c r="E32" s="28">
        <f t="shared" si="2"/>
        <v>21</v>
      </c>
      <c r="F32" s="29">
        <f t="shared" si="3"/>
        <v>21</v>
      </c>
      <c r="G32" s="44">
        <f t="shared" si="4"/>
        <v>3.2</v>
      </c>
      <c r="H32" s="44">
        <f>SUMIFS('Все игры'!C$3:C1011,'Все игры'!A$3:A1011,C32)</f>
        <v>5</v>
      </c>
      <c r="I32" s="44">
        <f t="shared" si="5"/>
        <v>15.5</v>
      </c>
      <c r="J32" s="45">
        <f>SUMIFS('Все игры'!F$3:F1011,'Все игры'!A$3:A1011,C32)</f>
        <v>0</v>
      </c>
      <c r="K32" s="46">
        <f>SUMIFS('Все игры'!G$3:G1011,'Все игры'!A$3:A1011,C32)</f>
        <v>0.5</v>
      </c>
      <c r="L32" s="33">
        <f>'Игроки статистика'!G30</f>
        <v>1</v>
      </c>
      <c r="M32" s="34">
        <f t="shared" si="6"/>
        <v>2</v>
      </c>
      <c r="N32" s="34">
        <f>SUM('Игроки статистика'!O30,'Игроки статистика'!Q30)</f>
        <v>1</v>
      </c>
      <c r="O32" s="35">
        <f>SUM('Игроки статистика'!P30,'Игроки статистика'!R30)</f>
        <v>1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серия'!$B$6:$C$15,'9 серия'!$B$6:$B$15=C32)),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)"),0.0)</f>
        <v>0</v>
      </c>
      <c r="AG32" s="30" t="str">
        <f>IFERROR(__xludf.DUMMYFUNCTION("IFNA(SUM(FILTER('14 серия'!$B$6:$C$15,'14 серия'!$B$6:$B$15=C32)), )"),"")</f>
        <v/>
      </c>
      <c r="AH32" s="30" t="str">
        <f>IFERROR(__xludf.DUMMYFUNCTION("IFNA(SUM(FILTER('15 серия'!$B$6:$C$15,'15 серия'!$B$6:$B$15=C32)), )"),"")</f>
        <v/>
      </c>
      <c r="AI32" s="30">
        <f>IFERROR(__xludf.DUMMYFUNCTION("IFNA(SUM(FILTER('16 серия'!$B$6:$C$15,'16 серия'!$B$6:$B$15=C32)), )"),0.0)</f>
        <v>0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>
        <f>IFERROR(__xludf.DUMMYFUNCTION("IFNA(SUM(FILTER('20 серия'!$B$6:$C$15,'20 серия'!$B$6:$B$15=C32)), )"),0.0)</f>
        <v>0</v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10</v>
      </c>
      <c r="E33" s="28">
        <f t="shared" si="2"/>
        <v>37.25</v>
      </c>
      <c r="F33" s="29">
        <f t="shared" si="3"/>
        <v>18.625</v>
      </c>
      <c r="G33" s="44">
        <f t="shared" si="4"/>
        <v>2.475</v>
      </c>
      <c r="H33" s="44">
        <f>SUMIFS('Все игры'!C$3:C1011,'Все игры'!A$3:A1011,C33)</f>
        <v>12.5</v>
      </c>
      <c r="I33" s="44">
        <f t="shared" si="5"/>
        <v>24.25</v>
      </c>
      <c r="J33" s="45">
        <f>SUMIFS('Все игры'!F$3:F1011,'Все игры'!A$3:A1011,C33)</f>
        <v>0</v>
      </c>
      <c r="K33" s="46">
        <f>SUMIFS('Все игры'!G$3:G1011,'Все игры'!A$3:A1011,C33)</f>
        <v>0.5</v>
      </c>
      <c r="L33" s="33">
        <f>'Игроки статистика'!G31</f>
        <v>1</v>
      </c>
      <c r="M33" s="34">
        <f t="shared" si="6"/>
        <v>5</v>
      </c>
      <c r="N33" s="34">
        <f>SUM('Игроки статистика'!O31,'Игроки статистика'!Q31)</f>
        <v>1</v>
      </c>
      <c r="O33" s="35">
        <f>SUM('Игроки статистика'!P31,'Игроки статистика'!R31)</f>
        <v>2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)"),22.5)</f>
        <v>22.5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серия'!$B$6:$C$15,'9 серия'!$B$6:$B$15=C33)),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)"),0.0)</f>
        <v>0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)"),0.0)</f>
        <v>0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10</v>
      </c>
      <c r="E34" s="28">
        <f t="shared" si="2"/>
        <v>39.25</v>
      </c>
      <c r="F34" s="29">
        <f t="shared" si="3"/>
        <v>19.625</v>
      </c>
      <c r="G34" s="44">
        <f t="shared" si="4"/>
        <v>2.675</v>
      </c>
      <c r="H34" s="44">
        <f>SUMIFS('Все игры'!C$3:C1011,'Все игры'!A$3:A1011,C34)</f>
        <v>12.5</v>
      </c>
      <c r="I34" s="44">
        <f t="shared" si="5"/>
        <v>26.75</v>
      </c>
      <c r="J34" s="45">
        <f>SUMIFS('Все игры'!F$3:F1011,'Все игры'!A$3:A1011,C34)</f>
        <v>0</v>
      </c>
      <c r="K34" s="46">
        <f>SUMIFS('Все игры'!G$3:G1011,'Все игры'!A$3:A1011,C34)</f>
        <v>0</v>
      </c>
      <c r="L34" s="33">
        <f>'Игроки статистика'!G32</f>
        <v>0</v>
      </c>
      <c r="M34" s="34">
        <f t="shared" si="6"/>
        <v>5</v>
      </c>
      <c r="N34" s="34">
        <f>SUM('Игроки статистика'!O32,'Игроки статистика'!Q32)</f>
        <v>1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)"),19.25)</f>
        <v>19.25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серия'!$B$6:$C$15,'9 серия'!$B$6:$B$15=C34)),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)"),0.0)</f>
        <v>0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>
        <f>IFERROR(__xludf.DUMMYFUNCTION("IFNA(SUM(FILTER('21 серия'!$B$6:$C$15,'21 серия'!$B$6:$B$15=C34)), )"),0.0)</f>
        <v>0</v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0</v>
      </c>
      <c r="E35" s="28">
        <f t="shared" si="2"/>
        <v>0</v>
      </c>
      <c r="F35" s="29" t="str">
        <f t="shared" si="3"/>
        <v/>
      </c>
      <c r="G35" s="44" t="str">
        <f t="shared" si="4"/>
        <v/>
      </c>
      <c r="H35" s="44">
        <f>SUMIFS('Все игры'!C$3:C1011,'Все игры'!A$3:A1011,C35)</f>
        <v>0</v>
      </c>
      <c r="I35" s="44">
        <f t="shared" si="5"/>
        <v>0</v>
      </c>
      <c r="J35" s="45">
        <f>SUMIFS('Все игры'!F$3:F1011,'Все игры'!A$3:A1011,C35)</f>
        <v>0</v>
      </c>
      <c r="K35" s="46">
        <f>SUMIFS('Все игры'!G$3:G1011,'Все игры'!A$3:A1011,C35)</f>
        <v>0</v>
      </c>
      <c r="L35" s="33">
        <f>'Игроки статистика'!G33</f>
        <v>0</v>
      </c>
      <c r="M35" s="34">
        <f t="shared" si="6"/>
        <v>0</v>
      </c>
      <c r="N35" s="34">
        <f>SUM('Игроки статистика'!O33,'Игроки статистика'!Q33)</f>
        <v>0</v>
      </c>
      <c r="O35" s="35">
        <f>SUM('Игроки статистика'!P33,'Игроки статистика'!R33)</f>
        <v>0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)"),0.0)</f>
        <v>0</v>
      </c>
      <c r="AA35" s="30">
        <f>IFERROR(__xludf.DUMMYFUNCTION("IFNA(SUM(FILTER('8 серия'!$B$6:$C$15,'8 серия'!$B$6:$B$15=C35)), )"),0.0)</f>
        <v>0</v>
      </c>
      <c r="AB35" s="30">
        <f>IFERROR(__xludf.DUMMYFUNCTION("IFNA(SUM(FILTER('9 серия'!$B$6:$C$15,'9 серия'!$B$6:$B$15=C35)), )"),0.0)</f>
        <v>0</v>
      </c>
      <c r="AC35" s="30">
        <f>IFERROR(__xludf.DUMMYFUNCTION("IFNA(SUM(FILTER('10 серия'!$B$6:$C$15,'10 серия'!$B$6:$B$15=C35)), )"),0.0)</f>
        <v>0</v>
      </c>
      <c r="AD35" s="30">
        <f>IFERROR(__xludf.DUMMYFUNCTION("IFNA(SUM(FILTER('11 серия'!$B$6:$C$15,'11 серия'!$B$6:$B$15=C35)), )"),0.0)</f>
        <v>0</v>
      </c>
      <c r="AE35" s="30">
        <f>IFERROR(__xludf.DUMMYFUNCTION("IFNA(SUM(FILTER('12 серия'!$B$6:$C$15,'12 серия'!$B$6:$B$15=C35)), )"),0.0)</f>
        <v>0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10</v>
      </c>
      <c r="E36" s="28">
        <f t="shared" si="2"/>
        <v>34.25</v>
      </c>
      <c r="F36" s="29">
        <f t="shared" si="3"/>
        <v>17.125</v>
      </c>
      <c r="G36" s="44">
        <f t="shared" si="4"/>
        <v>2.675</v>
      </c>
      <c r="H36" s="44">
        <f>SUMIFS('Все игры'!C$3:C1011,'Все игры'!A$3:A1011,C36)</f>
        <v>7.5</v>
      </c>
      <c r="I36" s="44">
        <f t="shared" si="5"/>
        <v>25.25</v>
      </c>
      <c r="J36" s="45">
        <f>SUMIFS('Все игры'!F$3:F1011,'Все игры'!A$3:A1011,C36)</f>
        <v>0.5</v>
      </c>
      <c r="K36" s="46">
        <f>SUMIFS('Все игры'!G$3:G1011,'Все игры'!A$3:A1011,C36)</f>
        <v>1</v>
      </c>
      <c r="L36" s="33">
        <f>'Игроки статистика'!G34</f>
        <v>2</v>
      </c>
      <c r="M36" s="34">
        <f t="shared" si="6"/>
        <v>3</v>
      </c>
      <c r="N36" s="34">
        <f>SUM('Игроки статистика'!O34,'Игроки статистика'!Q34)</f>
        <v>1</v>
      </c>
      <c r="O36" s="35">
        <f>SUM('Игроки статистика'!P34,'Игроки статистика'!R34)</f>
        <v>3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)"),15.25)</f>
        <v>15.25</v>
      </c>
      <c r="Y36" s="30">
        <f>IFERROR(__xludf.DUMMYFUNCTION("IFNA(SUM(FILTER('6 серия'!$B$6:$C$15,'6 серия'!$B$6:$B$15=C36)), )"),19.0)</f>
        <v>19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серия'!$B$6:$C$15,'9 серия'!$B$6:$B$15=C36)),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)"),0.0)</f>
        <v>0</v>
      </c>
      <c r="AK36" s="30">
        <f>IFERROR(__xludf.DUMMYFUNCTION("IFNA(SUM(FILTER('18 серия'!$B$6:$C$15,'18 серия'!$B$6:$B$15=C36)), )"),0.0)</f>
        <v>0</v>
      </c>
      <c r="AL36" s="30">
        <f>IFERROR(__xludf.DUMMYFUNCTION("IFNA(SUM(FILTER('19 серия'!$B$6:$C$15,'19 серия'!$B$6:$B$15=C36)), )"),0.0)</f>
        <v>0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0</v>
      </c>
      <c r="E37" s="28">
        <f t="shared" si="2"/>
        <v>0</v>
      </c>
      <c r="F37" s="29" t="str">
        <f t="shared" si="3"/>
        <v/>
      </c>
      <c r="G37" s="44" t="str">
        <f t="shared" si="4"/>
        <v/>
      </c>
      <c r="H37" s="44">
        <f>SUMIFS('Все игры'!C$3:C1011,'Все игры'!A$3:A1011,C37)</f>
        <v>0</v>
      </c>
      <c r="I37" s="44">
        <f t="shared" si="5"/>
        <v>0</v>
      </c>
      <c r="J37" s="45">
        <f>SUMIFS('Все игры'!F$3:F1011,'Все игры'!A$3:A1011,C37)</f>
        <v>0</v>
      </c>
      <c r="K37" s="46">
        <f>SUMIFS('Все игры'!G$3:G1011,'Все игры'!A$3:A1011,C37)</f>
        <v>0</v>
      </c>
      <c r="L37" s="33">
        <f>'Игроки статистика'!G35</f>
        <v>0</v>
      </c>
      <c r="M37" s="34">
        <f t="shared" si="6"/>
        <v>0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0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серия'!$B$6:$C$15,'9 серия'!$B$6:$B$15=C37)),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)"),0.0)</f>
        <v>0</v>
      </c>
      <c r="AO37" s="30">
        <f>IFERROR(__xludf.DUMMYFUNCTION("IFNA(SUM(FILTER('22 серия'!$B$6:$C$15,'22 серия'!$B$6:$B$15=C37)), )"),0.0)</f>
        <v>0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5</v>
      </c>
      <c r="E38" s="28">
        <f t="shared" si="2"/>
        <v>25.25</v>
      </c>
      <c r="F38" s="29">
        <f t="shared" si="3"/>
        <v>25.25</v>
      </c>
      <c r="G38" s="44">
        <f t="shared" si="4"/>
        <v>3.05</v>
      </c>
      <c r="H38" s="44">
        <f>SUMIFS('Все игры'!C$3:C1011,'Все игры'!A$3:A1011,C38)</f>
        <v>10</v>
      </c>
      <c r="I38" s="44">
        <f t="shared" si="5"/>
        <v>15.25</v>
      </c>
      <c r="J38" s="45">
        <f>SUMIFS('Все игры'!F$3:F1011,'Все игры'!A$3:A1011,C38)</f>
        <v>0</v>
      </c>
      <c r="K38" s="46">
        <f>SUMIFS('Все игры'!G$3:G1011,'Все игры'!A$3:A1011,C38)</f>
        <v>0</v>
      </c>
      <c r="L38" s="33">
        <f>'Игроки статистика'!G36</f>
        <v>0</v>
      </c>
      <c r="M38" s="34">
        <f t="shared" si="6"/>
        <v>4</v>
      </c>
      <c r="N38" s="34">
        <f>SUM('Игроки статистика'!O36,'Игроки статистика'!Q36)</f>
        <v>0</v>
      </c>
      <c r="O38" s="35">
        <f>SUM('Игроки статистика'!P36,'Игроки статистика'!R36)</f>
        <v>0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)"),0.0)</f>
        <v>0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серия'!$B$6:$C$15,'9 серия'!$B$6:$B$15=C38)),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)"),0.0)</f>
        <v>0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)"),0.0)</f>
        <v>0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0</v>
      </c>
      <c r="E39" s="28">
        <f t="shared" si="2"/>
        <v>0</v>
      </c>
      <c r="F39" s="29" t="str">
        <f t="shared" si="3"/>
        <v/>
      </c>
      <c r="G39" s="44" t="str">
        <f t="shared" si="4"/>
        <v/>
      </c>
      <c r="H39" s="44">
        <f>SUMIFS('Все игры'!C$3:C1011,'Все игры'!A$3:A1011,C39)</f>
        <v>0</v>
      </c>
      <c r="I39" s="44">
        <f t="shared" si="5"/>
        <v>0</v>
      </c>
      <c r="J39" s="45">
        <f>SUMIFS('Все игры'!F$3:F1011,'Все игры'!A$3:A1011,C39)</f>
        <v>0</v>
      </c>
      <c r="K39" s="46">
        <f>SUMIFS('Все игры'!G$3:G1011,'Все игры'!A$3:A1011,C39)</f>
        <v>0</v>
      </c>
      <c r="L39" s="33">
        <f>'Игроки статистика'!G37</f>
        <v>0</v>
      </c>
      <c r="M39" s="34">
        <f t="shared" si="6"/>
        <v>0</v>
      </c>
      <c r="N39" s="34">
        <f>SUM('Игроки статистика'!O37,'Игроки статистика'!Q37)</f>
        <v>0</v>
      </c>
      <c r="O39" s="35">
        <f>SUM('Игроки статистика'!P37,'Игроки статистика'!R37)</f>
        <v>0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серия'!$B$6:$C$15,'9 серия'!$B$6:$B$15=C39)),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)"),0.0)</f>
        <v>0</v>
      </c>
      <c r="AG39" s="30">
        <f>IFERROR(__xludf.DUMMYFUNCTION("IFNA(SUM(FILTER('14 серия'!$B$6:$C$15,'14 серия'!$B$6:$B$15=C39)), )"),0.0)</f>
        <v>0</v>
      </c>
      <c r="AH39" s="30">
        <f>IFERROR(__xludf.DUMMYFUNCTION("IFNA(SUM(FILTER('15 серия'!$B$6:$C$15,'15 серия'!$B$6:$B$15=C39)), )"),0.0)</f>
        <v>0</v>
      </c>
      <c r="AI39" s="30">
        <f>IFERROR(__xludf.DUMMYFUNCTION("IFNA(SUM(FILTER('16 серия'!$B$6:$C$15,'16 серия'!$B$6:$B$15=C39)), )"),0.0)</f>
        <v>0</v>
      </c>
      <c r="AJ39" s="30">
        <f>IFERROR(__xludf.DUMMYFUNCTION("IFNA(SUM(FILTER('17 серия'!$B$6:$C$15,'17 серия'!$B$6:$B$15=C39)), )"),0.0)</f>
        <v>0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10</v>
      </c>
      <c r="E40" s="28">
        <f t="shared" si="2"/>
        <v>35.25</v>
      </c>
      <c r="F40" s="29">
        <f t="shared" si="3"/>
        <v>17.625</v>
      </c>
      <c r="G40" s="44">
        <f t="shared" si="4"/>
        <v>2.525</v>
      </c>
      <c r="H40" s="44">
        <f>SUMIFS('Все игры'!C$3:C1011,'Все игры'!A$3:A1011,C40)</f>
        <v>10</v>
      </c>
      <c r="I40" s="44">
        <f t="shared" si="5"/>
        <v>25.25</v>
      </c>
      <c r="J40" s="45">
        <f>SUMIFS('Все игры'!F$3:F1011,'Все игры'!A$3:A1011,C40)</f>
        <v>0</v>
      </c>
      <c r="K40" s="46">
        <f>SUMIFS('Все игры'!G$3:G1011,'Все игры'!A$3:A1011,C40)</f>
        <v>0</v>
      </c>
      <c r="L40" s="33">
        <f>'Игроки статистика'!G38</f>
        <v>0</v>
      </c>
      <c r="M40" s="34">
        <f t="shared" si="6"/>
        <v>4</v>
      </c>
      <c r="N40" s="34">
        <f>SUM('Игроки статистика'!O38,'Игроки статистика'!Q38)</f>
        <v>0</v>
      </c>
      <c r="O40" s="35">
        <f>SUM('Игроки статистика'!P38,'Игроки статистика'!R38)</f>
        <v>3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)"),17.5)</f>
        <v>17.5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серия'!$B$6:$C$15,'9 серия'!$B$6:$B$15=C40)),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)"),0.0)</f>
        <v>0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0</v>
      </c>
      <c r="E41" s="28">
        <f t="shared" si="2"/>
        <v>0</v>
      </c>
      <c r="F41" s="29" t="str">
        <f t="shared" si="3"/>
        <v/>
      </c>
      <c r="G41" s="44" t="str">
        <f t="shared" si="4"/>
        <v/>
      </c>
      <c r="H41" s="44">
        <f>SUMIFS('Все игры'!C$3:C1011,'Все игры'!A$3:A1011,C41)</f>
        <v>0</v>
      </c>
      <c r="I41" s="44">
        <f t="shared" si="5"/>
        <v>0</v>
      </c>
      <c r="J41" s="45">
        <f>SUMIFS('Все игры'!F$3:F1011,'Все игры'!A$3:A1011,C41)</f>
        <v>0</v>
      </c>
      <c r="K41" s="46">
        <f>SUMIFS('Все игры'!G$3:G1011,'Все игры'!A$3:A1011,C41)</f>
        <v>0</v>
      </c>
      <c r="L41" s="33">
        <f>'Игроки статистика'!G39</f>
        <v>0</v>
      </c>
      <c r="M41" s="34">
        <f t="shared" si="6"/>
        <v>0</v>
      </c>
      <c r="N41" s="34">
        <f>SUM('Игроки статистика'!O39,'Игроки статистика'!Q39)</f>
        <v>0</v>
      </c>
      <c r="O41" s="35">
        <f>SUM('Игроки статистика'!P39,'Игроки статистика'!R39)</f>
        <v>0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серия'!$B$6:$C$15,'9 серия'!$B$6:$B$15=C41)),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)"),0.0)</f>
        <v>0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)"),0.0)</f>
        <v>0</v>
      </c>
      <c r="AM41" s="30" t="str">
        <f>IFERROR(__xludf.DUMMYFUNCTION("IFNA(SUM(FILTER('20 серия'!$B$6:$C$15,'20 серия'!$B$6:$B$15=C41)), )"),"")</f>
        <v/>
      </c>
      <c r="AN41" s="30" t="str">
        <f>IFERROR(__xludf.DUMMYFUNCTION("IFNA(SUM(FILTER('21 серия'!$B$6:$C$15,'21 серия'!$B$6:$B$15=C41)), )"),"")</f>
        <v/>
      </c>
      <c r="AO41" s="30">
        <f>IFERROR(__xludf.DUMMYFUNCTION("IFNA(SUM(FILTER('22 серия'!$B$6:$C$15,'22 серия'!$B$6:$B$15=C41)), )"),0.0)</f>
        <v>0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0</v>
      </c>
      <c r="E42" s="28">
        <f t="shared" si="2"/>
        <v>0</v>
      </c>
      <c r="F42" s="29" t="str">
        <f t="shared" si="3"/>
        <v/>
      </c>
      <c r="G42" s="44" t="str">
        <f t="shared" si="4"/>
        <v/>
      </c>
      <c r="H42" s="44">
        <f>SUMIFS('Все игры'!C$3:C1011,'Все игры'!A$3:A1011,C42)</f>
        <v>0</v>
      </c>
      <c r="I42" s="44">
        <f t="shared" si="5"/>
        <v>0</v>
      </c>
      <c r="J42" s="45">
        <f>SUMIFS('Все игры'!F$3:F1011,'Все игры'!A$3:A1011,C42)</f>
        <v>0</v>
      </c>
      <c r="K42" s="46">
        <f>SUMIFS('Все игры'!G$3:G1011,'Все игры'!A$3:A1011,C42)</f>
        <v>0</v>
      </c>
      <c r="L42" s="33">
        <f>'Игроки статистика'!G40</f>
        <v>0</v>
      </c>
      <c r="M42" s="34">
        <f t="shared" si="6"/>
        <v>0</v>
      </c>
      <c r="N42" s="34">
        <f>SUM('Игроки статистика'!O40,'Игроки статистика'!Q40)</f>
        <v>0</v>
      </c>
      <c r="O42" s="35">
        <f>SUM('Игроки статистика'!P40,'Игроки статистика'!R40)</f>
        <v>0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серия'!$B$6:$C$15,'9 серия'!$B$6:$B$15=C42)),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)"),0.0)</f>
        <v>0</v>
      </c>
      <c r="AL42" s="30">
        <f>IFERROR(__xludf.DUMMYFUNCTION("IFNA(SUM(FILTER('19 серия'!$B$6:$C$15,'19 серия'!$B$6:$B$15=C42)), )"),0.0)</f>
        <v>0</v>
      </c>
      <c r="AM42" s="30">
        <f>IFERROR(__xludf.DUMMYFUNCTION("IFNA(SUM(FILTER('20 серия'!$B$6:$C$15,'20 серия'!$B$6:$B$15=C42)), )"),0.0)</f>
        <v>0</v>
      </c>
      <c r="AN42" s="30">
        <f>IFERROR(__xludf.DUMMYFUNCTION("IFNA(SUM(FILTER('21 серия'!$B$6:$C$15,'21 серия'!$B$6:$B$15=C42)), )"),0.0)</f>
        <v>0</v>
      </c>
      <c r="AO42" s="30">
        <f>IFERROR(__xludf.DUMMYFUNCTION("IFNA(SUM(FILTER('22 серия'!$B$6:$C$15,'22 серия'!$B$6:$B$15=C42)), )"),0.0)</f>
        <v>0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серия'!$B$6:$C$15,'9 серия'!$B$6:$B$15=C43)),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10</v>
      </c>
      <c r="E44" s="28">
        <f t="shared" si="2"/>
        <v>52.75</v>
      </c>
      <c r="F44" s="29">
        <f t="shared" si="3"/>
        <v>26.375</v>
      </c>
      <c r="G44" s="44">
        <f t="shared" si="4"/>
        <v>3.275</v>
      </c>
      <c r="H44" s="44">
        <f>SUMIFS('Все игры'!C$3:C1011,'Все игры'!A$3:A1011,C44)</f>
        <v>20</v>
      </c>
      <c r="I44" s="44">
        <f t="shared" si="5"/>
        <v>31.75</v>
      </c>
      <c r="J44" s="45">
        <f>SUMIFS('Все игры'!F$3:F1011,'Все игры'!A$3:A1011,C44)</f>
        <v>0.5</v>
      </c>
      <c r="K44" s="46">
        <f>SUMIFS('Все игры'!G$3:G1011,'Все игры'!A$3:A1011,C44)</f>
        <v>0.5</v>
      </c>
      <c r="L44" s="33">
        <f>'Игроки статистика'!G42</f>
        <v>1</v>
      </c>
      <c r="M44" s="34">
        <f t="shared" si="6"/>
        <v>8</v>
      </c>
      <c r="N44" s="34">
        <f>SUM('Игроки статистика'!O42,'Игроки статистика'!Q42)</f>
        <v>1</v>
      </c>
      <c r="O44" s="35">
        <f>SUM('Игроки статистика'!P42,'Игроки статистика'!R42)</f>
        <v>0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)"),29.0)</f>
        <v>29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)"),0.0)</f>
        <v>0</v>
      </c>
      <c r="AB44" s="30" t="str">
        <f>IFERROR(__xludf.DUMMYFUNCTION("IFNA(SUM(FILTER('9 серия'!$B$6:$C$15,'9 серия'!$B$6:$B$15=C44)),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)"),0.0)</f>
        <v>0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5</v>
      </c>
      <c r="E45" s="28">
        <f t="shared" si="2"/>
        <v>14.5</v>
      </c>
      <c r="F45" s="29">
        <f t="shared" si="3"/>
        <v>14.5</v>
      </c>
      <c r="G45" s="44">
        <f t="shared" si="4"/>
        <v>2.4</v>
      </c>
      <c r="H45" s="44">
        <f>SUMIFS('Все игры'!C$3:C1011,'Все игры'!A$3:A1011,C45)</f>
        <v>2.5</v>
      </c>
      <c r="I45" s="44">
        <f t="shared" si="5"/>
        <v>11</v>
      </c>
      <c r="J45" s="45">
        <f>SUMIFS('Все игры'!F$3:F1011,'Все игры'!A$3:A1011,C45)</f>
        <v>0.5</v>
      </c>
      <c r="K45" s="46">
        <f>SUMIFS('Все игры'!G$3:G1011,'Все игры'!A$3:A1011,C45)</f>
        <v>0.5</v>
      </c>
      <c r="L45" s="33">
        <f>'Игроки статистика'!G43</f>
        <v>1</v>
      </c>
      <c r="M45" s="34">
        <f t="shared" si="6"/>
        <v>1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"),14.5)</f>
        <v>14.5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серия'!$B$6:$C$15,'9 серия'!$B$6:$B$15=C45)), )"),0.0)</f>
        <v>0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)"),0.0)</f>
        <v>0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10</v>
      </c>
      <c r="E46" s="28">
        <f t="shared" si="2"/>
        <v>33.25</v>
      </c>
      <c r="F46" s="29">
        <f t="shared" si="3"/>
        <v>16.625</v>
      </c>
      <c r="G46" s="44">
        <f t="shared" si="4"/>
        <v>2.575</v>
      </c>
      <c r="H46" s="44">
        <f>SUMIFS('Все игры'!C$3:C1011,'Все игры'!A$3:A1011,C46)</f>
        <v>7.5</v>
      </c>
      <c r="I46" s="44">
        <f t="shared" si="5"/>
        <v>25.25</v>
      </c>
      <c r="J46" s="45">
        <f>SUMIFS('Все игры'!F$3:F1011,'Все игры'!A$3:A1011,C46)</f>
        <v>0</v>
      </c>
      <c r="K46" s="46">
        <f>SUMIFS('Все игры'!G$3:G1011,'Все игры'!A$3:A1011,C46)</f>
        <v>0.5</v>
      </c>
      <c r="L46" s="33">
        <f>'Игроки статистика'!G44</f>
        <v>1</v>
      </c>
      <c r="M46" s="34">
        <f t="shared" si="6"/>
        <v>3</v>
      </c>
      <c r="N46" s="34">
        <f>SUM('Игроки статистика'!O44,'Игроки статистика'!Q44)</f>
        <v>0</v>
      </c>
      <c r="O46" s="35">
        <f>SUM('Игроки статистика'!P44,'Игроки статистика'!R44)</f>
        <v>1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"),17.5)</f>
        <v>17.5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)"),0.0)</f>
        <v>0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серия'!$B$6:$C$15,'9 серия'!$B$6:$B$15=C46)), )"),"")</f>
        <v/>
      </c>
      <c r="AC46" s="30">
        <f>IFERROR(__xludf.DUMMYFUNCTION("IFNA(SUM(FILTER('10 серия'!$B$6:$C$15,'10 серия'!$B$6:$B$15=C46)), )"),0.0)</f>
        <v>0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)"),0.0)</f>
        <v>0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)"),0.0)</f>
        <v>0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)"),0.0)</f>
        <v>0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)"),0.0)</f>
        <v>0</v>
      </c>
      <c r="AN46" s="30" t="str">
        <f>IFERROR(__xludf.DUMMYFUNCTION("IFNA(SUM(FILTER('21 серия'!$B$6:$C$15,'21 серия'!$B$6:$B$15=C46)), )"),"")</f>
        <v/>
      </c>
      <c r="AO46" s="30">
        <f>IFERROR(__xludf.DUMMYFUNCTION("IFNA(SUM(FILTER('22 серия'!$B$6:$C$15,'22 серия'!$B$6:$B$15=C46)), )"),0.0)</f>
        <v>0</v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10</v>
      </c>
      <c r="E47" s="28">
        <f t="shared" si="2"/>
        <v>36</v>
      </c>
      <c r="F47" s="29">
        <f t="shared" si="3"/>
        <v>18</v>
      </c>
      <c r="G47" s="44">
        <f t="shared" si="4"/>
        <v>2.85</v>
      </c>
      <c r="H47" s="44">
        <f>SUMIFS('Все игры'!C$3:C1011,'Все игры'!A$3:A1011,C47)</f>
        <v>7.5</v>
      </c>
      <c r="I47" s="44">
        <f t="shared" si="5"/>
        <v>26</v>
      </c>
      <c r="J47" s="45">
        <f>SUMIFS('Все игры'!F$3:F1011,'Все игры'!A$3:A1011,C47)</f>
        <v>1.5</v>
      </c>
      <c r="K47" s="46">
        <f>SUMIFS('Все игры'!G$3:G1011,'Все игры'!A$3:A1011,C47)</f>
        <v>1</v>
      </c>
      <c r="L47" s="33">
        <f>'Игроки статистика'!G45</f>
        <v>2</v>
      </c>
      <c r="M47" s="34">
        <f t="shared" si="6"/>
        <v>3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0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 t="str">
        <f>IFERROR(__xludf.DUMMYFUNCTION("IFNA(SUM(FILTER('4 серия'!$B$6:$C$15,'4 серия'!$B$6:$B$15=C47)), )"),"")</f>
        <v/>
      </c>
      <c r="X47" s="30">
        <f>IFERROR(__xludf.DUMMYFUNCTION("IFNA(SUM(FILTER('5 серия'!$B$6:$C$15,'5 серия'!$B$6:$B$15=C47)), )"),14.75)</f>
        <v>14.75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 t="str">
        <f>IFERROR(__xludf.DUMMYFUNCTION("IFNA(SUM(FILTER('9 серия'!$B$6:$C$15,'9 серия'!$B$6:$B$15=C47)), )"),"")</f>
        <v/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)"),0.0)</f>
        <v>0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>
        <f>IFERROR(__xludf.DUMMYFUNCTION("IFNA(SUM(FILTER('21 серия'!$B$6:$C$15,'21 серия'!$B$6:$B$15=C47)), )"),0.0)</f>
        <v>0</v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0</v>
      </c>
      <c r="E48" s="28">
        <f t="shared" si="2"/>
        <v>0</v>
      </c>
      <c r="F48" s="29" t="str">
        <f t="shared" si="3"/>
        <v/>
      </c>
      <c r="G48" s="44" t="str">
        <f t="shared" si="4"/>
        <v/>
      </c>
      <c r="H48" s="44">
        <f>SUMIFS('Все игры'!C$3:C1011,'Все игры'!A$3:A1011,C48)</f>
        <v>0</v>
      </c>
      <c r="I48" s="44">
        <f t="shared" si="5"/>
        <v>0</v>
      </c>
      <c r="J48" s="45">
        <f>SUMIFS('Все игры'!F$3:F1011,'Все игры'!A$3:A1011,C48)</f>
        <v>0</v>
      </c>
      <c r="K48" s="46">
        <f>SUMIFS('Все игры'!G$3:G1011,'Все игры'!A$3:A1011,C48)</f>
        <v>0</v>
      </c>
      <c r="L48" s="33">
        <f>'Игроки статистика'!G46</f>
        <v>0</v>
      </c>
      <c r="M48" s="34">
        <f t="shared" si="6"/>
        <v>0</v>
      </c>
      <c r="N48" s="34">
        <f>SUM('Игроки статистика'!O46,'Игроки статистика'!Q46)</f>
        <v>0</v>
      </c>
      <c r="O48" s="35">
        <f>SUM('Игроки статистика'!P46,'Игроки статистика'!R46)</f>
        <v>0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)"),0.0)</f>
        <v>0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серия'!$B$6:$C$15,'9 серия'!$B$6:$B$15=C48)),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)"),0.0)</f>
        <v>0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)"),0.0)</f>
        <v>0</v>
      </c>
      <c r="AN48" s="30" t="str">
        <f>IFERROR(__xludf.DUMMYFUNCTION("IFNA(SUM(FILTER('21 серия'!$B$6:$C$15,'21 серия'!$B$6:$B$15=C48)), )"),"")</f>
        <v/>
      </c>
      <c r="AO48" s="30" t="str">
        <f>IFERROR(__xludf.DUMMYFUNCTION("IFNA(SUM(FILTER('22 серия'!$B$6:$C$15,'22 серия'!$B$6:$B$15=C48)), )"),"")</f>
        <v/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серия'!$B$6:$C$15,'9 серия'!$B$6:$B$15=C49)),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5</v>
      </c>
      <c r="E50" s="28">
        <f t="shared" si="2"/>
        <v>20.75</v>
      </c>
      <c r="F50" s="29">
        <f t="shared" si="3"/>
        <v>20.75</v>
      </c>
      <c r="G50" s="44">
        <f t="shared" si="4"/>
        <v>2.65</v>
      </c>
      <c r="H50" s="44">
        <f>SUMIFS('Все игры'!C$3:C1011,'Все игры'!A$3:A1011,C50)</f>
        <v>7.5</v>
      </c>
      <c r="I50" s="44">
        <f t="shared" si="5"/>
        <v>12.75</v>
      </c>
      <c r="J50" s="45">
        <f>SUMIFS('Все игры'!F$3:F1011,'Все игры'!A$3:A1011,C50)</f>
        <v>0</v>
      </c>
      <c r="K50" s="46">
        <f>SUMIFS('Все игры'!G$3:G1011,'Все игры'!A$3:A1011,C50)</f>
        <v>0.5</v>
      </c>
      <c r="L50" s="33">
        <f>'Игроки статистика'!G48</f>
        <v>1</v>
      </c>
      <c r="M50" s="34">
        <f t="shared" si="6"/>
        <v>3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0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)"),20.75)</f>
        <v>20.75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 t="str">
        <f>IFERROR(__xludf.DUMMYFUNCTION("IFNA(SUM(FILTER('8 серия'!$B$6:$C$15,'8 серия'!$B$6:$B$15=C50)), )"),"")</f>
        <v/>
      </c>
      <c r="AB50" s="30" t="str">
        <f>IFERROR(__xludf.DUMMYFUNCTION("IFNA(SUM(FILTER('9 серия'!$B$6:$C$15,'9 серия'!$B$6:$B$15=C50)), )"),"")</f>
        <v/>
      </c>
      <c r="AC50" s="30">
        <f>IFERROR(__xludf.DUMMYFUNCTION("IFNA(SUM(FILTER('10 серия'!$B$6:$C$15,'10 серия'!$B$6:$B$15=C50)), )"),0.0)</f>
        <v>0</v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)"),0.0)</f>
        <v>0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10</v>
      </c>
      <c r="E51" s="28">
        <f t="shared" si="2"/>
        <v>49.25</v>
      </c>
      <c r="F51" s="29">
        <f t="shared" si="3"/>
        <v>24.625</v>
      </c>
      <c r="G51" s="44">
        <f t="shared" si="4"/>
        <v>3.175</v>
      </c>
      <c r="H51" s="44">
        <f>SUMIFS('Все игры'!C$3:C1011,'Все игры'!A$3:A1011,C51)</f>
        <v>17.5</v>
      </c>
      <c r="I51" s="44">
        <f t="shared" si="5"/>
        <v>31.25</v>
      </c>
      <c r="J51" s="45">
        <f>SUMIFS('Все игры'!F$3:F1011,'Все игры'!A$3:A1011,C51)</f>
        <v>0</v>
      </c>
      <c r="K51" s="46">
        <f>SUMIFS('Все игры'!G$3:G1011,'Все игры'!A$3:A1011,C51)</f>
        <v>0.5</v>
      </c>
      <c r="L51" s="33">
        <f>'Игроки статистика'!G49</f>
        <v>1</v>
      </c>
      <c r="M51" s="34">
        <f t="shared" si="6"/>
        <v>7</v>
      </c>
      <c r="N51" s="34">
        <f>SUM('Игроки статистика'!O49,'Игроки статистика'!Q49)</f>
        <v>3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"),22.75)</f>
        <v>22.75</v>
      </c>
      <c r="W51" s="30">
        <f>IFERROR(__xludf.DUMMYFUNCTION("IFNA(SUM(FILTER('4 серия'!$B$6:$C$15,'4 серия'!$B$6:$B$15=C51)), )"),26.5)</f>
        <v>26.5</v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)"),0.0)</f>
        <v>0</v>
      </c>
      <c r="AA51" s="30" t="str">
        <f>IFERROR(__xludf.DUMMYFUNCTION("IFNA(SUM(FILTER('8 серия'!$B$6:$C$15,'8 серия'!$B$6:$B$15=C51)), )"),"")</f>
        <v/>
      </c>
      <c r="AB51" s="30">
        <f>IFERROR(__xludf.DUMMYFUNCTION("IFNA(SUM(FILTER('9 серия'!$B$6:$C$15,'9 серия'!$B$6:$B$15=C51)), )"),0.0)</f>
        <v>0</v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>
        <f>IFERROR(__xludf.DUMMYFUNCTION("IFNA(SUM(FILTER('15 серия'!$B$6:$C$15,'15 серия'!$B$6:$B$15=C51)), )"),0.0)</f>
        <v>0</v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10</v>
      </c>
      <c r="E52" s="28">
        <f t="shared" si="2"/>
        <v>46.25</v>
      </c>
      <c r="F52" s="29">
        <f t="shared" si="3"/>
        <v>23.125</v>
      </c>
      <c r="G52" s="44">
        <f t="shared" si="4"/>
        <v>2.875</v>
      </c>
      <c r="H52" s="44">
        <f>SUMIFS('Все игры'!C$3:C1011,'Все игры'!A$3:A1011,C52)</f>
        <v>17.5</v>
      </c>
      <c r="I52" s="44">
        <f t="shared" si="5"/>
        <v>28.75</v>
      </c>
      <c r="J52" s="45">
        <f>SUMIFS('Все игры'!F$3:F1011,'Все игры'!A$3:A1011,C52)</f>
        <v>0</v>
      </c>
      <c r="K52" s="46">
        <f>SUMIFS('Все игры'!G$3:G1011,'Все игры'!A$3:A1011,C52)</f>
        <v>0</v>
      </c>
      <c r="L52" s="33">
        <f>'Игроки статистика'!G50</f>
        <v>0</v>
      </c>
      <c r="M52" s="34">
        <f t="shared" si="6"/>
        <v>7</v>
      </c>
      <c r="N52" s="34">
        <f>SUM('Игроки статистика'!O50,'Игроки статистика'!Q50)</f>
        <v>3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)"),17.5)</f>
        <v>17.5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серия'!$B$6:$C$15,'9 серия'!$B$6:$B$15=C52)),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)"),0.0)</f>
        <v>0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0</v>
      </c>
      <c r="E53" s="28">
        <f t="shared" si="2"/>
        <v>0</v>
      </c>
      <c r="F53" s="29" t="str">
        <f t="shared" si="3"/>
        <v/>
      </c>
      <c r="G53" s="44" t="str">
        <f t="shared" si="4"/>
        <v/>
      </c>
      <c r="H53" s="44">
        <f>SUMIFS('Все игры'!C$3:C1011,'Все игры'!A$3:A1011,C53)</f>
        <v>0</v>
      </c>
      <c r="I53" s="44">
        <f t="shared" si="5"/>
        <v>0</v>
      </c>
      <c r="J53" s="45">
        <f>SUMIFS('Все игры'!F$3:F1011,'Все игры'!A$3:A1011,C53)</f>
        <v>0</v>
      </c>
      <c r="K53" s="46">
        <f>SUMIFS('Все игры'!G$3:G1011,'Все игры'!A$3:A1011,C53)</f>
        <v>0</v>
      </c>
      <c r="L53" s="33">
        <f>'Игроки статистика'!G51</f>
        <v>0</v>
      </c>
      <c r="M53" s="34">
        <f t="shared" si="6"/>
        <v>0</v>
      </c>
      <c r="N53" s="34">
        <f>SUM('Игроки статистика'!O51,'Игроки статистика'!Q51)</f>
        <v>0</v>
      </c>
      <c r="O53" s="35">
        <f>SUM('Игроки статистика'!P51,'Игроки статистика'!R51)</f>
        <v>0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серия'!$B$6:$C$15,'9 серия'!$B$6:$B$15=C53)), )"),"")</f>
        <v/>
      </c>
      <c r="AC53" s="30" t="str">
        <f>IFERROR(__xludf.DUMMYFUNCTION("IFNA(SUM(FILTER('10 серия'!$B$6:$C$15,'10 серия'!$B$6:$B$15=C53)), )"),"")</f>
        <v/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)"),0.0)</f>
        <v>0</v>
      </c>
      <c r="AF53" s="30">
        <f>IFERROR(__xludf.DUMMYFUNCTION("IFNA(SUM(FILTER('13 серия'!$B$6:$C$15,'13 серия'!$B$6:$B$15=C53)), )"),0.0)</f>
        <v>0</v>
      </c>
      <c r="AG53" s="30">
        <f>IFERROR(__xludf.DUMMYFUNCTION("IFNA(SUM(FILTER('14 серия'!$B$6:$C$15,'14 серия'!$B$6:$B$15=C53)), )"),0.0)</f>
        <v>0</v>
      </c>
      <c r="AH53" s="30" t="str">
        <f>IFERROR(__xludf.DUMMYFUNCTION("IFNA(SUM(FILTER('15 серия'!$B$6:$C$15,'15 серия'!$B$6:$B$15=C53)), )"),"")</f>
        <v/>
      </c>
      <c r="AI53" s="30">
        <f>IFERROR(__xludf.DUMMYFUNCTION("IFNA(SUM(FILTER('16 серия'!$B$6:$C$15,'16 серия'!$B$6:$B$15=C53)), )"),0.0)</f>
        <v>0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)"),0.0)</f>
        <v>0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5</v>
      </c>
      <c r="E54" s="28">
        <f t="shared" si="2"/>
        <v>18.5</v>
      </c>
      <c r="F54" s="29">
        <f t="shared" si="3"/>
        <v>18.5</v>
      </c>
      <c r="G54" s="44">
        <f t="shared" si="4"/>
        <v>2.7</v>
      </c>
      <c r="H54" s="44">
        <f>SUMIFS('Все игры'!C$3:C1011,'Все игры'!A$3:A1011,C54)</f>
        <v>5</v>
      </c>
      <c r="I54" s="44">
        <f t="shared" si="5"/>
        <v>13.5</v>
      </c>
      <c r="J54" s="45">
        <f>SUMIFS('Все игры'!F$3:F1011,'Все игры'!A$3:A1011,C54)</f>
        <v>0</v>
      </c>
      <c r="K54" s="46">
        <f>SUMIFS('Все игры'!G$3:G1011,'Все игры'!A$3:A1011,C54)</f>
        <v>0</v>
      </c>
      <c r="L54" s="33">
        <f>'Игроки статистика'!G52</f>
        <v>0</v>
      </c>
      <c r="M54" s="34">
        <f t="shared" si="6"/>
        <v>2</v>
      </c>
      <c r="N54" s="34">
        <f>SUM('Игроки статистика'!O52,'Игроки статистика'!Q52)</f>
        <v>1</v>
      </c>
      <c r="O54" s="35">
        <f>SUM('Игроки статистика'!P52,'Игроки статистика'!R52)</f>
        <v>1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"),18.5)</f>
        <v>18.5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серия'!$B$6:$C$15,'9 серия'!$B$6:$B$15=C54)), )"),0.0)</f>
        <v>0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)"),0.0)</f>
        <v>0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)"),0.0)</f>
        <v>0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5</v>
      </c>
      <c r="E55" s="28">
        <f t="shared" si="2"/>
        <v>21</v>
      </c>
      <c r="F55" s="29">
        <f t="shared" si="3"/>
        <v>21</v>
      </c>
      <c r="G55" s="44">
        <f t="shared" si="4"/>
        <v>2.7</v>
      </c>
      <c r="H55" s="44">
        <f>SUMIFS('Все игры'!C$3:C1011,'Все игры'!A$3:A1011,C55)</f>
        <v>7.5</v>
      </c>
      <c r="I55" s="44">
        <f t="shared" si="5"/>
        <v>13</v>
      </c>
      <c r="J55" s="45">
        <f>SUMIFS('Все игры'!F$3:F1011,'Все игры'!A$3:A1011,C55)</f>
        <v>0</v>
      </c>
      <c r="K55" s="46">
        <f>SUMIFS('Все игры'!G$3:G1011,'Все игры'!A$3:A1011,C55)</f>
        <v>0.5</v>
      </c>
      <c r="L55" s="33">
        <f>'Игроки статистика'!G53</f>
        <v>1</v>
      </c>
      <c r="M55" s="34">
        <f t="shared" si="6"/>
        <v>3</v>
      </c>
      <c r="N55" s="34">
        <f>SUM('Игроки статистика'!O53,'Игроки статистика'!Q53)</f>
        <v>0</v>
      </c>
      <c r="O55" s="35">
        <f>SUM('Игроки статистика'!P53,'Игроки статистика'!R53)</f>
        <v>1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серия'!$B$6:$C$15,'9 серия'!$B$6:$B$15=C55)), )"),0.0)</f>
        <v>0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)"),0.0)</f>
        <v>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0</v>
      </c>
      <c r="E56" s="28">
        <f t="shared" si="2"/>
        <v>0</v>
      </c>
      <c r="F56" s="29" t="str">
        <f t="shared" si="3"/>
        <v/>
      </c>
      <c r="G56" s="44" t="str">
        <f t="shared" si="4"/>
        <v/>
      </c>
      <c r="H56" s="44">
        <f>SUMIFS('Все игры'!C$3:C1011,'Все игры'!A$3:A1011,C56)</f>
        <v>0</v>
      </c>
      <c r="I56" s="44">
        <f t="shared" si="5"/>
        <v>0</v>
      </c>
      <c r="J56" s="45">
        <f>SUMIFS('Все игры'!F$3:F1011,'Все игры'!A$3:A1011,C56)</f>
        <v>0</v>
      </c>
      <c r="K56" s="46">
        <f>SUMIFS('Все игры'!G$3:G1011,'Все игры'!A$3:A1011,C56)</f>
        <v>0</v>
      </c>
      <c r="L56" s="33">
        <f>'Игроки статистика'!G54</f>
        <v>0</v>
      </c>
      <c r="M56" s="34">
        <f t="shared" si="6"/>
        <v>0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0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)"),0.0)</f>
        <v>0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серия'!$B$6:$C$15,'9 серия'!$B$6:$B$15=C56)),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)"),0.0)</f>
        <v>0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)"),0.0)</f>
        <v>0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)"),0.0)</f>
        <v>0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0</v>
      </c>
      <c r="E57" s="28">
        <f t="shared" si="2"/>
        <v>0</v>
      </c>
      <c r="F57" s="29" t="str">
        <f t="shared" si="3"/>
        <v/>
      </c>
      <c r="G57" s="44" t="str">
        <f t="shared" si="4"/>
        <v/>
      </c>
      <c r="H57" s="44">
        <f>SUMIFS('Все игры'!C$3:C1011,'Все игры'!A$3:A1011,C57)</f>
        <v>0</v>
      </c>
      <c r="I57" s="44">
        <f t="shared" si="5"/>
        <v>0</v>
      </c>
      <c r="J57" s="45">
        <f>SUMIFS('Все игры'!F$3:F1011,'Все игры'!A$3:A1011,C57)</f>
        <v>0</v>
      </c>
      <c r="K57" s="46">
        <f>SUMIFS('Все игры'!G$3:G1011,'Все игры'!A$3:A1011,C57)</f>
        <v>0</v>
      </c>
      <c r="L57" s="33">
        <f>'Игроки статистика'!G55</f>
        <v>0</v>
      </c>
      <c r="M57" s="34">
        <f t="shared" si="6"/>
        <v>0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0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 t="str">
        <f>IFERROR(__xludf.DUMMYFUNCTION("IFNA(SUM(FILTER('3 серия'!$B$6:$C$15,'3 серия'!$B$6:$B$15=C57)), )
"),"")</f>
        <v/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серия'!$B$6:$C$15,'9 серия'!$B$6:$B$15=C57)), )"),0.0)</f>
        <v>0</v>
      </c>
      <c r="AC57" s="30" t="str">
        <f>IFERROR(__xludf.DUMMYFUNCTION("IFNA(SUM(FILTER('10 серия'!$B$6:$C$15,'10 серия'!$B$6:$B$15=C57)), )"),"")</f>
        <v/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)"),0.0)</f>
        <v>0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>
        <f>IFERROR(__xludf.DUMMYFUNCTION("IFNA(SUM(FILTER('22 серия'!$B$6:$C$15,'22 серия'!$B$6:$B$15=C57)), )"),0.0)</f>
        <v>0</v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0</v>
      </c>
      <c r="E58" s="28">
        <f t="shared" si="2"/>
        <v>0</v>
      </c>
      <c r="F58" s="29" t="str">
        <f t="shared" si="3"/>
        <v/>
      </c>
      <c r="G58" s="44" t="str">
        <f t="shared" si="4"/>
        <v/>
      </c>
      <c r="H58" s="44">
        <f>SUMIFS('Все игры'!C$3:C1011,'Все игры'!A$3:A1011,C58)</f>
        <v>0</v>
      </c>
      <c r="I58" s="44">
        <f t="shared" si="5"/>
        <v>0</v>
      </c>
      <c r="J58" s="45">
        <f>SUMIFS('Все игры'!F$3:F1011,'Все игры'!A$3:A1011,C58)</f>
        <v>0</v>
      </c>
      <c r="K58" s="46">
        <f>SUMIFS('Все игры'!G$3:G1011,'Все игры'!A$3:A1011,C58)</f>
        <v>0</v>
      </c>
      <c r="L58" s="33">
        <f>'Игроки статистика'!G56</f>
        <v>0</v>
      </c>
      <c r="M58" s="34">
        <f t="shared" si="6"/>
        <v>0</v>
      </c>
      <c r="N58" s="34">
        <f>SUM('Игроки статистика'!O56,'Игроки статистика'!Q56)</f>
        <v>0</v>
      </c>
      <c r="O58" s="35">
        <f>SUM('Игроки статистика'!P56,'Игроки статистика'!R56)</f>
        <v>0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серия'!$B$6:$C$15,'9 серия'!$B$6:$B$15=C58)),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)"),0.0)</f>
        <v>0</v>
      </c>
      <c r="AN58" s="30">
        <f>IFERROR(__xludf.DUMMYFUNCTION("IFNA(SUM(FILTER('21 серия'!$B$6:$C$15,'21 серия'!$B$6:$B$15=C58)), )"),0.0)</f>
        <v>0</v>
      </c>
      <c r="AO58" s="30">
        <f>IFERROR(__xludf.DUMMYFUNCTION("IFNA(SUM(FILTER('22 серия'!$B$6:$C$15,'22 серия'!$B$6:$B$15=C58)), )"),0.0)</f>
        <v>0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20</v>
      </c>
      <c r="E59" s="28">
        <f t="shared" si="2"/>
        <v>72.25</v>
      </c>
      <c r="F59" s="29">
        <f t="shared" si="3"/>
        <v>18.0625</v>
      </c>
      <c r="G59" s="44">
        <f t="shared" si="4"/>
        <v>2.7375</v>
      </c>
      <c r="H59" s="44">
        <f>SUMIFS('Все игры'!C$3:C1011,'Все игры'!A$3:A1011,C59)</f>
        <v>17.5</v>
      </c>
      <c r="I59" s="44">
        <f t="shared" si="5"/>
        <v>53.25</v>
      </c>
      <c r="J59" s="45">
        <f>SUMIFS('Все игры'!F$3:F1011,'Все игры'!A$3:A1011,C59)</f>
        <v>0.5</v>
      </c>
      <c r="K59" s="46">
        <f>SUMIFS('Все игры'!G$3:G1011,'Все игры'!A$3:A1011,C59)</f>
        <v>1</v>
      </c>
      <c r="L59" s="33">
        <f>'Игроки статистика'!G57</f>
        <v>2</v>
      </c>
      <c r="M59" s="34">
        <f t="shared" si="6"/>
        <v>7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1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"),15.0)</f>
        <v>15</v>
      </c>
      <c r="W59" s="30">
        <f>IFERROR(__xludf.DUMMYFUNCTION("IFNA(SUM(FILTER('4 серия'!$B$6:$C$15,'4 серия'!$B$6:$B$15=C59)), )"),23.25)</f>
        <v>23.25</v>
      </c>
      <c r="X59" s="30">
        <f>IFERROR(__xludf.DUMMYFUNCTION("IFNA(SUM(FILTER('5 серия'!$B$6:$C$15,'5 серия'!$B$6:$B$15=C59)), )"),17.0)</f>
        <v>17</v>
      </c>
      <c r="Y59" s="30">
        <f>IFERROR(__xludf.DUMMYFUNCTION("IFNA(SUM(FILTER('6 серия'!$B$6:$C$15,'6 серия'!$B$6:$B$15=C59)), )"),17.0)</f>
        <v>17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серия'!$B$6:$C$15,'9 серия'!$B$6:$B$15=C59)),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5</v>
      </c>
      <c r="E60" s="28">
        <f t="shared" si="2"/>
        <v>22.25</v>
      </c>
      <c r="F60" s="29">
        <f t="shared" si="3"/>
        <v>22.25</v>
      </c>
      <c r="G60" s="44">
        <f t="shared" si="4"/>
        <v>2.95</v>
      </c>
      <c r="H60" s="44">
        <f>SUMIFS('Все игры'!C$3:C1011,'Все игры'!A$3:A1011,C60)</f>
        <v>7.5</v>
      </c>
      <c r="I60" s="44">
        <f t="shared" si="5"/>
        <v>14.75</v>
      </c>
      <c r="J60" s="45">
        <f>SUMIFS('Все игры'!F$3:F1011,'Все игры'!A$3:A1011,C60)</f>
        <v>0</v>
      </c>
      <c r="K60" s="46">
        <f>SUMIFS('Все игры'!G$3:G1011,'Все игры'!A$3:A1011,C60)</f>
        <v>0</v>
      </c>
      <c r="L60" s="33">
        <f>'Игроки статистика'!G58</f>
        <v>0</v>
      </c>
      <c r="M60" s="34">
        <f t="shared" si="6"/>
        <v>3</v>
      </c>
      <c r="N60" s="34">
        <f>SUM('Игроки статистика'!O58,'Игроки статистика'!Q58)</f>
        <v>1</v>
      </c>
      <c r="O60" s="35">
        <f>SUM('Игроки статистика'!P58,'Игроки статистика'!R58)</f>
        <v>1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"),22.25)</f>
        <v>22.25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серия'!$B$6:$C$15,'9 серия'!$B$6:$B$15=C60)), )"),0.0)</f>
        <v>0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)"),0.0)</f>
        <v>0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10</v>
      </c>
      <c r="E61" s="28">
        <f t="shared" si="2"/>
        <v>32.5</v>
      </c>
      <c r="F61" s="29">
        <f t="shared" si="3"/>
        <v>16.25</v>
      </c>
      <c r="G61" s="44">
        <f t="shared" si="4"/>
        <v>2.75</v>
      </c>
      <c r="H61" s="44">
        <f>SUMIFS('Все игры'!C$3:C1011,'Все игры'!A$3:A1011,C61)</f>
        <v>5</v>
      </c>
      <c r="I61" s="44">
        <f t="shared" si="5"/>
        <v>27</v>
      </c>
      <c r="J61" s="45">
        <f>SUMIFS('Все игры'!F$3:F1011,'Все игры'!A$3:A1011,C61)</f>
        <v>0</v>
      </c>
      <c r="K61" s="46">
        <f>SUMIFS('Все игры'!G$3:G1011,'Все игры'!A$3:A1011,C61)</f>
        <v>0.5</v>
      </c>
      <c r="L61" s="33">
        <f>'Игроки статистика'!G59</f>
        <v>1</v>
      </c>
      <c r="M61" s="34">
        <f t="shared" si="6"/>
        <v>2</v>
      </c>
      <c r="N61" s="34">
        <f>SUM('Игроки статистика'!O59,'Игроки статистика'!Q59)</f>
        <v>1</v>
      </c>
      <c r="O61" s="35">
        <f>SUM('Игроки статистика'!P59,'Игроки статистика'!R59)</f>
        <v>1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)"),16.5)</f>
        <v>16.5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)"),16.0)</f>
        <v>16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серия'!$B$6:$C$15,'9 серия'!$B$6:$B$15=C61)),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 t="str">
        <f>IFERROR(__xludf.DUMMYFUNCTION("IFNA(SUM(FILTER('16 серия'!$B$6:$C$15,'16 серия'!$B$6:$B$15=C61)), )"),"")</f>
        <v/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)"),0.0)</f>
        <v>0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>
        <f>IFERROR(__xludf.DUMMYFUNCTION("IFNA(SUM(FILTER('21 серия'!$B$6:$C$15,'21 серия'!$B$6:$B$15=C61)), )"),0.0)</f>
        <v>0</v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0</v>
      </c>
      <c r="E62" s="28">
        <f t="shared" si="2"/>
        <v>0</v>
      </c>
      <c r="F62" s="29" t="str">
        <f t="shared" si="3"/>
        <v/>
      </c>
      <c r="G62" s="44" t="str">
        <f t="shared" si="4"/>
        <v/>
      </c>
      <c r="H62" s="44">
        <f>SUMIFS('Все игры'!C$3:C1011,'Все игры'!A$3:A1011,C62)</f>
        <v>0</v>
      </c>
      <c r="I62" s="44">
        <f t="shared" si="5"/>
        <v>0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0</v>
      </c>
      <c r="N62" s="34">
        <f>SUM('Игроки статистика'!O60,'Игроки статистика'!Q60)</f>
        <v>0</v>
      </c>
      <c r="O62" s="35">
        <f>SUM('Игроки статистика'!P60,'Игроки статистика'!R60)</f>
        <v>0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серия'!$B$6:$C$15,'9 серия'!$B$6:$B$15=C62)),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)"),0.0)</f>
        <v>0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)"),0.0)</f>
        <v>0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10</v>
      </c>
      <c r="E63" s="28">
        <f t="shared" si="2"/>
        <v>37</v>
      </c>
      <c r="F63" s="29">
        <f t="shared" si="3"/>
        <v>18.5</v>
      </c>
      <c r="G63" s="44">
        <f t="shared" si="4"/>
        <v>2.45</v>
      </c>
      <c r="H63" s="44">
        <f>SUMIFS('Все игры'!C$3:C1011,'Все игры'!A$3:A1011,C63)</f>
        <v>12.5</v>
      </c>
      <c r="I63" s="44">
        <f t="shared" si="5"/>
        <v>24.5</v>
      </c>
      <c r="J63" s="45">
        <f>SUMIFS('Все игры'!F$3:F1011,'Все игры'!A$3:A1011,C63)</f>
        <v>0</v>
      </c>
      <c r="K63" s="46">
        <f>SUMIFS('Все игры'!G$3:G1011,'Все игры'!A$3:A1011,C63)</f>
        <v>0</v>
      </c>
      <c r="L63" s="33">
        <f>'Игроки статистика'!G61</f>
        <v>0</v>
      </c>
      <c r="M63" s="34">
        <f t="shared" si="6"/>
        <v>5</v>
      </c>
      <c r="N63" s="34">
        <f>SUM('Игроки статистика'!O61,'Игроки статистика'!Q61)</f>
        <v>0</v>
      </c>
      <c r="O63" s="35">
        <f>SUM('Игроки статистика'!P61,'Игроки статистика'!R61)</f>
        <v>0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)"),19.0)</f>
        <v>19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серия'!$B$6:$C$15,'9 серия'!$B$6:$B$15=C63)),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)"),0.0)</f>
        <v>0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5</v>
      </c>
      <c r="E64" s="28">
        <f t="shared" si="2"/>
        <v>14.5</v>
      </c>
      <c r="F64" s="29">
        <f t="shared" si="3"/>
        <v>14.5</v>
      </c>
      <c r="G64" s="44">
        <f t="shared" si="4"/>
        <v>2.4</v>
      </c>
      <c r="H64" s="44">
        <f>SUMIFS('Все игры'!C$3:C1011,'Все игры'!A$3:A1011,C64)</f>
        <v>2.5</v>
      </c>
      <c r="I64" s="44">
        <f t="shared" si="5"/>
        <v>12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1</v>
      </c>
      <c r="N64" s="34">
        <f>SUM('Игроки статистика'!O62,'Игроки статистика'!Q62)</f>
        <v>1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"),14.5)</f>
        <v>14.5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серия'!$B$6:$C$15,'9 серия'!$B$6:$B$15=C64)), )"),"")</f>
        <v/>
      </c>
      <c r="AC64" s="30">
        <f>IFERROR(__xludf.DUMMYFUNCTION("IFNA(SUM(FILTER('10 серия'!$B$6:$C$15,'10 серия'!$B$6:$B$15=C64)), )"),0.0)</f>
        <v>0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)"),0.0)</f>
        <v>0</v>
      </c>
      <c r="AH64" s="30">
        <f>IFERROR(__xludf.DUMMYFUNCTION("IFNA(SUM(FILTER('15 серия'!$B$6:$C$15,'15 серия'!$B$6:$B$15=C64)), )"),0.0)</f>
        <v>0</v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10</v>
      </c>
      <c r="E65" s="28">
        <f t="shared" si="2"/>
        <v>33.5</v>
      </c>
      <c r="F65" s="29">
        <f t="shared" si="3"/>
        <v>16.75</v>
      </c>
      <c r="G65" s="44">
        <f t="shared" si="4"/>
        <v>2.6</v>
      </c>
      <c r="H65" s="44">
        <f>SUMIFS('Все игры'!C$3:C1011,'Все игры'!A$3:A1011,C65)</f>
        <v>7.5</v>
      </c>
      <c r="I65" s="44">
        <f t="shared" si="5"/>
        <v>26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3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2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>
        <f>IFERROR(__xludf.DUMMYFUNCTION("IFNA(SUM(FILTER('3 серия'!$B$6:$C$15,'3 серия'!$B$6:$B$15=C65)), )
"),17.5)</f>
        <v>17.5</v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серия'!$B$6:$C$15,'9 серия'!$B$6:$B$15=C65)), )"),"")</f>
        <v/>
      </c>
      <c r="AC65" s="30">
        <f>IFERROR(__xludf.DUMMYFUNCTION("IFNA(SUM(FILTER('10 серия'!$B$6:$C$15,'10 серия'!$B$6:$B$15=C65)), )"),0.0)</f>
        <v>0</v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)"),0.0)</f>
        <v>0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)"),0.0)</f>
        <v>0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5</v>
      </c>
      <c r="E66" s="28">
        <f t="shared" si="2"/>
        <v>26</v>
      </c>
      <c r="F66" s="29">
        <f t="shared" si="3"/>
        <v>26</v>
      </c>
      <c r="G66" s="53">
        <f t="shared" si="4"/>
        <v>3.2</v>
      </c>
      <c r="H66" s="53">
        <f>SUMIFS('Все игры'!C$3:C1011,'Все игры'!A$3:A1011,C66)</f>
        <v>10</v>
      </c>
      <c r="I66" s="53">
        <f t="shared" si="5"/>
        <v>16</v>
      </c>
      <c r="J66" s="54">
        <f>SUMIFS('Все игры'!F$3:F1011,'Все игры'!A$3:A1011,C66)</f>
        <v>0</v>
      </c>
      <c r="K66" s="55">
        <f>SUMIFS('Все игры'!G$3:G1011,'Все игры'!A$3:A1011,C66)</f>
        <v>0</v>
      </c>
      <c r="L66" s="33">
        <f>'Игроки статистика'!G64</f>
        <v>0</v>
      </c>
      <c r="M66" s="34">
        <f t="shared" si="6"/>
        <v>4</v>
      </c>
      <c r="N66" s="34">
        <f>SUM('Игроки статистика'!O64,'Игроки статистика'!Q64)</f>
        <v>0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)"),0.0)</f>
        <v>0</v>
      </c>
      <c r="AB66" s="30" t="str">
        <f>IFERROR(__xludf.DUMMYFUNCTION("IFNA(SUM(FILTER('9 серия'!$B$6:$C$15,'9 серия'!$B$6:$B$15=C66)),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)"),0.0)</f>
        <v>0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)"),0.0)</f>
        <v>0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)"),0.0)</f>
        <v>0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22.75</v>
      </c>
      <c r="I4" s="73"/>
      <c r="J4" s="71" t="s">
        <v>141</v>
      </c>
      <c r="M4" s="74">
        <f>'Турнирная таблица по среднему б'!M4</f>
        <v>20.625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182.25</v>
      </c>
      <c r="I5" s="79"/>
      <c r="J5" s="80" t="s">
        <v>143</v>
      </c>
      <c r="K5" s="77"/>
      <c r="L5" s="81"/>
      <c r="M5" s="82">
        <f>'Турнирная таблица по среднему б'!M5</f>
        <v>165.25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MSR</v>
      </c>
      <c r="D9" s="97">
        <v>20.0</v>
      </c>
      <c r="E9" s="98">
        <v>72.25</v>
      </c>
      <c r="F9" s="99">
        <v>18.0625</v>
      </c>
      <c r="G9" s="100">
        <v>2.7375</v>
      </c>
      <c r="H9" s="99">
        <v>17.5</v>
      </c>
      <c r="I9" s="101">
        <v>53.25</v>
      </c>
      <c r="J9" s="102">
        <v>0.5</v>
      </c>
      <c r="K9" s="103">
        <v>1.0</v>
      </c>
      <c r="L9" s="104">
        <v>2.0</v>
      </c>
      <c r="M9" s="105">
        <v>7.0</v>
      </c>
      <c r="N9" s="105">
        <v>0.0</v>
      </c>
      <c r="O9" s="106">
        <v>1.0</v>
      </c>
      <c r="P9" s="107"/>
      <c r="Q9" s="108"/>
      <c r="R9" s="108"/>
      <c r="S9" s="109"/>
      <c r="T9" s="110"/>
      <c r="U9" s="111"/>
      <c r="V9" s="111">
        <v>15.0</v>
      </c>
      <c r="W9" s="112">
        <v>23.25</v>
      </c>
      <c r="X9" s="112">
        <v>17.0</v>
      </c>
      <c r="Y9" s="112">
        <v>17.0</v>
      </c>
      <c r="Z9" s="111"/>
      <c r="AA9" s="112"/>
      <c r="AB9" s="111"/>
      <c r="AC9" s="111"/>
      <c r="AD9" s="112"/>
      <c r="AE9" s="112"/>
      <c r="AF9" s="112"/>
      <c r="AG9" s="111"/>
      <c r="AH9" s="112"/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/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>
        <v>0.0</v>
      </c>
      <c r="BJ9" s="114">
        <v>0.0</v>
      </c>
      <c r="BK9" s="114">
        <v>0.0</v>
      </c>
      <c r="BL9" s="115">
        <v>0.0</v>
      </c>
      <c r="BM9" s="115"/>
      <c r="BN9" s="115"/>
      <c r="BO9" s="115"/>
      <c r="BP9" s="116"/>
      <c r="BQ9" s="116"/>
      <c r="BR9" s="116"/>
      <c r="BS9" s="116"/>
      <c r="BT9" s="116">
        <v>0.0</v>
      </c>
      <c r="BU9" s="116">
        <v>0.0</v>
      </c>
      <c r="BV9" s="116"/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116</v>
      </c>
      <c r="D10" s="119">
        <v>10.0</v>
      </c>
      <c r="E10" s="120">
        <v>52.75</v>
      </c>
      <c r="F10" s="121">
        <v>26.375</v>
      </c>
      <c r="G10" s="122">
        <v>3.275</v>
      </c>
      <c r="H10" s="121">
        <v>20.0</v>
      </c>
      <c r="I10" s="123">
        <v>31.75</v>
      </c>
      <c r="J10" s="124">
        <v>0.5</v>
      </c>
      <c r="K10" s="125">
        <v>0.5</v>
      </c>
      <c r="L10" s="126">
        <v>1.0</v>
      </c>
      <c r="M10" s="127">
        <v>8.0</v>
      </c>
      <c r="N10" s="127">
        <v>1.0</v>
      </c>
      <c r="O10" s="128">
        <v>0.0</v>
      </c>
      <c r="P10" s="129"/>
      <c r="Q10" s="130"/>
      <c r="R10" s="130"/>
      <c r="S10" s="131"/>
      <c r="T10" s="132"/>
      <c r="U10" s="133">
        <v>23.75</v>
      </c>
      <c r="V10" s="133"/>
      <c r="W10" s="133"/>
      <c r="X10" s="134"/>
      <c r="Y10" s="133">
        <v>29.0</v>
      </c>
      <c r="Z10" s="133"/>
      <c r="AA10" s="133">
        <v>0.0</v>
      </c>
      <c r="AB10" s="133"/>
      <c r="AC10" s="134"/>
      <c r="AD10" s="133"/>
      <c r="AE10" s="133">
        <v>0.0</v>
      </c>
      <c r="AF10" s="133"/>
      <c r="AG10" s="133"/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/>
      <c r="AU10" s="133">
        <v>0.0</v>
      </c>
      <c r="AV10" s="133"/>
      <c r="AW10" s="133"/>
      <c r="AX10" s="133"/>
      <c r="AY10" s="133"/>
      <c r="AZ10" s="135"/>
      <c r="BA10" s="135"/>
      <c r="BB10" s="135"/>
      <c r="BC10" s="135"/>
      <c r="BD10" s="135"/>
      <c r="BE10" s="123">
        <v>0.0</v>
      </c>
      <c r="BF10" s="123"/>
      <c r="BG10" s="123"/>
      <c r="BH10" s="123">
        <v>0.0</v>
      </c>
      <c r="BI10" s="123"/>
      <c r="BJ10" s="123"/>
      <c r="BK10" s="123"/>
      <c r="BL10" s="123"/>
      <c r="BM10" s="123"/>
      <c r="BN10" s="123"/>
      <c r="BO10" s="123"/>
      <c r="BP10" s="116"/>
      <c r="BQ10" s="116"/>
      <c r="BR10" s="116"/>
      <c r="BS10" s="116">
        <v>0.0</v>
      </c>
      <c r="BT10" s="116"/>
      <c r="BU10" s="116"/>
      <c r="BV10" s="116"/>
      <c r="BW10" s="116"/>
      <c r="BX10" s="116">
        <v>0.0</v>
      </c>
      <c r="BY10" s="116">
        <v>0.0</v>
      </c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123</v>
      </c>
      <c r="D11" s="137">
        <v>10.0</v>
      </c>
      <c r="E11" s="138">
        <v>49.25</v>
      </c>
      <c r="F11" s="139">
        <v>24.625</v>
      </c>
      <c r="G11" s="140">
        <v>3.175</v>
      </c>
      <c r="H11" s="139">
        <v>17.5</v>
      </c>
      <c r="I11" s="141">
        <v>31.25</v>
      </c>
      <c r="J11" s="142">
        <v>0.0</v>
      </c>
      <c r="K11" s="143">
        <v>0.5</v>
      </c>
      <c r="L11" s="144">
        <v>1.0</v>
      </c>
      <c r="M11" s="145">
        <v>7.0</v>
      </c>
      <c r="N11" s="145">
        <v>3.0</v>
      </c>
      <c r="O11" s="146">
        <v>0.0</v>
      </c>
      <c r="P11" s="147"/>
      <c r="Q11" s="148"/>
      <c r="R11" s="148"/>
      <c r="S11" s="149"/>
      <c r="T11" s="150"/>
      <c r="U11" s="151"/>
      <c r="V11" s="151">
        <v>22.75</v>
      </c>
      <c r="W11" s="151">
        <v>26.5</v>
      </c>
      <c r="X11" s="151"/>
      <c r="Y11" s="151"/>
      <c r="Z11" s="152">
        <v>0.0</v>
      </c>
      <c r="AA11" s="152"/>
      <c r="AB11" s="151">
        <v>0.0</v>
      </c>
      <c r="AC11" s="151"/>
      <c r="AD11" s="151"/>
      <c r="AE11" s="151"/>
      <c r="AF11" s="151"/>
      <c r="AG11" s="151"/>
      <c r="AH11" s="151">
        <v>0.0</v>
      </c>
      <c r="AI11" s="151"/>
      <c r="AJ11" s="151"/>
      <c r="AK11" s="152"/>
      <c r="AL11" s="152"/>
      <c r="AM11" s="151"/>
      <c r="AN11" s="151"/>
      <c r="AO11" s="151"/>
      <c r="AP11" s="151"/>
      <c r="AQ11" s="151"/>
      <c r="AR11" s="151"/>
      <c r="AS11" s="151"/>
      <c r="AT11" s="151">
        <v>0.0</v>
      </c>
      <c r="AU11" s="152"/>
      <c r="AV11" s="152"/>
      <c r="AW11" s="151"/>
      <c r="AX11" s="151"/>
      <c r="AY11" s="151">
        <v>0.0</v>
      </c>
      <c r="AZ11" s="153"/>
      <c r="BA11" s="153"/>
      <c r="BB11" s="153"/>
      <c r="BC11" s="153"/>
      <c r="BD11" s="153">
        <v>0.0</v>
      </c>
      <c r="BE11" s="141"/>
      <c r="BF11" s="141"/>
      <c r="BG11" s="141">
        <v>0.0</v>
      </c>
      <c r="BH11" s="141"/>
      <c r="BI11" s="141"/>
      <c r="BJ11" s="141"/>
      <c r="BK11" s="141"/>
      <c r="BL11" s="141"/>
      <c r="BM11" s="141"/>
      <c r="BN11" s="141">
        <v>0.0</v>
      </c>
      <c r="BO11" s="141"/>
      <c r="BP11" s="116"/>
      <c r="BQ11" s="116"/>
      <c r="BR11" s="116"/>
      <c r="BS11" s="116"/>
      <c r="BT11" s="116"/>
      <c r="BU11" s="116"/>
      <c r="BV11" s="116"/>
      <c r="BW11" s="116"/>
      <c r="BX11" s="116">
        <v>0.0</v>
      </c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85</v>
      </c>
      <c r="D12" s="119">
        <v>15.0</v>
      </c>
      <c r="E12" s="120">
        <v>46.5</v>
      </c>
      <c r="F12" s="121">
        <v>15.5</v>
      </c>
      <c r="G12" s="122">
        <v>2.433333333333333</v>
      </c>
      <c r="H12" s="121">
        <v>10.0</v>
      </c>
      <c r="I12" s="123">
        <v>36.5</v>
      </c>
      <c r="J12" s="124">
        <v>0.0</v>
      </c>
      <c r="K12" s="125">
        <v>0.0</v>
      </c>
      <c r="L12" s="126">
        <v>0.0</v>
      </c>
      <c r="M12" s="127">
        <v>4.0</v>
      </c>
      <c r="N12" s="127">
        <v>2.0</v>
      </c>
      <c r="O12" s="128">
        <v>2.0</v>
      </c>
      <c r="P12" s="129"/>
      <c r="Q12" s="130"/>
      <c r="R12" s="130"/>
      <c r="S12" s="131"/>
      <c r="T12" s="132"/>
      <c r="U12" s="133">
        <v>14.25</v>
      </c>
      <c r="V12" s="133"/>
      <c r="W12" s="133">
        <v>16.5</v>
      </c>
      <c r="X12" s="134"/>
      <c r="Y12" s="133">
        <v>15.75</v>
      </c>
      <c r="Z12" s="133"/>
      <c r="AA12" s="133"/>
      <c r="AB12" s="133"/>
      <c r="AC12" s="134">
        <v>0.0</v>
      </c>
      <c r="AD12" s="133"/>
      <c r="AE12" s="133"/>
      <c r="AF12" s="133"/>
      <c r="AG12" s="133"/>
      <c r="AH12" s="134"/>
      <c r="AI12" s="133"/>
      <c r="AJ12" s="133"/>
      <c r="AK12" s="133"/>
      <c r="AL12" s="133"/>
      <c r="AM12" s="133"/>
      <c r="AN12" s="134"/>
      <c r="AO12" s="133"/>
      <c r="AP12" s="133"/>
      <c r="AQ12" s="133"/>
      <c r="AR12" s="134">
        <v>0.0</v>
      </c>
      <c r="AS12" s="133"/>
      <c r="AT12" s="133"/>
      <c r="AU12" s="133"/>
      <c r="AV12" s="133"/>
      <c r="AW12" s="133"/>
      <c r="AX12" s="133"/>
      <c r="AY12" s="133"/>
      <c r="AZ12" s="135">
        <v>0.0</v>
      </c>
      <c r="BA12" s="135"/>
      <c r="BB12" s="135"/>
      <c r="BC12" s="135"/>
      <c r="BD12" s="135"/>
      <c r="BE12" s="123"/>
      <c r="BF12" s="123"/>
      <c r="BG12" s="123">
        <v>0.0</v>
      </c>
      <c r="BH12" s="123"/>
      <c r="BI12" s="123"/>
      <c r="BJ12" s="123"/>
      <c r="BK12" s="123"/>
      <c r="BL12" s="123">
        <v>0.0</v>
      </c>
      <c r="BM12" s="123"/>
      <c r="BN12" s="123"/>
      <c r="BO12" s="123">
        <v>0.0</v>
      </c>
      <c r="BP12" s="116"/>
      <c r="BQ12" s="116"/>
      <c r="BR12" s="116"/>
      <c r="BS12" s="116"/>
      <c r="BT12" s="116"/>
      <c r="BU12" s="116"/>
      <c r="BV12" s="116"/>
      <c r="BW12" s="116"/>
      <c r="BX12" s="116"/>
      <c r="BY12" s="116">
        <v>0.0</v>
      </c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124</v>
      </c>
      <c r="D13" s="137">
        <v>10.0</v>
      </c>
      <c r="E13" s="138">
        <v>46.25</v>
      </c>
      <c r="F13" s="139">
        <v>23.125</v>
      </c>
      <c r="G13" s="140">
        <v>2.875</v>
      </c>
      <c r="H13" s="139">
        <v>17.5</v>
      </c>
      <c r="I13" s="141">
        <v>28.75</v>
      </c>
      <c r="J13" s="142">
        <v>0.0</v>
      </c>
      <c r="K13" s="143">
        <v>0.0</v>
      </c>
      <c r="L13" s="144">
        <v>0.0</v>
      </c>
      <c r="M13" s="145">
        <v>7.0</v>
      </c>
      <c r="N13" s="145">
        <v>3.0</v>
      </c>
      <c r="O13" s="146">
        <v>0.0</v>
      </c>
      <c r="P13" s="147"/>
      <c r="Q13" s="148"/>
      <c r="R13" s="148"/>
      <c r="S13" s="149"/>
      <c r="T13" s="150">
        <v>28.75</v>
      </c>
      <c r="U13" s="151"/>
      <c r="V13" s="151"/>
      <c r="W13" s="151"/>
      <c r="X13" s="151"/>
      <c r="Y13" s="151">
        <v>17.5</v>
      </c>
      <c r="Z13" s="152"/>
      <c r="AA13" s="152"/>
      <c r="AB13" s="151"/>
      <c r="AC13" s="151"/>
      <c r="AD13" s="151"/>
      <c r="AE13" s="151"/>
      <c r="AF13" s="151"/>
      <c r="AG13" s="151">
        <v>0.0</v>
      </c>
      <c r="AH13" s="151"/>
      <c r="AI13" s="151"/>
      <c r="AJ13" s="151"/>
      <c r="AK13" s="152"/>
      <c r="AL13" s="152"/>
      <c r="AM13" s="151"/>
      <c r="AN13" s="151"/>
      <c r="AO13" s="151"/>
      <c r="AP13" s="151">
        <v>0.0</v>
      </c>
      <c r="AQ13" s="151"/>
      <c r="AR13" s="151"/>
      <c r="AS13" s="151">
        <v>0.0</v>
      </c>
      <c r="AT13" s="151">
        <v>0.0</v>
      </c>
      <c r="AU13" s="152"/>
      <c r="AV13" s="152">
        <v>0.0</v>
      </c>
      <c r="AW13" s="151"/>
      <c r="AX13" s="151"/>
      <c r="AY13" s="151"/>
      <c r="AZ13" s="153"/>
      <c r="BA13" s="153"/>
      <c r="BB13" s="153"/>
      <c r="BC13" s="153"/>
      <c r="BD13" s="153"/>
      <c r="BE13" s="141"/>
      <c r="BF13" s="141"/>
      <c r="BG13" s="141"/>
      <c r="BH13" s="141"/>
      <c r="BI13" s="141"/>
      <c r="BJ13" s="141"/>
      <c r="BK13" s="141">
        <v>0.0</v>
      </c>
      <c r="BL13" s="141"/>
      <c r="BM13" s="141"/>
      <c r="BN13" s="141"/>
      <c r="BO13" s="141"/>
      <c r="BP13" s="116"/>
      <c r="BQ13" s="116"/>
      <c r="BR13" s="116"/>
      <c r="BS13" s="116"/>
      <c r="BT13" s="116">
        <v>0.0</v>
      </c>
      <c r="BU13" s="116"/>
      <c r="BV13" s="116"/>
      <c r="BW13" s="116"/>
      <c r="BX13" s="116"/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102</v>
      </c>
      <c r="D14" s="119">
        <v>10.0</v>
      </c>
      <c r="E14" s="120">
        <v>45.5</v>
      </c>
      <c r="F14" s="121">
        <v>22.75</v>
      </c>
      <c r="G14" s="122">
        <v>3.05</v>
      </c>
      <c r="H14" s="121">
        <v>15.0</v>
      </c>
      <c r="I14" s="123">
        <v>30.0</v>
      </c>
      <c r="J14" s="124">
        <v>0.0</v>
      </c>
      <c r="K14" s="125">
        <v>0.5</v>
      </c>
      <c r="L14" s="126">
        <v>1.0</v>
      </c>
      <c r="M14" s="127">
        <v>6.0</v>
      </c>
      <c r="N14" s="127">
        <v>2.0</v>
      </c>
      <c r="O14" s="128">
        <v>1.0</v>
      </c>
      <c r="P14" s="129"/>
      <c r="Q14" s="130"/>
      <c r="R14" s="130"/>
      <c r="S14" s="131"/>
      <c r="T14" s="132"/>
      <c r="U14" s="133">
        <v>23.0</v>
      </c>
      <c r="V14" s="133"/>
      <c r="W14" s="133">
        <v>22.5</v>
      </c>
      <c r="X14" s="134"/>
      <c r="Y14" s="133"/>
      <c r="Z14" s="133"/>
      <c r="AA14" s="133"/>
      <c r="AB14" s="133"/>
      <c r="AC14" s="134"/>
      <c r="AD14" s="133"/>
      <c r="AE14" s="133"/>
      <c r="AF14" s="133">
        <v>0.0</v>
      </c>
      <c r="AG14" s="133"/>
      <c r="AH14" s="134"/>
      <c r="AI14" s="133"/>
      <c r="AJ14" s="133"/>
      <c r="AK14" s="133"/>
      <c r="AL14" s="133"/>
      <c r="AM14" s="133">
        <v>0.0</v>
      </c>
      <c r="AN14" s="134"/>
      <c r="AO14" s="133"/>
      <c r="AP14" s="133"/>
      <c r="AQ14" s="133">
        <v>0.0</v>
      </c>
      <c r="AR14" s="134"/>
      <c r="AS14" s="133"/>
      <c r="AT14" s="133"/>
      <c r="AU14" s="133"/>
      <c r="AV14" s="133"/>
      <c r="AW14" s="133">
        <v>0.0</v>
      </c>
      <c r="AX14" s="133"/>
      <c r="AY14" s="133"/>
      <c r="AZ14" s="135"/>
      <c r="BA14" s="135"/>
      <c r="BB14" s="135"/>
      <c r="BC14" s="135"/>
      <c r="BD14" s="135"/>
      <c r="BE14" s="123"/>
      <c r="BF14" s="123"/>
      <c r="BG14" s="123">
        <v>0.0</v>
      </c>
      <c r="BH14" s="123"/>
      <c r="BI14" s="123"/>
      <c r="BJ14" s="123">
        <v>0.0</v>
      </c>
      <c r="BK14" s="123"/>
      <c r="BL14" s="123"/>
      <c r="BM14" s="123"/>
      <c r="BN14" s="123"/>
      <c r="BO14" s="123"/>
      <c r="BP14" s="116"/>
      <c r="BQ14" s="116"/>
      <c r="BR14" s="116"/>
      <c r="BS14" s="116"/>
      <c r="BT14" s="116"/>
      <c r="BU14" s="116">
        <v>0.0</v>
      </c>
      <c r="BV14" s="116"/>
      <c r="BW14" s="116"/>
      <c r="BX14" s="116"/>
      <c r="BY14" s="116"/>
      <c r="BZ14" s="116">
        <v>0.0</v>
      </c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91</v>
      </c>
      <c r="D15" s="137">
        <v>10.0</v>
      </c>
      <c r="E15" s="138">
        <v>43.75</v>
      </c>
      <c r="F15" s="139">
        <v>21.875</v>
      </c>
      <c r="G15" s="140">
        <v>2.875</v>
      </c>
      <c r="H15" s="139">
        <v>15.0</v>
      </c>
      <c r="I15" s="141">
        <v>27.75</v>
      </c>
      <c r="J15" s="142">
        <v>0.0</v>
      </c>
      <c r="K15" s="143">
        <v>1.0</v>
      </c>
      <c r="L15" s="144">
        <v>2.0</v>
      </c>
      <c r="M15" s="145">
        <v>6.0</v>
      </c>
      <c r="N15" s="145">
        <v>1.0</v>
      </c>
      <c r="O15" s="146">
        <v>0.0</v>
      </c>
      <c r="P15" s="147"/>
      <c r="Q15" s="148"/>
      <c r="R15" s="148"/>
      <c r="S15" s="149"/>
      <c r="T15" s="150"/>
      <c r="U15" s="151"/>
      <c r="V15" s="151">
        <v>23.25</v>
      </c>
      <c r="W15" s="151"/>
      <c r="X15" s="151">
        <v>20.5</v>
      </c>
      <c r="Y15" s="151"/>
      <c r="Z15" s="152">
        <v>0.0</v>
      </c>
      <c r="AA15" s="152"/>
      <c r="AB15" s="151"/>
      <c r="AC15" s="151"/>
      <c r="AD15" s="151"/>
      <c r="AE15" s="151"/>
      <c r="AF15" s="151"/>
      <c r="AG15" s="151"/>
      <c r="AH15" s="151">
        <v>0.0</v>
      </c>
      <c r="AI15" s="151"/>
      <c r="AJ15" s="151"/>
      <c r="AK15" s="152">
        <v>0.0</v>
      </c>
      <c r="AL15" s="152"/>
      <c r="AM15" s="151"/>
      <c r="AN15" s="151"/>
      <c r="AO15" s="151"/>
      <c r="AP15" s="151"/>
      <c r="AQ15" s="151"/>
      <c r="AR15" s="151">
        <v>0.0</v>
      </c>
      <c r="AS15" s="151"/>
      <c r="AT15" s="151"/>
      <c r="AU15" s="152"/>
      <c r="AV15" s="152"/>
      <c r="AW15" s="151"/>
      <c r="AX15" s="151"/>
      <c r="AY15" s="151">
        <v>0.0</v>
      </c>
      <c r="AZ15" s="153"/>
      <c r="BA15" s="153"/>
      <c r="BB15" s="153"/>
      <c r="BC15" s="153"/>
      <c r="BD15" s="153">
        <v>0.0</v>
      </c>
      <c r="BE15" s="141"/>
      <c r="BF15" s="141"/>
      <c r="BG15" s="141"/>
      <c r="BH15" s="141"/>
      <c r="BI15" s="141"/>
      <c r="BJ15" s="141"/>
      <c r="BK15" s="141"/>
      <c r="BL15" s="141"/>
      <c r="BM15" s="141">
        <v>0.0</v>
      </c>
      <c r="BN15" s="141"/>
      <c r="BO15" s="141"/>
      <c r="BP15" s="116">
        <v>0.0</v>
      </c>
      <c r="BQ15" s="116"/>
      <c r="BR15" s="116"/>
      <c r="BS15" s="116"/>
      <c r="BT15" s="116"/>
      <c r="BU15" s="116"/>
      <c r="BV15" s="116">
        <v>0.0</v>
      </c>
      <c r="BW15" s="116"/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82</v>
      </c>
      <c r="D16" s="119">
        <v>10.0</v>
      </c>
      <c r="E16" s="120">
        <v>43.0</v>
      </c>
      <c r="F16" s="121">
        <v>21.5</v>
      </c>
      <c r="G16" s="122">
        <v>3.05</v>
      </c>
      <c r="H16" s="121">
        <v>12.5</v>
      </c>
      <c r="I16" s="123">
        <v>28.0</v>
      </c>
      <c r="J16" s="124">
        <v>0.5</v>
      </c>
      <c r="K16" s="125">
        <v>2.0</v>
      </c>
      <c r="L16" s="126">
        <v>3.0</v>
      </c>
      <c r="M16" s="127">
        <v>5.0</v>
      </c>
      <c r="N16" s="127">
        <v>0.0</v>
      </c>
      <c r="O16" s="128">
        <v>1.0</v>
      </c>
      <c r="P16" s="129"/>
      <c r="Q16" s="130"/>
      <c r="R16" s="130"/>
      <c r="S16" s="131"/>
      <c r="T16" s="132">
        <v>27.5</v>
      </c>
      <c r="U16" s="133"/>
      <c r="V16" s="133"/>
      <c r="W16" s="133"/>
      <c r="X16" s="134"/>
      <c r="Y16" s="133">
        <v>15.5</v>
      </c>
      <c r="Z16" s="133"/>
      <c r="AA16" s="133"/>
      <c r="AB16" s="133"/>
      <c r="AC16" s="134"/>
      <c r="AD16" s="133"/>
      <c r="AE16" s="133"/>
      <c r="AF16" s="133"/>
      <c r="AG16" s="133">
        <v>0.0</v>
      </c>
      <c r="AH16" s="134"/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/>
      <c r="AU16" s="133"/>
      <c r="AV16" s="133">
        <v>0.0</v>
      </c>
      <c r="AW16" s="133">
        <v>0.0</v>
      </c>
      <c r="AX16" s="133"/>
      <c r="AY16" s="133"/>
      <c r="AZ16" s="135"/>
      <c r="BA16" s="135"/>
      <c r="BB16" s="135"/>
      <c r="BC16" s="135">
        <v>0.0</v>
      </c>
      <c r="BD16" s="135"/>
      <c r="BE16" s="123"/>
      <c r="BF16" s="123"/>
      <c r="BG16" s="123">
        <v>0.0</v>
      </c>
      <c r="BH16" s="123"/>
      <c r="BI16" s="123"/>
      <c r="BJ16" s="123"/>
      <c r="BK16" s="123"/>
      <c r="BL16" s="123"/>
      <c r="BM16" s="123"/>
      <c r="BN16" s="123"/>
      <c r="BO16" s="123"/>
      <c r="BP16" s="116">
        <v>0.0</v>
      </c>
      <c r="BQ16" s="116"/>
      <c r="BR16" s="116"/>
      <c r="BS16" s="116"/>
      <c r="BT16" s="116"/>
      <c r="BU16" s="116"/>
      <c r="BV16" s="116">
        <v>0.0</v>
      </c>
      <c r="BW16" s="116"/>
      <c r="BX16" s="116"/>
      <c r="BY16" s="116"/>
      <c r="BZ16" s="116"/>
      <c r="CA16" s="116">
        <v>0.0</v>
      </c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86</v>
      </c>
      <c r="D17" s="137">
        <v>10.0</v>
      </c>
      <c r="E17" s="138">
        <v>41.25</v>
      </c>
      <c r="F17" s="139">
        <v>20.625</v>
      </c>
      <c r="G17" s="140">
        <v>2.875</v>
      </c>
      <c r="H17" s="139">
        <v>12.5</v>
      </c>
      <c r="I17" s="141">
        <v>28.25</v>
      </c>
      <c r="J17" s="142">
        <v>0.0</v>
      </c>
      <c r="K17" s="143">
        <v>0.5</v>
      </c>
      <c r="L17" s="144">
        <v>1.0</v>
      </c>
      <c r="M17" s="145">
        <v>5.0</v>
      </c>
      <c r="N17" s="145">
        <v>3.0</v>
      </c>
      <c r="O17" s="146">
        <v>1.0</v>
      </c>
      <c r="P17" s="147"/>
      <c r="Q17" s="148"/>
      <c r="R17" s="148"/>
      <c r="S17" s="149"/>
      <c r="T17" s="150"/>
      <c r="U17" s="151"/>
      <c r="V17" s="151"/>
      <c r="W17" s="151"/>
      <c r="X17" s="151">
        <v>21.75</v>
      </c>
      <c r="Y17" s="151">
        <v>19.5</v>
      </c>
      <c r="Z17" s="152"/>
      <c r="AA17" s="152"/>
      <c r="AB17" s="151"/>
      <c r="AC17" s="151"/>
      <c r="AD17" s="151"/>
      <c r="AE17" s="151">
        <v>0.0</v>
      </c>
      <c r="AF17" s="151"/>
      <c r="AG17" s="151"/>
      <c r="AH17" s="151"/>
      <c r="AI17" s="151"/>
      <c r="AJ17" s="151"/>
      <c r="AK17" s="152">
        <v>0.0</v>
      </c>
      <c r="AL17" s="152"/>
      <c r="AM17" s="151"/>
      <c r="AN17" s="151"/>
      <c r="AO17" s="151"/>
      <c r="AP17" s="151"/>
      <c r="AQ17" s="151"/>
      <c r="AR17" s="151"/>
      <c r="AS17" s="151"/>
      <c r="AT17" s="151"/>
      <c r="AU17" s="152"/>
      <c r="AV17" s="152"/>
      <c r="AW17" s="151"/>
      <c r="AX17" s="151"/>
      <c r="AY17" s="151"/>
      <c r="AZ17" s="153"/>
      <c r="BA17" s="153">
        <v>0.0</v>
      </c>
      <c r="BB17" s="153">
        <v>0.0</v>
      </c>
      <c r="BC17" s="153"/>
      <c r="BD17" s="153"/>
      <c r="BE17" s="141"/>
      <c r="BF17" s="141"/>
      <c r="BG17" s="141"/>
      <c r="BH17" s="141"/>
      <c r="BI17" s="141">
        <v>0.0</v>
      </c>
      <c r="BJ17" s="141"/>
      <c r="BK17" s="141"/>
      <c r="BL17" s="141"/>
      <c r="BM17" s="141"/>
      <c r="BN17" s="141"/>
      <c r="BO17" s="141">
        <v>0.0</v>
      </c>
      <c r="BP17" s="116"/>
      <c r="BQ17" s="116"/>
      <c r="BR17" s="116"/>
      <c r="BS17" s="116">
        <v>0.0</v>
      </c>
      <c r="BT17" s="116"/>
      <c r="BU17" s="116"/>
      <c r="BV17" s="116"/>
      <c r="BW17" s="116"/>
      <c r="BX17" s="116">
        <v>0.0</v>
      </c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106</v>
      </c>
      <c r="D18" s="119">
        <v>10.0</v>
      </c>
      <c r="E18" s="120">
        <v>39.25</v>
      </c>
      <c r="F18" s="121">
        <v>19.625</v>
      </c>
      <c r="G18" s="122">
        <v>2.675</v>
      </c>
      <c r="H18" s="121">
        <v>12.5</v>
      </c>
      <c r="I18" s="123">
        <v>26.75</v>
      </c>
      <c r="J18" s="124">
        <v>0.0</v>
      </c>
      <c r="K18" s="125">
        <v>0.0</v>
      </c>
      <c r="L18" s="126">
        <v>0.0</v>
      </c>
      <c r="M18" s="127">
        <v>5.0</v>
      </c>
      <c r="N18" s="127">
        <v>1.0</v>
      </c>
      <c r="O18" s="128">
        <v>0.0</v>
      </c>
      <c r="P18" s="129"/>
      <c r="Q18" s="130"/>
      <c r="R18" s="130"/>
      <c r="S18" s="131"/>
      <c r="T18" s="132">
        <v>20.0</v>
      </c>
      <c r="U18" s="133"/>
      <c r="V18" s="133"/>
      <c r="W18" s="133"/>
      <c r="X18" s="134">
        <v>19.25</v>
      </c>
      <c r="Y18" s="133"/>
      <c r="Z18" s="133"/>
      <c r="AA18" s="133"/>
      <c r="AB18" s="133"/>
      <c r="AC18" s="134"/>
      <c r="AD18" s="133">
        <v>0.0</v>
      </c>
      <c r="AE18" s="133"/>
      <c r="AF18" s="133"/>
      <c r="AG18" s="133"/>
      <c r="AH18" s="134"/>
      <c r="AI18" s="133"/>
      <c r="AJ18" s="133"/>
      <c r="AK18" s="133"/>
      <c r="AL18" s="133"/>
      <c r="AM18" s="133"/>
      <c r="AN18" s="134">
        <v>0.0</v>
      </c>
      <c r="AO18" s="133"/>
      <c r="AP18" s="133"/>
      <c r="AQ18" s="133">
        <v>0.0</v>
      </c>
      <c r="AR18" s="134"/>
      <c r="AS18" s="133"/>
      <c r="AT18" s="133"/>
      <c r="AU18" s="133"/>
      <c r="AV18" s="133"/>
      <c r="AW18" s="133"/>
      <c r="AX18" s="133">
        <v>0.0</v>
      </c>
      <c r="AY18" s="133"/>
      <c r="AZ18" s="135"/>
      <c r="BA18" s="135"/>
      <c r="BB18" s="135"/>
      <c r="BC18" s="135">
        <v>0.0</v>
      </c>
      <c r="BD18" s="135"/>
      <c r="BE18" s="123"/>
      <c r="BF18" s="123"/>
      <c r="BG18" s="123"/>
      <c r="BH18" s="123"/>
      <c r="BI18" s="123"/>
      <c r="BJ18" s="123"/>
      <c r="BK18" s="123"/>
      <c r="BL18" s="123"/>
      <c r="BM18" s="123">
        <v>0.0</v>
      </c>
      <c r="BN18" s="123"/>
      <c r="BO18" s="123"/>
      <c r="BP18" s="116"/>
      <c r="BQ18" s="116">
        <v>0.0</v>
      </c>
      <c r="BR18" s="116"/>
      <c r="BS18" s="116"/>
      <c r="BT18" s="116"/>
      <c r="BU18" s="116"/>
      <c r="BV18" s="116">
        <v>0.0</v>
      </c>
      <c r="BW18" s="116"/>
      <c r="BX18" s="116"/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101</v>
      </c>
      <c r="D19" s="137">
        <v>10.0</v>
      </c>
      <c r="E19" s="138">
        <v>38.0</v>
      </c>
      <c r="F19" s="139">
        <v>19.0</v>
      </c>
      <c r="G19" s="140">
        <v>2.55</v>
      </c>
      <c r="H19" s="139">
        <v>12.5</v>
      </c>
      <c r="I19" s="141">
        <v>25.0</v>
      </c>
      <c r="J19" s="142">
        <v>0.0</v>
      </c>
      <c r="K19" s="143">
        <v>0.5</v>
      </c>
      <c r="L19" s="144">
        <v>1.0</v>
      </c>
      <c r="M19" s="145">
        <v>5.0</v>
      </c>
      <c r="N19" s="145">
        <v>0.0</v>
      </c>
      <c r="O19" s="146">
        <v>1.0</v>
      </c>
      <c r="P19" s="147"/>
      <c r="Q19" s="148"/>
      <c r="R19" s="148"/>
      <c r="S19" s="149"/>
      <c r="T19" s="150">
        <v>17.0</v>
      </c>
      <c r="U19" s="151"/>
      <c r="V19" s="151"/>
      <c r="W19" s="151"/>
      <c r="X19" s="151"/>
      <c r="Y19" s="151">
        <v>21.0</v>
      </c>
      <c r="Z19" s="152"/>
      <c r="AA19" s="152"/>
      <c r="AB19" s="151"/>
      <c r="AC19" s="151"/>
      <c r="AD19" s="151"/>
      <c r="AE19" s="151"/>
      <c r="AF19" s="151">
        <v>0.0</v>
      </c>
      <c r="AG19" s="151"/>
      <c r="AH19" s="151"/>
      <c r="AI19" s="151"/>
      <c r="AJ19" s="151"/>
      <c r="AK19" s="152"/>
      <c r="AL19" s="152"/>
      <c r="AM19" s="151"/>
      <c r="AN19" s="151">
        <v>0.0</v>
      </c>
      <c r="AO19" s="151"/>
      <c r="AP19" s="151"/>
      <c r="AQ19" s="151">
        <v>0.0</v>
      </c>
      <c r="AR19" s="151"/>
      <c r="AS19" s="151"/>
      <c r="AT19" s="151"/>
      <c r="AU19" s="152">
        <v>0.0</v>
      </c>
      <c r="AV19" s="152"/>
      <c r="AW19" s="151"/>
      <c r="AX19" s="151"/>
      <c r="AY19" s="151"/>
      <c r="AZ19" s="153"/>
      <c r="BA19" s="153"/>
      <c r="BB19" s="153"/>
      <c r="BC19" s="153"/>
      <c r="BD19" s="153"/>
      <c r="BE19" s="141"/>
      <c r="BF19" s="141"/>
      <c r="BG19" s="141"/>
      <c r="BH19" s="141"/>
      <c r="BI19" s="141">
        <v>0.0</v>
      </c>
      <c r="BJ19" s="141"/>
      <c r="BK19" s="141"/>
      <c r="BL19" s="141"/>
      <c r="BM19" s="141"/>
      <c r="BN19" s="141"/>
      <c r="BO19" s="141">
        <v>0.0</v>
      </c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>
        <v>0.0</v>
      </c>
      <c r="CA19" s="116">
        <v>0.0</v>
      </c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105</v>
      </c>
      <c r="D20" s="119">
        <v>10.0</v>
      </c>
      <c r="E20" s="120">
        <v>37.25</v>
      </c>
      <c r="F20" s="121">
        <v>18.625</v>
      </c>
      <c r="G20" s="122">
        <v>2.475</v>
      </c>
      <c r="H20" s="121">
        <v>12.5</v>
      </c>
      <c r="I20" s="123">
        <v>24.25</v>
      </c>
      <c r="J20" s="124">
        <v>0.0</v>
      </c>
      <c r="K20" s="125">
        <v>0.5</v>
      </c>
      <c r="L20" s="126">
        <v>1.0</v>
      </c>
      <c r="M20" s="127">
        <v>5.0</v>
      </c>
      <c r="N20" s="127">
        <v>1.0</v>
      </c>
      <c r="O20" s="128">
        <v>2.0</v>
      </c>
      <c r="P20" s="129"/>
      <c r="Q20" s="130"/>
      <c r="R20" s="130"/>
      <c r="S20" s="131"/>
      <c r="T20" s="132">
        <v>14.75</v>
      </c>
      <c r="U20" s="133"/>
      <c r="V20" s="133"/>
      <c r="W20" s="133"/>
      <c r="X20" s="134">
        <v>22.5</v>
      </c>
      <c r="Y20" s="133"/>
      <c r="Z20" s="133"/>
      <c r="AA20" s="133"/>
      <c r="AB20" s="133"/>
      <c r="AC20" s="134"/>
      <c r="AD20" s="133"/>
      <c r="AE20" s="133"/>
      <c r="AF20" s="133"/>
      <c r="AG20" s="133"/>
      <c r="AH20" s="134">
        <v>0.0</v>
      </c>
      <c r="AI20" s="133"/>
      <c r="AJ20" s="133"/>
      <c r="AK20" s="133"/>
      <c r="AL20" s="133">
        <v>0.0</v>
      </c>
      <c r="AM20" s="133"/>
      <c r="AN20" s="134"/>
      <c r="AO20" s="133"/>
      <c r="AP20" s="133"/>
      <c r="AQ20" s="133"/>
      <c r="AR20" s="134">
        <v>0.0</v>
      </c>
      <c r="AS20" s="133"/>
      <c r="AT20" s="133"/>
      <c r="AU20" s="133">
        <v>0.0</v>
      </c>
      <c r="AV20" s="133"/>
      <c r="AW20" s="133"/>
      <c r="AX20" s="133"/>
      <c r="AY20" s="133"/>
      <c r="AZ20" s="135"/>
      <c r="BA20" s="135">
        <v>0.0</v>
      </c>
      <c r="BB20" s="135"/>
      <c r="BC20" s="135"/>
      <c r="BD20" s="135"/>
      <c r="BE20" s="123"/>
      <c r="BF20" s="123"/>
      <c r="BG20" s="123"/>
      <c r="BH20" s="123"/>
      <c r="BI20" s="123"/>
      <c r="BJ20" s="123">
        <v>0.0</v>
      </c>
      <c r="BK20" s="123"/>
      <c r="BL20" s="123"/>
      <c r="BM20" s="123"/>
      <c r="BN20" s="123"/>
      <c r="BO20" s="123"/>
      <c r="BP20" s="116"/>
      <c r="BQ20" s="116">
        <v>0.0</v>
      </c>
      <c r="BR20" s="116"/>
      <c r="BS20" s="116"/>
      <c r="BT20" s="116"/>
      <c r="BU20" s="116"/>
      <c r="BV20" s="116"/>
      <c r="BW20" s="116"/>
      <c r="BX20" s="116"/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135</v>
      </c>
      <c r="D21" s="137">
        <v>10.0</v>
      </c>
      <c r="E21" s="138">
        <v>37.0</v>
      </c>
      <c r="F21" s="139">
        <v>18.5</v>
      </c>
      <c r="G21" s="140">
        <v>2.45</v>
      </c>
      <c r="H21" s="139">
        <v>12.5</v>
      </c>
      <c r="I21" s="141">
        <v>24.5</v>
      </c>
      <c r="J21" s="142">
        <v>0.0</v>
      </c>
      <c r="K21" s="143">
        <v>0.0</v>
      </c>
      <c r="L21" s="144">
        <v>0.0</v>
      </c>
      <c r="M21" s="145">
        <v>5.0</v>
      </c>
      <c r="N21" s="145">
        <v>0.0</v>
      </c>
      <c r="O21" s="146">
        <v>0.0</v>
      </c>
      <c r="P21" s="147"/>
      <c r="Q21" s="148"/>
      <c r="R21" s="148"/>
      <c r="S21" s="149"/>
      <c r="T21" s="150"/>
      <c r="U21" s="151">
        <v>18.0</v>
      </c>
      <c r="V21" s="151"/>
      <c r="W21" s="151">
        <v>19.0</v>
      </c>
      <c r="X21" s="151"/>
      <c r="Y21" s="151"/>
      <c r="Z21" s="152"/>
      <c r="AA21" s="152"/>
      <c r="AB21" s="151"/>
      <c r="AC21" s="151"/>
      <c r="AD21" s="151"/>
      <c r="AE21" s="151"/>
      <c r="AF21" s="151"/>
      <c r="AG21" s="151"/>
      <c r="AH21" s="151"/>
      <c r="AI21" s="151"/>
      <c r="AJ21" s="151"/>
      <c r="AK21" s="152"/>
      <c r="AL21" s="152">
        <v>0.0</v>
      </c>
      <c r="AM21" s="151"/>
      <c r="AN21" s="151"/>
      <c r="AO21" s="151"/>
      <c r="AP21" s="151">
        <v>0.0</v>
      </c>
      <c r="AQ21" s="151"/>
      <c r="AR21" s="151"/>
      <c r="AS21" s="151">
        <v>0.0</v>
      </c>
      <c r="AT21" s="151"/>
      <c r="AU21" s="152"/>
      <c r="AV21" s="152"/>
      <c r="AW21" s="151">
        <v>0.0</v>
      </c>
      <c r="AX21" s="151"/>
      <c r="AY21" s="151"/>
      <c r="AZ21" s="153"/>
      <c r="BA21" s="153"/>
      <c r="BB21" s="153"/>
      <c r="BC21" s="153"/>
      <c r="BD21" s="153">
        <v>0.0</v>
      </c>
      <c r="BE21" s="141"/>
      <c r="BF21" s="141"/>
      <c r="BG21" s="141"/>
      <c r="BH21" s="141"/>
      <c r="BI21" s="141"/>
      <c r="BJ21" s="141"/>
      <c r="BK21" s="141"/>
      <c r="BL21" s="141"/>
      <c r="BM21" s="141"/>
      <c r="BN21" s="141"/>
      <c r="BO21" s="141"/>
      <c r="BP21" s="116">
        <v>0.0</v>
      </c>
      <c r="BQ21" s="116">
        <v>0.0</v>
      </c>
      <c r="BR21" s="116"/>
      <c r="BS21" s="116"/>
      <c r="BT21" s="116"/>
      <c r="BU21" s="116"/>
      <c r="BV21" s="116"/>
      <c r="BW21" s="116"/>
      <c r="BX21" s="116"/>
      <c r="BY21" s="116"/>
      <c r="BZ21" s="116"/>
      <c r="CA21" s="116">
        <v>0.0</v>
      </c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119</v>
      </c>
      <c r="D22" s="119">
        <v>10.0</v>
      </c>
      <c r="E22" s="120">
        <v>36.0</v>
      </c>
      <c r="F22" s="121">
        <v>18.0</v>
      </c>
      <c r="G22" s="122">
        <v>2.85</v>
      </c>
      <c r="H22" s="121">
        <v>7.5</v>
      </c>
      <c r="I22" s="123">
        <v>26.0</v>
      </c>
      <c r="J22" s="124">
        <v>1.5</v>
      </c>
      <c r="K22" s="125">
        <v>1.0</v>
      </c>
      <c r="L22" s="126">
        <v>2.0</v>
      </c>
      <c r="M22" s="127">
        <v>3.0</v>
      </c>
      <c r="N22" s="127">
        <v>0.0</v>
      </c>
      <c r="O22" s="128">
        <v>0.0</v>
      </c>
      <c r="P22" s="129"/>
      <c r="Q22" s="130"/>
      <c r="R22" s="130"/>
      <c r="S22" s="131"/>
      <c r="T22" s="132">
        <v>21.25</v>
      </c>
      <c r="U22" s="133"/>
      <c r="V22" s="133"/>
      <c r="W22" s="133"/>
      <c r="X22" s="134">
        <v>14.75</v>
      </c>
      <c r="Y22" s="133"/>
      <c r="Z22" s="133"/>
      <c r="AA22" s="133"/>
      <c r="AB22" s="133"/>
      <c r="AC22" s="134"/>
      <c r="AD22" s="133"/>
      <c r="AE22" s="133">
        <v>0.0</v>
      </c>
      <c r="AF22" s="133"/>
      <c r="AG22" s="133"/>
      <c r="AH22" s="134"/>
      <c r="AI22" s="133"/>
      <c r="AJ22" s="133"/>
      <c r="AK22" s="133"/>
      <c r="AL22" s="133"/>
      <c r="AM22" s="133"/>
      <c r="AN22" s="134">
        <v>0.0</v>
      </c>
      <c r="AO22" s="133"/>
      <c r="AP22" s="133"/>
      <c r="AQ22" s="133"/>
      <c r="AR22" s="134"/>
      <c r="AS22" s="133"/>
      <c r="AT22" s="133"/>
      <c r="AU22" s="133"/>
      <c r="AV22" s="133"/>
      <c r="AW22" s="133"/>
      <c r="AX22" s="133"/>
      <c r="AY22" s="133">
        <v>0.0</v>
      </c>
      <c r="AZ22" s="135"/>
      <c r="BA22" s="135"/>
      <c r="BB22" s="135"/>
      <c r="BC22" s="135"/>
      <c r="BD22" s="135"/>
      <c r="BE22" s="123"/>
      <c r="BF22" s="123"/>
      <c r="BG22" s="123"/>
      <c r="BH22" s="123">
        <v>0.0</v>
      </c>
      <c r="BI22" s="123">
        <v>0.0</v>
      </c>
      <c r="BJ22" s="123"/>
      <c r="BK22" s="123"/>
      <c r="BL22" s="123">
        <v>0.0</v>
      </c>
      <c r="BM22" s="123"/>
      <c r="BN22" s="123"/>
      <c r="BO22" s="123"/>
      <c r="BP22" s="116"/>
      <c r="BQ22" s="116"/>
      <c r="BR22" s="116"/>
      <c r="BS22" s="116"/>
      <c r="BT22" s="116"/>
      <c r="BU22" s="116"/>
      <c r="BV22" s="116"/>
      <c r="BW22" s="116"/>
      <c r="BX22" s="116">
        <v>0.0</v>
      </c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112</v>
      </c>
      <c r="D23" s="137">
        <v>10.0</v>
      </c>
      <c r="E23" s="138">
        <v>35.25</v>
      </c>
      <c r="F23" s="139">
        <v>17.625</v>
      </c>
      <c r="G23" s="140">
        <v>2.525</v>
      </c>
      <c r="H23" s="139">
        <v>10.0</v>
      </c>
      <c r="I23" s="141">
        <v>25.25</v>
      </c>
      <c r="J23" s="142">
        <v>0.0</v>
      </c>
      <c r="K23" s="143">
        <v>0.0</v>
      </c>
      <c r="L23" s="144">
        <v>0.0</v>
      </c>
      <c r="M23" s="145">
        <v>4.0</v>
      </c>
      <c r="N23" s="145">
        <v>0.0</v>
      </c>
      <c r="O23" s="146">
        <v>3.0</v>
      </c>
      <c r="P23" s="147"/>
      <c r="Q23" s="148"/>
      <c r="R23" s="148"/>
      <c r="S23" s="149"/>
      <c r="T23" s="150">
        <v>17.75</v>
      </c>
      <c r="U23" s="151"/>
      <c r="V23" s="151"/>
      <c r="W23" s="151"/>
      <c r="X23" s="151">
        <v>17.5</v>
      </c>
      <c r="Y23" s="151"/>
      <c r="Z23" s="152"/>
      <c r="AA23" s="152"/>
      <c r="AB23" s="151"/>
      <c r="AC23" s="151"/>
      <c r="AD23" s="151"/>
      <c r="AE23" s="151"/>
      <c r="AF23" s="151"/>
      <c r="AG23" s="151"/>
      <c r="AH23" s="151"/>
      <c r="AI23" s="151"/>
      <c r="AJ23" s="151"/>
      <c r="AK23" s="152"/>
      <c r="AL23" s="152"/>
      <c r="AM23" s="151"/>
      <c r="AN23" s="151">
        <v>0.0</v>
      </c>
      <c r="AO23" s="151"/>
      <c r="AP23" s="151"/>
      <c r="AQ23" s="151"/>
      <c r="AR23" s="151"/>
      <c r="AS23" s="151"/>
      <c r="AT23" s="151"/>
      <c r="AU23" s="152"/>
      <c r="AV23" s="152"/>
      <c r="AW23" s="151"/>
      <c r="AX23" s="151">
        <v>0.0</v>
      </c>
      <c r="AY23" s="151"/>
      <c r="AZ23" s="153"/>
      <c r="BA23" s="153"/>
      <c r="BB23" s="153"/>
      <c r="BC23" s="153"/>
      <c r="BD23" s="153"/>
      <c r="BE23" s="141"/>
      <c r="BF23" s="141">
        <v>0.0</v>
      </c>
      <c r="BG23" s="141"/>
      <c r="BH23" s="141">
        <v>0.0</v>
      </c>
      <c r="BI23" s="141">
        <v>0.0</v>
      </c>
      <c r="BJ23" s="141"/>
      <c r="BK23" s="141"/>
      <c r="BL23" s="141"/>
      <c r="BM23" s="141"/>
      <c r="BN23" s="141">
        <v>0.0</v>
      </c>
      <c r="BO23" s="141"/>
      <c r="BP23" s="116"/>
      <c r="BQ23" s="116"/>
      <c r="BR23" s="116"/>
      <c r="BS23" s="116"/>
      <c r="BT23" s="116">
        <v>0.0</v>
      </c>
      <c r="BU23" s="116"/>
      <c r="BV23" s="116"/>
      <c r="BW23" s="116"/>
      <c r="BX23" s="116"/>
      <c r="BY23" s="116">
        <v>0.0</v>
      </c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108</v>
      </c>
      <c r="D24" s="119">
        <v>10.0</v>
      </c>
      <c r="E24" s="120">
        <v>34.25</v>
      </c>
      <c r="F24" s="121">
        <v>17.125</v>
      </c>
      <c r="G24" s="122">
        <v>2.675</v>
      </c>
      <c r="H24" s="121">
        <v>7.5</v>
      </c>
      <c r="I24" s="123">
        <v>25.25</v>
      </c>
      <c r="J24" s="124">
        <v>0.5</v>
      </c>
      <c r="K24" s="125">
        <v>1.0</v>
      </c>
      <c r="L24" s="126">
        <v>2.0</v>
      </c>
      <c r="M24" s="127">
        <v>3.0</v>
      </c>
      <c r="N24" s="127">
        <v>1.0</v>
      </c>
      <c r="O24" s="128">
        <v>3.0</v>
      </c>
      <c r="P24" s="129"/>
      <c r="Q24" s="130"/>
      <c r="R24" s="130"/>
      <c r="S24" s="131"/>
      <c r="T24" s="132"/>
      <c r="U24" s="133"/>
      <c r="V24" s="133"/>
      <c r="W24" s="133"/>
      <c r="X24" s="134">
        <v>15.25</v>
      </c>
      <c r="Y24" s="133">
        <v>19.0</v>
      </c>
      <c r="Z24" s="133"/>
      <c r="AA24" s="133"/>
      <c r="AB24" s="133"/>
      <c r="AC24" s="134"/>
      <c r="AD24" s="133"/>
      <c r="AE24" s="133"/>
      <c r="AF24" s="133"/>
      <c r="AG24" s="133"/>
      <c r="AH24" s="134"/>
      <c r="AI24" s="133"/>
      <c r="AJ24" s="133">
        <v>0.0</v>
      </c>
      <c r="AK24" s="133">
        <v>0.0</v>
      </c>
      <c r="AL24" s="133">
        <v>0.0</v>
      </c>
      <c r="AM24" s="133"/>
      <c r="AN24" s="134"/>
      <c r="AO24" s="133"/>
      <c r="AP24" s="133"/>
      <c r="AQ24" s="133"/>
      <c r="AR24" s="134"/>
      <c r="AS24" s="133"/>
      <c r="AT24" s="133"/>
      <c r="AU24" s="133"/>
      <c r="AV24" s="133"/>
      <c r="AW24" s="133"/>
      <c r="AX24" s="133"/>
      <c r="AY24" s="133"/>
      <c r="AZ24" s="135"/>
      <c r="BA24" s="135"/>
      <c r="BB24" s="135"/>
      <c r="BC24" s="135"/>
      <c r="BD24" s="135"/>
      <c r="BE24" s="123"/>
      <c r="BF24" s="123"/>
      <c r="BG24" s="123"/>
      <c r="BH24" s="123"/>
      <c r="BI24" s="123"/>
      <c r="BJ24" s="123">
        <v>0.0</v>
      </c>
      <c r="BK24" s="123">
        <v>0.0</v>
      </c>
      <c r="BL24" s="123">
        <v>0.0</v>
      </c>
      <c r="BM24" s="123">
        <v>0.0</v>
      </c>
      <c r="BN24" s="123">
        <v>0.0</v>
      </c>
      <c r="BO24" s="123"/>
      <c r="BP24" s="116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137</v>
      </c>
      <c r="D25" s="137">
        <v>10.0</v>
      </c>
      <c r="E25" s="138">
        <v>33.5</v>
      </c>
      <c r="F25" s="139">
        <v>16.75</v>
      </c>
      <c r="G25" s="140">
        <v>2.6</v>
      </c>
      <c r="H25" s="139">
        <v>7.5</v>
      </c>
      <c r="I25" s="141">
        <v>26.0</v>
      </c>
      <c r="J25" s="142">
        <v>0.0</v>
      </c>
      <c r="K25" s="143">
        <v>0.0</v>
      </c>
      <c r="L25" s="144">
        <v>0.0</v>
      </c>
      <c r="M25" s="145">
        <v>3.0</v>
      </c>
      <c r="N25" s="145">
        <v>1.0</v>
      </c>
      <c r="O25" s="146">
        <v>2.0</v>
      </c>
      <c r="P25" s="147"/>
      <c r="Q25" s="148"/>
      <c r="R25" s="148"/>
      <c r="S25" s="149"/>
      <c r="T25" s="150"/>
      <c r="U25" s="151">
        <v>16.0</v>
      </c>
      <c r="V25" s="151">
        <v>17.5</v>
      </c>
      <c r="W25" s="151"/>
      <c r="X25" s="151"/>
      <c r="Y25" s="151"/>
      <c r="Z25" s="152"/>
      <c r="AA25" s="152"/>
      <c r="AB25" s="151"/>
      <c r="AC25" s="151">
        <v>0.0</v>
      </c>
      <c r="AD25" s="151"/>
      <c r="AE25" s="151"/>
      <c r="AF25" s="151"/>
      <c r="AG25" s="151"/>
      <c r="AH25" s="151"/>
      <c r="AI25" s="151"/>
      <c r="AJ25" s="151">
        <v>0.0</v>
      </c>
      <c r="AK25" s="152"/>
      <c r="AL25" s="152"/>
      <c r="AM25" s="151"/>
      <c r="AN25" s="151"/>
      <c r="AO25" s="151">
        <v>0.0</v>
      </c>
      <c r="AP25" s="151"/>
      <c r="AQ25" s="151"/>
      <c r="AR25" s="151"/>
      <c r="AS25" s="151"/>
      <c r="AT25" s="151">
        <v>0.0</v>
      </c>
      <c r="AU25" s="152"/>
      <c r="AV25" s="152"/>
      <c r="AW25" s="151"/>
      <c r="AX25" s="151"/>
      <c r="AY25" s="151">
        <v>0.0</v>
      </c>
      <c r="AZ25" s="153"/>
      <c r="BA25" s="153"/>
      <c r="BB25" s="153"/>
      <c r="BC25" s="153"/>
      <c r="BD25" s="153"/>
      <c r="BE25" s="141">
        <v>0.0</v>
      </c>
      <c r="BF25" s="141"/>
      <c r="BG25" s="141"/>
      <c r="BH25" s="141"/>
      <c r="BI25" s="141"/>
      <c r="BJ25" s="141"/>
      <c r="BK25" s="141"/>
      <c r="BL25" s="141">
        <v>0.0</v>
      </c>
      <c r="BM25" s="141"/>
      <c r="BN25" s="141"/>
      <c r="BO25" s="141"/>
      <c r="BP25" s="116"/>
      <c r="BQ25" s="116">
        <v>0.0</v>
      </c>
      <c r="BR25" s="116"/>
      <c r="BS25" s="116"/>
      <c r="BT25" s="116"/>
      <c r="BU25" s="116"/>
      <c r="BV25" s="116"/>
      <c r="BW25" s="116"/>
      <c r="BX25" s="116"/>
      <c r="BY25" s="116"/>
      <c r="BZ25" s="116"/>
      <c r="CA25" s="116">
        <v>0.0</v>
      </c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118</v>
      </c>
      <c r="D26" s="119">
        <v>10.0</v>
      </c>
      <c r="E26" s="120">
        <v>33.25</v>
      </c>
      <c r="F26" s="121">
        <v>16.625</v>
      </c>
      <c r="G26" s="122">
        <v>2.575</v>
      </c>
      <c r="H26" s="121">
        <v>7.5</v>
      </c>
      <c r="I26" s="123">
        <v>25.25</v>
      </c>
      <c r="J26" s="124">
        <v>0.0</v>
      </c>
      <c r="K26" s="125">
        <v>0.5</v>
      </c>
      <c r="L26" s="126">
        <v>1.0</v>
      </c>
      <c r="M26" s="127">
        <v>3.0</v>
      </c>
      <c r="N26" s="127">
        <v>0.0</v>
      </c>
      <c r="O26" s="128">
        <v>1.0</v>
      </c>
      <c r="P26" s="129"/>
      <c r="Q26" s="130"/>
      <c r="R26" s="130"/>
      <c r="S26" s="131"/>
      <c r="T26" s="132">
        <v>15.75</v>
      </c>
      <c r="U26" s="133"/>
      <c r="V26" s="133">
        <v>17.5</v>
      </c>
      <c r="W26" s="133"/>
      <c r="X26" s="134"/>
      <c r="Y26" s="133"/>
      <c r="Z26" s="133">
        <v>0.0</v>
      </c>
      <c r="AA26" s="133"/>
      <c r="AB26" s="133"/>
      <c r="AC26" s="134">
        <v>0.0</v>
      </c>
      <c r="AD26" s="133"/>
      <c r="AE26" s="133">
        <v>0.0</v>
      </c>
      <c r="AF26" s="133"/>
      <c r="AG26" s="133">
        <v>0.0</v>
      </c>
      <c r="AH26" s="134"/>
      <c r="AI26" s="133"/>
      <c r="AJ26" s="133">
        <v>0.0</v>
      </c>
      <c r="AK26" s="133"/>
      <c r="AL26" s="133"/>
      <c r="AM26" s="133">
        <v>0.0</v>
      </c>
      <c r="AN26" s="134"/>
      <c r="AO26" s="133">
        <v>0.0</v>
      </c>
      <c r="AP26" s="133"/>
      <c r="AQ26" s="133"/>
      <c r="AR26" s="134"/>
      <c r="AS26" s="133"/>
      <c r="AT26" s="133"/>
      <c r="AU26" s="133"/>
      <c r="AV26" s="133"/>
      <c r="AW26" s="133"/>
      <c r="AX26" s="133"/>
      <c r="AY26" s="133"/>
      <c r="AZ26" s="135"/>
      <c r="BA26" s="135"/>
      <c r="BB26" s="135"/>
      <c r="BC26" s="135"/>
      <c r="BD26" s="135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16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133</v>
      </c>
      <c r="D27" s="137">
        <v>10.0</v>
      </c>
      <c r="E27" s="138">
        <v>32.5</v>
      </c>
      <c r="F27" s="139">
        <v>16.25</v>
      </c>
      <c r="G27" s="140">
        <v>2.75</v>
      </c>
      <c r="H27" s="139">
        <v>5.0</v>
      </c>
      <c r="I27" s="141">
        <v>27.0</v>
      </c>
      <c r="J27" s="142">
        <v>0.0</v>
      </c>
      <c r="K27" s="143">
        <v>0.5</v>
      </c>
      <c r="L27" s="144">
        <v>1.0</v>
      </c>
      <c r="M27" s="145">
        <v>2.0</v>
      </c>
      <c r="N27" s="145">
        <v>1.0</v>
      </c>
      <c r="O27" s="146">
        <v>1.0</v>
      </c>
      <c r="P27" s="147"/>
      <c r="Q27" s="148"/>
      <c r="R27" s="148"/>
      <c r="S27" s="149"/>
      <c r="T27" s="150"/>
      <c r="U27" s="151"/>
      <c r="V27" s="151"/>
      <c r="W27" s="151">
        <v>16.5</v>
      </c>
      <c r="X27" s="151"/>
      <c r="Y27" s="151">
        <v>16.0</v>
      </c>
      <c r="Z27" s="152"/>
      <c r="AA27" s="152"/>
      <c r="AB27" s="151"/>
      <c r="AC27" s="151"/>
      <c r="AD27" s="151"/>
      <c r="AE27" s="151"/>
      <c r="AF27" s="151"/>
      <c r="AG27" s="151"/>
      <c r="AH27" s="151"/>
      <c r="AI27" s="151"/>
      <c r="AJ27" s="151"/>
      <c r="AK27" s="152">
        <v>0.0</v>
      </c>
      <c r="AL27" s="152"/>
      <c r="AM27" s="151"/>
      <c r="AN27" s="151">
        <v>0.0</v>
      </c>
      <c r="AO27" s="151"/>
      <c r="AP27" s="151"/>
      <c r="AQ27" s="151"/>
      <c r="AR27" s="151"/>
      <c r="AS27" s="151"/>
      <c r="AT27" s="151"/>
      <c r="AU27" s="152">
        <v>0.0</v>
      </c>
      <c r="AV27" s="152"/>
      <c r="AW27" s="151"/>
      <c r="AX27" s="151"/>
      <c r="AY27" s="151"/>
      <c r="AZ27" s="153"/>
      <c r="BA27" s="153">
        <v>0.0</v>
      </c>
      <c r="BB27" s="153"/>
      <c r="BC27" s="153"/>
      <c r="BD27" s="153"/>
      <c r="BE27" s="141">
        <v>0.0</v>
      </c>
      <c r="BF27" s="141"/>
      <c r="BG27" s="141"/>
      <c r="BH27" s="141"/>
      <c r="BI27" s="141"/>
      <c r="BJ27" s="141"/>
      <c r="BK27" s="141">
        <v>0.0</v>
      </c>
      <c r="BL27" s="141"/>
      <c r="BM27" s="141"/>
      <c r="BN27" s="141"/>
      <c r="BO27" s="141"/>
      <c r="BP27" s="116"/>
      <c r="BQ27" s="116"/>
      <c r="BR27" s="116">
        <v>0.0</v>
      </c>
      <c r="BS27" s="116"/>
      <c r="BT27" s="116"/>
      <c r="BU27" s="116"/>
      <c r="BV27" s="116"/>
      <c r="BW27" s="116"/>
      <c r="BX27" s="116"/>
      <c r="BY27" s="116"/>
      <c r="BZ27" s="116"/>
      <c r="CA27" s="116">
        <v>0.0</v>
      </c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94</v>
      </c>
      <c r="D28" s="119">
        <v>10.0</v>
      </c>
      <c r="E28" s="120">
        <v>32.5</v>
      </c>
      <c r="F28" s="121">
        <v>16.25</v>
      </c>
      <c r="G28" s="122">
        <v>2.5</v>
      </c>
      <c r="H28" s="121">
        <v>7.5</v>
      </c>
      <c r="I28" s="123">
        <v>25.0</v>
      </c>
      <c r="J28" s="124">
        <v>0.0</v>
      </c>
      <c r="K28" s="125">
        <v>0.0</v>
      </c>
      <c r="L28" s="126">
        <v>0.0</v>
      </c>
      <c r="M28" s="127">
        <v>3.0</v>
      </c>
      <c r="N28" s="127">
        <v>0.0</v>
      </c>
      <c r="O28" s="128">
        <v>2.0</v>
      </c>
      <c r="P28" s="129"/>
      <c r="Q28" s="130"/>
      <c r="R28" s="130"/>
      <c r="S28" s="131"/>
      <c r="T28" s="132"/>
      <c r="U28" s="133"/>
      <c r="V28" s="133"/>
      <c r="W28" s="133">
        <v>18.25</v>
      </c>
      <c r="X28" s="134"/>
      <c r="Y28" s="133">
        <v>14.25</v>
      </c>
      <c r="Z28" s="133"/>
      <c r="AA28" s="133"/>
      <c r="AB28" s="133"/>
      <c r="AC28" s="134"/>
      <c r="AD28" s="133"/>
      <c r="AE28" s="133"/>
      <c r="AF28" s="133"/>
      <c r="AG28" s="133"/>
      <c r="AH28" s="134">
        <v>0.0</v>
      </c>
      <c r="AI28" s="133"/>
      <c r="AJ28" s="133"/>
      <c r="AK28" s="133"/>
      <c r="AL28" s="133"/>
      <c r="AM28" s="133"/>
      <c r="AN28" s="134"/>
      <c r="AO28" s="133"/>
      <c r="AP28" s="133">
        <v>0.0</v>
      </c>
      <c r="AQ28" s="133">
        <v>0.0</v>
      </c>
      <c r="AR28" s="134"/>
      <c r="AS28" s="133"/>
      <c r="AT28" s="133"/>
      <c r="AU28" s="133"/>
      <c r="AV28" s="133"/>
      <c r="AW28" s="133"/>
      <c r="AX28" s="133"/>
      <c r="AY28" s="133"/>
      <c r="AZ28" s="135">
        <v>0.0</v>
      </c>
      <c r="BA28" s="135"/>
      <c r="BB28" s="135"/>
      <c r="BC28" s="135"/>
      <c r="BD28" s="135"/>
      <c r="BE28" s="123"/>
      <c r="BF28" s="123">
        <v>0.0</v>
      </c>
      <c r="BG28" s="123">
        <v>0.0</v>
      </c>
      <c r="BH28" s="123"/>
      <c r="BI28" s="123"/>
      <c r="BJ28" s="123"/>
      <c r="BK28" s="123"/>
      <c r="BL28" s="123"/>
      <c r="BM28" s="123"/>
      <c r="BN28" s="123">
        <v>0.0</v>
      </c>
      <c r="BO28" s="123"/>
      <c r="BP28" s="116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>
        <v>0.0</v>
      </c>
      <c r="CA28" s="116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95</v>
      </c>
      <c r="D29" s="137">
        <v>10.0</v>
      </c>
      <c r="E29" s="138">
        <v>32.25</v>
      </c>
      <c r="F29" s="139">
        <v>16.125</v>
      </c>
      <c r="G29" s="140">
        <v>2.725</v>
      </c>
      <c r="H29" s="139">
        <v>5.0</v>
      </c>
      <c r="I29" s="141">
        <v>25.75</v>
      </c>
      <c r="J29" s="142">
        <v>0.5</v>
      </c>
      <c r="K29" s="143">
        <v>1.0</v>
      </c>
      <c r="L29" s="144">
        <v>2.0</v>
      </c>
      <c r="M29" s="145">
        <v>2.0</v>
      </c>
      <c r="N29" s="145">
        <v>1.0</v>
      </c>
      <c r="O29" s="146">
        <v>3.0</v>
      </c>
      <c r="P29" s="147"/>
      <c r="Q29" s="148"/>
      <c r="R29" s="148"/>
      <c r="S29" s="149"/>
      <c r="T29" s="150"/>
      <c r="U29" s="151"/>
      <c r="V29" s="151">
        <v>15.5</v>
      </c>
      <c r="W29" s="151"/>
      <c r="X29" s="151">
        <v>16.75</v>
      </c>
      <c r="Y29" s="151"/>
      <c r="Z29" s="152"/>
      <c r="AA29" s="152"/>
      <c r="AB29" s="151"/>
      <c r="AC29" s="151"/>
      <c r="AD29" s="151">
        <v>0.0</v>
      </c>
      <c r="AE29" s="151"/>
      <c r="AF29" s="151"/>
      <c r="AG29" s="151"/>
      <c r="AH29" s="151"/>
      <c r="AI29" s="151"/>
      <c r="AJ29" s="151"/>
      <c r="AK29" s="152">
        <v>0.0</v>
      </c>
      <c r="AL29" s="152"/>
      <c r="AM29" s="151"/>
      <c r="AN29" s="151"/>
      <c r="AO29" s="151"/>
      <c r="AP29" s="151"/>
      <c r="AQ29" s="151"/>
      <c r="AR29" s="151"/>
      <c r="AS29" s="151"/>
      <c r="AT29" s="151">
        <v>0.0</v>
      </c>
      <c r="AU29" s="152"/>
      <c r="AV29" s="152"/>
      <c r="AW29" s="151"/>
      <c r="AX29" s="151"/>
      <c r="AY29" s="151">
        <v>0.0</v>
      </c>
      <c r="AZ29" s="153"/>
      <c r="BA29" s="153"/>
      <c r="BB29" s="153"/>
      <c r="BC29" s="153"/>
      <c r="BD29" s="153">
        <v>0.0</v>
      </c>
      <c r="BE29" s="141"/>
      <c r="BF29" s="141"/>
      <c r="BG29" s="141"/>
      <c r="BH29" s="141">
        <v>0.0</v>
      </c>
      <c r="BI29" s="141"/>
      <c r="BJ29" s="141"/>
      <c r="BK29" s="141"/>
      <c r="BL29" s="141"/>
      <c r="BM29" s="141">
        <v>0.0</v>
      </c>
      <c r="BN29" s="141"/>
      <c r="BO29" s="141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>
        <v>0.0</v>
      </c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138</v>
      </c>
      <c r="D30" s="119">
        <v>5.0</v>
      </c>
      <c r="E30" s="120">
        <v>26.0</v>
      </c>
      <c r="F30" s="121">
        <v>26.0</v>
      </c>
      <c r="G30" s="122">
        <v>3.2</v>
      </c>
      <c r="H30" s="121">
        <v>10.0</v>
      </c>
      <c r="I30" s="123">
        <v>16.0</v>
      </c>
      <c r="J30" s="124">
        <v>0.0</v>
      </c>
      <c r="K30" s="125">
        <v>0.0</v>
      </c>
      <c r="L30" s="126">
        <v>0.0</v>
      </c>
      <c r="M30" s="127">
        <v>4.0</v>
      </c>
      <c r="N30" s="127">
        <v>0.0</v>
      </c>
      <c r="O30" s="128">
        <v>0.0</v>
      </c>
      <c r="P30" s="129"/>
      <c r="Q30" s="130"/>
      <c r="R30" s="130"/>
      <c r="S30" s="131"/>
      <c r="T30" s="132"/>
      <c r="U30" s="133">
        <v>26.0</v>
      </c>
      <c r="V30" s="133"/>
      <c r="W30" s="133"/>
      <c r="X30" s="134"/>
      <c r="Y30" s="133"/>
      <c r="Z30" s="133"/>
      <c r="AA30" s="133">
        <v>0.0</v>
      </c>
      <c r="AB30" s="133"/>
      <c r="AC30" s="134"/>
      <c r="AD30" s="133">
        <v>0.0</v>
      </c>
      <c r="AE30" s="133"/>
      <c r="AF30" s="133"/>
      <c r="AG30" s="133">
        <v>0.0</v>
      </c>
      <c r="AH30" s="134"/>
      <c r="AI30" s="133"/>
      <c r="AJ30" s="133"/>
      <c r="AK30" s="133"/>
      <c r="AL30" s="133"/>
      <c r="AM30" s="133"/>
      <c r="AN30" s="134"/>
      <c r="AO30" s="133">
        <v>0.0</v>
      </c>
      <c r="AP30" s="133"/>
      <c r="AQ30" s="133"/>
      <c r="AR30" s="134">
        <v>0.0</v>
      </c>
      <c r="AS30" s="133"/>
      <c r="AT30" s="133"/>
      <c r="AU30" s="133"/>
      <c r="AV30" s="133"/>
      <c r="AW30" s="133"/>
      <c r="AX30" s="133"/>
      <c r="AY30" s="133"/>
      <c r="AZ30" s="135"/>
      <c r="BA30" s="135"/>
      <c r="BB30" s="135">
        <v>0.0</v>
      </c>
      <c r="BC30" s="135"/>
      <c r="BD30" s="135"/>
      <c r="BE30" s="123">
        <v>0.0</v>
      </c>
      <c r="BF30" s="123"/>
      <c r="BG30" s="123"/>
      <c r="BH30" s="123"/>
      <c r="BI30" s="123"/>
      <c r="BJ30" s="123">
        <v>0.0</v>
      </c>
      <c r="BK30" s="123"/>
      <c r="BL30" s="123"/>
      <c r="BM30" s="123"/>
      <c r="BN30" s="123"/>
      <c r="BO30" s="123"/>
      <c r="BP30" s="116"/>
      <c r="BQ30" s="116"/>
      <c r="BR30" s="116"/>
      <c r="BS30" s="116">
        <v>0.0</v>
      </c>
      <c r="BT30" s="116"/>
      <c r="BU30" s="116"/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110</v>
      </c>
      <c r="D31" s="137">
        <v>5.0</v>
      </c>
      <c r="E31" s="138">
        <v>25.25</v>
      </c>
      <c r="F31" s="139">
        <v>25.25</v>
      </c>
      <c r="G31" s="140">
        <v>3.05</v>
      </c>
      <c r="H31" s="139">
        <v>10.0</v>
      </c>
      <c r="I31" s="141">
        <v>15.25</v>
      </c>
      <c r="J31" s="142">
        <v>0.0</v>
      </c>
      <c r="K31" s="143">
        <v>0.0</v>
      </c>
      <c r="L31" s="144">
        <v>0.0</v>
      </c>
      <c r="M31" s="145">
        <v>4.0</v>
      </c>
      <c r="N31" s="145">
        <v>0.0</v>
      </c>
      <c r="O31" s="146">
        <v>0.0</v>
      </c>
      <c r="P31" s="147"/>
      <c r="Q31" s="148"/>
      <c r="R31" s="148"/>
      <c r="S31" s="149"/>
      <c r="T31" s="150"/>
      <c r="U31" s="151">
        <v>25.25</v>
      </c>
      <c r="V31" s="151"/>
      <c r="W31" s="151"/>
      <c r="X31" s="151"/>
      <c r="Y31" s="151"/>
      <c r="Z31" s="152">
        <v>0.0</v>
      </c>
      <c r="AA31" s="152"/>
      <c r="AB31" s="151"/>
      <c r="AC31" s="151"/>
      <c r="AD31" s="151"/>
      <c r="AE31" s="151"/>
      <c r="AF31" s="151">
        <v>0.0</v>
      </c>
      <c r="AG31" s="151"/>
      <c r="AH31" s="151"/>
      <c r="AI31" s="151">
        <v>0.0</v>
      </c>
      <c r="AJ31" s="151"/>
      <c r="AK31" s="152"/>
      <c r="AL31" s="152"/>
      <c r="AM31" s="151"/>
      <c r="AN31" s="151"/>
      <c r="AO31" s="151"/>
      <c r="AP31" s="151">
        <v>0.0</v>
      </c>
      <c r="AQ31" s="151"/>
      <c r="AR31" s="151"/>
      <c r="AS31" s="151"/>
      <c r="AT31" s="151"/>
      <c r="AU31" s="152">
        <v>0.0</v>
      </c>
      <c r="AV31" s="152"/>
      <c r="AW31" s="151"/>
      <c r="AX31" s="151"/>
      <c r="AY31" s="151"/>
      <c r="AZ31" s="153"/>
      <c r="BA31" s="153"/>
      <c r="BB31" s="153"/>
      <c r="BC31" s="153">
        <v>0.0</v>
      </c>
      <c r="BD31" s="153"/>
      <c r="BE31" s="141">
        <v>0.0</v>
      </c>
      <c r="BF31" s="141"/>
      <c r="BG31" s="141"/>
      <c r="BH31" s="141"/>
      <c r="BI31" s="141"/>
      <c r="BJ31" s="141"/>
      <c r="BK31" s="141"/>
      <c r="BL31" s="141"/>
      <c r="BM31" s="141"/>
      <c r="BN31" s="141"/>
      <c r="BO31" s="141">
        <v>0.0</v>
      </c>
      <c r="BP31" s="116"/>
      <c r="BQ31" s="116"/>
      <c r="BR31" s="116"/>
      <c r="BS31" s="116"/>
      <c r="BT31" s="116"/>
      <c r="BU31" s="116"/>
      <c r="BV31" s="116"/>
      <c r="BW31" s="116"/>
      <c r="BX31" s="116">
        <v>0.0</v>
      </c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79</v>
      </c>
      <c r="D32" s="119">
        <v>5.0</v>
      </c>
      <c r="E32" s="120">
        <v>22.75</v>
      </c>
      <c r="F32" s="121">
        <v>22.75</v>
      </c>
      <c r="G32" s="122">
        <v>3.05</v>
      </c>
      <c r="H32" s="121">
        <v>7.5</v>
      </c>
      <c r="I32" s="123">
        <v>15.25</v>
      </c>
      <c r="J32" s="124">
        <v>0.0</v>
      </c>
      <c r="K32" s="125">
        <v>0.0</v>
      </c>
      <c r="L32" s="126">
        <v>0.0</v>
      </c>
      <c r="M32" s="127">
        <v>3.0</v>
      </c>
      <c r="N32" s="127">
        <v>0.0</v>
      </c>
      <c r="O32" s="128">
        <v>0.0</v>
      </c>
      <c r="P32" s="129"/>
      <c r="Q32" s="130"/>
      <c r="R32" s="130"/>
      <c r="S32" s="131"/>
      <c r="T32" s="132"/>
      <c r="U32" s="133"/>
      <c r="V32" s="133"/>
      <c r="W32" s="133">
        <v>22.75</v>
      </c>
      <c r="X32" s="134"/>
      <c r="Y32" s="133"/>
      <c r="Z32" s="133"/>
      <c r="AA32" s="133"/>
      <c r="AB32" s="133">
        <v>0.0</v>
      </c>
      <c r="AC32" s="134"/>
      <c r="AD32" s="133"/>
      <c r="AE32" s="133"/>
      <c r="AF32" s="133"/>
      <c r="AG32" s="133"/>
      <c r="AH32" s="134"/>
      <c r="AI32" s="133">
        <v>0.0</v>
      </c>
      <c r="AJ32" s="133"/>
      <c r="AK32" s="133"/>
      <c r="AL32" s="133"/>
      <c r="AM32" s="133"/>
      <c r="AN32" s="134"/>
      <c r="AO32" s="133"/>
      <c r="AP32" s="133"/>
      <c r="AQ32" s="133"/>
      <c r="AR32" s="134"/>
      <c r="AS32" s="133">
        <v>0.0</v>
      </c>
      <c r="AT32" s="133"/>
      <c r="AU32" s="133"/>
      <c r="AV32" s="133"/>
      <c r="AW32" s="133"/>
      <c r="AX32" s="133">
        <v>0.0</v>
      </c>
      <c r="AY32" s="133"/>
      <c r="AZ32" s="135"/>
      <c r="BA32" s="135"/>
      <c r="BB32" s="135"/>
      <c r="BC32" s="135">
        <v>0.0</v>
      </c>
      <c r="BD32" s="135"/>
      <c r="BE32" s="123"/>
      <c r="BF32" s="123"/>
      <c r="BG32" s="123">
        <v>0.0</v>
      </c>
      <c r="BH32" s="123"/>
      <c r="BI32" s="123"/>
      <c r="BJ32" s="123"/>
      <c r="BK32" s="123">
        <v>0.0</v>
      </c>
      <c r="BL32" s="123"/>
      <c r="BM32" s="123"/>
      <c r="BN32" s="123"/>
      <c r="BO32" s="123"/>
      <c r="BP32" s="116"/>
      <c r="BQ32" s="116"/>
      <c r="BR32" s="116">
        <v>0.0</v>
      </c>
      <c r="BS32" s="116"/>
      <c r="BT32" s="116"/>
      <c r="BU32" s="116">
        <v>0.0</v>
      </c>
      <c r="BV32" s="116">
        <v>0.0</v>
      </c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96</v>
      </c>
      <c r="D33" s="137">
        <v>5.0</v>
      </c>
      <c r="E33" s="138">
        <v>22.5</v>
      </c>
      <c r="F33" s="139">
        <v>22.5</v>
      </c>
      <c r="G33" s="140">
        <v>2.5</v>
      </c>
      <c r="H33" s="139">
        <v>10.0</v>
      </c>
      <c r="I33" s="141">
        <v>12.0</v>
      </c>
      <c r="J33" s="142">
        <v>0.0</v>
      </c>
      <c r="K33" s="143">
        <v>0.5</v>
      </c>
      <c r="L33" s="144">
        <v>1.0</v>
      </c>
      <c r="M33" s="145">
        <v>4.0</v>
      </c>
      <c r="N33" s="145">
        <v>1.0</v>
      </c>
      <c r="O33" s="146">
        <v>0.0</v>
      </c>
      <c r="P33" s="147"/>
      <c r="Q33" s="148"/>
      <c r="R33" s="148"/>
      <c r="S33" s="149"/>
      <c r="T33" s="150"/>
      <c r="U33" s="151"/>
      <c r="V33" s="151"/>
      <c r="W33" s="151">
        <v>22.5</v>
      </c>
      <c r="X33" s="151"/>
      <c r="Y33" s="151"/>
      <c r="Z33" s="152"/>
      <c r="AA33" s="152">
        <v>0.0</v>
      </c>
      <c r="AB33" s="151"/>
      <c r="AC33" s="151"/>
      <c r="AD33" s="151">
        <v>0.0</v>
      </c>
      <c r="AE33" s="151"/>
      <c r="AF33" s="151"/>
      <c r="AG33" s="151"/>
      <c r="AH33" s="151"/>
      <c r="AI33" s="151">
        <v>0.0</v>
      </c>
      <c r="AJ33" s="151"/>
      <c r="AK33" s="152"/>
      <c r="AL33" s="152"/>
      <c r="AM33" s="151"/>
      <c r="AN33" s="151"/>
      <c r="AO33" s="151"/>
      <c r="AP33" s="151"/>
      <c r="AQ33" s="151"/>
      <c r="AR33" s="151"/>
      <c r="AS33" s="151"/>
      <c r="AT33" s="151"/>
      <c r="AU33" s="152"/>
      <c r="AV33" s="152"/>
      <c r="AW33" s="151"/>
      <c r="AX33" s="151"/>
      <c r="AY33" s="151"/>
      <c r="AZ33" s="153">
        <v>0.0</v>
      </c>
      <c r="BA33" s="153"/>
      <c r="BB33" s="153"/>
      <c r="BC33" s="153"/>
      <c r="BD33" s="153">
        <v>0.0</v>
      </c>
      <c r="BE33" s="141"/>
      <c r="BF33" s="141"/>
      <c r="BG33" s="141"/>
      <c r="BH33" s="141"/>
      <c r="BI33" s="141"/>
      <c r="BJ33" s="141">
        <v>0.0</v>
      </c>
      <c r="BK33" s="141"/>
      <c r="BL33" s="141"/>
      <c r="BM33" s="141"/>
      <c r="BN33" s="141">
        <v>0.0</v>
      </c>
      <c r="BO33" s="141"/>
      <c r="BP33" s="116"/>
      <c r="BQ33" s="116"/>
      <c r="BR33" s="116"/>
      <c r="BS33" s="116"/>
      <c r="BT33" s="116">
        <v>0.0</v>
      </c>
      <c r="BU33" s="116"/>
      <c r="BV33" s="116"/>
      <c r="BW33" s="116"/>
      <c r="BX33" s="116"/>
      <c r="BY33" s="116"/>
      <c r="BZ33" s="116"/>
      <c r="CA33" s="116">
        <v>0.0</v>
      </c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132</v>
      </c>
      <c r="D34" s="119">
        <v>5.0</v>
      </c>
      <c r="E34" s="120">
        <v>22.25</v>
      </c>
      <c r="F34" s="121">
        <v>22.25</v>
      </c>
      <c r="G34" s="122">
        <v>2.95</v>
      </c>
      <c r="H34" s="121">
        <v>7.5</v>
      </c>
      <c r="I34" s="123">
        <v>14.75</v>
      </c>
      <c r="J34" s="124">
        <v>0.0</v>
      </c>
      <c r="K34" s="125">
        <v>0.0</v>
      </c>
      <c r="L34" s="126">
        <v>0.0</v>
      </c>
      <c r="M34" s="127">
        <v>3.0</v>
      </c>
      <c r="N34" s="127">
        <v>1.0</v>
      </c>
      <c r="O34" s="128">
        <v>1.0</v>
      </c>
      <c r="P34" s="129"/>
      <c r="Q34" s="130"/>
      <c r="R34" s="130"/>
      <c r="S34" s="131"/>
      <c r="T34" s="132"/>
      <c r="U34" s="133"/>
      <c r="V34" s="133">
        <v>22.25</v>
      </c>
      <c r="W34" s="133"/>
      <c r="X34" s="134"/>
      <c r="Y34" s="133"/>
      <c r="Z34" s="133"/>
      <c r="AA34" s="133"/>
      <c r="AB34" s="133">
        <v>0.0</v>
      </c>
      <c r="AC34" s="134"/>
      <c r="AD34" s="133"/>
      <c r="AE34" s="133"/>
      <c r="AF34" s="133">
        <v>0.0</v>
      </c>
      <c r="AG34" s="133"/>
      <c r="AH34" s="134"/>
      <c r="AI34" s="133"/>
      <c r="AJ34" s="133"/>
      <c r="AK34" s="133"/>
      <c r="AL34" s="133"/>
      <c r="AM34" s="133"/>
      <c r="AN34" s="134"/>
      <c r="AO34" s="133"/>
      <c r="AP34" s="133"/>
      <c r="AQ34" s="133"/>
      <c r="AR34" s="134"/>
      <c r="AS34" s="133"/>
      <c r="AT34" s="133"/>
      <c r="AU34" s="133"/>
      <c r="AV34" s="133"/>
      <c r="AW34" s="133"/>
      <c r="AX34" s="133"/>
      <c r="AY34" s="133"/>
      <c r="AZ34" s="135">
        <v>0.0</v>
      </c>
      <c r="BA34" s="135"/>
      <c r="BB34" s="135">
        <v>0.0</v>
      </c>
      <c r="BC34" s="135"/>
      <c r="BD34" s="135">
        <v>0.0</v>
      </c>
      <c r="BE34" s="123">
        <v>0.0</v>
      </c>
      <c r="BF34" s="123"/>
      <c r="BG34" s="123">
        <v>0.0</v>
      </c>
      <c r="BH34" s="123"/>
      <c r="BI34" s="123">
        <v>0.0</v>
      </c>
      <c r="BJ34" s="123"/>
      <c r="BK34" s="123"/>
      <c r="BL34" s="123"/>
      <c r="BM34" s="123"/>
      <c r="BN34" s="123"/>
      <c r="BO34" s="123"/>
      <c r="BP34" s="116"/>
      <c r="BQ34" s="116"/>
      <c r="BR34" s="116"/>
      <c r="BS34" s="116">
        <v>0.0</v>
      </c>
      <c r="BT34" s="116"/>
      <c r="BU34" s="116"/>
      <c r="BV34" s="116"/>
      <c r="BW34" s="116"/>
      <c r="BX34" s="116"/>
      <c r="BY34" s="116"/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90</v>
      </c>
      <c r="D35" s="137">
        <v>5.0</v>
      </c>
      <c r="E35" s="138">
        <v>22.0</v>
      </c>
      <c r="F35" s="139">
        <v>22.0</v>
      </c>
      <c r="G35" s="140">
        <v>2.9</v>
      </c>
      <c r="H35" s="139">
        <v>7.5</v>
      </c>
      <c r="I35" s="141">
        <v>14.5</v>
      </c>
      <c r="J35" s="142">
        <v>0.0</v>
      </c>
      <c r="K35" s="143">
        <v>0.0</v>
      </c>
      <c r="L35" s="144">
        <v>0.0</v>
      </c>
      <c r="M35" s="145">
        <v>3.0</v>
      </c>
      <c r="N35" s="145">
        <v>0.0</v>
      </c>
      <c r="O35" s="146">
        <v>0.0</v>
      </c>
      <c r="P35" s="147"/>
      <c r="Q35" s="148"/>
      <c r="R35" s="148"/>
      <c r="S35" s="149"/>
      <c r="T35" s="150">
        <v>22.0</v>
      </c>
      <c r="U35" s="151"/>
      <c r="V35" s="151"/>
      <c r="W35" s="151"/>
      <c r="X35" s="151"/>
      <c r="Y35" s="151"/>
      <c r="Z35" s="152">
        <v>0.0</v>
      </c>
      <c r="AA35" s="152"/>
      <c r="AB35" s="151"/>
      <c r="AC35" s="151">
        <v>0.0</v>
      </c>
      <c r="AD35" s="151"/>
      <c r="AE35" s="151"/>
      <c r="AF35" s="151"/>
      <c r="AG35" s="151"/>
      <c r="AH35" s="151"/>
      <c r="AI35" s="151"/>
      <c r="AJ35" s="151"/>
      <c r="AK35" s="152"/>
      <c r="AL35" s="152"/>
      <c r="AM35" s="151"/>
      <c r="AN35" s="151">
        <v>0.0</v>
      </c>
      <c r="AO35" s="151"/>
      <c r="AP35" s="151"/>
      <c r="AQ35" s="151"/>
      <c r="AR35" s="151"/>
      <c r="AS35" s="151"/>
      <c r="AT35" s="151"/>
      <c r="AU35" s="152">
        <v>0.0</v>
      </c>
      <c r="AV35" s="152"/>
      <c r="AW35" s="151"/>
      <c r="AX35" s="151"/>
      <c r="AY35" s="151"/>
      <c r="AZ35" s="153">
        <v>0.0</v>
      </c>
      <c r="BA35" s="153"/>
      <c r="BB35" s="153"/>
      <c r="BC35" s="153"/>
      <c r="BD35" s="153">
        <v>0.0</v>
      </c>
      <c r="BE35" s="141"/>
      <c r="BF35" s="141"/>
      <c r="BG35" s="141"/>
      <c r="BH35" s="141"/>
      <c r="BI35" s="141"/>
      <c r="BJ35" s="141">
        <v>0.0</v>
      </c>
      <c r="BK35" s="141"/>
      <c r="BL35" s="141"/>
      <c r="BM35" s="141"/>
      <c r="BN35" s="141"/>
      <c r="BO35" s="141"/>
      <c r="BP35" s="116"/>
      <c r="BQ35" s="116"/>
      <c r="BR35" s="116">
        <v>0.0</v>
      </c>
      <c r="BS35" s="116"/>
      <c r="BT35" s="116"/>
      <c r="BU35" s="116"/>
      <c r="BV35" s="116"/>
      <c r="BW35" s="116">
        <v>0.0</v>
      </c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98</v>
      </c>
      <c r="D36" s="119">
        <v>5.0</v>
      </c>
      <c r="E36" s="120">
        <v>21.5</v>
      </c>
      <c r="F36" s="121">
        <v>21.5</v>
      </c>
      <c r="G36" s="122">
        <v>2.8</v>
      </c>
      <c r="H36" s="121">
        <v>7.5</v>
      </c>
      <c r="I36" s="123">
        <v>13.0</v>
      </c>
      <c r="J36" s="124">
        <v>0.5</v>
      </c>
      <c r="K36" s="125">
        <v>0.5</v>
      </c>
      <c r="L36" s="126">
        <v>1.0</v>
      </c>
      <c r="M36" s="127">
        <v>3.0</v>
      </c>
      <c r="N36" s="127">
        <v>2.0</v>
      </c>
      <c r="O36" s="128">
        <v>1.0</v>
      </c>
      <c r="P36" s="129"/>
      <c r="Q36" s="130"/>
      <c r="R36" s="130"/>
      <c r="S36" s="131"/>
      <c r="T36" s="132"/>
      <c r="U36" s="133">
        <v>21.5</v>
      </c>
      <c r="V36" s="133"/>
      <c r="W36" s="133"/>
      <c r="X36" s="134"/>
      <c r="Y36" s="133"/>
      <c r="Z36" s="133"/>
      <c r="AA36" s="133">
        <v>0.0</v>
      </c>
      <c r="AB36" s="133"/>
      <c r="AC36" s="134"/>
      <c r="AD36" s="133"/>
      <c r="AE36" s="133"/>
      <c r="AF36" s="133">
        <v>0.0</v>
      </c>
      <c r="AG36" s="133"/>
      <c r="AH36" s="134"/>
      <c r="AI36" s="133"/>
      <c r="AJ36" s="133">
        <v>0.0</v>
      </c>
      <c r="AK36" s="133"/>
      <c r="AL36" s="133"/>
      <c r="AM36" s="133"/>
      <c r="AN36" s="134"/>
      <c r="AO36" s="133"/>
      <c r="AP36" s="133">
        <v>0.0</v>
      </c>
      <c r="AQ36" s="133"/>
      <c r="AR36" s="134"/>
      <c r="AS36" s="133">
        <v>0.0</v>
      </c>
      <c r="AT36" s="133"/>
      <c r="AU36" s="133"/>
      <c r="AV36" s="133"/>
      <c r="AW36" s="133"/>
      <c r="AX36" s="133"/>
      <c r="AY36" s="133"/>
      <c r="AZ36" s="135"/>
      <c r="BA36" s="135">
        <v>0.0</v>
      </c>
      <c r="BB36" s="135"/>
      <c r="BC36" s="135"/>
      <c r="BD36" s="135"/>
      <c r="BE36" s="123"/>
      <c r="BF36" s="123"/>
      <c r="BG36" s="123"/>
      <c r="BH36" s="123"/>
      <c r="BI36" s="123"/>
      <c r="BJ36" s="123">
        <v>0.0</v>
      </c>
      <c r="BK36" s="123"/>
      <c r="BL36" s="123"/>
      <c r="BM36" s="123"/>
      <c r="BN36" s="123"/>
      <c r="BO36" s="123"/>
      <c r="BP36" s="116"/>
      <c r="BQ36" s="116"/>
      <c r="BR36" s="116">
        <v>0.0</v>
      </c>
      <c r="BS36" s="116"/>
      <c r="BT36" s="116"/>
      <c r="BU36" s="116"/>
      <c r="BV36" s="116">
        <v>0.0</v>
      </c>
      <c r="BW36" s="116"/>
      <c r="BX36" s="116"/>
      <c r="BY36" s="116"/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104</v>
      </c>
      <c r="D37" s="137">
        <v>5.0</v>
      </c>
      <c r="E37" s="138">
        <v>21.0</v>
      </c>
      <c r="F37" s="139">
        <v>21.0</v>
      </c>
      <c r="G37" s="140">
        <v>3.2</v>
      </c>
      <c r="H37" s="139">
        <v>5.0</v>
      </c>
      <c r="I37" s="141">
        <v>15.5</v>
      </c>
      <c r="J37" s="142">
        <v>0.0</v>
      </c>
      <c r="K37" s="143">
        <v>0.5</v>
      </c>
      <c r="L37" s="144">
        <v>1.0</v>
      </c>
      <c r="M37" s="145">
        <v>2.0</v>
      </c>
      <c r="N37" s="145">
        <v>1.0</v>
      </c>
      <c r="O37" s="146">
        <v>1.0</v>
      </c>
      <c r="P37" s="147"/>
      <c r="Q37" s="148"/>
      <c r="R37" s="148"/>
      <c r="S37" s="149"/>
      <c r="T37" s="150">
        <v>21.0</v>
      </c>
      <c r="U37" s="151"/>
      <c r="V37" s="151"/>
      <c r="W37" s="151"/>
      <c r="X37" s="151"/>
      <c r="Y37" s="151"/>
      <c r="Z37" s="152"/>
      <c r="AA37" s="152"/>
      <c r="AB37" s="151"/>
      <c r="AC37" s="151"/>
      <c r="AD37" s="151"/>
      <c r="AE37" s="151"/>
      <c r="AF37" s="151">
        <v>0.0</v>
      </c>
      <c r="AG37" s="151"/>
      <c r="AH37" s="151"/>
      <c r="AI37" s="151">
        <v>0.0</v>
      </c>
      <c r="AJ37" s="151"/>
      <c r="AK37" s="152"/>
      <c r="AL37" s="152"/>
      <c r="AM37" s="151">
        <v>0.0</v>
      </c>
      <c r="AN37" s="151"/>
      <c r="AO37" s="151"/>
      <c r="AP37" s="151"/>
      <c r="AQ37" s="151">
        <v>0.0</v>
      </c>
      <c r="AR37" s="151"/>
      <c r="AS37" s="151"/>
      <c r="AT37" s="151"/>
      <c r="AU37" s="152"/>
      <c r="AV37" s="152"/>
      <c r="AW37" s="151"/>
      <c r="AX37" s="151"/>
      <c r="AY37" s="151"/>
      <c r="AZ37" s="153"/>
      <c r="BA37" s="153"/>
      <c r="BB37" s="153"/>
      <c r="BC37" s="153">
        <v>0.0</v>
      </c>
      <c r="BD37" s="153"/>
      <c r="BE37" s="141"/>
      <c r="BF37" s="141">
        <v>0.0</v>
      </c>
      <c r="BG37" s="141"/>
      <c r="BH37" s="141"/>
      <c r="BI37" s="141">
        <v>0.0</v>
      </c>
      <c r="BJ37" s="141"/>
      <c r="BK37" s="141">
        <v>0.0</v>
      </c>
      <c r="BL37" s="141"/>
      <c r="BM37" s="141"/>
      <c r="BN37" s="141"/>
      <c r="BO37" s="141"/>
      <c r="BP37" s="116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>
        <v>0.0</v>
      </c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127</v>
      </c>
      <c r="D38" s="119">
        <v>5.0</v>
      </c>
      <c r="E38" s="120">
        <v>21.0</v>
      </c>
      <c r="F38" s="121">
        <v>21.0</v>
      </c>
      <c r="G38" s="122">
        <v>2.7</v>
      </c>
      <c r="H38" s="121">
        <v>7.5</v>
      </c>
      <c r="I38" s="123">
        <v>13.0</v>
      </c>
      <c r="J38" s="124">
        <v>0.0</v>
      </c>
      <c r="K38" s="125">
        <v>0.5</v>
      </c>
      <c r="L38" s="126">
        <v>1.0</v>
      </c>
      <c r="M38" s="127">
        <v>3.0</v>
      </c>
      <c r="N38" s="127">
        <v>0.0</v>
      </c>
      <c r="O38" s="128">
        <v>1.0</v>
      </c>
      <c r="P38" s="129"/>
      <c r="Q38" s="130"/>
      <c r="R38" s="130"/>
      <c r="S38" s="131"/>
      <c r="T38" s="132"/>
      <c r="U38" s="133">
        <v>21.0</v>
      </c>
      <c r="V38" s="133"/>
      <c r="W38" s="133"/>
      <c r="X38" s="134"/>
      <c r="Y38" s="133"/>
      <c r="Z38" s="133"/>
      <c r="AA38" s="133"/>
      <c r="AB38" s="133">
        <v>0.0</v>
      </c>
      <c r="AC38" s="134"/>
      <c r="AD38" s="133"/>
      <c r="AE38" s="133"/>
      <c r="AF38" s="133"/>
      <c r="AG38" s="133"/>
      <c r="AH38" s="134"/>
      <c r="AI38" s="133"/>
      <c r="AJ38" s="133"/>
      <c r="AK38" s="133"/>
      <c r="AL38" s="133"/>
      <c r="AM38" s="133">
        <v>0.0</v>
      </c>
      <c r="AN38" s="134"/>
      <c r="AO38" s="133"/>
      <c r="AP38" s="133"/>
      <c r="AQ38" s="133"/>
      <c r="AR38" s="134"/>
      <c r="AS38" s="133"/>
      <c r="AT38" s="133">
        <v>0.0</v>
      </c>
      <c r="AU38" s="133"/>
      <c r="AV38" s="133"/>
      <c r="AW38" s="133"/>
      <c r="AX38" s="133">
        <v>0.0</v>
      </c>
      <c r="AY38" s="133"/>
      <c r="AZ38" s="135"/>
      <c r="BA38" s="135"/>
      <c r="BB38" s="135"/>
      <c r="BC38" s="135"/>
      <c r="BD38" s="135"/>
      <c r="BE38" s="123">
        <v>0.0</v>
      </c>
      <c r="BF38" s="123"/>
      <c r="BG38" s="123"/>
      <c r="BH38" s="123"/>
      <c r="BI38" s="123"/>
      <c r="BJ38" s="123"/>
      <c r="BK38" s="123">
        <v>0.0</v>
      </c>
      <c r="BL38" s="123"/>
      <c r="BM38" s="123"/>
      <c r="BN38" s="123"/>
      <c r="BO38" s="123"/>
      <c r="BP38" s="116">
        <v>0.0</v>
      </c>
      <c r="BQ38" s="116"/>
      <c r="BR38" s="116"/>
      <c r="BS38" s="116">
        <v>0.0</v>
      </c>
      <c r="BT38" s="116"/>
      <c r="BU38" s="116"/>
      <c r="BV38" s="116"/>
      <c r="BW38" s="116"/>
      <c r="BX38" s="116"/>
      <c r="BY38" s="116"/>
      <c r="BZ38" s="116">
        <v>0.0</v>
      </c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122</v>
      </c>
      <c r="D39" s="137">
        <v>5.0</v>
      </c>
      <c r="E39" s="138">
        <v>20.75</v>
      </c>
      <c r="F39" s="139">
        <v>20.75</v>
      </c>
      <c r="G39" s="140">
        <v>2.65</v>
      </c>
      <c r="H39" s="139">
        <v>7.5</v>
      </c>
      <c r="I39" s="141">
        <v>12.75</v>
      </c>
      <c r="J39" s="142">
        <v>0.0</v>
      </c>
      <c r="K39" s="143">
        <v>0.5</v>
      </c>
      <c r="L39" s="144">
        <v>1.0</v>
      </c>
      <c r="M39" s="145">
        <v>3.0</v>
      </c>
      <c r="N39" s="145">
        <v>0.0</v>
      </c>
      <c r="O39" s="146">
        <v>0.0</v>
      </c>
      <c r="P39" s="147"/>
      <c r="Q39" s="148"/>
      <c r="R39" s="148"/>
      <c r="S39" s="149"/>
      <c r="T39" s="150"/>
      <c r="U39" s="151"/>
      <c r="V39" s="151"/>
      <c r="W39" s="151">
        <v>20.75</v>
      </c>
      <c r="X39" s="151"/>
      <c r="Y39" s="151"/>
      <c r="Z39" s="152"/>
      <c r="AA39" s="152"/>
      <c r="AB39" s="151"/>
      <c r="AC39" s="151">
        <v>0.0</v>
      </c>
      <c r="AD39" s="151"/>
      <c r="AE39" s="151"/>
      <c r="AF39" s="151"/>
      <c r="AG39" s="151"/>
      <c r="AH39" s="151"/>
      <c r="AI39" s="151"/>
      <c r="AJ39" s="151"/>
      <c r="AK39" s="152"/>
      <c r="AL39" s="152"/>
      <c r="AM39" s="151"/>
      <c r="AN39" s="151"/>
      <c r="AO39" s="151">
        <v>0.0</v>
      </c>
      <c r="AP39" s="151"/>
      <c r="AQ39" s="151"/>
      <c r="AR39" s="151"/>
      <c r="AS39" s="151">
        <v>0.0</v>
      </c>
      <c r="AT39" s="151"/>
      <c r="AU39" s="152"/>
      <c r="AV39" s="152"/>
      <c r="AW39" s="151">
        <v>0.0</v>
      </c>
      <c r="AX39" s="151"/>
      <c r="AY39" s="151"/>
      <c r="AZ39" s="153"/>
      <c r="BA39" s="153">
        <v>0.0</v>
      </c>
      <c r="BB39" s="153"/>
      <c r="BC39" s="153"/>
      <c r="BD39" s="153"/>
      <c r="BE39" s="141"/>
      <c r="BF39" s="141">
        <v>0.0</v>
      </c>
      <c r="BG39" s="141"/>
      <c r="BH39" s="141"/>
      <c r="BI39" s="141"/>
      <c r="BJ39" s="141"/>
      <c r="BK39" s="141"/>
      <c r="BL39" s="141"/>
      <c r="BM39" s="141"/>
      <c r="BN39" s="141"/>
      <c r="BO39" s="141">
        <v>0.0</v>
      </c>
      <c r="BP39" s="116"/>
      <c r="BQ39" s="116"/>
      <c r="BR39" s="116"/>
      <c r="BS39" s="116"/>
      <c r="BT39" s="116"/>
      <c r="BU39" s="116">
        <v>0.0</v>
      </c>
      <c r="BV39" s="116"/>
      <c r="BW39" s="116"/>
      <c r="BX39" s="116"/>
      <c r="BY39" s="116"/>
      <c r="BZ39" s="116"/>
      <c r="CA39" s="116">
        <v>0.0</v>
      </c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81</v>
      </c>
      <c r="D40" s="119">
        <v>5.0</v>
      </c>
      <c r="E40" s="120">
        <v>20.0</v>
      </c>
      <c r="F40" s="121">
        <v>20.0</v>
      </c>
      <c r="G40" s="122">
        <v>3.0</v>
      </c>
      <c r="H40" s="121">
        <v>5.0</v>
      </c>
      <c r="I40" s="123">
        <v>13.0</v>
      </c>
      <c r="J40" s="124">
        <v>0.5</v>
      </c>
      <c r="K40" s="125">
        <v>1.5</v>
      </c>
      <c r="L40" s="126">
        <v>2.0</v>
      </c>
      <c r="M40" s="127">
        <v>2.0</v>
      </c>
      <c r="N40" s="127">
        <v>0.0</v>
      </c>
      <c r="O40" s="128">
        <v>1.0</v>
      </c>
      <c r="P40" s="129"/>
      <c r="Q40" s="130"/>
      <c r="R40" s="130"/>
      <c r="S40" s="131"/>
      <c r="T40" s="132"/>
      <c r="U40" s="133">
        <v>20.0</v>
      </c>
      <c r="V40" s="133"/>
      <c r="W40" s="133"/>
      <c r="X40" s="134"/>
      <c r="Y40" s="133"/>
      <c r="Z40" s="133"/>
      <c r="AA40" s="133">
        <v>0.0</v>
      </c>
      <c r="AB40" s="133"/>
      <c r="AC40" s="134"/>
      <c r="AD40" s="133">
        <v>0.0</v>
      </c>
      <c r="AE40" s="133"/>
      <c r="AF40" s="133"/>
      <c r="AG40" s="133"/>
      <c r="AH40" s="134"/>
      <c r="AI40" s="133"/>
      <c r="AJ40" s="133">
        <v>0.0</v>
      </c>
      <c r="AK40" s="133"/>
      <c r="AL40" s="133"/>
      <c r="AM40" s="133"/>
      <c r="AN40" s="134"/>
      <c r="AO40" s="133"/>
      <c r="AP40" s="133"/>
      <c r="AQ40" s="133"/>
      <c r="AR40" s="134">
        <v>0.0</v>
      </c>
      <c r="AS40" s="133"/>
      <c r="AT40" s="133"/>
      <c r="AU40" s="133"/>
      <c r="AV40" s="133">
        <v>0.0</v>
      </c>
      <c r="AW40" s="133"/>
      <c r="AX40" s="133"/>
      <c r="AY40" s="133"/>
      <c r="AZ40" s="135"/>
      <c r="BA40" s="135"/>
      <c r="BB40" s="135">
        <v>0.0</v>
      </c>
      <c r="BC40" s="135"/>
      <c r="BD40" s="135"/>
      <c r="BE40" s="123"/>
      <c r="BF40" s="123"/>
      <c r="BG40" s="123"/>
      <c r="BH40" s="123"/>
      <c r="BI40" s="123"/>
      <c r="BJ40" s="123"/>
      <c r="BK40" s="123"/>
      <c r="BL40" s="123"/>
      <c r="BM40" s="123">
        <v>0.0</v>
      </c>
      <c r="BN40" s="123"/>
      <c r="BO40" s="123"/>
      <c r="BP40" s="116"/>
      <c r="BQ40" s="116"/>
      <c r="BR40" s="116">
        <v>0.0</v>
      </c>
      <c r="BS40" s="116"/>
      <c r="BT40" s="116"/>
      <c r="BU40" s="116"/>
      <c r="BV40" s="116"/>
      <c r="BW40" s="116"/>
      <c r="BX40" s="116"/>
      <c r="BY40" s="116">
        <v>0.0</v>
      </c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126</v>
      </c>
      <c r="D41" s="137">
        <v>5.0</v>
      </c>
      <c r="E41" s="138">
        <v>18.5</v>
      </c>
      <c r="F41" s="139">
        <v>18.5</v>
      </c>
      <c r="G41" s="140">
        <v>2.7</v>
      </c>
      <c r="H41" s="139">
        <v>5.0</v>
      </c>
      <c r="I41" s="141">
        <v>13.5</v>
      </c>
      <c r="J41" s="142">
        <v>0.0</v>
      </c>
      <c r="K41" s="143">
        <v>0.0</v>
      </c>
      <c r="L41" s="144">
        <v>0.0</v>
      </c>
      <c r="M41" s="145">
        <v>2.0</v>
      </c>
      <c r="N41" s="145">
        <v>1.0</v>
      </c>
      <c r="O41" s="146">
        <v>1.0</v>
      </c>
      <c r="P41" s="147"/>
      <c r="Q41" s="148"/>
      <c r="R41" s="148"/>
      <c r="S41" s="149"/>
      <c r="T41" s="150"/>
      <c r="U41" s="151"/>
      <c r="V41" s="151">
        <v>18.5</v>
      </c>
      <c r="W41" s="151"/>
      <c r="X41" s="151"/>
      <c r="Y41" s="151"/>
      <c r="Z41" s="152"/>
      <c r="AA41" s="152"/>
      <c r="AB41" s="151">
        <v>0.0</v>
      </c>
      <c r="AC41" s="151"/>
      <c r="AD41" s="151"/>
      <c r="AE41" s="151">
        <v>0.0</v>
      </c>
      <c r="AF41" s="151"/>
      <c r="AG41" s="151"/>
      <c r="AH41" s="151"/>
      <c r="AI41" s="151"/>
      <c r="AJ41" s="151"/>
      <c r="AK41" s="152">
        <v>0.0</v>
      </c>
      <c r="AL41" s="152"/>
      <c r="AM41" s="151"/>
      <c r="AN41" s="151"/>
      <c r="AO41" s="151"/>
      <c r="AP41" s="151"/>
      <c r="AQ41" s="151"/>
      <c r="AR41" s="151"/>
      <c r="AS41" s="151">
        <v>0.0</v>
      </c>
      <c r="AT41" s="151"/>
      <c r="AU41" s="152"/>
      <c r="AV41" s="152"/>
      <c r="AW41" s="151"/>
      <c r="AX41" s="151"/>
      <c r="AY41" s="151">
        <v>0.0</v>
      </c>
      <c r="AZ41" s="153"/>
      <c r="BA41" s="153"/>
      <c r="BB41" s="153"/>
      <c r="BC41" s="153"/>
      <c r="BD41" s="153"/>
      <c r="BE41" s="141"/>
      <c r="BF41" s="141"/>
      <c r="BG41" s="141"/>
      <c r="BH41" s="141">
        <v>0.0</v>
      </c>
      <c r="BI41" s="141"/>
      <c r="BJ41" s="141"/>
      <c r="BK41" s="141"/>
      <c r="BL41" s="141"/>
      <c r="BM41" s="141"/>
      <c r="BN41" s="141"/>
      <c r="BO41" s="141"/>
      <c r="BP41" s="116">
        <v>0.0</v>
      </c>
      <c r="BQ41" s="116"/>
      <c r="BR41" s="116">
        <v>0.0</v>
      </c>
      <c r="BS41" s="116"/>
      <c r="BT41" s="116"/>
      <c r="BU41" s="116"/>
      <c r="BV41" s="116"/>
      <c r="BW41" s="116">
        <v>0.0</v>
      </c>
      <c r="BX41" s="116"/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136</v>
      </c>
      <c r="D42" s="119">
        <v>5.0</v>
      </c>
      <c r="E42" s="120">
        <v>14.5</v>
      </c>
      <c r="F42" s="121">
        <v>14.5</v>
      </c>
      <c r="G42" s="122">
        <v>2.4</v>
      </c>
      <c r="H42" s="121">
        <v>2.5</v>
      </c>
      <c r="I42" s="123">
        <v>12.0</v>
      </c>
      <c r="J42" s="124">
        <v>0.0</v>
      </c>
      <c r="K42" s="125">
        <v>0.0</v>
      </c>
      <c r="L42" s="126">
        <v>0.0</v>
      </c>
      <c r="M42" s="127">
        <v>1.0</v>
      </c>
      <c r="N42" s="127">
        <v>1.0</v>
      </c>
      <c r="O42" s="128">
        <v>0.0</v>
      </c>
      <c r="P42" s="129"/>
      <c r="Q42" s="130"/>
      <c r="R42" s="130"/>
      <c r="S42" s="131"/>
      <c r="T42" s="132"/>
      <c r="U42" s="133"/>
      <c r="V42" s="133">
        <v>14.5</v>
      </c>
      <c r="W42" s="133"/>
      <c r="X42" s="134"/>
      <c r="Y42" s="133"/>
      <c r="Z42" s="133"/>
      <c r="AA42" s="133"/>
      <c r="AB42" s="133"/>
      <c r="AC42" s="134">
        <v>0.0</v>
      </c>
      <c r="AD42" s="133"/>
      <c r="AE42" s="133"/>
      <c r="AF42" s="133"/>
      <c r="AG42" s="133">
        <v>0.0</v>
      </c>
      <c r="AH42" s="134">
        <v>0.0</v>
      </c>
      <c r="AI42" s="133"/>
      <c r="AJ42" s="133"/>
      <c r="AK42" s="133"/>
      <c r="AL42" s="133"/>
      <c r="AM42" s="133"/>
      <c r="AN42" s="134"/>
      <c r="AO42" s="133"/>
      <c r="AP42" s="133"/>
      <c r="AQ42" s="133"/>
      <c r="AR42" s="134">
        <v>0.0</v>
      </c>
      <c r="AS42" s="133"/>
      <c r="AT42" s="133"/>
      <c r="AU42" s="133"/>
      <c r="AV42" s="133"/>
      <c r="AW42" s="133"/>
      <c r="AX42" s="133"/>
      <c r="AY42" s="133"/>
      <c r="AZ42" s="135"/>
      <c r="BA42" s="135"/>
      <c r="BB42" s="135"/>
      <c r="BC42" s="135"/>
      <c r="BD42" s="135">
        <v>0.0</v>
      </c>
      <c r="BE42" s="123"/>
      <c r="BF42" s="123"/>
      <c r="BG42" s="123">
        <v>0.0</v>
      </c>
      <c r="BH42" s="123"/>
      <c r="BI42" s="123"/>
      <c r="BJ42" s="123"/>
      <c r="BK42" s="123"/>
      <c r="BL42" s="123"/>
      <c r="BM42" s="123"/>
      <c r="BN42" s="123"/>
      <c r="BO42" s="123">
        <v>0.0</v>
      </c>
      <c r="BP42" s="116"/>
      <c r="BQ42" s="116"/>
      <c r="BR42" s="116"/>
      <c r="BS42" s="116"/>
      <c r="BT42" s="116">
        <v>0.0</v>
      </c>
      <c r="BU42" s="116"/>
      <c r="BV42" s="116"/>
      <c r="BW42" s="116"/>
      <c r="BX42" s="116"/>
      <c r="BY42" s="116"/>
      <c r="BZ42" s="116">
        <v>0.0</v>
      </c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117</v>
      </c>
      <c r="D43" s="137">
        <v>5.0</v>
      </c>
      <c r="E43" s="138">
        <v>14.5</v>
      </c>
      <c r="F43" s="139">
        <v>14.5</v>
      </c>
      <c r="G43" s="140">
        <v>2.4</v>
      </c>
      <c r="H43" s="139">
        <v>2.5</v>
      </c>
      <c r="I43" s="141">
        <v>11.0</v>
      </c>
      <c r="J43" s="142">
        <v>0.5</v>
      </c>
      <c r="K43" s="143">
        <v>0.5</v>
      </c>
      <c r="L43" s="144">
        <v>1.0</v>
      </c>
      <c r="M43" s="145">
        <v>1.0</v>
      </c>
      <c r="N43" s="145">
        <v>0.0</v>
      </c>
      <c r="O43" s="146">
        <v>0.0</v>
      </c>
      <c r="P43" s="147"/>
      <c r="Q43" s="148"/>
      <c r="R43" s="148"/>
      <c r="S43" s="149"/>
      <c r="T43" s="150"/>
      <c r="U43" s="151"/>
      <c r="V43" s="151">
        <v>14.5</v>
      </c>
      <c r="W43" s="151"/>
      <c r="X43" s="151"/>
      <c r="Y43" s="151"/>
      <c r="Z43" s="152"/>
      <c r="AA43" s="152"/>
      <c r="AB43" s="151">
        <v>0.0</v>
      </c>
      <c r="AC43" s="151"/>
      <c r="AD43" s="151"/>
      <c r="AE43" s="151"/>
      <c r="AF43" s="151"/>
      <c r="AG43" s="151"/>
      <c r="AH43" s="151"/>
      <c r="AI43" s="151"/>
      <c r="AJ43" s="151"/>
      <c r="AK43" s="152"/>
      <c r="AL43" s="152"/>
      <c r="AM43" s="151">
        <v>0.0</v>
      </c>
      <c r="AN43" s="151"/>
      <c r="AO43" s="151"/>
      <c r="AP43" s="151">
        <v>0.0</v>
      </c>
      <c r="AQ43" s="151"/>
      <c r="AR43" s="151"/>
      <c r="AS43" s="151">
        <v>0.0</v>
      </c>
      <c r="AT43" s="151"/>
      <c r="AU43" s="152"/>
      <c r="AV43" s="152"/>
      <c r="AW43" s="151"/>
      <c r="AX43" s="151"/>
      <c r="AY43" s="151"/>
      <c r="AZ43" s="153"/>
      <c r="BA43" s="153"/>
      <c r="BB43" s="153"/>
      <c r="BC43" s="153"/>
      <c r="BD43" s="153"/>
      <c r="BE43" s="141">
        <v>0.0</v>
      </c>
      <c r="BF43" s="141">
        <v>0.0</v>
      </c>
      <c r="BG43" s="141"/>
      <c r="BH43" s="141">
        <v>0.0</v>
      </c>
      <c r="BI43" s="141"/>
      <c r="BJ43" s="141"/>
      <c r="BK43" s="141">
        <v>0.0</v>
      </c>
      <c r="BL43" s="141"/>
      <c r="BM43" s="141"/>
      <c r="BN43" s="141"/>
      <c r="BO43" s="141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>
        <v>0.0</v>
      </c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103</v>
      </c>
      <c r="D44" s="119">
        <v>5.0</v>
      </c>
      <c r="E44" s="120">
        <v>14.0</v>
      </c>
      <c r="F44" s="121">
        <v>14.0</v>
      </c>
      <c r="G44" s="122">
        <v>1.8</v>
      </c>
      <c r="H44" s="121">
        <v>5.0</v>
      </c>
      <c r="I44" s="123">
        <v>9.0</v>
      </c>
      <c r="J44" s="124">
        <v>0.0</v>
      </c>
      <c r="K44" s="125">
        <v>0.0</v>
      </c>
      <c r="L44" s="126">
        <v>0.0</v>
      </c>
      <c r="M44" s="127">
        <v>2.0</v>
      </c>
      <c r="N44" s="127">
        <v>2.0</v>
      </c>
      <c r="O44" s="128">
        <v>0.0</v>
      </c>
      <c r="P44" s="129"/>
      <c r="Q44" s="130"/>
      <c r="R44" s="130"/>
      <c r="S44" s="131"/>
      <c r="T44" s="132"/>
      <c r="U44" s="133"/>
      <c r="V44" s="133"/>
      <c r="W44" s="133"/>
      <c r="X44" s="134">
        <v>14.0</v>
      </c>
      <c r="Y44" s="133"/>
      <c r="Z44" s="133">
        <v>0.0</v>
      </c>
      <c r="AA44" s="133"/>
      <c r="AB44" s="133"/>
      <c r="AC44" s="134">
        <v>0.0</v>
      </c>
      <c r="AD44" s="133"/>
      <c r="AE44" s="133"/>
      <c r="AF44" s="133"/>
      <c r="AG44" s="133"/>
      <c r="AH44" s="134"/>
      <c r="AI44" s="133"/>
      <c r="AJ44" s="133"/>
      <c r="AK44" s="133"/>
      <c r="AL44" s="133"/>
      <c r="AM44" s="133"/>
      <c r="AN44" s="134"/>
      <c r="AO44" s="133"/>
      <c r="AP44" s="133">
        <v>0.0</v>
      </c>
      <c r="AQ44" s="133"/>
      <c r="AR44" s="134"/>
      <c r="AS44" s="133"/>
      <c r="AT44" s="133"/>
      <c r="AU44" s="133"/>
      <c r="AV44" s="133">
        <v>0.0</v>
      </c>
      <c r="AW44" s="133"/>
      <c r="AX44" s="133"/>
      <c r="AY44" s="133"/>
      <c r="AZ44" s="135"/>
      <c r="BA44" s="135"/>
      <c r="BB44" s="135">
        <v>0.0</v>
      </c>
      <c r="BC44" s="135"/>
      <c r="BD44" s="135"/>
      <c r="BE44" s="123"/>
      <c r="BF44" s="123">
        <v>0.0</v>
      </c>
      <c r="BG44" s="123"/>
      <c r="BH44" s="123"/>
      <c r="BI44" s="123"/>
      <c r="BJ44" s="123"/>
      <c r="BK44" s="123"/>
      <c r="BL44" s="123">
        <v>0.0</v>
      </c>
      <c r="BM44" s="123"/>
      <c r="BN44" s="123"/>
      <c r="BO44" s="123"/>
      <c r="BP44" s="116"/>
      <c r="BQ44" s="116"/>
      <c r="BR44" s="116"/>
      <c r="BS44" s="116"/>
      <c r="BT44" s="116"/>
      <c r="BU44" s="116"/>
      <c r="BV44" s="116"/>
      <c r="BW44" s="116">
        <v>0.0</v>
      </c>
      <c r="BX44" s="116"/>
      <c r="BY44" s="116"/>
      <c r="BZ44" s="116">
        <v>0.0</v>
      </c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80</v>
      </c>
      <c r="D45" s="137">
        <v>0.0</v>
      </c>
      <c r="E45" s="138">
        <v>0.0</v>
      </c>
      <c r="F45" s="139"/>
      <c r="G45" s="140"/>
      <c r="H45" s="139">
        <v>0.0</v>
      </c>
      <c r="I45" s="141">
        <v>0.0</v>
      </c>
      <c r="J45" s="142">
        <v>0.0</v>
      </c>
      <c r="K45" s="143">
        <v>0.0</v>
      </c>
      <c r="L45" s="144">
        <v>0.0</v>
      </c>
      <c r="M45" s="145">
        <v>0.0</v>
      </c>
      <c r="N45" s="145">
        <v>0.0</v>
      </c>
      <c r="O45" s="146">
        <v>0.0</v>
      </c>
      <c r="P45" s="147"/>
      <c r="Q45" s="148"/>
      <c r="R45" s="148"/>
      <c r="S45" s="149"/>
      <c r="T45" s="150"/>
      <c r="U45" s="151"/>
      <c r="V45" s="151"/>
      <c r="W45" s="151"/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/>
      <c r="AI45" s="151"/>
      <c r="AJ45" s="151"/>
      <c r="AK45" s="152"/>
      <c r="AL45" s="152"/>
      <c r="AM45" s="151"/>
      <c r="AN45" s="151"/>
      <c r="AO45" s="151"/>
      <c r="AP45" s="151"/>
      <c r="AQ45" s="151"/>
      <c r="AR45" s="151">
        <v>0.0</v>
      </c>
      <c r="AS45" s="151">
        <v>0.0</v>
      </c>
      <c r="AT45" s="151">
        <v>0.0</v>
      </c>
      <c r="AU45" s="152">
        <v>0.0</v>
      </c>
      <c r="AV45" s="152">
        <v>0.0</v>
      </c>
      <c r="AW45" s="151">
        <v>0.0</v>
      </c>
      <c r="AX45" s="151">
        <v>0.0</v>
      </c>
      <c r="AY45" s="151">
        <v>0.0</v>
      </c>
      <c r="AZ45" s="153">
        <v>0.0</v>
      </c>
      <c r="BA45" s="153">
        <v>0.0</v>
      </c>
      <c r="BB45" s="153"/>
      <c r="BC45" s="153"/>
      <c r="BD45" s="153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16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83</v>
      </c>
      <c r="D46" s="119">
        <v>0.0</v>
      </c>
      <c r="E46" s="120">
        <v>0.0</v>
      </c>
      <c r="F46" s="121"/>
      <c r="G46" s="122"/>
      <c r="H46" s="121">
        <v>0.0</v>
      </c>
      <c r="I46" s="123">
        <v>0.0</v>
      </c>
      <c r="J46" s="124">
        <v>0.0</v>
      </c>
      <c r="K46" s="125">
        <v>0.0</v>
      </c>
      <c r="L46" s="126">
        <v>0.0</v>
      </c>
      <c r="M46" s="127">
        <v>0.0</v>
      </c>
      <c r="N46" s="127">
        <v>0.0</v>
      </c>
      <c r="O46" s="128">
        <v>0.0</v>
      </c>
      <c r="P46" s="129"/>
      <c r="Q46" s="130"/>
      <c r="R46" s="130"/>
      <c r="S46" s="131"/>
      <c r="T46" s="132"/>
      <c r="U46" s="133"/>
      <c r="V46" s="133"/>
      <c r="W46" s="133"/>
      <c r="X46" s="134"/>
      <c r="Y46" s="133"/>
      <c r="Z46" s="133"/>
      <c r="AA46" s="133"/>
      <c r="AB46" s="133"/>
      <c r="AC46" s="134"/>
      <c r="AD46" s="133"/>
      <c r="AE46" s="133"/>
      <c r="AF46" s="133"/>
      <c r="AG46" s="133"/>
      <c r="AH46" s="134"/>
      <c r="AI46" s="133"/>
      <c r="AJ46" s="133">
        <v>0.0</v>
      </c>
      <c r="AK46" s="133">
        <v>0.0</v>
      </c>
      <c r="AL46" s="133">
        <v>0.0</v>
      </c>
      <c r="AM46" s="133">
        <v>0.0</v>
      </c>
      <c r="AN46" s="134"/>
      <c r="AO46" s="133"/>
      <c r="AP46" s="133"/>
      <c r="AQ46" s="133"/>
      <c r="AR46" s="134"/>
      <c r="AS46" s="133"/>
      <c r="AT46" s="133"/>
      <c r="AU46" s="133"/>
      <c r="AV46" s="133"/>
      <c r="AW46" s="133"/>
      <c r="AX46" s="133"/>
      <c r="AY46" s="133"/>
      <c r="AZ46" s="135"/>
      <c r="BA46" s="135"/>
      <c r="BB46" s="135"/>
      <c r="BC46" s="135"/>
      <c r="BD46" s="135"/>
      <c r="BE46" s="123"/>
      <c r="BF46" s="123"/>
      <c r="BG46" s="123"/>
      <c r="BH46" s="123"/>
      <c r="BI46" s="123"/>
      <c r="BJ46" s="123"/>
      <c r="BK46" s="123"/>
      <c r="BL46" s="123">
        <v>0.0</v>
      </c>
      <c r="BM46" s="123">
        <v>0.0</v>
      </c>
      <c r="BN46" s="123">
        <v>0.0</v>
      </c>
      <c r="BO46" s="123"/>
      <c r="BP46" s="116"/>
      <c r="BQ46" s="116"/>
      <c r="BR46" s="116"/>
      <c r="BS46" s="116"/>
      <c r="BT46" s="116"/>
      <c r="BU46" s="116"/>
      <c r="BV46" s="116">
        <v>0.0</v>
      </c>
      <c r="BW46" s="116">
        <v>0.0</v>
      </c>
      <c r="BX46" s="116">
        <v>0.0</v>
      </c>
      <c r="BY46" s="116"/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84</v>
      </c>
      <c r="D47" s="137">
        <v>0.0</v>
      </c>
      <c r="E47" s="138">
        <v>0.0</v>
      </c>
      <c r="F47" s="139"/>
      <c r="G47" s="140"/>
      <c r="H47" s="139">
        <v>0.0</v>
      </c>
      <c r="I47" s="141">
        <v>0.0</v>
      </c>
      <c r="J47" s="142">
        <v>0.0</v>
      </c>
      <c r="K47" s="143">
        <v>0.0</v>
      </c>
      <c r="L47" s="144">
        <v>0.0</v>
      </c>
      <c r="M47" s="145">
        <v>0.0</v>
      </c>
      <c r="N47" s="145">
        <v>0.0</v>
      </c>
      <c r="O47" s="146">
        <v>0.0</v>
      </c>
      <c r="P47" s="147"/>
      <c r="Q47" s="148"/>
      <c r="R47" s="148"/>
      <c r="S47" s="149"/>
      <c r="T47" s="150"/>
      <c r="U47" s="151"/>
      <c r="V47" s="151"/>
      <c r="W47" s="151"/>
      <c r="X47" s="151"/>
      <c r="Y47" s="151"/>
      <c r="Z47" s="152"/>
      <c r="AA47" s="152"/>
      <c r="AB47" s="151"/>
      <c r="AC47" s="151"/>
      <c r="AD47" s="151"/>
      <c r="AE47" s="151"/>
      <c r="AF47" s="151"/>
      <c r="AG47" s="151"/>
      <c r="AH47" s="151"/>
      <c r="AI47" s="151"/>
      <c r="AJ47" s="151">
        <v>0.0</v>
      </c>
      <c r="AK47" s="152">
        <v>0.0</v>
      </c>
      <c r="AL47" s="152">
        <v>0.0</v>
      </c>
      <c r="AM47" s="151"/>
      <c r="AN47" s="151"/>
      <c r="AO47" s="151"/>
      <c r="AP47" s="151"/>
      <c r="AQ47" s="151"/>
      <c r="AR47" s="151"/>
      <c r="AS47" s="151"/>
      <c r="AT47" s="151"/>
      <c r="AU47" s="152">
        <v>0.0</v>
      </c>
      <c r="AV47" s="152">
        <v>0.0</v>
      </c>
      <c r="AW47" s="151">
        <v>0.0</v>
      </c>
      <c r="AX47" s="151"/>
      <c r="AY47" s="151"/>
      <c r="AZ47" s="153"/>
      <c r="BA47" s="153"/>
      <c r="BB47" s="153"/>
      <c r="BC47" s="153"/>
      <c r="BD47" s="153"/>
      <c r="BE47" s="141">
        <v>0.0</v>
      </c>
      <c r="BF47" s="141">
        <v>0.0</v>
      </c>
      <c r="BG47" s="141">
        <v>0.0</v>
      </c>
      <c r="BH47" s="141">
        <v>0.0</v>
      </c>
      <c r="BI47" s="141"/>
      <c r="BJ47" s="141"/>
      <c r="BK47" s="141"/>
      <c r="BL47" s="141"/>
      <c r="BM47" s="141"/>
      <c r="BN47" s="141"/>
      <c r="BO47" s="141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87</v>
      </c>
      <c r="D48" s="119">
        <v>0.0</v>
      </c>
      <c r="E48" s="120">
        <v>0.0</v>
      </c>
      <c r="F48" s="121"/>
      <c r="G48" s="122"/>
      <c r="H48" s="121">
        <v>0.0</v>
      </c>
      <c r="I48" s="123">
        <v>0.0</v>
      </c>
      <c r="J48" s="124">
        <v>0.0</v>
      </c>
      <c r="K48" s="125">
        <v>0.0</v>
      </c>
      <c r="L48" s="126">
        <v>0.0</v>
      </c>
      <c r="M48" s="127">
        <v>0.0</v>
      </c>
      <c r="N48" s="127">
        <v>0.0</v>
      </c>
      <c r="O48" s="128">
        <v>0.0</v>
      </c>
      <c r="P48" s="129"/>
      <c r="Q48" s="130"/>
      <c r="R48" s="130"/>
      <c r="S48" s="131"/>
      <c r="T48" s="132"/>
      <c r="U48" s="133"/>
      <c r="V48" s="133"/>
      <c r="W48" s="133"/>
      <c r="X48" s="134"/>
      <c r="Y48" s="133"/>
      <c r="Z48" s="133"/>
      <c r="AA48" s="133"/>
      <c r="AB48" s="133"/>
      <c r="AC48" s="134"/>
      <c r="AD48" s="133">
        <v>0.0</v>
      </c>
      <c r="AE48" s="133">
        <v>0.0</v>
      </c>
      <c r="AF48" s="133">
        <v>0.0</v>
      </c>
      <c r="AG48" s="133">
        <v>0.0</v>
      </c>
      <c r="AH48" s="134">
        <v>0.0</v>
      </c>
      <c r="AI48" s="133"/>
      <c r="AJ48" s="133"/>
      <c r="AK48" s="133"/>
      <c r="AL48" s="133"/>
      <c r="AM48" s="133"/>
      <c r="AN48" s="134"/>
      <c r="AO48" s="133"/>
      <c r="AP48" s="133"/>
      <c r="AQ48" s="133"/>
      <c r="AR48" s="134"/>
      <c r="AS48" s="133"/>
      <c r="AT48" s="133"/>
      <c r="AU48" s="133">
        <v>0.0</v>
      </c>
      <c r="AV48" s="133">
        <v>0.0</v>
      </c>
      <c r="AW48" s="133">
        <v>0.0</v>
      </c>
      <c r="AX48" s="133">
        <v>0.0</v>
      </c>
      <c r="AY48" s="133">
        <v>0.0</v>
      </c>
      <c r="AZ48" s="135"/>
      <c r="BA48" s="135"/>
      <c r="BB48" s="135"/>
      <c r="BC48" s="135"/>
      <c r="BD48" s="135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88</v>
      </c>
      <c r="D49" s="137">
        <v>0.0</v>
      </c>
      <c r="E49" s="138">
        <v>0.0</v>
      </c>
      <c r="F49" s="139"/>
      <c r="G49" s="140"/>
      <c r="H49" s="139">
        <v>0.0</v>
      </c>
      <c r="I49" s="141">
        <v>0.0</v>
      </c>
      <c r="J49" s="142">
        <v>0.0</v>
      </c>
      <c r="K49" s="143">
        <v>0.0</v>
      </c>
      <c r="L49" s="144">
        <v>0.0</v>
      </c>
      <c r="M49" s="145">
        <v>0.0</v>
      </c>
      <c r="N49" s="145">
        <v>0.0</v>
      </c>
      <c r="O49" s="146">
        <v>0.0</v>
      </c>
      <c r="P49" s="147"/>
      <c r="Q49" s="148"/>
      <c r="R49" s="148"/>
      <c r="S49" s="149"/>
      <c r="T49" s="150"/>
      <c r="U49" s="151"/>
      <c r="V49" s="151"/>
      <c r="W49" s="151"/>
      <c r="X49" s="151"/>
      <c r="Y49" s="151"/>
      <c r="Z49" s="152"/>
      <c r="AA49" s="152">
        <v>0.0</v>
      </c>
      <c r="AB49" s="151">
        <v>0.0</v>
      </c>
      <c r="AC49" s="151">
        <v>0.0</v>
      </c>
      <c r="AD49" s="151">
        <v>0.0</v>
      </c>
      <c r="AE49" s="151">
        <v>0.0</v>
      </c>
      <c r="AF49" s="151"/>
      <c r="AG49" s="151"/>
      <c r="AH49" s="151"/>
      <c r="AI49" s="151"/>
      <c r="AJ49" s="151"/>
      <c r="AK49" s="152"/>
      <c r="AL49" s="152"/>
      <c r="AM49" s="151"/>
      <c r="AN49" s="151"/>
      <c r="AO49" s="151"/>
      <c r="AP49" s="151"/>
      <c r="AQ49" s="151"/>
      <c r="AR49" s="151"/>
      <c r="AS49" s="151"/>
      <c r="AT49" s="151"/>
      <c r="AU49" s="152"/>
      <c r="AV49" s="152"/>
      <c r="AW49" s="151"/>
      <c r="AX49" s="151"/>
      <c r="AY49" s="151"/>
      <c r="AZ49" s="153">
        <v>0.0</v>
      </c>
      <c r="BA49" s="153">
        <v>0.0</v>
      </c>
      <c r="BB49" s="153">
        <v>0.0</v>
      </c>
      <c r="BC49" s="153">
        <v>0.0</v>
      </c>
      <c r="BD49" s="153">
        <v>0.0</v>
      </c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89</v>
      </c>
      <c r="D50" s="119">
        <v>0.0</v>
      </c>
      <c r="E50" s="120">
        <v>0.0</v>
      </c>
      <c r="F50" s="121"/>
      <c r="G50" s="122"/>
      <c r="H50" s="121">
        <v>0.0</v>
      </c>
      <c r="I50" s="123">
        <v>0.0</v>
      </c>
      <c r="J50" s="124">
        <v>0.0</v>
      </c>
      <c r="K50" s="125">
        <v>0.0</v>
      </c>
      <c r="L50" s="126">
        <v>0.0</v>
      </c>
      <c r="M50" s="127">
        <v>0.0</v>
      </c>
      <c r="N50" s="127">
        <v>0.0</v>
      </c>
      <c r="O50" s="128">
        <v>0.0</v>
      </c>
      <c r="P50" s="129"/>
      <c r="Q50" s="130"/>
      <c r="R50" s="130"/>
      <c r="S50" s="131"/>
      <c r="T50" s="132"/>
      <c r="U50" s="133"/>
      <c r="V50" s="133"/>
      <c r="W50" s="133"/>
      <c r="X50" s="134"/>
      <c r="Y50" s="133"/>
      <c r="Z50" s="133">
        <v>0.0</v>
      </c>
      <c r="AA50" s="133">
        <v>0.0</v>
      </c>
      <c r="AB50" s="133">
        <v>0.0</v>
      </c>
      <c r="AC50" s="134">
        <v>0.0</v>
      </c>
      <c r="AD50" s="133"/>
      <c r="AE50" s="133"/>
      <c r="AF50" s="133"/>
      <c r="AG50" s="133"/>
      <c r="AH50" s="134"/>
      <c r="AI50" s="133"/>
      <c r="AJ50" s="133"/>
      <c r="AK50" s="133"/>
      <c r="AL50" s="133"/>
      <c r="AM50" s="133"/>
      <c r="AN50" s="134"/>
      <c r="AO50" s="133"/>
      <c r="AP50" s="133">
        <v>0.0</v>
      </c>
      <c r="AQ50" s="133">
        <v>0.0</v>
      </c>
      <c r="AR50" s="134">
        <v>0.0</v>
      </c>
      <c r="AS50" s="133">
        <v>0.0</v>
      </c>
      <c r="AT50" s="133"/>
      <c r="AU50" s="133"/>
      <c r="AV50" s="133"/>
      <c r="AW50" s="133"/>
      <c r="AX50" s="133"/>
      <c r="AY50" s="133"/>
      <c r="AZ50" s="135"/>
      <c r="BA50" s="135"/>
      <c r="BB50" s="135"/>
      <c r="BC50" s="135"/>
      <c r="BD50" s="135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>
        <v>0.0</v>
      </c>
      <c r="BZ50" s="116">
        <v>0.0</v>
      </c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92</v>
      </c>
      <c r="D51" s="137">
        <v>0.0</v>
      </c>
      <c r="E51" s="138">
        <v>0.0</v>
      </c>
      <c r="F51" s="139"/>
      <c r="G51" s="140"/>
      <c r="H51" s="139">
        <v>0.0</v>
      </c>
      <c r="I51" s="141">
        <v>0.0</v>
      </c>
      <c r="J51" s="142">
        <v>0.0</v>
      </c>
      <c r="K51" s="143">
        <v>0.0</v>
      </c>
      <c r="L51" s="144">
        <v>0.0</v>
      </c>
      <c r="M51" s="145">
        <v>0.0</v>
      </c>
      <c r="N51" s="145">
        <v>0.0</v>
      </c>
      <c r="O51" s="146">
        <v>0.0</v>
      </c>
      <c r="P51" s="147"/>
      <c r="Q51" s="148"/>
      <c r="R51" s="148"/>
      <c r="S51" s="149"/>
      <c r="T51" s="150"/>
      <c r="U51" s="151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>
        <v>0.0</v>
      </c>
      <c r="AI51" s="151">
        <v>0.0</v>
      </c>
      <c r="AJ51" s="151"/>
      <c r="AK51" s="152"/>
      <c r="AL51" s="152"/>
      <c r="AM51" s="151"/>
      <c r="AN51" s="151"/>
      <c r="AO51" s="151">
        <v>0.0</v>
      </c>
      <c r="AP51" s="151"/>
      <c r="AQ51" s="151">
        <v>0.0</v>
      </c>
      <c r="AR51" s="151"/>
      <c r="AS51" s="151"/>
      <c r="AT51" s="151"/>
      <c r="AU51" s="152"/>
      <c r="AV51" s="152">
        <v>0.0</v>
      </c>
      <c r="AW51" s="151"/>
      <c r="AX51" s="151"/>
      <c r="AY51" s="151"/>
      <c r="AZ51" s="153"/>
      <c r="BA51" s="153">
        <v>0.0</v>
      </c>
      <c r="BB51" s="153"/>
      <c r="BC51" s="153"/>
      <c r="BD51" s="153"/>
      <c r="BE51" s="141"/>
      <c r="BF51" s="141">
        <v>0.0</v>
      </c>
      <c r="BG51" s="141"/>
      <c r="BH51" s="141"/>
      <c r="BI51" s="141"/>
      <c r="BJ51" s="141"/>
      <c r="BK51" s="141"/>
      <c r="BL51" s="141"/>
      <c r="BM51" s="141"/>
      <c r="BN51" s="141"/>
      <c r="BO51" s="141"/>
      <c r="BP51" s="116"/>
      <c r="BQ51" s="116"/>
      <c r="BR51" s="116"/>
      <c r="BS51" s="116">
        <v>0.0</v>
      </c>
      <c r="BT51" s="116"/>
      <c r="BU51" s="116">
        <v>0.0</v>
      </c>
      <c r="BV51" s="116"/>
      <c r="BW51" s="116"/>
      <c r="BX51" s="116"/>
      <c r="BY51" s="116"/>
      <c r="BZ51" s="116"/>
      <c r="CA51" s="116">
        <v>0.0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93</v>
      </c>
      <c r="D52" s="119">
        <v>0.0</v>
      </c>
      <c r="E52" s="120">
        <v>0.0</v>
      </c>
      <c r="F52" s="121"/>
      <c r="G52" s="122"/>
      <c r="H52" s="121">
        <v>0.0</v>
      </c>
      <c r="I52" s="123">
        <v>0.0</v>
      </c>
      <c r="J52" s="124">
        <v>0.0</v>
      </c>
      <c r="K52" s="125">
        <v>0.0</v>
      </c>
      <c r="L52" s="126">
        <v>0.0</v>
      </c>
      <c r="M52" s="127">
        <v>0.0</v>
      </c>
      <c r="N52" s="127">
        <v>0.0</v>
      </c>
      <c r="O52" s="128">
        <v>0.0</v>
      </c>
      <c r="P52" s="129"/>
      <c r="Q52" s="130"/>
      <c r="R52" s="130"/>
      <c r="S52" s="131"/>
      <c r="T52" s="132"/>
      <c r="U52" s="133"/>
      <c r="V52" s="133"/>
      <c r="W52" s="133"/>
      <c r="X52" s="134"/>
      <c r="Y52" s="133"/>
      <c r="Z52" s="133"/>
      <c r="AA52" s="133"/>
      <c r="AB52" s="133"/>
      <c r="AC52" s="134"/>
      <c r="AD52" s="133"/>
      <c r="AE52" s="133"/>
      <c r="AF52" s="133"/>
      <c r="AG52" s="133"/>
      <c r="AH52" s="134"/>
      <c r="AI52" s="133"/>
      <c r="AJ52" s="133"/>
      <c r="AK52" s="133"/>
      <c r="AL52" s="133"/>
      <c r="AM52" s="133"/>
      <c r="AN52" s="134"/>
      <c r="AO52" s="133"/>
      <c r="AP52" s="133"/>
      <c r="AQ52" s="133"/>
      <c r="AR52" s="134"/>
      <c r="AS52" s="133"/>
      <c r="AT52" s="133"/>
      <c r="AU52" s="133"/>
      <c r="AV52" s="133"/>
      <c r="AW52" s="133"/>
      <c r="AX52" s="133"/>
      <c r="AY52" s="133"/>
      <c r="AZ52" s="135">
        <v>0.0</v>
      </c>
      <c r="BA52" s="135">
        <v>0.0</v>
      </c>
      <c r="BB52" s="135">
        <v>0.0</v>
      </c>
      <c r="BC52" s="135">
        <v>0.0</v>
      </c>
      <c r="BD52" s="135"/>
      <c r="BE52" s="123"/>
      <c r="BF52" s="123"/>
      <c r="BG52" s="123"/>
      <c r="BH52" s="123"/>
      <c r="BI52" s="123"/>
      <c r="BJ52" s="123"/>
      <c r="BK52" s="123"/>
      <c r="BL52" s="123"/>
      <c r="BM52" s="123">
        <v>0.0</v>
      </c>
      <c r="BN52" s="123">
        <v>0.0</v>
      </c>
      <c r="BO52" s="123">
        <v>0.0</v>
      </c>
      <c r="BP52" s="116">
        <v>0.0</v>
      </c>
      <c r="BQ52" s="116">
        <v>0.0</v>
      </c>
      <c r="BR52" s="116">
        <v>0.0</v>
      </c>
      <c r="BS52" s="116"/>
      <c r="BT52" s="116"/>
      <c r="BU52" s="116"/>
      <c r="BV52" s="116"/>
      <c r="BW52" s="116"/>
      <c r="BX52" s="116"/>
      <c r="BY52" s="116"/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97</v>
      </c>
      <c r="D53" s="137">
        <v>0.0</v>
      </c>
      <c r="E53" s="138">
        <v>0.0</v>
      </c>
      <c r="F53" s="139"/>
      <c r="G53" s="140"/>
      <c r="H53" s="139">
        <v>0.0</v>
      </c>
      <c r="I53" s="141">
        <v>0.0</v>
      </c>
      <c r="J53" s="142">
        <v>0.0</v>
      </c>
      <c r="K53" s="143">
        <v>0.0</v>
      </c>
      <c r="L53" s="144">
        <v>0.0</v>
      </c>
      <c r="M53" s="145">
        <v>0.0</v>
      </c>
      <c r="N53" s="145">
        <v>0.0</v>
      </c>
      <c r="O53" s="146">
        <v>0.0</v>
      </c>
      <c r="P53" s="147"/>
      <c r="Q53" s="148"/>
      <c r="R53" s="148"/>
      <c r="S53" s="149"/>
      <c r="T53" s="150"/>
      <c r="U53" s="151"/>
      <c r="V53" s="151"/>
      <c r="W53" s="151"/>
      <c r="X53" s="151"/>
      <c r="Y53" s="151"/>
      <c r="Z53" s="152"/>
      <c r="AA53" s="152">
        <v>0.0</v>
      </c>
      <c r="AB53" s="151"/>
      <c r="AC53" s="151"/>
      <c r="AD53" s="151">
        <v>0.0</v>
      </c>
      <c r="AE53" s="151"/>
      <c r="AF53" s="151"/>
      <c r="AG53" s="151"/>
      <c r="AH53" s="151"/>
      <c r="AI53" s="151"/>
      <c r="AJ53" s="151">
        <v>0.0</v>
      </c>
      <c r="AK53" s="152"/>
      <c r="AL53" s="152"/>
      <c r="AM53" s="151"/>
      <c r="AN53" s="151">
        <v>0.0</v>
      </c>
      <c r="AO53" s="151"/>
      <c r="AP53" s="151"/>
      <c r="AQ53" s="151"/>
      <c r="AR53" s="151"/>
      <c r="AS53" s="151"/>
      <c r="AT53" s="151"/>
      <c r="AU53" s="152">
        <v>0.0</v>
      </c>
      <c r="AV53" s="152"/>
      <c r="AW53" s="151"/>
      <c r="AX53" s="151">
        <v>0.0</v>
      </c>
      <c r="AY53" s="151"/>
      <c r="AZ53" s="153"/>
      <c r="BA53" s="153"/>
      <c r="BB53" s="153"/>
      <c r="BC53" s="153"/>
      <c r="BD53" s="153"/>
      <c r="BE53" s="141"/>
      <c r="BF53" s="141"/>
      <c r="BG53" s="141"/>
      <c r="BH53" s="141"/>
      <c r="BI53" s="141"/>
      <c r="BJ53" s="141">
        <v>0.0</v>
      </c>
      <c r="BK53" s="141"/>
      <c r="BL53" s="141"/>
      <c r="BM53" s="141"/>
      <c r="BN53" s="141"/>
      <c r="BO53" s="141"/>
      <c r="BP53" s="116"/>
      <c r="BQ53" s="116">
        <v>0.0</v>
      </c>
      <c r="BR53" s="116"/>
      <c r="BS53" s="116"/>
      <c r="BT53" s="116">
        <v>0.0</v>
      </c>
      <c r="BU53" s="116"/>
      <c r="BV53" s="116">
        <v>0.0</v>
      </c>
      <c r="BW53" s="116"/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99</v>
      </c>
      <c r="D54" s="119">
        <v>0.0</v>
      </c>
      <c r="E54" s="120">
        <v>0.0</v>
      </c>
      <c r="F54" s="121"/>
      <c r="G54" s="122"/>
      <c r="H54" s="121">
        <v>0.0</v>
      </c>
      <c r="I54" s="123">
        <v>0.0</v>
      </c>
      <c r="J54" s="124">
        <v>0.0</v>
      </c>
      <c r="K54" s="125">
        <v>0.0</v>
      </c>
      <c r="L54" s="126">
        <v>0.0</v>
      </c>
      <c r="M54" s="127">
        <v>0.0</v>
      </c>
      <c r="N54" s="127">
        <v>0.0</v>
      </c>
      <c r="O54" s="128">
        <v>0.0</v>
      </c>
      <c r="P54" s="129"/>
      <c r="Q54" s="130"/>
      <c r="R54" s="130"/>
      <c r="S54" s="131"/>
      <c r="T54" s="132"/>
      <c r="U54" s="133"/>
      <c r="V54" s="133"/>
      <c r="W54" s="133"/>
      <c r="X54" s="134"/>
      <c r="Y54" s="133"/>
      <c r="Z54" s="133"/>
      <c r="AA54" s="133">
        <v>0.0</v>
      </c>
      <c r="AB54" s="133"/>
      <c r="AC54" s="134"/>
      <c r="AD54" s="133"/>
      <c r="AE54" s="133"/>
      <c r="AF54" s="133"/>
      <c r="AG54" s="133">
        <v>0.0</v>
      </c>
      <c r="AH54" s="134"/>
      <c r="AI54" s="133">
        <v>0.0</v>
      </c>
      <c r="AJ54" s="133"/>
      <c r="AK54" s="133"/>
      <c r="AL54" s="133"/>
      <c r="AM54" s="133"/>
      <c r="AN54" s="134"/>
      <c r="AO54" s="133"/>
      <c r="AP54" s="133">
        <v>0.0</v>
      </c>
      <c r="AQ54" s="133"/>
      <c r="AR54" s="134"/>
      <c r="AS54" s="133"/>
      <c r="AT54" s="133"/>
      <c r="AU54" s="133"/>
      <c r="AV54" s="133"/>
      <c r="AW54" s="133"/>
      <c r="AX54" s="133"/>
      <c r="AY54" s="133"/>
      <c r="AZ54" s="135">
        <v>0.0</v>
      </c>
      <c r="BA54" s="135"/>
      <c r="BB54" s="135"/>
      <c r="BC54" s="135">
        <v>0.0</v>
      </c>
      <c r="BD54" s="135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16">
        <v>0.0</v>
      </c>
      <c r="BQ54" s="116"/>
      <c r="BR54" s="116"/>
      <c r="BS54" s="116">
        <v>0.0</v>
      </c>
      <c r="BT54" s="116"/>
      <c r="BU54" s="116"/>
      <c r="BV54" s="116"/>
      <c r="BW54" s="116"/>
      <c r="BX54" s="116"/>
      <c r="BY54" s="116">
        <v>0.0</v>
      </c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100</v>
      </c>
      <c r="D55" s="137">
        <v>0.0</v>
      </c>
      <c r="E55" s="138">
        <v>0.0</v>
      </c>
      <c r="F55" s="139"/>
      <c r="G55" s="140"/>
      <c r="H55" s="139">
        <v>0.0</v>
      </c>
      <c r="I55" s="141">
        <v>0.0</v>
      </c>
      <c r="J55" s="142">
        <v>0.0</v>
      </c>
      <c r="K55" s="143">
        <v>0.0</v>
      </c>
      <c r="L55" s="144">
        <v>0.0</v>
      </c>
      <c r="M55" s="145">
        <v>0.0</v>
      </c>
      <c r="N55" s="145">
        <v>0.0</v>
      </c>
      <c r="O55" s="146">
        <v>0.0</v>
      </c>
      <c r="P55" s="147"/>
      <c r="Q55" s="148"/>
      <c r="R55" s="148"/>
      <c r="S55" s="149"/>
      <c r="T55" s="150"/>
      <c r="U55" s="151"/>
      <c r="V55" s="151"/>
      <c r="W55" s="151"/>
      <c r="X55" s="151"/>
      <c r="Y55" s="151"/>
      <c r="Z55" s="152"/>
      <c r="AA55" s="152"/>
      <c r="AB55" s="151"/>
      <c r="AC55" s="151"/>
      <c r="AD55" s="151"/>
      <c r="AE55" s="151"/>
      <c r="AF55" s="151"/>
      <c r="AG55" s="151"/>
      <c r="AH55" s="151">
        <v>0.0</v>
      </c>
      <c r="AI55" s="151">
        <v>0.0</v>
      </c>
      <c r="AJ55" s="151">
        <v>0.0</v>
      </c>
      <c r="AK55" s="152">
        <v>0.0</v>
      </c>
      <c r="AL55" s="152">
        <v>0.0</v>
      </c>
      <c r="AM55" s="151"/>
      <c r="AN55" s="151"/>
      <c r="AO55" s="151"/>
      <c r="AP55" s="151"/>
      <c r="AQ55" s="151"/>
      <c r="AR55" s="151"/>
      <c r="AS55" s="151"/>
      <c r="AT55" s="151"/>
      <c r="AU55" s="152"/>
      <c r="AV55" s="152"/>
      <c r="AW55" s="151"/>
      <c r="AX55" s="151"/>
      <c r="AY55" s="151"/>
      <c r="AZ55" s="153"/>
      <c r="BA55" s="153"/>
      <c r="BB55" s="153"/>
      <c r="BC55" s="153"/>
      <c r="BD55" s="153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>
        <v>0.0</v>
      </c>
      <c r="BO55" s="141">
        <v>0.0</v>
      </c>
      <c r="BP55" s="116">
        <v>0.0</v>
      </c>
      <c r="BQ55" s="116">
        <v>0.0</v>
      </c>
      <c r="BR55" s="116">
        <v>0.0</v>
      </c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107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32"/>
      <c r="U56" s="133"/>
      <c r="V56" s="133"/>
      <c r="W56" s="133"/>
      <c r="X56" s="134"/>
      <c r="Y56" s="133"/>
      <c r="Z56" s="133">
        <v>0.0</v>
      </c>
      <c r="AA56" s="133">
        <v>0.0</v>
      </c>
      <c r="AB56" s="133">
        <v>0.0</v>
      </c>
      <c r="AC56" s="134">
        <v>0.0</v>
      </c>
      <c r="AD56" s="133">
        <v>0.0</v>
      </c>
      <c r="AE56" s="133">
        <v>0.0</v>
      </c>
      <c r="AF56" s="133"/>
      <c r="AG56" s="133"/>
      <c r="AH56" s="134"/>
      <c r="AI56" s="133"/>
      <c r="AJ56" s="133"/>
      <c r="AK56" s="133"/>
      <c r="AL56" s="133"/>
      <c r="AM56" s="133"/>
      <c r="AN56" s="134"/>
      <c r="AO56" s="133"/>
      <c r="AP56" s="133"/>
      <c r="AQ56" s="133"/>
      <c r="AR56" s="134"/>
      <c r="AS56" s="133"/>
      <c r="AT56" s="133"/>
      <c r="AU56" s="133"/>
      <c r="AV56" s="133"/>
      <c r="AW56" s="133"/>
      <c r="AX56" s="133"/>
      <c r="AY56" s="133"/>
      <c r="AZ56" s="135"/>
      <c r="BA56" s="135"/>
      <c r="BB56" s="135"/>
      <c r="BC56" s="135"/>
      <c r="BD56" s="135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>
        <v>0.0</v>
      </c>
      <c r="BP56" s="116">
        <v>0.0</v>
      </c>
      <c r="BQ56" s="116">
        <v>0.0</v>
      </c>
      <c r="BR56" s="116">
        <v>0.0</v>
      </c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109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50"/>
      <c r="U57" s="151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/>
      <c r="AJ57" s="151"/>
      <c r="AK57" s="152"/>
      <c r="AL57" s="152"/>
      <c r="AM57" s="151"/>
      <c r="AN57" s="151">
        <v>0.0</v>
      </c>
      <c r="AO57" s="151">
        <v>0.0</v>
      </c>
      <c r="AP57" s="151"/>
      <c r="AQ57" s="151"/>
      <c r="AR57" s="151"/>
      <c r="AS57" s="151"/>
      <c r="AT57" s="151"/>
      <c r="AU57" s="152"/>
      <c r="AV57" s="152">
        <v>0.0</v>
      </c>
      <c r="AW57" s="151">
        <v>0.0</v>
      </c>
      <c r="AX57" s="151">
        <v>0.0</v>
      </c>
      <c r="AY57" s="151">
        <v>0.0</v>
      </c>
      <c r="AZ57" s="153"/>
      <c r="BA57" s="153"/>
      <c r="BB57" s="153"/>
      <c r="BC57" s="153"/>
      <c r="BD57" s="153"/>
      <c r="BE57" s="141">
        <v>0.0</v>
      </c>
      <c r="BF57" s="141">
        <v>0.0</v>
      </c>
      <c r="BG57" s="141">
        <v>0.0</v>
      </c>
      <c r="BH57" s="141">
        <v>0.0</v>
      </c>
      <c r="BI57" s="141"/>
      <c r="BJ57" s="141"/>
      <c r="BK57" s="141"/>
      <c r="BL57" s="141"/>
      <c r="BM57" s="141"/>
      <c r="BN57" s="141"/>
      <c r="BO57" s="141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111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32"/>
      <c r="U58" s="133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>
        <v>0.0</v>
      </c>
      <c r="AG58" s="133">
        <v>0.0</v>
      </c>
      <c r="AH58" s="134">
        <v>0.0</v>
      </c>
      <c r="AI58" s="133">
        <v>0.0</v>
      </c>
      <c r="AJ58" s="133">
        <v>0.0</v>
      </c>
      <c r="AK58" s="133"/>
      <c r="AL58" s="133"/>
      <c r="AM58" s="133"/>
      <c r="AN58" s="134"/>
      <c r="AO58" s="133"/>
      <c r="AP58" s="133"/>
      <c r="AQ58" s="133"/>
      <c r="AR58" s="134"/>
      <c r="AS58" s="133"/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/>
      <c r="BF58" s="123"/>
      <c r="BG58" s="123"/>
      <c r="BH58" s="123"/>
      <c r="BI58" s="123">
        <v>0.0</v>
      </c>
      <c r="BJ58" s="123">
        <v>0.0</v>
      </c>
      <c r="BK58" s="123">
        <v>0.0</v>
      </c>
      <c r="BL58" s="123">
        <v>0.0</v>
      </c>
      <c r="BM58" s="123">
        <v>0.0</v>
      </c>
      <c r="BN58" s="123"/>
      <c r="BO58" s="123"/>
      <c r="BP58" s="116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113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50"/>
      <c r="U59" s="151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>
        <v>0.0</v>
      </c>
      <c r="AJ59" s="151"/>
      <c r="AK59" s="152"/>
      <c r="AL59" s="152">
        <v>0.0</v>
      </c>
      <c r="AM59" s="151"/>
      <c r="AN59" s="151"/>
      <c r="AO59" s="151">
        <v>0.0</v>
      </c>
      <c r="AP59" s="151"/>
      <c r="AQ59" s="151"/>
      <c r="AR59" s="151"/>
      <c r="AS59" s="151"/>
      <c r="AT59" s="151"/>
      <c r="AU59" s="152"/>
      <c r="AV59" s="152"/>
      <c r="AW59" s="151"/>
      <c r="AX59" s="151">
        <v>0.0</v>
      </c>
      <c r="AY59" s="151"/>
      <c r="AZ59" s="153"/>
      <c r="BA59" s="153"/>
      <c r="BB59" s="153"/>
      <c r="BC59" s="153">
        <v>0.0</v>
      </c>
      <c r="BD59" s="153"/>
      <c r="BE59" s="141"/>
      <c r="BF59" s="141"/>
      <c r="BG59" s="141"/>
      <c r="BH59" s="141"/>
      <c r="BI59" s="141"/>
      <c r="BJ59" s="141"/>
      <c r="BK59" s="141"/>
      <c r="BL59" s="141"/>
      <c r="BM59" s="141">
        <v>0.0</v>
      </c>
      <c r="BN59" s="141"/>
      <c r="BO59" s="141">
        <v>0.0</v>
      </c>
      <c r="BP59" s="116"/>
      <c r="BQ59" s="116"/>
      <c r="BR59" s="116">
        <v>0.0</v>
      </c>
      <c r="BS59" s="116"/>
      <c r="BT59" s="116"/>
      <c r="BU59" s="116"/>
      <c r="BV59" s="116"/>
      <c r="BW59" s="116">
        <v>0.0</v>
      </c>
      <c r="BX59" s="116"/>
      <c r="BY59" s="116">
        <v>0.0</v>
      </c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114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32"/>
      <c r="U60" s="133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/>
      <c r="AK60" s="133">
        <v>0.0</v>
      </c>
      <c r="AL60" s="133">
        <v>0.0</v>
      </c>
      <c r="AM60" s="133">
        <v>0.0</v>
      </c>
      <c r="AN60" s="134">
        <v>0.0</v>
      </c>
      <c r="AO60" s="133">
        <v>0.0</v>
      </c>
      <c r="AP60" s="133"/>
      <c r="AQ60" s="133"/>
      <c r="AR60" s="134"/>
      <c r="AS60" s="133"/>
      <c r="AT60" s="133"/>
      <c r="AU60" s="133"/>
      <c r="AV60" s="133"/>
      <c r="AW60" s="133"/>
      <c r="AX60" s="133"/>
      <c r="AY60" s="133"/>
      <c r="AZ60" s="135"/>
      <c r="BA60" s="135"/>
      <c r="BB60" s="135"/>
      <c r="BC60" s="135"/>
      <c r="BD60" s="135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16"/>
      <c r="BQ60" s="116"/>
      <c r="BR60" s="116"/>
      <c r="BS60" s="116"/>
      <c r="BT60" s="116">
        <v>0.0</v>
      </c>
      <c r="BU60" s="116">
        <v>0.0</v>
      </c>
      <c r="BV60" s="116">
        <v>0.0</v>
      </c>
      <c r="BW60" s="116">
        <v>0.0</v>
      </c>
      <c r="BX60" s="116">
        <v>0.0</v>
      </c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115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50"/>
      <c r="U61" s="151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>
        <v>0.0</v>
      </c>
      <c r="BA61" s="153">
        <v>0.0</v>
      </c>
      <c r="BB61" s="153">
        <v>0.0</v>
      </c>
      <c r="BC61" s="153">
        <v>0.0</v>
      </c>
      <c r="BD61" s="153">
        <v>0.0</v>
      </c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16"/>
      <c r="BQ61" s="116"/>
      <c r="BR61" s="116"/>
      <c r="BS61" s="116">
        <v>0.0</v>
      </c>
      <c r="BT61" s="116">
        <v>0.0</v>
      </c>
      <c r="BU61" s="116">
        <v>0.0</v>
      </c>
      <c r="BV61" s="116">
        <v>0.0</v>
      </c>
      <c r="BW61" s="116">
        <v>0.0</v>
      </c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120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32"/>
      <c r="U62" s="133"/>
      <c r="V62" s="133"/>
      <c r="W62" s="133"/>
      <c r="X62" s="134"/>
      <c r="Y62" s="133"/>
      <c r="Z62" s="133">
        <v>0.0</v>
      </c>
      <c r="AA62" s="133"/>
      <c r="AB62" s="133"/>
      <c r="AC62" s="134"/>
      <c r="AD62" s="133"/>
      <c r="AE62" s="133"/>
      <c r="AF62" s="133"/>
      <c r="AG62" s="133"/>
      <c r="AH62" s="134">
        <v>0.0</v>
      </c>
      <c r="AI62" s="133"/>
      <c r="AJ62" s="133"/>
      <c r="AK62" s="133"/>
      <c r="AL62" s="133"/>
      <c r="AM62" s="133">
        <v>0.0</v>
      </c>
      <c r="AN62" s="134"/>
      <c r="AO62" s="133"/>
      <c r="AP62" s="133"/>
      <c r="AQ62" s="133"/>
      <c r="AR62" s="134"/>
      <c r="AS62" s="133"/>
      <c r="AT62" s="133"/>
      <c r="AU62" s="133"/>
      <c r="AV62" s="133"/>
      <c r="AW62" s="133">
        <v>0.0</v>
      </c>
      <c r="AX62" s="133"/>
      <c r="AY62" s="133"/>
      <c r="AZ62" s="135"/>
      <c r="BA62" s="135"/>
      <c r="BB62" s="135">
        <v>0.0</v>
      </c>
      <c r="BC62" s="135"/>
      <c r="BD62" s="135"/>
      <c r="BE62" s="123"/>
      <c r="BF62" s="123">
        <v>0.0</v>
      </c>
      <c r="BG62" s="123"/>
      <c r="BH62" s="123">
        <v>0.0</v>
      </c>
      <c r="BI62" s="123">
        <v>0.0</v>
      </c>
      <c r="BJ62" s="123"/>
      <c r="BK62" s="123"/>
      <c r="BL62" s="123">
        <v>0.0</v>
      </c>
      <c r="BM62" s="123"/>
      <c r="BN62" s="123"/>
      <c r="BO62" s="123"/>
      <c r="BP62" s="116"/>
      <c r="BQ62" s="116">
        <v>0.0</v>
      </c>
      <c r="BR62" s="116"/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121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/>
      <c r="AO63" s="151"/>
      <c r="AP63" s="151">
        <v>0.0</v>
      </c>
      <c r="AQ63" s="151">
        <v>0.0</v>
      </c>
      <c r="AR63" s="151">
        <v>0.0</v>
      </c>
      <c r="AS63" s="151">
        <v>0.0</v>
      </c>
      <c r="AT63" s="151">
        <v>0.0</v>
      </c>
      <c r="AU63" s="152"/>
      <c r="AV63" s="152"/>
      <c r="AW63" s="151"/>
      <c r="AX63" s="151"/>
      <c r="AY63" s="151"/>
      <c r="AZ63" s="153"/>
      <c r="BA63" s="153"/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16"/>
      <c r="BQ63" s="116"/>
      <c r="BR63" s="116"/>
      <c r="BS63" s="116"/>
      <c r="BT63" s="116">
        <v>0.0</v>
      </c>
      <c r="BU63" s="116">
        <v>0.0</v>
      </c>
      <c r="BV63" s="116">
        <v>0.0</v>
      </c>
      <c r="BW63" s="116">
        <v>0.0</v>
      </c>
      <c r="BX63" s="116">
        <v>0.0</v>
      </c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125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32"/>
      <c r="U64" s="133"/>
      <c r="V64" s="133"/>
      <c r="W64" s="133"/>
      <c r="X64" s="134"/>
      <c r="Y64" s="133"/>
      <c r="Z64" s="133"/>
      <c r="AA64" s="133"/>
      <c r="AB64" s="133"/>
      <c r="AC64" s="134"/>
      <c r="AD64" s="133"/>
      <c r="AE64" s="133">
        <v>0.0</v>
      </c>
      <c r="AF64" s="133">
        <v>0.0</v>
      </c>
      <c r="AG64" s="133">
        <v>0.0</v>
      </c>
      <c r="AH64" s="134"/>
      <c r="AI64" s="133">
        <v>0.0</v>
      </c>
      <c r="AJ64" s="133"/>
      <c r="AK64" s="133"/>
      <c r="AL64" s="133"/>
      <c r="AM64" s="133">
        <v>0.0</v>
      </c>
      <c r="AN64" s="134"/>
      <c r="AO64" s="133"/>
      <c r="AP64" s="133"/>
      <c r="AQ64" s="133"/>
      <c r="AR64" s="134"/>
      <c r="AS64" s="133"/>
      <c r="AT64" s="133"/>
      <c r="AU64" s="133"/>
      <c r="AV64" s="133"/>
      <c r="AW64" s="133">
        <v>0.0</v>
      </c>
      <c r="AX64" s="133"/>
      <c r="AY64" s="133">
        <v>0.0</v>
      </c>
      <c r="AZ64" s="135"/>
      <c r="BA64" s="135"/>
      <c r="BB64" s="135"/>
      <c r="BC64" s="135"/>
      <c r="BD64" s="135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16"/>
      <c r="BQ64" s="116"/>
      <c r="BR64" s="116"/>
      <c r="BS64" s="116"/>
      <c r="BT64" s="116">
        <v>0.0</v>
      </c>
      <c r="BU64" s="116">
        <v>0.0</v>
      </c>
      <c r="BV64" s="116"/>
      <c r="BW64" s="116"/>
      <c r="BX64" s="116">
        <v>0.0</v>
      </c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128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/>
      <c r="W65" s="151"/>
      <c r="X65" s="151"/>
      <c r="Y65" s="151"/>
      <c r="Z65" s="152">
        <v>0.0</v>
      </c>
      <c r="AA65" s="152"/>
      <c r="AB65" s="151"/>
      <c r="AC65" s="151"/>
      <c r="AD65" s="151">
        <v>0.0</v>
      </c>
      <c r="AE65" s="151"/>
      <c r="AF65" s="151"/>
      <c r="AG65" s="151">
        <v>0.0</v>
      </c>
      <c r="AH65" s="151"/>
      <c r="AI65" s="151"/>
      <c r="AJ65" s="151"/>
      <c r="AK65" s="152"/>
      <c r="AL65" s="152">
        <v>0.0</v>
      </c>
      <c r="AM65" s="151"/>
      <c r="AN65" s="151"/>
      <c r="AO65" s="151"/>
      <c r="AP65" s="151"/>
      <c r="AQ65" s="151">
        <v>0.0</v>
      </c>
      <c r="AR65" s="151"/>
      <c r="AS65" s="151"/>
      <c r="AT65" s="151"/>
      <c r="AU65" s="152"/>
      <c r="AV65" s="152"/>
      <c r="AW65" s="151"/>
      <c r="AX65" s="151">
        <v>0.0</v>
      </c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>
        <v>0.0</v>
      </c>
      <c r="BJ65" s="141"/>
      <c r="BK65" s="141"/>
      <c r="BL65" s="141"/>
      <c r="BM65" s="141"/>
      <c r="BN65" s="141"/>
      <c r="BO65" s="141"/>
      <c r="BP65" s="116">
        <v>0.0</v>
      </c>
      <c r="BQ65" s="116"/>
      <c r="BR65" s="116"/>
      <c r="BS65" s="116">
        <v>0.0</v>
      </c>
      <c r="BT65" s="116"/>
      <c r="BU65" s="116">
        <v>0.0</v>
      </c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129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/>
      <c r="X66" s="134"/>
      <c r="Y66" s="133"/>
      <c r="Z66" s="133"/>
      <c r="AA66" s="133"/>
      <c r="AB66" s="133">
        <v>0.0</v>
      </c>
      <c r="AC66" s="134"/>
      <c r="AD66" s="133"/>
      <c r="AE66" s="133"/>
      <c r="AF66" s="133">
        <v>0.0</v>
      </c>
      <c r="AG66" s="133"/>
      <c r="AH66" s="134"/>
      <c r="AI66" s="133"/>
      <c r="AJ66" s="133"/>
      <c r="AK66" s="133"/>
      <c r="AL66" s="133"/>
      <c r="AM66" s="133"/>
      <c r="AN66" s="134"/>
      <c r="AO66" s="133">
        <v>0.0</v>
      </c>
      <c r="AP66" s="133"/>
      <c r="AQ66" s="133"/>
      <c r="AR66" s="134"/>
      <c r="AS66" s="133"/>
      <c r="AT66" s="133">
        <v>0.0</v>
      </c>
      <c r="AU66" s="133"/>
      <c r="AV66" s="133">
        <v>0.0</v>
      </c>
      <c r="AW66" s="133"/>
      <c r="AX66" s="133"/>
      <c r="AY66" s="133"/>
      <c r="AZ66" s="135"/>
      <c r="BA66" s="135"/>
      <c r="BB66" s="135">
        <v>0.0</v>
      </c>
      <c r="BC66" s="135"/>
      <c r="BD66" s="135"/>
      <c r="BE66" s="123"/>
      <c r="BF66" s="123"/>
      <c r="BG66" s="123"/>
      <c r="BH66" s="123"/>
      <c r="BI66" s="123"/>
      <c r="BJ66" s="123"/>
      <c r="BK66" s="123">
        <v>0.0</v>
      </c>
      <c r="BL66" s="123"/>
      <c r="BM66" s="123"/>
      <c r="BN66" s="123"/>
      <c r="BO66" s="123"/>
      <c r="BP66" s="116"/>
      <c r="BQ66" s="116"/>
      <c r="BR66" s="116"/>
      <c r="BS66" s="116">
        <v>0.0</v>
      </c>
      <c r="BT66" s="116"/>
      <c r="BU66" s="116"/>
      <c r="BV66" s="116"/>
      <c r="BW66" s="116"/>
      <c r="BX66" s="116"/>
      <c r="BY66" s="116">
        <v>0.0</v>
      </c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130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>
        <v>0.0</v>
      </c>
      <c r="AN67" s="151">
        <v>0.0</v>
      </c>
      <c r="AO67" s="151">
        <v>0.0</v>
      </c>
      <c r="AP67" s="151"/>
      <c r="AQ67" s="151">
        <v>0.0</v>
      </c>
      <c r="AR67" s="151">
        <v>0.0</v>
      </c>
      <c r="AS67" s="151"/>
      <c r="AT67" s="151"/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>
        <v>0.0</v>
      </c>
      <c r="BM67" s="141">
        <v>0.0</v>
      </c>
      <c r="BN67" s="141">
        <v>0.0</v>
      </c>
      <c r="BO67" s="141"/>
      <c r="BP67" s="116"/>
      <c r="BQ67" s="116"/>
      <c r="BR67" s="116"/>
      <c r="BS67" s="116"/>
      <c r="BT67" s="116"/>
      <c r="BU67" s="116"/>
      <c r="BV67" s="116"/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134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/>
      <c r="W68" s="173"/>
      <c r="X68" s="172"/>
      <c r="Y68" s="173"/>
      <c r="Z68" s="173"/>
      <c r="AA68" s="173"/>
      <c r="AB68" s="173"/>
      <c r="AC68" s="173"/>
      <c r="AD68" s="173"/>
      <c r="AE68" s="173">
        <v>0.0</v>
      </c>
      <c r="AF68" s="173"/>
      <c r="AG68" s="172"/>
      <c r="AH68" s="173"/>
      <c r="AI68" s="173"/>
      <c r="AJ68" s="173"/>
      <c r="AK68" s="173"/>
      <c r="AL68" s="173">
        <v>0.0</v>
      </c>
      <c r="AM68" s="173"/>
      <c r="AN68" s="172"/>
      <c r="AO68" s="173"/>
      <c r="AP68" s="173"/>
      <c r="AQ68" s="173"/>
      <c r="AR68" s="173"/>
      <c r="AS68" s="173"/>
      <c r="AT68" s="173">
        <v>0.0</v>
      </c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>
        <v>0.0</v>
      </c>
      <c r="BI68" s="175"/>
      <c r="BJ68" s="175"/>
      <c r="BK68" s="175"/>
      <c r="BL68" s="175"/>
      <c r="BM68" s="175"/>
      <c r="BN68" s="175">
        <v>0.0</v>
      </c>
      <c r="BO68" s="175"/>
      <c r="BP68" s="116"/>
      <c r="BQ68" s="116">
        <v>0.0</v>
      </c>
      <c r="BR68" s="116"/>
      <c r="BS68" s="116"/>
      <c r="BT68" s="116"/>
      <c r="BU68" s="116"/>
      <c r="BV68" s="116"/>
      <c r="BW68" s="116">
        <v>0.0</v>
      </c>
      <c r="BX68" s="116"/>
      <c r="BY68" s="116">
        <v>0.0</v>
      </c>
      <c r="BZ68" s="116">
        <v>0.0</v>
      </c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22.75</v>
      </c>
      <c r="I4" s="73"/>
      <c r="J4" s="71" t="s">
        <v>141</v>
      </c>
      <c r="M4" s="74">
        <f>F25</f>
        <v>20.625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182.25</v>
      </c>
      <c r="I5" s="79"/>
      <c r="J5" s="80" t="s">
        <v>143</v>
      </c>
      <c r="K5" s="185"/>
      <c r="L5" s="185"/>
      <c r="M5" s="82">
        <f>(F25*8)+0.25</f>
        <v>165.25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Шпиц</v>
      </c>
      <c r="D9" s="97">
        <v>10.0</v>
      </c>
      <c r="E9" s="98">
        <v>52.75</v>
      </c>
      <c r="F9" s="99">
        <v>26.375</v>
      </c>
      <c r="G9" s="100">
        <v>3.275</v>
      </c>
      <c r="H9" s="99">
        <v>20.0</v>
      </c>
      <c r="I9" s="101">
        <v>31.75</v>
      </c>
      <c r="J9" s="102">
        <v>0.5</v>
      </c>
      <c r="K9" s="103">
        <v>0.5</v>
      </c>
      <c r="L9" s="104">
        <v>1.0</v>
      </c>
      <c r="M9" s="105">
        <v>8.0</v>
      </c>
      <c r="N9" s="105">
        <v>1.0</v>
      </c>
      <c r="O9" s="106">
        <v>0.0</v>
      </c>
      <c r="P9" s="107"/>
      <c r="Q9" s="108"/>
      <c r="R9" s="108"/>
      <c r="S9" s="109"/>
      <c r="T9" s="187"/>
      <c r="U9" s="188">
        <v>23.75</v>
      </c>
      <c r="V9" s="111"/>
      <c r="W9" s="112"/>
      <c r="X9" s="112"/>
      <c r="Y9" s="112">
        <v>29.0</v>
      </c>
      <c r="Z9" s="111"/>
      <c r="AA9" s="112">
        <v>0.0</v>
      </c>
      <c r="AB9" s="111"/>
      <c r="AC9" s="111"/>
      <c r="AD9" s="112"/>
      <c r="AE9" s="112">
        <v>0.0</v>
      </c>
      <c r="AF9" s="112"/>
      <c r="AG9" s="111"/>
      <c r="AH9" s="112"/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>
        <v>0.0</v>
      </c>
      <c r="AV9" s="111"/>
      <c r="AW9" s="112"/>
      <c r="AX9" s="112"/>
      <c r="AY9" s="112"/>
      <c r="AZ9" s="113"/>
      <c r="BA9" s="113"/>
      <c r="BB9" s="113"/>
      <c r="BC9" s="113"/>
      <c r="BD9" s="113"/>
      <c r="BE9" s="114">
        <v>0.0</v>
      </c>
      <c r="BF9" s="114"/>
      <c r="BG9" s="114"/>
      <c r="BH9" s="114">
        <v>0.0</v>
      </c>
      <c r="BI9" s="114"/>
      <c r="BJ9" s="114"/>
      <c r="BK9" s="114"/>
      <c r="BL9" s="115"/>
      <c r="BM9" s="115"/>
      <c r="BN9" s="115"/>
      <c r="BO9" s="115"/>
      <c r="BP9" s="189"/>
      <c r="BQ9" s="116"/>
      <c r="BR9" s="116"/>
      <c r="BS9" s="116">
        <v>0.0</v>
      </c>
      <c r="BT9" s="116"/>
      <c r="BU9" s="116"/>
      <c r="BV9" s="116"/>
      <c r="BW9" s="116"/>
      <c r="BX9" s="116">
        <v>0.0</v>
      </c>
      <c r="BY9" s="116">
        <v>0.0</v>
      </c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138</v>
      </c>
      <c r="D10" s="119">
        <v>5.0</v>
      </c>
      <c r="E10" s="120">
        <v>26.0</v>
      </c>
      <c r="F10" s="121">
        <v>26.0</v>
      </c>
      <c r="G10" s="122">
        <v>3.2</v>
      </c>
      <c r="H10" s="121">
        <v>10.0</v>
      </c>
      <c r="I10" s="123">
        <v>16.0</v>
      </c>
      <c r="J10" s="124">
        <v>0.0</v>
      </c>
      <c r="K10" s="125">
        <v>0.0</v>
      </c>
      <c r="L10" s="126">
        <v>0.0</v>
      </c>
      <c r="M10" s="127">
        <v>4.0</v>
      </c>
      <c r="N10" s="127">
        <v>0.0</v>
      </c>
      <c r="O10" s="128">
        <v>0.0</v>
      </c>
      <c r="P10" s="129"/>
      <c r="Q10" s="130"/>
      <c r="R10" s="130"/>
      <c r="S10" s="131"/>
      <c r="T10" s="190"/>
      <c r="U10" s="191">
        <v>26.0</v>
      </c>
      <c r="V10" s="133"/>
      <c r="W10" s="133"/>
      <c r="X10" s="134"/>
      <c r="Y10" s="133"/>
      <c r="Z10" s="133"/>
      <c r="AA10" s="133">
        <v>0.0</v>
      </c>
      <c r="AB10" s="133"/>
      <c r="AC10" s="134"/>
      <c r="AD10" s="133">
        <v>0.0</v>
      </c>
      <c r="AE10" s="133"/>
      <c r="AF10" s="133"/>
      <c r="AG10" s="133">
        <v>0.0</v>
      </c>
      <c r="AH10" s="134"/>
      <c r="AI10" s="133"/>
      <c r="AJ10" s="133"/>
      <c r="AK10" s="133"/>
      <c r="AL10" s="133"/>
      <c r="AM10" s="133"/>
      <c r="AN10" s="134"/>
      <c r="AO10" s="133">
        <v>0.0</v>
      </c>
      <c r="AP10" s="133"/>
      <c r="AQ10" s="133"/>
      <c r="AR10" s="134">
        <v>0.0</v>
      </c>
      <c r="AS10" s="133"/>
      <c r="AT10" s="133"/>
      <c r="AU10" s="133"/>
      <c r="AV10" s="133"/>
      <c r="AW10" s="133"/>
      <c r="AX10" s="133"/>
      <c r="AY10" s="133"/>
      <c r="AZ10" s="135"/>
      <c r="BA10" s="135"/>
      <c r="BB10" s="135">
        <v>0.0</v>
      </c>
      <c r="BC10" s="135"/>
      <c r="BD10" s="135"/>
      <c r="BE10" s="123">
        <v>0.0</v>
      </c>
      <c r="BF10" s="123"/>
      <c r="BG10" s="123"/>
      <c r="BH10" s="123"/>
      <c r="BI10" s="123"/>
      <c r="BJ10" s="123">
        <v>0.0</v>
      </c>
      <c r="BK10" s="123"/>
      <c r="BL10" s="123"/>
      <c r="BM10" s="123"/>
      <c r="BN10" s="123"/>
      <c r="BO10" s="123"/>
      <c r="BP10" s="189"/>
      <c r="BQ10" s="116"/>
      <c r="BR10" s="116"/>
      <c r="BS10" s="116">
        <v>0.0</v>
      </c>
      <c r="BT10" s="116"/>
      <c r="BU10" s="116"/>
      <c r="BV10" s="116"/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110</v>
      </c>
      <c r="D11" s="137">
        <v>5.0</v>
      </c>
      <c r="E11" s="138">
        <v>25.25</v>
      </c>
      <c r="F11" s="139">
        <v>25.25</v>
      </c>
      <c r="G11" s="140">
        <v>3.05</v>
      </c>
      <c r="H11" s="139">
        <v>10.0</v>
      </c>
      <c r="I11" s="141">
        <v>15.25</v>
      </c>
      <c r="J11" s="142">
        <v>0.0</v>
      </c>
      <c r="K11" s="143">
        <v>0.0</v>
      </c>
      <c r="L11" s="144">
        <v>0.0</v>
      </c>
      <c r="M11" s="145">
        <v>4.0</v>
      </c>
      <c r="N11" s="145">
        <v>0.0</v>
      </c>
      <c r="O11" s="146">
        <v>0.0</v>
      </c>
      <c r="P11" s="147"/>
      <c r="Q11" s="148"/>
      <c r="R11" s="148"/>
      <c r="S11" s="149"/>
      <c r="T11" s="192"/>
      <c r="U11" s="193">
        <v>25.25</v>
      </c>
      <c r="V11" s="151"/>
      <c r="W11" s="151"/>
      <c r="X11" s="151"/>
      <c r="Y11" s="151"/>
      <c r="Z11" s="152">
        <v>0.0</v>
      </c>
      <c r="AA11" s="152"/>
      <c r="AB11" s="151"/>
      <c r="AC11" s="151"/>
      <c r="AD11" s="151"/>
      <c r="AE11" s="151"/>
      <c r="AF11" s="151">
        <v>0.0</v>
      </c>
      <c r="AG11" s="151"/>
      <c r="AH11" s="151"/>
      <c r="AI11" s="151">
        <v>0.0</v>
      </c>
      <c r="AJ11" s="151"/>
      <c r="AK11" s="152"/>
      <c r="AL11" s="152"/>
      <c r="AM11" s="151"/>
      <c r="AN11" s="151"/>
      <c r="AO11" s="151"/>
      <c r="AP11" s="151">
        <v>0.0</v>
      </c>
      <c r="AQ11" s="151"/>
      <c r="AR11" s="151"/>
      <c r="AS11" s="151"/>
      <c r="AT11" s="151"/>
      <c r="AU11" s="152">
        <v>0.0</v>
      </c>
      <c r="AV11" s="152"/>
      <c r="AW11" s="151"/>
      <c r="AX11" s="151"/>
      <c r="AY11" s="151"/>
      <c r="AZ11" s="153"/>
      <c r="BA11" s="153"/>
      <c r="BB11" s="153"/>
      <c r="BC11" s="153">
        <v>0.0</v>
      </c>
      <c r="BD11" s="153"/>
      <c r="BE11" s="141">
        <v>0.0</v>
      </c>
      <c r="BF11" s="141"/>
      <c r="BG11" s="141"/>
      <c r="BH11" s="141"/>
      <c r="BI11" s="141"/>
      <c r="BJ11" s="141"/>
      <c r="BK11" s="141"/>
      <c r="BL11" s="141"/>
      <c r="BM11" s="141"/>
      <c r="BN11" s="141"/>
      <c r="BO11" s="141">
        <v>0.0</v>
      </c>
      <c r="BP11" s="189"/>
      <c r="BQ11" s="116"/>
      <c r="BR11" s="116"/>
      <c r="BS11" s="116"/>
      <c r="BT11" s="116"/>
      <c r="BU11" s="116"/>
      <c r="BV11" s="116"/>
      <c r="BW11" s="116"/>
      <c r="BX11" s="116">
        <v>0.0</v>
      </c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123</v>
      </c>
      <c r="D12" s="119">
        <v>10.0</v>
      </c>
      <c r="E12" s="120">
        <v>49.25</v>
      </c>
      <c r="F12" s="121">
        <v>24.625</v>
      </c>
      <c r="G12" s="122">
        <v>3.175</v>
      </c>
      <c r="H12" s="121">
        <v>17.5</v>
      </c>
      <c r="I12" s="123">
        <v>31.25</v>
      </c>
      <c r="J12" s="124">
        <v>0.0</v>
      </c>
      <c r="K12" s="125">
        <v>0.5</v>
      </c>
      <c r="L12" s="126">
        <v>1.0</v>
      </c>
      <c r="M12" s="127">
        <v>7.0</v>
      </c>
      <c r="N12" s="127">
        <v>3.0</v>
      </c>
      <c r="O12" s="128">
        <v>0.0</v>
      </c>
      <c r="P12" s="129"/>
      <c r="Q12" s="130"/>
      <c r="R12" s="130"/>
      <c r="S12" s="131"/>
      <c r="T12" s="190"/>
      <c r="U12" s="191"/>
      <c r="V12" s="133">
        <v>22.75</v>
      </c>
      <c r="W12" s="133">
        <v>26.5</v>
      </c>
      <c r="X12" s="134"/>
      <c r="Y12" s="133"/>
      <c r="Z12" s="133">
        <v>0.0</v>
      </c>
      <c r="AA12" s="133"/>
      <c r="AB12" s="133">
        <v>0.0</v>
      </c>
      <c r="AC12" s="134"/>
      <c r="AD12" s="133"/>
      <c r="AE12" s="133"/>
      <c r="AF12" s="133"/>
      <c r="AG12" s="133"/>
      <c r="AH12" s="134">
        <v>0.0</v>
      </c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>
        <v>0.0</v>
      </c>
      <c r="AU12" s="133"/>
      <c r="AV12" s="133"/>
      <c r="AW12" s="133"/>
      <c r="AX12" s="133"/>
      <c r="AY12" s="133">
        <v>0.0</v>
      </c>
      <c r="AZ12" s="135"/>
      <c r="BA12" s="135"/>
      <c r="BB12" s="135"/>
      <c r="BC12" s="135"/>
      <c r="BD12" s="135">
        <v>0.0</v>
      </c>
      <c r="BE12" s="123"/>
      <c r="BF12" s="123"/>
      <c r="BG12" s="123">
        <v>0.0</v>
      </c>
      <c r="BH12" s="123"/>
      <c r="BI12" s="123"/>
      <c r="BJ12" s="123"/>
      <c r="BK12" s="123"/>
      <c r="BL12" s="123"/>
      <c r="BM12" s="123"/>
      <c r="BN12" s="123">
        <v>0.0</v>
      </c>
      <c r="BO12" s="123"/>
      <c r="BP12" s="189"/>
      <c r="BQ12" s="116"/>
      <c r="BR12" s="116"/>
      <c r="BS12" s="116"/>
      <c r="BT12" s="116"/>
      <c r="BU12" s="116"/>
      <c r="BV12" s="116"/>
      <c r="BW12" s="116"/>
      <c r="BX12" s="116">
        <v>0.0</v>
      </c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124</v>
      </c>
      <c r="D13" s="137">
        <v>10.0</v>
      </c>
      <c r="E13" s="138">
        <v>46.25</v>
      </c>
      <c r="F13" s="139">
        <v>23.125</v>
      </c>
      <c r="G13" s="140">
        <v>2.875</v>
      </c>
      <c r="H13" s="139">
        <v>17.5</v>
      </c>
      <c r="I13" s="141">
        <v>28.75</v>
      </c>
      <c r="J13" s="142">
        <v>0.0</v>
      </c>
      <c r="K13" s="143">
        <v>0.0</v>
      </c>
      <c r="L13" s="144">
        <v>0.0</v>
      </c>
      <c r="M13" s="145">
        <v>7.0</v>
      </c>
      <c r="N13" s="145">
        <v>3.0</v>
      </c>
      <c r="O13" s="146">
        <v>0.0</v>
      </c>
      <c r="P13" s="147"/>
      <c r="Q13" s="148"/>
      <c r="R13" s="148"/>
      <c r="S13" s="149"/>
      <c r="T13" s="192">
        <v>28.75</v>
      </c>
      <c r="U13" s="193"/>
      <c r="V13" s="151"/>
      <c r="W13" s="151"/>
      <c r="X13" s="151"/>
      <c r="Y13" s="151">
        <v>17.5</v>
      </c>
      <c r="Z13" s="152"/>
      <c r="AA13" s="152"/>
      <c r="AB13" s="151"/>
      <c r="AC13" s="151"/>
      <c r="AD13" s="151"/>
      <c r="AE13" s="151"/>
      <c r="AF13" s="151"/>
      <c r="AG13" s="151">
        <v>0.0</v>
      </c>
      <c r="AH13" s="151"/>
      <c r="AI13" s="151"/>
      <c r="AJ13" s="151"/>
      <c r="AK13" s="152"/>
      <c r="AL13" s="152"/>
      <c r="AM13" s="151"/>
      <c r="AN13" s="151"/>
      <c r="AO13" s="151"/>
      <c r="AP13" s="151">
        <v>0.0</v>
      </c>
      <c r="AQ13" s="151"/>
      <c r="AR13" s="151"/>
      <c r="AS13" s="151">
        <v>0.0</v>
      </c>
      <c r="AT13" s="151">
        <v>0.0</v>
      </c>
      <c r="AU13" s="152"/>
      <c r="AV13" s="152">
        <v>0.0</v>
      </c>
      <c r="AW13" s="151"/>
      <c r="AX13" s="151"/>
      <c r="AY13" s="151"/>
      <c r="AZ13" s="153"/>
      <c r="BA13" s="153"/>
      <c r="BB13" s="153"/>
      <c r="BC13" s="153"/>
      <c r="BD13" s="153"/>
      <c r="BE13" s="141"/>
      <c r="BF13" s="141"/>
      <c r="BG13" s="141"/>
      <c r="BH13" s="141"/>
      <c r="BI13" s="141"/>
      <c r="BJ13" s="141"/>
      <c r="BK13" s="141">
        <v>0.0</v>
      </c>
      <c r="BL13" s="141"/>
      <c r="BM13" s="141"/>
      <c r="BN13" s="141"/>
      <c r="BO13" s="141"/>
      <c r="BP13" s="189"/>
      <c r="BQ13" s="116"/>
      <c r="BR13" s="116"/>
      <c r="BS13" s="116"/>
      <c r="BT13" s="116">
        <v>0.0</v>
      </c>
      <c r="BU13" s="116"/>
      <c r="BV13" s="116"/>
      <c r="BW13" s="116"/>
      <c r="BX13" s="116"/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102</v>
      </c>
      <c r="D14" s="119">
        <v>10.0</v>
      </c>
      <c r="E14" s="120">
        <v>45.5</v>
      </c>
      <c r="F14" s="121">
        <v>22.75</v>
      </c>
      <c r="G14" s="122">
        <v>3.05</v>
      </c>
      <c r="H14" s="121">
        <v>15.0</v>
      </c>
      <c r="I14" s="123">
        <v>30.0</v>
      </c>
      <c r="J14" s="124">
        <v>0.0</v>
      </c>
      <c r="K14" s="125">
        <v>0.5</v>
      </c>
      <c r="L14" s="126">
        <v>1.0</v>
      </c>
      <c r="M14" s="127">
        <v>6.0</v>
      </c>
      <c r="N14" s="127">
        <v>2.0</v>
      </c>
      <c r="O14" s="128">
        <v>1.0</v>
      </c>
      <c r="P14" s="129"/>
      <c r="Q14" s="130"/>
      <c r="R14" s="130"/>
      <c r="S14" s="131"/>
      <c r="T14" s="190"/>
      <c r="U14" s="191">
        <v>23.0</v>
      </c>
      <c r="V14" s="133"/>
      <c r="W14" s="133">
        <v>22.5</v>
      </c>
      <c r="X14" s="134"/>
      <c r="Y14" s="133"/>
      <c r="Z14" s="133"/>
      <c r="AA14" s="133"/>
      <c r="AB14" s="133"/>
      <c r="AC14" s="134"/>
      <c r="AD14" s="133"/>
      <c r="AE14" s="133"/>
      <c r="AF14" s="133">
        <v>0.0</v>
      </c>
      <c r="AG14" s="133"/>
      <c r="AH14" s="134"/>
      <c r="AI14" s="133"/>
      <c r="AJ14" s="133"/>
      <c r="AK14" s="133"/>
      <c r="AL14" s="133"/>
      <c r="AM14" s="133">
        <v>0.0</v>
      </c>
      <c r="AN14" s="134"/>
      <c r="AO14" s="133"/>
      <c r="AP14" s="133"/>
      <c r="AQ14" s="133">
        <v>0.0</v>
      </c>
      <c r="AR14" s="134"/>
      <c r="AS14" s="133"/>
      <c r="AT14" s="133"/>
      <c r="AU14" s="133"/>
      <c r="AV14" s="133"/>
      <c r="AW14" s="133">
        <v>0.0</v>
      </c>
      <c r="AX14" s="133"/>
      <c r="AY14" s="133"/>
      <c r="AZ14" s="135"/>
      <c r="BA14" s="135"/>
      <c r="BB14" s="135"/>
      <c r="BC14" s="135"/>
      <c r="BD14" s="135"/>
      <c r="BE14" s="123"/>
      <c r="BF14" s="123"/>
      <c r="BG14" s="123">
        <v>0.0</v>
      </c>
      <c r="BH14" s="123"/>
      <c r="BI14" s="123"/>
      <c r="BJ14" s="123">
        <v>0.0</v>
      </c>
      <c r="BK14" s="123"/>
      <c r="BL14" s="123"/>
      <c r="BM14" s="123"/>
      <c r="BN14" s="123"/>
      <c r="BO14" s="123"/>
      <c r="BP14" s="189"/>
      <c r="BQ14" s="116"/>
      <c r="BR14" s="116"/>
      <c r="BS14" s="116"/>
      <c r="BT14" s="116"/>
      <c r="BU14" s="116">
        <v>0.0</v>
      </c>
      <c r="BV14" s="116"/>
      <c r="BW14" s="116"/>
      <c r="BX14" s="116"/>
      <c r="BY14" s="116"/>
      <c r="BZ14" s="116">
        <v>0.0</v>
      </c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79</v>
      </c>
      <c r="D15" s="137">
        <v>5.0</v>
      </c>
      <c r="E15" s="138">
        <v>22.75</v>
      </c>
      <c r="F15" s="139">
        <v>22.75</v>
      </c>
      <c r="G15" s="140">
        <v>3.05</v>
      </c>
      <c r="H15" s="139">
        <v>7.5</v>
      </c>
      <c r="I15" s="141">
        <v>15.25</v>
      </c>
      <c r="J15" s="142">
        <v>0.0</v>
      </c>
      <c r="K15" s="143">
        <v>0.0</v>
      </c>
      <c r="L15" s="144">
        <v>0.0</v>
      </c>
      <c r="M15" s="145">
        <v>3.0</v>
      </c>
      <c r="N15" s="145">
        <v>0.0</v>
      </c>
      <c r="O15" s="146">
        <v>0.0</v>
      </c>
      <c r="P15" s="147"/>
      <c r="Q15" s="148"/>
      <c r="R15" s="148"/>
      <c r="S15" s="149"/>
      <c r="T15" s="192"/>
      <c r="U15" s="193"/>
      <c r="V15" s="151"/>
      <c r="W15" s="151">
        <v>22.75</v>
      </c>
      <c r="X15" s="151"/>
      <c r="Y15" s="151"/>
      <c r="Z15" s="152"/>
      <c r="AA15" s="152"/>
      <c r="AB15" s="151">
        <v>0.0</v>
      </c>
      <c r="AC15" s="151"/>
      <c r="AD15" s="151"/>
      <c r="AE15" s="151"/>
      <c r="AF15" s="151"/>
      <c r="AG15" s="151"/>
      <c r="AH15" s="151"/>
      <c r="AI15" s="151">
        <v>0.0</v>
      </c>
      <c r="AJ15" s="151"/>
      <c r="AK15" s="152"/>
      <c r="AL15" s="152"/>
      <c r="AM15" s="151"/>
      <c r="AN15" s="151"/>
      <c r="AO15" s="151"/>
      <c r="AP15" s="151"/>
      <c r="AQ15" s="151"/>
      <c r="AR15" s="151"/>
      <c r="AS15" s="151">
        <v>0.0</v>
      </c>
      <c r="AT15" s="151"/>
      <c r="AU15" s="152"/>
      <c r="AV15" s="152"/>
      <c r="AW15" s="151"/>
      <c r="AX15" s="151">
        <v>0.0</v>
      </c>
      <c r="AY15" s="151"/>
      <c r="AZ15" s="153"/>
      <c r="BA15" s="153"/>
      <c r="BB15" s="153"/>
      <c r="BC15" s="153">
        <v>0.0</v>
      </c>
      <c r="BD15" s="153"/>
      <c r="BE15" s="141"/>
      <c r="BF15" s="141"/>
      <c r="BG15" s="141">
        <v>0.0</v>
      </c>
      <c r="BH15" s="141"/>
      <c r="BI15" s="141"/>
      <c r="BJ15" s="141"/>
      <c r="BK15" s="141">
        <v>0.0</v>
      </c>
      <c r="BL15" s="141"/>
      <c r="BM15" s="141"/>
      <c r="BN15" s="141"/>
      <c r="BO15" s="141"/>
      <c r="BP15" s="189"/>
      <c r="BQ15" s="116"/>
      <c r="BR15" s="116">
        <v>0.0</v>
      </c>
      <c r="BS15" s="116"/>
      <c r="BT15" s="116"/>
      <c r="BU15" s="116">
        <v>0.0</v>
      </c>
      <c r="BV15" s="116">
        <v>0.0</v>
      </c>
      <c r="BW15" s="116"/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96</v>
      </c>
      <c r="D16" s="119">
        <v>5.0</v>
      </c>
      <c r="E16" s="120">
        <v>22.5</v>
      </c>
      <c r="F16" s="121">
        <v>22.5</v>
      </c>
      <c r="G16" s="122">
        <v>2.5</v>
      </c>
      <c r="H16" s="121">
        <v>10.0</v>
      </c>
      <c r="I16" s="123">
        <v>12.0</v>
      </c>
      <c r="J16" s="124">
        <v>0.0</v>
      </c>
      <c r="K16" s="125">
        <v>0.5</v>
      </c>
      <c r="L16" s="126">
        <v>1.0</v>
      </c>
      <c r="M16" s="127">
        <v>4.0</v>
      </c>
      <c r="N16" s="127">
        <v>1.0</v>
      </c>
      <c r="O16" s="128">
        <v>0.0</v>
      </c>
      <c r="P16" s="129"/>
      <c r="Q16" s="130"/>
      <c r="R16" s="130"/>
      <c r="S16" s="131"/>
      <c r="T16" s="190"/>
      <c r="U16" s="191"/>
      <c r="V16" s="133"/>
      <c r="W16" s="133">
        <v>22.5</v>
      </c>
      <c r="X16" s="134"/>
      <c r="Y16" s="133"/>
      <c r="Z16" s="133"/>
      <c r="AA16" s="133">
        <v>0.0</v>
      </c>
      <c r="AB16" s="133"/>
      <c r="AC16" s="134"/>
      <c r="AD16" s="133">
        <v>0.0</v>
      </c>
      <c r="AE16" s="133"/>
      <c r="AF16" s="133"/>
      <c r="AG16" s="133"/>
      <c r="AH16" s="134"/>
      <c r="AI16" s="133">
        <v>0.0</v>
      </c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/>
      <c r="AU16" s="133"/>
      <c r="AV16" s="133"/>
      <c r="AW16" s="133"/>
      <c r="AX16" s="133"/>
      <c r="AY16" s="133"/>
      <c r="AZ16" s="135">
        <v>0.0</v>
      </c>
      <c r="BA16" s="135"/>
      <c r="BB16" s="135"/>
      <c r="BC16" s="135"/>
      <c r="BD16" s="135">
        <v>0.0</v>
      </c>
      <c r="BE16" s="123"/>
      <c r="BF16" s="123"/>
      <c r="BG16" s="123"/>
      <c r="BH16" s="123"/>
      <c r="BI16" s="123"/>
      <c r="BJ16" s="123">
        <v>0.0</v>
      </c>
      <c r="BK16" s="123"/>
      <c r="BL16" s="123"/>
      <c r="BM16" s="123"/>
      <c r="BN16" s="123">
        <v>0.0</v>
      </c>
      <c r="BO16" s="123"/>
      <c r="BP16" s="189"/>
      <c r="BQ16" s="116"/>
      <c r="BR16" s="116"/>
      <c r="BS16" s="116"/>
      <c r="BT16" s="116">
        <v>0.0</v>
      </c>
      <c r="BU16" s="116"/>
      <c r="BV16" s="116"/>
      <c r="BW16" s="116"/>
      <c r="BX16" s="116"/>
      <c r="BY16" s="116"/>
      <c r="BZ16" s="116"/>
      <c r="CA16" s="116">
        <v>0.0</v>
      </c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132</v>
      </c>
      <c r="D17" s="137">
        <v>5.0</v>
      </c>
      <c r="E17" s="138">
        <v>22.25</v>
      </c>
      <c r="F17" s="139">
        <v>22.25</v>
      </c>
      <c r="G17" s="140">
        <v>2.95</v>
      </c>
      <c r="H17" s="139">
        <v>7.5</v>
      </c>
      <c r="I17" s="141">
        <v>14.75</v>
      </c>
      <c r="J17" s="142">
        <v>0.0</v>
      </c>
      <c r="K17" s="143">
        <v>0.0</v>
      </c>
      <c r="L17" s="144">
        <v>0.0</v>
      </c>
      <c r="M17" s="145">
        <v>3.0</v>
      </c>
      <c r="N17" s="145">
        <v>1.0</v>
      </c>
      <c r="O17" s="146">
        <v>1.0</v>
      </c>
      <c r="P17" s="147"/>
      <c r="Q17" s="148"/>
      <c r="R17" s="148"/>
      <c r="S17" s="149"/>
      <c r="T17" s="192"/>
      <c r="U17" s="193"/>
      <c r="V17" s="151">
        <v>22.25</v>
      </c>
      <c r="W17" s="151"/>
      <c r="X17" s="151"/>
      <c r="Y17" s="151"/>
      <c r="Z17" s="152"/>
      <c r="AA17" s="152"/>
      <c r="AB17" s="151">
        <v>0.0</v>
      </c>
      <c r="AC17" s="151"/>
      <c r="AD17" s="151"/>
      <c r="AE17" s="151"/>
      <c r="AF17" s="151">
        <v>0.0</v>
      </c>
      <c r="AG17" s="151"/>
      <c r="AH17" s="151"/>
      <c r="AI17" s="151"/>
      <c r="AJ17" s="151"/>
      <c r="AK17" s="152"/>
      <c r="AL17" s="152"/>
      <c r="AM17" s="151"/>
      <c r="AN17" s="151"/>
      <c r="AO17" s="151"/>
      <c r="AP17" s="151"/>
      <c r="AQ17" s="151"/>
      <c r="AR17" s="151"/>
      <c r="AS17" s="151"/>
      <c r="AT17" s="151"/>
      <c r="AU17" s="152"/>
      <c r="AV17" s="152"/>
      <c r="AW17" s="151"/>
      <c r="AX17" s="151"/>
      <c r="AY17" s="151"/>
      <c r="AZ17" s="153">
        <v>0.0</v>
      </c>
      <c r="BA17" s="153"/>
      <c r="BB17" s="153">
        <v>0.0</v>
      </c>
      <c r="BC17" s="153"/>
      <c r="BD17" s="153">
        <v>0.0</v>
      </c>
      <c r="BE17" s="141">
        <v>0.0</v>
      </c>
      <c r="BF17" s="141"/>
      <c r="BG17" s="141">
        <v>0.0</v>
      </c>
      <c r="BH17" s="141"/>
      <c r="BI17" s="141">
        <v>0.0</v>
      </c>
      <c r="BJ17" s="141"/>
      <c r="BK17" s="141"/>
      <c r="BL17" s="141"/>
      <c r="BM17" s="141"/>
      <c r="BN17" s="141"/>
      <c r="BO17" s="141"/>
      <c r="BP17" s="189"/>
      <c r="BQ17" s="116"/>
      <c r="BR17" s="116"/>
      <c r="BS17" s="116">
        <v>0.0</v>
      </c>
      <c r="BT17" s="116"/>
      <c r="BU17" s="116"/>
      <c r="BV17" s="116"/>
      <c r="BW17" s="116"/>
      <c r="BX17" s="116"/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90</v>
      </c>
      <c r="D18" s="119">
        <v>5.0</v>
      </c>
      <c r="E18" s="120">
        <v>22.0</v>
      </c>
      <c r="F18" s="121">
        <v>22.0</v>
      </c>
      <c r="G18" s="122">
        <v>2.9</v>
      </c>
      <c r="H18" s="121">
        <v>7.5</v>
      </c>
      <c r="I18" s="123">
        <v>14.5</v>
      </c>
      <c r="J18" s="124">
        <v>0.0</v>
      </c>
      <c r="K18" s="125">
        <v>0.0</v>
      </c>
      <c r="L18" s="126">
        <v>0.0</v>
      </c>
      <c r="M18" s="127">
        <v>3.0</v>
      </c>
      <c r="N18" s="127">
        <v>0.0</v>
      </c>
      <c r="O18" s="128">
        <v>0.0</v>
      </c>
      <c r="P18" s="129"/>
      <c r="Q18" s="130"/>
      <c r="R18" s="130"/>
      <c r="S18" s="131"/>
      <c r="T18" s="190">
        <v>22.0</v>
      </c>
      <c r="U18" s="191"/>
      <c r="V18" s="133"/>
      <c r="W18" s="133"/>
      <c r="X18" s="134"/>
      <c r="Y18" s="133"/>
      <c r="Z18" s="133">
        <v>0.0</v>
      </c>
      <c r="AA18" s="133"/>
      <c r="AB18" s="133"/>
      <c r="AC18" s="134">
        <v>0.0</v>
      </c>
      <c r="AD18" s="133"/>
      <c r="AE18" s="133"/>
      <c r="AF18" s="133"/>
      <c r="AG18" s="133"/>
      <c r="AH18" s="134"/>
      <c r="AI18" s="133"/>
      <c r="AJ18" s="133"/>
      <c r="AK18" s="133"/>
      <c r="AL18" s="133"/>
      <c r="AM18" s="133"/>
      <c r="AN18" s="134">
        <v>0.0</v>
      </c>
      <c r="AO18" s="133"/>
      <c r="AP18" s="133"/>
      <c r="AQ18" s="133"/>
      <c r="AR18" s="134"/>
      <c r="AS18" s="133"/>
      <c r="AT18" s="133"/>
      <c r="AU18" s="133">
        <v>0.0</v>
      </c>
      <c r="AV18" s="133"/>
      <c r="AW18" s="133"/>
      <c r="AX18" s="133"/>
      <c r="AY18" s="133"/>
      <c r="AZ18" s="135">
        <v>0.0</v>
      </c>
      <c r="BA18" s="135"/>
      <c r="BB18" s="135"/>
      <c r="BC18" s="135"/>
      <c r="BD18" s="135">
        <v>0.0</v>
      </c>
      <c r="BE18" s="123"/>
      <c r="BF18" s="123"/>
      <c r="BG18" s="123"/>
      <c r="BH18" s="123"/>
      <c r="BI18" s="123"/>
      <c r="BJ18" s="123">
        <v>0.0</v>
      </c>
      <c r="BK18" s="123"/>
      <c r="BL18" s="123"/>
      <c r="BM18" s="123"/>
      <c r="BN18" s="123"/>
      <c r="BO18" s="123"/>
      <c r="BP18" s="189"/>
      <c r="BQ18" s="116"/>
      <c r="BR18" s="116">
        <v>0.0</v>
      </c>
      <c r="BS18" s="116"/>
      <c r="BT18" s="116"/>
      <c r="BU18" s="116"/>
      <c r="BV18" s="116"/>
      <c r="BW18" s="116">
        <v>0.0</v>
      </c>
      <c r="BX18" s="116"/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91</v>
      </c>
      <c r="D19" s="137">
        <v>10.0</v>
      </c>
      <c r="E19" s="138">
        <v>43.75</v>
      </c>
      <c r="F19" s="139">
        <v>21.875</v>
      </c>
      <c r="G19" s="140">
        <v>2.875</v>
      </c>
      <c r="H19" s="139">
        <v>15.0</v>
      </c>
      <c r="I19" s="141">
        <v>27.75</v>
      </c>
      <c r="J19" s="142">
        <v>0.0</v>
      </c>
      <c r="K19" s="143">
        <v>1.0</v>
      </c>
      <c r="L19" s="144">
        <v>2.0</v>
      </c>
      <c r="M19" s="145">
        <v>6.0</v>
      </c>
      <c r="N19" s="145">
        <v>1.0</v>
      </c>
      <c r="O19" s="146">
        <v>0.0</v>
      </c>
      <c r="P19" s="147"/>
      <c r="Q19" s="148"/>
      <c r="R19" s="148"/>
      <c r="S19" s="149"/>
      <c r="T19" s="192"/>
      <c r="U19" s="193"/>
      <c r="V19" s="151">
        <v>23.25</v>
      </c>
      <c r="W19" s="151"/>
      <c r="X19" s="151">
        <v>20.5</v>
      </c>
      <c r="Y19" s="151"/>
      <c r="Z19" s="152">
        <v>0.0</v>
      </c>
      <c r="AA19" s="152"/>
      <c r="AB19" s="151"/>
      <c r="AC19" s="151"/>
      <c r="AD19" s="151"/>
      <c r="AE19" s="151"/>
      <c r="AF19" s="151"/>
      <c r="AG19" s="151"/>
      <c r="AH19" s="151">
        <v>0.0</v>
      </c>
      <c r="AI19" s="151"/>
      <c r="AJ19" s="151"/>
      <c r="AK19" s="152">
        <v>0.0</v>
      </c>
      <c r="AL19" s="152"/>
      <c r="AM19" s="151"/>
      <c r="AN19" s="151"/>
      <c r="AO19" s="151"/>
      <c r="AP19" s="151"/>
      <c r="AQ19" s="151"/>
      <c r="AR19" s="151">
        <v>0.0</v>
      </c>
      <c r="AS19" s="151"/>
      <c r="AT19" s="151"/>
      <c r="AU19" s="152"/>
      <c r="AV19" s="152"/>
      <c r="AW19" s="151"/>
      <c r="AX19" s="151"/>
      <c r="AY19" s="151">
        <v>0.0</v>
      </c>
      <c r="AZ19" s="153"/>
      <c r="BA19" s="153"/>
      <c r="BB19" s="153"/>
      <c r="BC19" s="153"/>
      <c r="BD19" s="153">
        <v>0.0</v>
      </c>
      <c r="BE19" s="141"/>
      <c r="BF19" s="141"/>
      <c r="BG19" s="141"/>
      <c r="BH19" s="141"/>
      <c r="BI19" s="141"/>
      <c r="BJ19" s="141"/>
      <c r="BK19" s="141"/>
      <c r="BL19" s="141"/>
      <c r="BM19" s="141">
        <v>0.0</v>
      </c>
      <c r="BN19" s="141"/>
      <c r="BO19" s="141"/>
      <c r="BP19" s="189">
        <v>0.0</v>
      </c>
      <c r="BQ19" s="116"/>
      <c r="BR19" s="116"/>
      <c r="BS19" s="116"/>
      <c r="BT19" s="116"/>
      <c r="BU19" s="116"/>
      <c r="BV19" s="116">
        <v>0.0</v>
      </c>
      <c r="BW19" s="116"/>
      <c r="BX19" s="116"/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82</v>
      </c>
      <c r="D20" s="119">
        <v>10.0</v>
      </c>
      <c r="E20" s="120">
        <v>43.0</v>
      </c>
      <c r="F20" s="121">
        <v>21.5</v>
      </c>
      <c r="G20" s="122">
        <v>3.05</v>
      </c>
      <c r="H20" s="121">
        <v>12.5</v>
      </c>
      <c r="I20" s="123">
        <v>28.0</v>
      </c>
      <c r="J20" s="124">
        <v>0.5</v>
      </c>
      <c r="K20" s="125">
        <v>2.0</v>
      </c>
      <c r="L20" s="126">
        <v>3.0</v>
      </c>
      <c r="M20" s="127">
        <v>5.0</v>
      </c>
      <c r="N20" s="127">
        <v>0.0</v>
      </c>
      <c r="O20" s="128">
        <v>1.0</v>
      </c>
      <c r="P20" s="129"/>
      <c r="Q20" s="130"/>
      <c r="R20" s="130"/>
      <c r="S20" s="131"/>
      <c r="T20" s="190">
        <v>27.5</v>
      </c>
      <c r="U20" s="191"/>
      <c r="V20" s="133"/>
      <c r="W20" s="133"/>
      <c r="X20" s="134"/>
      <c r="Y20" s="133">
        <v>15.5</v>
      </c>
      <c r="Z20" s="133"/>
      <c r="AA20" s="133"/>
      <c r="AB20" s="133"/>
      <c r="AC20" s="134"/>
      <c r="AD20" s="133"/>
      <c r="AE20" s="133"/>
      <c r="AF20" s="133"/>
      <c r="AG20" s="133">
        <v>0.0</v>
      </c>
      <c r="AH20" s="134"/>
      <c r="AI20" s="133"/>
      <c r="AJ20" s="133"/>
      <c r="AK20" s="133"/>
      <c r="AL20" s="133"/>
      <c r="AM20" s="133"/>
      <c r="AN20" s="134"/>
      <c r="AO20" s="133"/>
      <c r="AP20" s="133"/>
      <c r="AQ20" s="133"/>
      <c r="AR20" s="134"/>
      <c r="AS20" s="133"/>
      <c r="AT20" s="133"/>
      <c r="AU20" s="133"/>
      <c r="AV20" s="133">
        <v>0.0</v>
      </c>
      <c r="AW20" s="133">
        <v>0.0</v>
      </c>
      <c r="AX20" s="133"/>
      <c r="AY20" s="133"/>
      <c r="AZ20" s="135"/>
      <c r="BA20" s="135"/>
      <c r="BB20" s="135"/>
      <c r="BC20" s="135">
        <v>0.0</v>
      </c>
      <c r="BD20" s="135"/>
      <c r="BE20" s="123"/>
      <c r="BF20" s="123"/>
      <c r="BG20" s="123">
        <v>0.0</v>
      </c>
      <c r="BH20" s="123"/>
      <c r="BI20" s="123"/>
      <c r="BJ20" s="123"/>
      <c r="BK20" s="123"/>
      <c r="BL20" s="123"/>
      <c r="BM20" s="123"/>
      <c r="BN20" s="123"/>
      <c r="BO20" s="123"/>
      <c r="BP20" s="189">
        <v>0.0</v>
      </c>
      <c r="BQ20" s="116"/>
      <c r="BR20" s="116"/>
      <c r="BS20" s="116"/>
      <c r="BT20" s="116"/>
      <c r="BU20" s="116"/>
      <c r="BV20" s="116">
        <v>0.0</v>
      </c>
      <c r="BW20" s="116"/>
      <c r="BX20" s="116"/>
      <c r="BY20" s="116"/>
      <c r="BZ20" s="116"/>
      <c r="CA20" s="116">
        <v>0.0</v>
      </c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98</v>
      </c>
      <c r="D21" s="137">
        <v>5.0</v>
      </c>
      <c r="E21" s="138">
        <v>21.5</v>
      </c>
      <c r="F21" s="139">
        <v>21.5</v>
      </c>
      <c r="G21" s="140">
        <v>2.8</v>
      </c>
      <c r="H21" s="139">
        <v>7.5</v>
      </c>
      <c r="I21" s="141">
        <v>13.0</v>
      </c>
      <c r="J21" s="142">
        <v>0.5</v>
      </c>
      <c r="K21" s="143">
        <v>0.5</v>
      </c>
      <c r="L21" s="144">
        <v>1.0</v>
      </c>
      <c r="M21" s="145">
        <v>3.0</v>
      </c>
      <c r="N21" s="145">
        <v>2.0</v>
      </c>
      <c r="O21" s="146">
        <v>1.0</v>
      </c>
      <c r="P21" s="147"/>
      <c r="Q21" s="148"/>
      <c r="R21" s="148"/>
      <c r="S21" s="149"/>
      <c r="T21" s="192"/>
      <c r="U21" s="193">
        <v>21.5</v>
      </c>
      <c r="V21" s="151"/>
      <c r="W21" s="151"/>
      <c r="X21" s="151"/>
      <c r="Y21" s="151"/>
      <c r="Z21" s="152"/>
      <c r="AA21" s="152">
        <v>0.0</v>
      </c>
      <c r="AB21" s="151"/>
      <c r="AC21" s="151"/>
      <c r="AD21" s="151"/>
      <c r="AE21" s="151"/>
      <c r="AF21" s="151">
        <v>0.0</v>
      </c>
      <c r="AG21" s="151"/>
      <c r="AH21" s="151"/>
      <c r="AI21" s="151"/>
      <c r="AJ21" s="151">
        <v>0.0</v>
      </c>
      <c r="AK21" s="152"/>
      <c r="AL21" s="152"/>
      <c r="AM21" s="151"/>
      <c r="AN21" s="151"/>
      <c r="AO21" s="151"/>
      <c r="AP21" s="151">
        <v>0.0</v>
      </c>
      <c r="AQ21" s="151"/>
      <c r="AR21" s="151"/>
      <c r="AS21" s="151">
        <v>0.0</v>
      </c>
      <c r="AT21" s="151"/>
      <c r="AU21" s="152"/>
      <c r="AV21" s="152"/>
      <c r="AW21" s="151"/>
      <c r="AX21" s="151"/>
      <c r="AY21" s="151"/>
      <c r="AZ21" s="153"/>
      <c r="BA21" s="153">
        <v>0.0</v>
      </c>
      <c r="BB21" s="153"/>
      <c r="BC21" s="153"/>
      <c r="BD21" s="153"/>
      <c r="BE21" s="141"/>
      <c r="BF21" s="141"/>
      <c r="BG21" s="141"/>
      <c r="BH21" s="141"/>
      <c r="BI21" s="141"/>
      <c r="BJ21" s="141">
        <v>0.0</v>
      </c>
      <c r="BK21" s="141"/>
      <c r="BL21" s="141"/>
      <c r="BM21" s="141"/>
      <c r="BN21" s="141"/>
      <c r="BO21" s="141"/>
      <c r="BP21" s="189"/>
      <c r="BQ21" s="116"/>
      <c r="BR21" s="116">
        <v>0.0</v>
      </c>
      <c r="BS21" s="116"/>
      <c r="BT21" s="116"/>
      <c r="BU21" s="116"/>
      <c r="BV21" s="116">
        <v>0.0</v>
      </c>
      <c r="BW21" s="116"/>
      <c r="BX21" s="116"/>
      <c r="BY21" s="116"/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104</v>
      </c>
      <c r="D22" s="119">
        <v>5.0</v>
      </c>
      <c r="E22" s="120">
        <v>21.0</v>
      </c>
      <c r="F22" s="121">
        <v>21.0</v>
      </c>
      <c r="G22" s="122">
        <v>3.2</v>
      </c>
      <c r="H22" s="121">
        <v>5.0</v>
      </c>
      <c r="I22" s="123">
        <v>15.5</v>
      </c>
      <c r="J22" s="124">
        <v>0.0</v>
      </c>
      <c r="K22" s="125">
        <v>0.5</v>
      </c>
      <c r="L22" s="126">
        <v>1.0</v>
      </c>
      <c r="M22" s="127">
        <v>2.0</v>
      </c>
      <c r="N22" s="127">
        <v>1.0</v>
      </c>
      <c r="O22" s="128">
        <v>1.0</v>
      </c>
      <c r="P22" s="129"/>
      <c r="Q22" s="130"/>
      <c r="R22" s="130"/>
      <c r="S22" s="131"/>
      <c r="T22" s="190">
        <v>21.0</v>
      </c>
      <c r="U22" s="191"/>
      <c r="V22" s="133"/>
      <c r="W22" s="133"/>
      <c r="X22" s="134"/>
      <c r="Y22" s="133"/>
      <c r="Z22" s="133"/>
      <c r="AA22" s="133"/>
      <c r="AB22" s="133"/>
      <c r="AC22" s="134"/>
      <c r="AD22" s="133"/>
      <c r="AE22" s="133"/>
      <c r="AF22" s="133">
        <v>0.0</v>
      </c>
      <c r="AG22" s="133"/>
      <c r="AH22" s="134"/>
      <c r="AI22" s="133">
        <v>0.0</v>
      </c>
      <c r="AJ22" s="133"/>
      <c r="AK22" s="133"/>
      <c r="AL22" s="133"/>
      <c r="AM22" s="133">
        <v>0.0</v>
      </c>
      <c r="AN22" s="134"/>
      <c r="AO22" s="133"/>
      <c r="AP22" s="133"/>
      <c r="AQ22" s="133">
        <v>0.0</v>
      </c>
      <c r="AR22" s="134"/>
      <c r="AS22" s="133"/>
      <c r="AT22" s="133"/>
      <c r="AU22" s="133"/>
      <c r="AV22" s="133"/>
      <c r="AW22" s="133"/>
      <c r="AX22" s="133"/>
      <c r="AY22" s="133"/>
      <c r="AZ22" s="135"/>
      <c r="BA22" s="135"/>
      <c r="BB22" s="135"/>
      <c r="BC22" s="135">
        <v>0.0</v>
      </c>
      <c r="BD22" s="135"/>
      <c r="BE22" s="123"/>
      <c r="BF22" s="123">
        <v>0.0</v>
      </c>
      <c r="BG22" s="123"/>
      <c r="BH22" s="123"/>
      <c r="BI22" s="123">
        <v>0.0</v>
      </c>
      <c r="BJ22" s="123"/>
      <c r="BK22" s="123">
        <v>0.0</v>
      </c>
      <c r="BL22" s="123"/>
      <c r="BM22" s="123"/>
      <c r="BN22" s="123"/>
      <c r="BO22" s="123"/>
      <c r="BP22" s="189"/>
      <c r="BQ22" s="116"/>
      <c r="BR22" s="116"/>
      <c r="BS22" s="116"/>
      <c r="BT22" s="116"/>
      <c r="BU22" s="116"/>
      <c r="BV22" s="116"/>
      <c r="BW22" s="116"/>
      <c r="BX22" s="116"/>
      <c r="BY22" s="116"/>
      <c r="BZ22" s="116"/>
      <c r="CA22" s="116">
        <v>0.0</v>
      </c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127</v>
      </c>
      <c r="D23" s="137">
        <v>5.0</v>
      </c>
      <c r="E23" s="138">
        <v>21.0</v>
      </c>
      <c r="F23" s="139">
        <v>21.0</v>
      </c>
      <c r="G23" s="140">
        <v>2.7</v>
      </c>
      <c r="H23" s="139">
        <v>7.5</v>
      </c>
      <c r="I23" s="141">
        <v>13.0</v>
      </c>
      <c r="J23" s="142">
        <v>0.0</v>
      </c>
      <c r="K23" s="143">
        <v>0.5</v>
      </c>
      <c r="L23" s="144">
        <v>1.0</v>
      </c>
      <c r="M23" s="145">
        <v>3.0</v>
      </c>
      <c r="N23" s="145">
        <v>0.0</v>
      </c>
      <c r="O23" s="146">
        <v>1.0</v>
      </c>
      <c r="P23" s="147"/>
      <c r="Q23" s="148"/>
      <c r="R23" s="148"/>
      <c r="S23" s="149"/>
      <c r="T23" s="192"/>
      <c r="U23" s="193">
        <v>21.0</v>
      </c>
      <c r="V23" s="151"/>
      <c r="W23" s="151"/>
      <c r="X23" s="151"/>
      <c r="Y23" s="151"/>
      <c r="Z23" s="152"/>
      <c r="AA23" s="152"/>
      <c r="AB23" s="151">
        <v>0.0</v>
      </c>
      <c r="AC23" s="151"/>
      <c r="AD23" s="151"/>
      <c r="AE23" s="151"/>
      <c r="AF23" s="151"/>
      <c r="AG23" s="151"/>
      <c r="AH23" s="151"/>
      <c r="AI23" s="151"/>
      <c r="AJ23" s="151"/>
      <c r="AK23" s="152"/>
      <c r="AL23" s="152"/>
      <c r="AM23" s="151">
        <v>0.0</v>
      </c>
      <c r="AN23" s="151"/>
      <c r="AO23" s="151"/>
      <c r="AP23" s="151"/>
      <c r="AQ23" s="151"/>
      <c r="AR23" s="151"/>
      <c r="AS23" s="151"/>
      <c r="AT23" s="151">
        <v>0.0</v>
      </c>
      <c r="AU23" s="152"/>
      <c r="AV23" s="152"/>
      <c r="AW23" s="151"/>
      <c r="AX23" s="151">
        <v>0.0</v>
      </c>
      <c r="AY23" s="151"/>
      <c r="AZ23" s="153"/>
      <c r="BA23" s="153"/>
      <c r="BB23" s="153"/>
      <c r="BC23" s="153"/>
      <c r="BD23" s="153"/>
      <c r="BE23" s="141">
        <v>0.0</v>
      </c>
      <c r="BF23" s="141"/>
      <c r="BG23" s="141"/>
      <c r="BH23" s="141"/>
      <c r="BI23" s="141"/>
      <c r="BJ23" s="141"/>
      <c r="BK23" s="141">
        <v>0.0</v>
      </c>
      <c r="BL23" s="141"/>
      <c r="BM23" s="141"/>
      <c r="BN23" s="141"/>
      <c r="BO23" s="141"/>
      <c r="BP23" s="189">
        <v>0.0</v>
      </c>
      <c r="BQ23" s="116"/>
      <c r="BR23" s="116"/>
      <c r="BS23" s="116">
        <v>0.0</v>
      </c>
      <c r="BT23" s="116"/>
      <c r="BU23" s="116"/>
      <c r="BV23" s="116"/>
      <c r="BW23" s="116"/>
      <c r="BX23" s="116"/>
      <c r="BY23" s="116"/>
      <c r="BZ23" s="116">
        <v>0.0</v>
      </c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122</v>
      </c>
      <c r="D24" s="119">
        <v>5.0</v>
      </c>
      <c r="E24" s="120">
        <v>20.75</v>
      </c>
      <c r="F24" s="121">
        <v>20.75</v>
      </c>
      <c r="G24" s="122">
        <v>2.65</v>
      </c>
      <c r="H24" s="121">
        <v>7.5</v>
      </c>
      <c r="I24" s="123">
        <v>12.75</v>
      </c>
      <c r="J24" s="124">
        <v>0.0</v>
      </c>
      <c r="K24" s="125">
        <v>0.5</v>
      </c>
      <c r="L24" s="126">
        <v>1.0</v>
      </c>
      <c r="M24" s="127">
        <v>3.0</v>
      </c>
      <c r="N24" s="127">
        <v>0.0</v>
      </c>
      <c r="O24" s="128">
        <v>0.0</v>
      </c>
      <c r="P24" s="129"/>
      <c r="Q24" s="130"/>
      <c r="R24" s="130"/>
      <c r="S24" s="131"/>
      <c r="T24" s="190"/>
      <c r="U24" s="191"/>
      <c r="V24" s="133"/>
      <c r="W24" s="133">
        <v>20.75</v>
      </c>
      <c r="X24" s="134"/>
      <c r="Y24" s="133"/>
      <c r="Z24" s="133"/>
      <c r="AA24" s="133"/>
      <c r="AB24" s="133"/>
      <c r="AC24" s="134">
        <v>0.0</v>
      </c>
      <c r="AD24" s="133"/>
      <c r="AE24" s="133"/>
      <c r="AF24" s="133"/>
      <c r="AG24" s="133"/>
      <c r="AH24" s="134"/>
      <c r="AI24" s="133"/>
      <c r="AJ24" s="133"/>
      <c r="AK24" s="133"/>
      <c r="AL24" s="133"/>
      <c r="AM24" s="133"/>
      <c r="AN24" s="134"/>
      <c r="AO24" s="133">
        <v>0.0</v>
      </c>
      <c r="AP24" s="133"/>
      <c r="AQ24" s="133"/>
      <c r="AR24" s="134"/>
      <c r="AS24" s="133">
        <v>0.0</v>
      </c>
      <c r="AT24" s="133"/>
      <c r="AU24" s="133"/>
      <c r="AV24" s="133"/>
      <c r="AW24" s="133">
        <v>0.0</v>
      </c>
      <c r="AX24" s="133"/>
      <c r="AY24" s="133"/>
      <c r="AZ24" s="135"/>
      <c r="BA24" s="135">
        <v>0.0</v>
      </c>
      <c r="BB24" s="135"/>
      <c r="BC24" s="135"/>
      <c r="BD24" s="135"/>
      <c r="BE24" s="123"/>
      <c r="BF24" s="123">
        <v>0.0</v>
      </c>
      <c r="BG24" s="123"/>
      <c r="BH24" s="123"/>
      <c r="BI24" s="123"/>
      <c r="BJ24" s="123"/>
      <c r="BK24" s="123"/>
      <c r="BL24" s="123"/>
      <c r="BM24" s="123"/>
      <c r="BN24" s="123"/>
      <c r="BO24" s="123">
        <v>0.0</v>
      </c>
      <c r="BP24" s="189"/>
      <c r="BQ24" s="116"/>
      <c r="BR24" s="116"/>
      <c r="BS24" s="116"/>
      <c r="BT24" s="116"/>
      <c r="BU24" s="116">
        <v>0.0</v>
      </c>
      <c r="BV24" s="116"/>
      <c r="BW24" s="116"/>
      <c r="BX24" s="116"/>
      <c r="BY24" s="116"/>
      <c r="BZ24" s="116"/>
      <c r="CA24" s="116">
        <v>0.0</v>
      </c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86</v>
      </c>
      <c r="D25" s="137">
        <v>10.0</v>
      </c>
      <c r="E25" s="138">
        <v>41.25</v>
      </c>
      <c r="F25" s="139">
        <v>20.625</v>
      </c>
      <c r="G25" s="140">
        <v>2.875</v>
      </c>
      <c r="H25" s="139">
        <v>12.5</v>
      </c>
      <c r="I25" s="141">
        <v>28.25</v>
      </c>
      <c r="J25" s="142">
        <v>0.0</v>
      </c>
      <c r="K25" s="143">
        <v>0.5</v>
      </c>
      <c r="L25" s="144">
        <v>1.0</v>
      </c>
      <c r="M25" s="145">
        <v>5.0</v>
      </c>
      <c r="N25" s="145">
        <v>3.0</v>
      </c>
      <c r="O25" s="146">
        <v>1.0</v>
      </c>
      <c r="P25" s="147"/>
      <c r="Q25" s="148"/>
      <c r="R25" s="148"/>
      <c r="S25" s="149"/>
      <c r="T25" s="192"/>
      <c r="U25" s="193"/>
      <c r="V25" s="151"/>
      <c r="W25" s="151"/>
      <c r="X25" s="151">
        <v>21.75</v>
      </c>
      <c r="Y25" s="151">
        <v>19.5</v>
      </c>
      <c r="Z25" s="152"/>
      <c r="AA25" s="152"/>
      <c r="AB25" s="151"/>
      <c r="AC25" s="151"/>
      <c r="AD25" s="151"/>
      <c r="AE25" s="151">
        <v>0.0</v>
      </c>
      <c r="AF25" s="151"/>
      <c r="AG25" s="151"/>
      <c r="AH25" s="151"/>
      <c r="AI25" s="151"/>
      <c r="AJ25" s="151"/>
      <c r="AK25" s="152">
        <v>0.0</v>
      </c>
      <c r="AL25" s="152"/>
      <c r="AM25" s="151"/>
      <c r="AN25" s="151"/>
      <c r="AO25" s="151"/>
      <c r="AP25" s="151"/>
      <c r="AQ25" s="151"/>
      <c r="AR25" s="151"/>
      <c r="AS25" s="151"/>
      <c r="AT25" s="151"/>
      <c r="AU25" s="152"/>
      <c r="AV25" s="152"/>
      <c r="AW25" s="151"/>
      <c r="AX25" s="151"/>
      <c r="AY25" s="151"/>
      <c r="AZ25" s="153"/>
      <c r="BA25" s="153">
        <v>0.0</v>
      </c>
      <c r="BB25" s="153">
        <v>0.0</v>
      </c>
      <c r="BC25" s="153"/>
      <c r="BD25" s="153"/>
      <c r="BE25" s="141"/>
      <c r="BF25" s="141"/>
      <c r="BG25" s="141"/>
      <c r="BH25" s="141"/>
      <c r="BI25" s="141">
        <v>0.0</v>
      </c>
      <c r="BJ25" s="141"/>
      <c r="BK25" s="141"/>
      <c r="BL25" s="141"/>
      <c r="BM25" s="141"/>
      <c r="BN25" s="141"/>
      <c r="BO25" s="141">
        <v>0.0</v>
      </c>
      <c r="BP25" s="189"/>
      <c r="BQ25" s="116"/>
      <c r="BR25" s="116"/>
      <c r="BS25" s="116">
        <v>0.0</v>
      </c>
      <c r="BT25" s="116"/>
      <c r="BU25" s="116"/>
      <c r="BV25" s="116"/>
      <c r="BW25" s="116"/>
      <c r="BX25" s="116">
        <v>0.0</v>
      </c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81</v>
      </c>
      <c r="D26" s="119">
        <v>5.0</v>
      </c>
      <c r="E26" s="120">
        <v>20.0</v>
      </c>
      <c r="F26" s="121">
        <v>20.0</v>
      </c>
      <c r="G26" s="122">
        <v>3.0</v>
      </c>
      <c r="H26" s="121">
        <v>5.0</v>
      </c>
      <c r="I26" s="123">
        <v>13.0</v>
      </c>
      <c r="J26" s="124">
        <v>0.5</v>
      </c>
      <c r="K26" s="125">
        <v>1.5</v>
      </c>
      <c r="L26" s="126">
        <v>2.0</v>
      </c>
      <c r="M26" s="127">
        <v>2.0</v>
      </c>
      <c r="N26" s="127">
        <v>0.0</v>
      </c>
      <c r="O26" s="128">
        <v>1.0</v>
      </c>
      <c r="P26" s="129"/>
      <c r="Q26" s="130"/>
      <c r="R26" s="130"/>
      <c r="S26" s="131"/>
      <c r="T26" s="190"/>
      <c r="U26" s="191">
        <v>20.0</v>
      </c>
      <c r="V26" s="133"/>
      <c r="W26" s="133"/>
      <c r="X26" s="134"/>
      <c r="Y26" s="133"/>
      <c r="Z26" s="133"/>
      <c r="AA26" s="133">
        <v>0.0</v>
      </c>
      <c r="AB26" s="133"/>
      <c r="AC26" s="134"/>
      <c r="AD26" s="133">
        <v>0.0</v>
      </c>
      <c r="AE26" s="133"/>
      <c r="AF26" s="133"/>
      <c r="AG26" s="133"/>
      <c r="AH26" s="134"/>
      <c r="AI26" s="133"/>
      <c r="AJ26" s="133">
        <v>0.0</v>
      </c>
      <c r="AK26" s="133"/>
      <c r="AL26" s="133"/>
      <c r="AM26" s="133"/>
      <c r="AN26" s="134"/>
      <c r="AO26" s="133"/>
      <c r="AP26" s="133"/>
      <c r="AQ26" s="133"/>
      <c r="AR26" s="134">
        <v>0.0</v>
      </c>
      <c r="AS26" s="133"/>
      <c r="AT26" s="133"/>
      <c r="AU26" s="133"/>
      <c r="AV26" s="133">
        <v>0.0</v>
      </c>
      <c r="AW26" s="133"/>
      <c r="AX26" s="133"/>
      <c r="AY26" s="133"/>
      <c r="AZ26" s="135"/>
      <c r="BA26" s="135"/>
      <c r="BB26" s="135">
        <v>0.0</v>
      </c>
      <c r="BC26" s="135"/>
      <c r="BD26" s="135"/>
      <c r="BE26" s="123"/>
      <c r="BF26" s="123"/>
      <c r="BG26" s="123"/>
      <c r="BH26" s="123"/>
      <c r="BI26" s="123"/>
      <c r="BJ26" s="123"/>
      <c r="BK26" s="123"/>
      <c r="BL26" s="123"/>
      <c r="BM26" s="123">
        <v>0.0</v>
      </c>
      <c r="BN26" s="123"/>
      <c r="BO26" s="123"/>
      <c r="BP26" s="189"/>
      <c r="BQ26" s="116"/>
      <c r="BR26" s="116">
        <v>0.0</v>
      </c>
      <c r="BS26" s="116"/>
      <c r="BT26" s="116"/>
      <c r="BU26" s="116"/>
      <c r="BV26" s="116"/>
      <c r="BW26" s="116"/>
      <c r="BX26" s="116"/>
      <c r="BY26" s="116">
        <v>0.0</v>
      </c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106</v>
      </c>
      <c r="D27" s="137">
        <v>10.0</v>
      </c>
      <c r="E27" s="138">
        <v>39.25</v>
      </c>
      <c r="F27" s="139">
        <v>19.625</v>
      </c>
      <c r="G27" s="140">
        <v>2.675</v>
      </c>
      <c r="H27" s="139">
        <v>12.5</v>
      </c>
      <c r="I27" s="141">
        <v>26.75</v>
      </c>
      <c r="J27" s="142">
        <v>0.0</v>
      </c>
      <c r="K27" s="143">
        <v>0.0</v>
      </c>
      <c r="L27" s="144">
        <v>0.0</v>
      </c>
      <c r="M27" s="145">
        <v>5.0</v>
      </c>
      <c r="N27" s="145">
        <v>1.0</v>
      </c>
      <c r="O27" s="146">
        <v>0.0</v>
      </c>
      <c r="P27" s="147"/>
      <c r="Q27" s="148"/>
      <c r="R27" s="148"/>
      <c r="S27" s="149"/>
      <c r="T27" s="192">
        <v>20.0</v>
      </c>
      <c r="U27" s="193"/>
      <c r="V27" s="151"/>
      <c r="W27" s="151"/>
      <c r="X27" s="151">
        <v>19.25</v>
      </c>
      <c r="Y27" s="151"/>
      <c r="Z27" s="152"/>
      <c r="AA27" s="152"/>
      <c r="AB27" s="151"/>
      <c r="AC27" s="151"/>
      <c r="AD27" s="151">
        <v>0.0</v>
      </c>
      <c r="AE27" s="151"/>
      <c r="AF27" s="151"/>
      <c r="AG27" s="151"/>
      <c r="AH27" s="151"/>
      <c r="AI27" s="151"/>
      <c r="AJ27" s="151"/>
      <c r="AK27" s="152"/>
      <c r="AL27" s="152"/>
      <c r="AM27" s="151"/>
      <c r="AN27" s="151">
        <v>0.0</v>
      </c>
      <c r="AO27" s="151"/>
      <c r="AP27" s="151"/>
      <c r="AQ27" s="151">
        <v>0.0</v>
      </c>
      <c r="AR27" s="151"/>
      <c r="AS27" s="151"/>
      <c r="AT27" s="151"/>
      <c r="AU27" s="152"/>
      <c r="AV27" s="152"/>
      <c r="AW27" s="151"/>
      <c r="AX27" s="151">
        <v>0.0</v>
      </c>
      <c r="AY27" s="151"/>
      <c r="AZ27" s="153"/>
      <c r="BA27" s="153"/>
      <c r="BB27" s="153"/>
      <c r="BC27" s="153">
        <v>0.0</v>
      </c>
      <c r="BD27" s="153"/>
      <c r="BE27" s="141"/>
      <c r="BF27" s="141"/>
      <c r="BG27" s="141"/>
      <c r="BH27" s="141"/>
      <c r="BI27" s="141"/>
      <c r="BJ27" s="141"/>
      <c r="BK27" s="141"/>
      <c r="BL27" s="141"/>
      <c r="BM27" s="141">
        <v>0.0</v>
      </c>
      <c r="BN27" s="141"/>
      <c r="BO27" s="141"/>
      <c r="BP27" s="189"/>
      <c r="BQ27" s="116">
        <v>0.0</v>
      </c>
      <c r="BR27" s="116"/>
      <c r="BS27" s="116"/>
      <c r="BT27" s="116"/>
      <c r="BU27" s="116"/>
      <c r="BV27" s="116">
        <v>0.0</v>
      </c>
      <c r="BW27" s="116"/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101</v>
      </c>
      <c r="D28" s="119">
        <v>10.0</v>
      </c>
      <c r="E28" s="120">
        <v>38.0</v>
      </c>
      <c r="F28" s="121">
        <v>19.0</v>
      </c>
      <c r="G28" s="122">
        <v>2.55</v>
      </c>
      <c r="H28" s="121">
        <v>12.5</v>
      </c>
      <c r="I28" s="123">
        <v>25.0</v>
      </c>
      <c r="J28" s="124">
        <v>0.0</v>
      </c>
      <c r="K28" s="125">
        <v>0.5</v>
      </c>
      <c r="L28" s="126">
        <v>1.0</v>
      </c>
      <c r="M28" s="127">
        <v>5.0</v>
      </c>
      <c r="N28" s="127">
        <v>0.0</v>
      </c>
      <c r="O28" s="128">
        <v>1.0</v>
      </c>
      <c r="P28" s="129"/>
      <c r="Q28" s="130"/>
      <c r="R28" s="130"/>
      <c r="S28" s="131"/>
      <c r="T28" s="190">
        <v>17.0</v>
      </c>
      <c r="U28" s="191"/>
      <c r="V28" s="133"/>
      <c r="W28" s="133"/>
      <c r="X28" s="134"/>
      <c r="Y28" s="133">
        <v>21.0</v>
      </c>
      <c r="Z28" s="133"/>
      <c r="AA28" s="133"/>
      <c r="AB28" s="133"/>
      <c r="AC28" s="134"/>
      <c r="AD28" s="133"/>
      <c r="AE28" s="133"/>
      <c r="AF28" s="133">
        <v>0.0</v>
      </c>
      <c r="AG28" s="133"/>
      <c r="AH28" s="134"/>
      <c r="AI28" s="133"/>
      <c r="AJ28" s="133"/>
      <c r="AK28" s="133"/>
      <c r="AL28" s="133"/>
      <c r="AM28" s="133"/>
      <c r="AN28" s="134">
        <v>0.0</v>
      </c>
      <c r="AO28" s="133"/>
      <c r="AP28" s="133"/>
      <c r="AQ28" s="133">
        <v>0.0</v>
      </c>
      <c r="AR28" s="134"/>
      <c r="AS28" s="133"/>
      <c r="AT28" s="133"/>
      <c r="AU28" s="133">
        <v>0.0</v>
      </c>
      <c r="AV28" s="133"/>
      <c r="AW28" s="133"/>
      <c r="AX28" s="133"/>
      <c r="AY28" s="133"/>
      <c r="AZ28" s="135"/>
      <c r="BA28" s="135"/>
      <c r="BB28" s="135"/>
      <c r="BC28" s="135"/>
      <c r="BD28" s="135"/>
      <c r="BE28" s="123"/>
      <c r="BF28" s="123"/>
      <c r="BG28" s="123"/>
      <c r="BH28" s="123"/>
      <c r="BI28" s="123">
        <v>0.0</v>
      </c>
      <c r="BJ28" s="123"/>
      <c r="BK28" s="123"/>
      <c r="BL28" s="123"/>
      <c r="BM28" s="123"/>
      <c r="BN28" s="123"/>
      <c r="BO28" s="123">
        <v>0.0</v>
      </c>
      <c r="BP28" s="189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>
        <v>0.0</v>
      </c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105</v>
      </c>
      <c r="D29" s="137">
        <v>10.0</v>
      </c>
      <c r="E29" s="138">
        <v>37.25</v>
      </c>
      <c r="F29" s="139">
        <v>18.625</v>
      </c>
      <c r="G29" s="140">
        <v>2.475</v>
      </c>
      <c r="H29" s="139">
        <v>12.5</v>
      </c>
      <c r="I29" s="141">
        <v>24.25</v>
      </c>
      <c r="J29" s="142">
        <v>0.0</v>
      </c>
      <c r="K29" s="143">
        <v>0.5</v>
      </c>
      <c r="L29" s="144">
        <v>1.0</v>
      </c>
      <c r="M29" s="145">
        <v>5.0</v>
      </c>
      <c r="N29" s="145">
        <v>1.0</v>
      </c>
      <c r="O29" s="146">
        <v>2.0</v>
      </c>
      <c r="P29" s="147"/>
      <c r="Q29" s="148"/>
      <c r="R29" s="148"/>
      <c r="S29" s="149"/>
      <c r="T29" s="192">
        <v>14.75</v>
      </c>
      <c r="U29" s="193"/>
      <c r="V29" s="151"/>
      <c r="W29" s="151"/>
      <c r="X29" s="151">
        <v>22.5</v>
      </c>
      <c r="Y29" s="151"/>
      <c r="Z29" s="152"/>
      <c r="AA29" s="152"/>
      <c r="AB29" s="151"/>
      <c r="AC29" s="151"/>
      <c r="AD29" s="151"/>
      <c r="AE29" s="151"/>
      <c r="AF29" s="151"/>
      <c r="AG29" s="151"/>
      <c r="AH29" s="151">
        <v>0.0</v>
      </c>
      <c r="AI29" s="151"/>
      <c r="AJ29" s="151"/>
      <c r="AK29" s="152"/>
      <c r="AL29" s="152">
        <v>0.0</v>
      </c>
      <c r="AM29" s="151"/>
      <c r="AN29" s="151"/>
      <c r="AO29" s="151"/>
      <c r="AP29" s="151"/>
      <c r="AQ29" s="151"/>
      <c r="AR29" s="151">
        <v>0.0</v>
      </c>
      <c r="AS29" s="151"/>
      <c r="AT29" s="151"/>
      <c r="AU29" s="152">
        <v>0.0</v>
      </c>
      <c r="AV29" s="152"/>
      <c r="AW29" s="151"/>
      <c r="AX29" s="151"/>
      <c r="AY29" s="151"/>
      <c r="AZ29" s="153"/>
      <c r="BA29" s="153">
        <v>0.0</v>
      </c>
      <c r="BB29" s="153"/>
      <c r="BC29" s="153"/>
      <c r="BD29" s="153"/>
      <c r="BE29" s="141"/>
      <c r="BF29" s="141"/>
      <c r="BG29" s="141"/>
      <c r="BH29" s="141"/>
      <c r="BI29" s="141"/>
      <c r="BJ29" s="141">
        <v>0.0</v>
      </c>
      <c r="BK29" s="141"/>
      <c r="BL29" s="141"/>
      <c r="BM29" s="141"/>
      <c r="BN29" s="141"/>
      <c r="BO29" s="141"/>
      <c r="BP29" s="189"/>
      <c r="BQ29" s="116">
        <v>0.0</v>
      </c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126</v>
      </c>
      <c r="D30" s="119">
        <v>5.0</v>
      </c>
      <c r="E30" s="120">
        <v>18.5</v>
      </c>
      <c r="F30" s="121">
        <v>18.5</v>
      </c>
      <c r="G30" s="122">
        <v>2.7</v>
      </c>
      <c r="H30" s="121">
        <v>5.0</v>
      </c>
      <c r="I30" s="123">
        <v>13.5</v>
      </c>
      <c r="J30" s="124">
        <v>0.0</v>
      </c>
      <c r="K30" s="125">
        <v>0.0</v>
      </c>
      <c r="L30" s="126">
        <v>0.0</v>
      </c>
      <c r="M30" s="127">
        <v>2.0</v>
      </c>
      <c r="N30" s="127">
        <v>1.0</v>
      </c>
      <c r="O30" s="128">
        <v>1.0</v>
      </c>
      <c r="P30" s="129"/>
      <c r="Q30" s="130"/>
      <c r="R30" s="130"/>
      <c r="S30" s="131"/>
      <c r="T30" s="190"/>
      <c r="U30" s="191"/>
      <c r="V30" s="133">
        <v>18.5</v>
      </c>
      <c r="W30" s="133"/>
      <c r="X30" s="134"/>
      <c r="Y30" s="133"/>
      <c r="Z30" s="133"/>
      <c r="AA30" s="133"/>
      <c r="AB30" s="133">
        <v>0.0</v>
      </c>
      <c r="AC30" s="134"/>
      <c r="AD30" s="133"/>
      <c r="AE30" s="133">
        <v>0.0</v>
      </c>
      <c r="AF30" s="133"/>
      <c r="AG30" s="133"/>
      <c r="AH30" s="134"/>
      <c r="AI30" s="133"/>
      <c r="AJ30" s="133"/>
      <c r="AK30" s="133">
        <v>0.0</v>
      </c>
      <c r="AL30" s="133"/>
      <c r="AM30" s="133"/>
      <c r="AN30" s="134"/>
      <c r="AO30" s="133"/>
      <c r="AP30" s="133"/>
      <c r="AQ30" s="133"/>
      <c r="AR30" s="134"/>
      <c r="AS30" s="133">
        <v>0.0</v>
      </c>
      <c r="AT30" s="133"/>
      <c r="AU30" s="133"/>
      <c r="AV30" s="133"/>
      <c r="AW30" s="133"/>
      <c r="AX30" s="133"/>
      <c r="AY30" s="133">
        <v>0.0</v>
      </c>
      <c r="AZ30" s="135"/>
      <c r="BA30" s="135"/>
      <c r="BB30" s="135"/>
      <c r="BC30" s="135"/>
      <c r="BD30" s="135"/>
      <c r="BE30" s="123"/>
      <c r="BF30" s="123"/>
      <c r="BG30" s="123"/>
      <c r="BH30" s="123">
        <v>0.0</v>
      </c>
      <c r="BI30" s="123"/>
      <c r="BJ30" s="123"/>
      <c r="BK30" s="123"/>
      <c r="BL30" s="123"/>
      <c r="BM30" s="123"/>
      <c r="BN30" s="123"/>
      <c r="BO30" s="123"/>
      <c r="BP30" s="189">
        <v>0.0</v>
      </c>
      <c r="BQ30" s="116"/>
      <c r="BR30" s="116">
        <v>0.0</v>
      </c>
      <c r="BS30" s="116"/>
      <c r="BT30" s="116"/>
      <c r="BU30" s="116"/>
      <c r="BV30" s="116"/>
      <c r="BW30" s="116">
        <v>0.0</v>
      </c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135</v>
      </c>
      <c r="D31" s="137">
        <v>10.0</v>
      </c>
      <c r="E31" s="138">
        <v>37.0</v>
      </c>
      <c r="F31" s="139">
        <v>18.5</v>
      </c>
      <c r="G31" s="140">
        <v>2.45</v>
      </c>
      <c r="H31" s="139">
        <v>12.5</v>
      </c>
      <c r="I31" s="141">
        <v>24.5</v>
      </c>
      <c r="J31" s="142">
        <v>0.0</v>
      </c>
      <c r="K31" s="143">
        <v>0.0</v>
      </c>
      <c r="L31" s="144">
        <v>0.0</v>
      </c>
      <c r="M31" s="145">
        <v>5.0</v>
      </c>
      <c r="N31" s="145">
        <v>0.0</v>
      </c>
      <c r="O31" s="146">
        <v>0.0</v>
      </c>
      <c r="P31" s="147"/>
      <c r="Q31" s="148"/>
      <c r="R31" s="148"/>
      <c r="S31" s="149"/>
      <c r="T31" s="192"/>
      <c r="U31" s="193">
        <v>18.0</v>
      </c>
      <c r="V31" s="151"/>
      <c r="W31" s="151">
        <v>19.0</v>
      </c>
      <c r="X31" s="151"/>
      <c r="Y31" s="151"/>
      <c r="Z31" s="152"/>
      <c r="AA31" s="152"/>
      <c r="AB31" s="151"/>
      <c r="AC31" s="151"/>
      <c r="AD31" s="151"/>
      <c r="AE31" s="151"/>
      <c r="AF31" s="151"/>
      <c r="AG31" s="151"/>
      <c r="AH31" s="151"/>
      <c r="AI31" s="151"/>
      <c r="AJ31" s="151"/>
      <c r="AK31" s="152"/>
      <c r="AL31" s="152">
        <v>0.0</v>
      </c>
      <c r="AM31" s="151"/>
      <c r="AN31" s="151"/>
      <c r="AO31" s="151"/>
      <c r="AP31" s="151">
        <v>0.0</v>
      </c>
      <c r="AQ31" s="151"/>
      <c r="AR31" s="151"/>
      <c r="AS31" s="151">
        <v>0.0</v>
      </c>
      <c r="AT31" s="151"/>
      <c r="AU31" s="152"/>
      <c r="AV31" s="152"/>
      <c r="AW31" s="151">
        <v>0.0</v>
      </c>
      <c r="AX31" s="151"/>
      <c r="AY31" s="151"/>
      <c r="AZ31" s="153"/>
      <c r="BA31" s="153"/>
      <c r="BB31" s="153"/>
      <c r="BC31" s="153"/>
      <c r="BD31" s="153">
        <v>0.0</v>
      </c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89">
        <v>0.0</v>
      </c>
      <c r="BQ31" s="116">
        <v>0.0</v>
      </c>
      <c r="BR31" s="116"/>
      <c r="BS31" s="116"/>
      <c r="BT31" s="116"/>
      <c r="BU31" s="116"/>
      <c r="BV31" s="116"/>
      <c r="BW31" s="116"/>
      <c r="BX31" s="116"/>
      <c r="BY31" s="116"/>
      <c r="BZ31" s="116"/>
      <c r="CA31" s="116">
        <v>0.0</v>
      </c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131</v>
      </c>
      <c r="D32" s="119">
        <v>20.0</v>
      </c>
      <c r="E32" s="120">
        <v>72.25</v>
      </c>
      <c r="F32" s="121">
        <v>18.0625</v>
      </c>
      <c r="G32" s="122">
        <v>2.7375</v>
      </c>
      <c r="H32" s="121">
        <v>17.5</v>
      </c>
      <c r="I32" s="123">
        <v>53.25</v>
      </c>
      <c r="J32" s="124">
        <v>0.5</v>
      </c>
      <c r="K32" s="125">
        <v>1.0</v>
      </c>
      <c r="L32" s="126">
        <v>2.0</v>
      </c>
      <c r="M32" s="127">
        <v>7.0</v>
      </c>
      <c r="N32" s="127">
        <v>0.0</v>
      </c>
      <c r="O32" s="128">
        <v>1.0</v>
      </c>
      <c r="P32" s="129"/>
      <c r="Q32" s="130"/>
      <c r="R32" s="130"/>
      <c r="S32" s="131"/>
      <c r="T32" s="190"/>
      <c r="U32" s="191"/>
      <c r="V32" s="133">
        <v>15.0</v>
      </c>
      <c r="W32" s="133">
        <v>23.25</v>
      </c>
      <c r="X32" s="134">
        <v>17.0</v>
      </c>
      <c r="Y32" s="133">
        <v>17.0</v>
      </c>
      <c r="Z32" s="133"/>
      <c r="AA32" s="133"/>
      <c r="AB32" s="133"/>
      <c r="AC32" s="134"/>
      <c r="AD32" s="133"/>
      <c r="AE32" s="133"/>
      <c r="AF32" s="133"/>
      <c r="AG32" s="133"/>
      <c r="AH32" s="134"/>
      <c r="AI32" s="133"/>
      <c r="AJ32" s="133"/>
      <c r="AK32" s="133"/>
      <c r="AL32" s="133"/>
      <c r="AM32" s="133"/>
      <c r="AN32" s="134"/>
      <c r="AO32" s="133"/>
      <c r="AP32" s="133"/>
      <c r="AQ32" s="133"/>
      <c r="AR32" s="134"/>
      <c r="AS32" s="133"/>
      <c r="AT32" s="133"/>
      <c r="AU32" s="133"/>
      <c r="AV32" s="133"/>
      <c r="AW32" s="133"/>
      <c r="AX32" s="133"/>
      <c r="AY32" s="133"/>
      <c r="AZ32" s="135"/>
      <c r="BA32" s="135"/>
      <c r="BB32" s="135"/>
      <c r="BC32" s="135"/>
      <c r="BD32" s="135"/>
      <c r="BE32" s="123"/>
      <c r="BF32" s="123"/>
      <c r="BG32" s="123"/>
      <c r="BH32" s="123"/>
      <c r="BI32" s="123">
        <v>0.0</v>
      </c>
      <c r="BJ32" s="123">
        <v>0.0</v>
      </c>
      <c r="BK32" s="123">
        <v>0.0</v>
      </c>
      <c r="BL32" s="123">
        <v>0.0</v>
      </c>
      <c r="BM32" s="123"/>
      <c r="BN32" s="123"/>
      <c r="BO32" s="123"/>
      <c r="BP32" s="189"/>
      <c r="BQ32" s="116"/>
      <c r="BR32" s="116"/>
      <c r="BS32" s="116"/>
      <c r="BT32" s="116">
        <v>0.0</v>
      </c>
      <c r="BU32" s="116">
        <v>0.0</v>
      </c>
      <c r="BV32" s="116"/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119</v>
      </c>
      <c r="D33" s="137">
        <v>10.0</v>
      </c>
      <c r="E33" s="138">
        <v>36.0</v>
      </c>
      <c r="F33" s="139">
        <v>18.0</v>
      </c>
      <c r="G33" s="140">
        <v>2.85</v>
      </c>
      <c r="H33" s="139">
        <v>7.5</v>
      </c>
      <c r="I33" s="141">
        <v>26.0</v>
      </c>
      <c r="J33" s="142">
        <v>1.5</v>
      </c>
      <c r="K33" s="143">
        <v>1.0</v>
      </c>
      <c r="L33" s="144">
        <v>2.0</v>
      </c>
      <c r="M33" s="145">
        <v>3.0</v>
      </c>
      <c r="N33" s="145">
        <v>0.0</v>
      </c>
      <c r="O33" s="146">
        <v>0.0</v>
      </c>
      <c r="P33" s="147"/>
      <c r="Q33" s="148"/>
      <c r="R33" s="148"/>
      <c r="S33" s="149"/>
      <c r="T33" s="192">
        <v>21.25</v>
      </c>
      <c r="U33" s="193"/>
      <c r="V33" s="151"/>
      <c r="W33" s="151"/>
      <c r="X33" s="151">
        <v>14.75</v>
      </c>
      <c r="Y33" s="151"/>
      <c r="Z33" s="152"/>
      <c r="AA33" s="152"/>
      <c r="AB33" s="151"/>
      <c r="AC33" s="151"/>
      <c r="AD33" s="151"/>
      <c r="AE33" s="151">
        <v>0.0</v>
      </c>
      <c r="AF33" s="151"/>
      <c r="AG33" s="151"/>
      <c r="AH33" s="151"/>
      <c r="AI33" s="151"/>
      <c r="AJ33" s="151"/>
      <c r="AK33" s="152"/>
      <c r="AL33" s="152"/>
      <c r="AM33" s="151"/>
      <c r="AN33" s="151">
        <v>0.0</v>
      </c>
      <c r="AO33" s="151"/>
      <c r="AP33" s="151"/>
      <c r="AQ33" s="151"/>
      <c r="AR33" s="151"/>
      <c r="AS33" s="151"/>
      <c r="AT33" s="151"/>
      <c r="AU33" s="152"/>
      <c r="AV33" s="152"/>
      <c r="AW33" s="151"/>
      <c r="AX33" s="151"/>
      <c r="AY33" s="151">
        <v>0.0</v>
      </c>
      <c r="AZ33" s="153"/>
      <c r="BA33" s="153"/>
      <c r="BB33" s="153"/>
      <c r="BC33" s="153"/>
      <c r="BD33" s="153"/>
      <c r="BE33" s="141"/>
      <c r="BF33" s="141"/>
      <c r="BG33" s="141"/>
      <c r="BH33" s="141">
        <v>0.0</v>
      </c>
      <c r="BI33" s="141">
        <v>0.0</v>
      </c>
      <c r="BJ33" s="141"/>
      <c r="BK33" s="141"/>
      <c r="BL33" s="141">
        <v>0.0</v>
      </c>
      <c r="BM33" s="141"/>
      <c r="BN33" s="141"/>
      <c r="BO33" s="141"/>
      <c r="BP33" s="189"/>
      <c r="BQ33" s="116"/>
      <c r="BR33" s="116"/>
      <c r="BS33" s="116"/>
      <c r="BT33" s="116"/>
      <c r="BU33" s="116"/>
      <c r="BV33" s="116"/>
      <c r="BW33" s="116"/>
      <c r="BX33" s="116">
        <v>0.0</v>
      </c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112</v>
      </c>
      <c r="D34" s="119">
        <v>10.0</v>
      </c>
      <c r="E34" s="120">
        <v>35.25</v>
      </c>
      <c r="F34" s="121">
        <v>17.625</v>
      </c>
      <c r="G34" s="122">
        <v>2.525</v>
      </c>
      <c r="H34" s="121">
        <v>10.0</v>
      </c>
      <c r="I34" s="123">
        <v>25.25</v>
      </c>
      <c r="J34" s="124">
        <v>0.0</v>
      </c>
      <c r="K34" s="125">
        <v>0.0</v>
      </c>
      <c r="L34" s="126">
        <v>0.0</v>
      </c>
      <c r="M34" s="127">
        <v>4.0</v>
      </c>
      <c r="N34" s="127">
        <v>0.0</v>
      </c>
      <c r="O34" s="128">
        <v>3.0</v>
      </c>
      <c r="P34" s="129"/>
      <c r="Q34" s="130"/>
      <c r="R34" s="130"/>
      <c r="S34" s="131"/>
      <c r="T34" s="190">
        <v>17.75</v>
      </c>
      <c r="U34" s="191"/>
      <c r="V34" s="133"/>
      <c r="W34" s="133"/>
      <c r="X34" s="134">
        <v>17.5</v>
      </c>
      <c r="Y34" s="133"/>
      <c r="Z34" s="133"/>
      <c r="AA34" s="133"/>
      <c r="AB34" s="133"/>
      <c r="AC34" s="134"/>
      <c r="AD34" s="133"/>
      <c r="AE34" s="133"/>
      <c r="AF34" s="133"/>
      <c r="AG34" s="133"/>
      <c r="AH34" s="134"/>
      <c r="AI34" s="133"/>
      <c r="AJ34" s="133"/>
      <c r="AK34" s="133"/>
      <c r="AL34" s="133"/>
      <c r="AM34" s="133"/>
      <c r="AN34" s="134">
        <v>0.0</v>
      </c>
      <c r="AO34" s="133"/>
      <c r="AP34" s="133"/>
      <c r="AQ34" s="133"/>
      <c r="AR34" s="134"/>
      <c r="AS34" s="133"/>
      <c r="AT34" s="133"/>
      <c r="AU34" s="133"/>
      <c r="AV34" s="133"/>
      <c r="AW34" s="133"/>
      <c r="AX34" s="133">
        <v>0.0</v>
      </c>
      <c r="AY34" s="133"/>
      <c r="AZ34" s="135"/>
      <c r="BA34" s="135"/>
      <c r="BB34" s="135"/>
      <c r="BC34" s="135"/>
      <c r="BD34" s="135"/>
      <c r="BE34" s="123"/>
      <c r="BF34" s="123">
        <v>0.0</v>
      </c>
      <c r="BG34" s="123"/>
      <c r="BH34" s="123">
        <v>0.0</v>
      </c>
      <c r="BI34" s="123">
        <v>0.0</v>
      </c>
      <c r="BJ34" s="123"/>
      <c r="BK34" s="123"/>
      <c r="BL34" s="123"/>
      <c r="BM34" s="123"/>
      <c r="BN34" s="123">
        <v>0.0</v>
      </c>
      <c r="BO34" s="123"/>
      <c r="BP34" s="189"/>
      <c r="BQ34" s="116"/>
      <c r="BR34" s="116"/>
      <c r="BS34" s="116"/>
      <c r="BT34" s="116">
        <v>0.0</v>
      </c>
      <c r="BU34" s="116"/>
      <c r="BV34" s="116"/>
      <c r="BW34" s="116"/>
      <c r="BX34" s="116"/>
      <c r="BY34" s="116">
        <v>0.0</v>
      </c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108</v>
      </c>
      <c r="D35" s="137">
        <v>10.0</v>
      </c>
      <c r="E35" s="138">
        <v>34.25</v>
      </c>
      <c r="F35" s="139">
        <v>17.125</v>
      </c>
      <c r="G35" s="140">
        <v>2.675</v>
      </c>
      <c r="H35" s="139">
        <v>7.5</v>
      </c>
      <c r="I35" s="141">
        <v>25.25</v>
      </c>
      <c r="J35" s="142">
        <v>0.5</v>
      </c>
      <c r="K35" s="143">
        <v>1.0</v>
      </c>
      <c r="L35" s="144">
        <v>2.0</v>
      </c>
      <c r="M35" s="145">
        <v>3.0</v>
      </c>
      <c r="N35" s="145">
        <v>1.0</v>
      </c>
      <c r="O35" s="146">
        <v>3.0</v>
      </c>
      <c r="P35" s="147"/>
      <c r="Q35" s="148"/>
      <c r="R35" s="148"/>
      <c r="S35" s="149"/>
      <c r="T35" s="192"/>
      <c r="U35" s="193"/>
      <c r="V35" s="151"/>
      <c r="W35" s="151"/>
      <c r="X35" s="151">
        <v>15.25</v>
      </c>
      <c r="Y35" s="151">
        <v>19.0</v>
      </c>
      <c r="Z35" s="152"/>
      <c r="AA35" s="152"/>
      <c r="AB35" s="151"/>
      <c r="AC35" s="151"/>
      <c r="AD35" s="151"/>
      <c r="AE35" s="151"/>
      <c r="AF35" s="151"/>
      <c r="AG35" s="151"/>
      <c r="AH35" s="151"/>
      <c r="AI35" s="151"/>
      <c r="AJ35" s="151">
        <v>0.0</v>
      </c>
      <c r="AK35" s="152">
        <v>0.0</v>
      </c>
      <c r="AL35" s="152">
        <v>0.0</v>
      </c>
      <c r="AM35" s="151"/>
      <c r="AN35" s="151"/>
      <c r="AO35" s="151"/>
      <c r="AP35" s="151"/>
      <c r="AQ35" s="151"/>
      <c r="AR35" s="151"/>
      <c r="AS35" s="151"/>
      <c r="AT35" s="151"/>
      <c r="AU35" s="152"/>
      <c r="AV35" s="152"/>
      <c r="AW35" s="151"/>
      <c r="AX35" s="151"/>
      <c r="AY35" s="151"/>
      <c r="AZ35" s="153"/>
      <c r="BA35" s="153"/>
      <c r="BB35" s="153"/>
      <c r="BC35" s="153"/>
      <c r="BD35" s="153"/>
      <c r="BE35" s="141"/>
      <c r="BF35" s="141"/>
      <c r="BG35" s="141"/>
      <c r="BH35" s="141"/>
      <c r="BI35" s="141"/>
      <c r="BJ35" s="141">
        <v>0.0</v>
      </c>
      <c r="BK35" s="141">
        <v>0.0</v>
      </c>
      <c r="BL35" s="141">
        <v>0.0</v>
      </c>
      <c r="BM35" s="141">
        <v>0.0</v>
      </c>
      <c r="BN35" s="141">
        <v>0.0</v>
      </c>
      <c r="BO35" s="141"/>
      <c r="BP35" s="189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137</v>
      </c>
      <c r="D36" s="119">
        <v>10.0</v>
      </c>
      <c r="E36" s="120">
        <v>33.5</v>
      </c>
      <c r="F36" s="121">
        <v>16.75</v>
      </c>
      <c r="G36" s="122">
        <v>2.6</v>
      </c>
      <c r="H36" s="121">
        <v>7.5</v>
      </c>
      <c r="I36" s="123">
        <v>26.0</v>
      </c>
      <c r="J36" s="124">
        <v>0.0</v>
      </c>
      <c r="K36" s="125">
        <v>0.0</v>
      </c>
      <c r="L36" s="126">
        <v>0.0</v>
      </c>
      <c r="M36" s="127">
        <v>3.0</v>
      </c>
      <c r="N36" s="127">
        <v>1.0</v>
      </c>
      <c r="O36" s="128">
        <v>2.0</v>
      </c>
      <c r="P36" s="129"/>
      <c r="Q36" s="130"/>
      <c r="R36" s="130"/>
      <c r="S36" s="131"/>
      <c r="T36" s="190"/>
      <c r="U36" s="191">
        <v>16.0</v>
      </c>
      <c r="V36" s="133">
        <v>17.5</v>
      </c>
      <c r="W36" s="133"/>
      <c r="X36" s="134"/>
      <c r="Y36" s="133"/>
      <c r="Z36" s="133"/>
      <c r="AA36" s="133"/>
      <c r="AB36" s="133"/>
      <c r="AC36" s="134">
        <v>0.0</v>
      </c>
      <c r="AD36" s="133"/>
      <c r="AE36" s="133"/>
      <c r="AF36" s="133"/>
      <c r="AG36" s="133"/>
      <c r="AH36" s="134"/>
      <c r="AI36" s="133"/>
      <c r="AJ36" s="133">
        <v>0.0</v>
      </c>
      <c r="AK36" s="133"/>
      <c r="AL36" s="133"/>
      <c r="AM36" s="133"/>
      <c r="AN36" s="134"/>
      <c r="AO36" s="133">
        <v>0.0</v>
      </c>
      <c r="AP36" s="133"/>
      <c r="AQ36" s="133"/>
      <c r="AR36" s="134"/>
      <c r="AS36" s="133"/>
      <c r="AT36" s="133">
        <v>0.0</v>
      </c>
      <c r="AU36" s="133"/>
      <c r="AV36" s="133"/>
      <c r="AW36" s="133"/>
      <c r="AX36" s="133"/>
      <c r="AY36" s="133">
        <v>0.0</v>
      </c>
      <c r="AZ36" s="135"/>
      <c r="BA36" s="135"/>
      <c r="BB36" s="135"/>
      <c r="BC36" s="135"/>
      <c r="BD36" s="135"/>
      <c r="BE36" s="123">
        <v>0.0</v>
      </c>
      <c r="BF36" s="123"/>
      <c r="BG36" s="123"/>
      <c r="BH36" s="123"/>
      <c r="BI36" s="123"/>
      <c r="BJ36" s="123"/>
      <c r="BK36" s="123"/>
      <c r="BL36" s="123">
        <v>0.0</v>
      </c>
      <c r="BM36" s="123"/>
      <c r="BN36" s="123"/>
      <c r="BO36" s="123"/>
      <c r="BP36" s="189"/>
      <c r="BQ36" s="116">
        <v>0.0</v>
      </c>
      <c r="BR36" s="116"/>
      <c r="BS36" s="116"/>
      <c r="BT36" s="116"/>
      <c r="BU36" s="116"/>
      <c r="BV36" s="116"/>
      <c r="BW36" s="116"/>
      <c r="BX36" s="116"/>
      <c r="BY36" s="116"/>
      <c r="BZ36" s="116"/>
      <c r="CA36" s="116">
        <v>0.0</v>
      </c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118</v>
      </c>
      <c r="D37" s="137">
        <v>10.0</v>
      </c>
      <c r="E37" s="138">
        <v>33.25</v>
      </c>
      <c r="F37" s="139">
        <v>16.625</v>
      </c>
      <c r="G37" s="140">
        <v>2.575</v>
      </c>
      <c r="H37" s="139">
        <v>7.5</v>
      </c>
      <c r="I37" s="141">
        <v>25.25</v>
      </c>
      <c r="J37" s="142">
        <v>0.0</v>
      </c>
      <c r="K37" s="143">
        <v>0.5</v>
      </c>
      <c r="L37" s="144">
        <v>1.0</v>
      </c>
      <c r="M37" s="145">
        <v>3.0</v>
      </c>
      <c r="N37" s="145">
        <v>0.0</v>
      </c>
      <c r="O37" s="146">
        <v>1.0</v>
      </c>
      <c r="P37" s="147"/>
      <c r="Q37" s="148"/>
      <c r="R37" s="148"/>
      <c r="S37" s="149"/>
      <c r="T37" s="192">
        <v>15.75</v>
      </c>
      <c r="U37" s="193"/>
      <c r="V37" s="151">
        <v>17.5</v>
      </c>
      <c r="W37" s="151"/>
      <c r="X37" s="151"/>
      <c r="Y37" s="151"/>
      <c r="Z37" s="152">
        <v>0.0</v>
      </c>
      <c r="AA37" s="152"/>
      <c r="AB37" s="151"/>
      <c r="AC37" s="151">
        <v>0.0</v>
      </c>
      <c r="AD37" s="151"/>
      <c r="AE37" s="151">
        <v>0.0</v>
      </c>
      <c r="AF37" s="151"/>
      <c r="AG37" s="151">
        <v>0.0</v>
      </c>
      <c r="AH37" s="151"/>
      <c r="AI37" s="151"/>
      <c r="AJ37" s="151">
        <v>0.0</v>
      </c>
      <c r="AK37" s="152"/>
      <c r="AL37" s="152"/>
      <c r="AM37" s="151">
        <v>0.0</v>
      </c>
      <c r="AN37" s="151"/>
      <c r="AO37" s="151">
        <v>0.0</v>
      </c>
      <c r="AP37" s="151"/>
      <c r="AQ37" s="151"/>
      <c r="AR37" s="151"/>
      <c r="AS37" s="151"/>
      <c r="AT37" s="151"/>
      <c r="AU37" s="152"/>
      <c r="AV37" s="152"/>
      <c r="AW37" s="151"/>
      <c r="AX37" s="151"/>
      <c r="AY37" s="151"/>
      <c r="AZ37" s="153"/>
      <c r="BA37" s="153"/>
      <c r="BB37" s="153"/>
      <c r="BC37" s="153"/>
      <c r="BD37" s="153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89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133</v>
      </c>
      <c r="D38" s="119">
        <v>10.0</v>
      </c>
      <c r="E38" s="120">
        <v>32.5</v>
      </c>
      <c r="F38" s="121">
        <v>16.25</v>
      </c>
      <c r="G38" s="122">
        <v>2.75</v>
      </c>
      <c r="H38" s="121">
        <v>5.0</v>
      </c>
      <c r="I38" s="123">
        <v>27.0</v>
      </c>
      <c r="J38" s="124">
        <v>0.0</v>
      </c>
      <c r="K38" s="125">
        <v>0.5</v>
      </c>
      <c r="L38" s="126">
        <v>1.0</v>
      </c>
      <c r="M38" s="127">
        <v>2.0</v>
      </c>
      <c r="N38" s="127">
        <v>1.0</v>
      </c>
      <c r="O38" s="128">
        <v>1.0</v>
      </c>
      <c r="P38" s="129"/>
      <c r="Q38" s="130"/>
      <c r="R38" s="130"/>
      <c r="S38" s="131"/>
      <c r="T38" s="190"/>
      <c r="U38" s="191"/>
      <c r="V38" s="133"/>
      <c r="W38" s="133">
        <v>16.5</v>
      </c>
      <c r="X38" s="134"/>
      <c r="Y38" s="133">
        <v>16.0</v>
      </c>
      <c r="Z38" s="133"/>
      <c r="AA38" s="133"/>
      <c r="AB38" s="133"/>
      <c r="AC38" s="134"/>
      <c r="AD38" s="133"/>
      <c r="AE38" s="133"/>
      <c r="AF38" s="133"/>
      <c r="AG38" s="133"/>
      <c r="AH38" s="134"/>
      <c r="AI38" s="133"/>
      <c r="AJ38" s="133"/>
      <c r="AK38" s="133">
        <v>0.0</v>
      </c>
      <c r="AL38" s="133"/>
      <c r="AM38" s="133"/>
      <c r="AN38" s="134">
        <v>0.0</v>
      </c>
      <c r="AO38" s="133"/>
      <c r="AP38" s="133"/>
      <c r="AQ38" s="133"/>
      <c r="AR38" s="134"/>
      <c r="AS38" s="133"/>
      <c r="AT38" s="133"/>
      <c r="AU38" s="133">
        <v>0.0</v>
      </c>
      <c r="AV38" s="133"/>
      <c r="AW38" s="133"/>
      <c r="AX38" s="133"/>
      <c r="AY38" s="133"/>
      <c r="AZ38" s="135"/>
      <c r="BA38" s="135">
        <v>0.0</v>
      </c>
      <c r="BB38" s="135"/>
      <c r="BC38" s="135"/>
      <c r="BD38" s="135"/>
      <c r="BE38" s="123">
        <v>0.0</v>
      </c>
      <c r="BF38" s="123"/>
      <c r="BG38" s="123"/>
      <c r="BH38" s="123"/>
      <c r="BI38" s="123"/>
      <c r="BJ38" s="123"/>
      <c r="BK38" s="123">
        <v>0.0</v>
      </c>
      <c r="BL38" s="123"/>
      <c r="BM38" s="123"/>
      <c r="BN38" s="123"/>
      <c r="BO38" s="123"/>
      <c r="BP38" s="189"/>
      <c r="BQ38" s="116"/>
      <c r="BR38" s="116">
        <v>0.0</v>
      </c>
      <c r="BS38" s="116"/>
      <c r="BT38" s="116"/>
      <c r="BU38" s="116"/>
      <c r="BV38" s="116"/>
      <c r="BW38" s="116"/>
      <c r="BX38" s="116"/>
      <c r="BY38" s="116"/>
      <c r="BZ38" s="116"/>
      <c r="CA38" s="116">
        <v>0.0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94</v>
      </c>
      <c r="D39" s="137">
        <v>10.0</v>
      </c>
      <c r="E39" s="138">
        <v>32.5</v>
      </c>
      <c r="F39" s="139">
        <v>16.25</v>
      </c>
      <c r="G39" s="140">
        <v>2.5</v>
      </c>
      <c r="H39" s="139">
        <v>7.5</v>
      </c>
      <c r="I39" s="141">
        <v>25.0</v>
      </c>
      <c r="J39" s="142">
        <v>0.0</v>
      </c>
      <c r="K39" s="143">
        <v>0.0</v>
      </c>
      <c r="L39" s="144">
        <v>0.0</v>
      </c>
      <c r="M39" s="145">
        <v>3.0</v>
      </c>
      <c r="N39" s="145">
        <v>0.0</v>
      </c>
      <c r="O39" s="146">
        <v>2.0</v>
      </c>
      <c r="P39" s="147"/>
      <c r="Q39" s="148"/>
      <c r="R39" s="148"/>
      <c r="S39" s="149"/>
      <c r="T39" s="192"/>
      <c r="U39" s="193"/>
      <c r="V39" s="151"/>
      <c r="W39" s="151">
        <v>18.25</v>
      </c>
      <c r="X39" s="151"/>
      <c r="Y39" s="151">
        <v>14.25</v>
      </c>
      <c r="Z39" s="152"/>
      <c r="AA39" s="152"/>
      <c r="AB39" s="151"/>
      <c r="AC39" s="151"/>
      <c r="AD39" s="151"/>
      <c r="AE39" s="151"/>
      <c r="AF39" s="151"/>
      <c r="AG39" s="151"/>
      <c r="AH39" s="151">
        <v>0.0</v>
      </c>
      <c r="AI39" s="151"/>
      <c r="AJ39" s="151"/>
      <c r="AK39" s="152"/>
      <c r="AL39" s="152"/>
      <c r="AM39" s="151"/>
      <c r="AN39" s="151"/>
      <c r="AO39" s="151"/>
      <c r="AP39" s="151">
        <v>0.0</v>
      </c>
      <c r="AQ39" s="151">
        <v>0.0</v>
      </c>
      <c r="AR39" s="151"/>
      <c r="AS39" s="151"/>
      <c r="AT39" s="151"/>
      <c r="AU39" s="152"/>
      <c r="AV39" s="152"/>
      <c r="AW39" s="151"/>
      <c r="AX39" s="151"/>
      <c r="AY39" s="151"/>
      <c r="AZ39" s="153">
        <v>0.0</v>
      </c>
      <c r="BA39" s="153"/>
      <c r="BB39" s="153"/>
      <c r="BC39" s="153"/>
      <c r="BD39" s="153"/>
      <c r="BE39" s="141"/>
      <c r="BF39" s="141">
        <v>0.0</v>
      </c>
      <c r="BG39" s="141">
        <v>0.0</v>
      </c>
      <c r="BH39" s="141"/>
      <c r="BI39" s="141"/>
      <c r="BJ39" s="141"/>
      <c r="BK39" s="141"/>
      <c r="BL39" s="141"/>
      <c r="BM39" s="141"/>
      <c r="BN39" s="141">
        <v>0.0</v>
      </c>
      <c r="BO39" s="141"/>
      <c r="BP39" s="189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>
        <v>0.0</v>
      </c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95</v>
      </c>
      <c r="D40" s="119">
        <v>10.0</v>
      </c>
      <c r="E40" s="120">
        <v>32.25</v>
      </c>
      <c r="F40" s="121">
        <v>16.125</v>
      </c>
      <c r="G40" s="122">
        <v>2.725</v>
      </c>
      <c r="H40" s="121">
        <v>5.0</v>
      </c>
      <c r="I40" s="123">
        <v>25.75</v>
      </c>
      <c r="J40" s="124">
        <v>0.5</v>
      </c>
      <c r="K40" s="125">
        <v>1.0</v>
      </c>
      <c r="L40" s="126">
        <v>2.0</v>
      </c>
      <c r="M40" s="127">
        <v>2.0</v>
      </c>
      <c r="N40" s="127">
        <v>1.0</v>
      </c>
      <c r="O40" s="128">
        <v>3.0</v>
      </c>
      <c r="P40" s="129"/>
      <c r="Q40" s="130"/>
      <c r="R40" s="130"/>
      <c r="S40" s="131"/>
      <c r="T40" s="190"/>
      <c r="U40" s="191"/>
      <c r="V40" s="133">
        <v>15.5</v>
      </c>
      <c r="W40" s="133"/>
      <c r="X40" s="134">
        <v>16.75</v>
      </c>
      <c r="Y40" s="133"/>
      <c r="Z40" s="133"/>
      <c r="AA40" s="133"/>
      <c r="AB40" s="133"/>
      <c r="AC40" s="134"/>
      <c r="AD40" s="133">
        <v>0.0</v>
      </c>
      <c r="AE40" s="133"/>
      <c r="AF40" s="133"/>
      <c r="AG40" s="133"/>
      <c r="AH40" s="134"/>
      <c r="AI40" s="133"/>
      <c r="AJ40" s="133"/>
      <c r="AK40" s="133">
        <v>0.0</v>
      </c>
      <c r="AL40" s="133"/>
      <c r="AM40" s="133"/>
      <c r="AN40" s="134"/>
      <c r="AO40" s="133"/>
      <c r="AP40" s="133"/>
      <c r="AQ40" s="133"/>
      <c r="AR40" s="134"/>
      <c r="AS40" s="133"/>
      <c r="AT40" s="133">
        <v>0.0</v>
      </c>
      <c r="AU40" s="133"/>
      <c r="AV40" s="133"/>
      <c r="AW40" s="133"/>
      <c r="AX40" s="133"/>
      <c r="AY40" s="133">
        <v>0.0</v>
      </c>
      <c r="AZ40" s="135"/>
      <c r="BA40" s="135"/>
      <c r="BB40" s="135"/>
      <c r="BC40" s="135"/>
      <c r="BD40" s="135">
        <v>0.0</v>
      </c>
      <c r="BE40" s="123"/>
      <c r="BF40" s="123"/>
      <c r="BG40" s="123"/>
      <c r="BH40" s="123">
        <v>0.0</v>
      </c>
      <c r="BI40" s="123"/>
      <c r="BJ40" s="123"/>
      <c r="BK40" s="123"/>
      <c r="BL40" s="123"/>
      <c r="BM40" s="123">
        <v>0.0</v>
      </c>
      <c r="BN40" s="123"/>
      <c r="BO40" s="123"/>
      <c r="BP40" s="189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>
        <v>0.0</v>
      </c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85</v>
      </c>
      <c r="D41" s="137">
        <v>15.0</v>
      </c>
      <c r="E41" s="138">
        <v>46.5</v>
      </c>
      <c r="F41" s="139">
        <v>15.5</v>
      </c>
      <c r="G41" s="140">
        <v>2.433333333333333</v>
      </c>
      <c r="H41" s="139">
        <v>10.0</v>
      </c>
      <c r="I41" s="141">
        <v>36.5</v>
      </c>
      <c r="J41" s="142">
        <v>0.0</v>
      </c>
      <c r="K41" s="143">
        <v>0.0</v>
      </c>
      <c r="L41" s="144">
        <v>0.0</v>
      </c>
      <c r="M41" s="145">
        <v>4.0</v>
      </c>
      <c r="N41" s="145">
        <v>2.0</v>
      </c>
      <c r="O41" s="146">
        <v>2.0</v>
      </c>
      <c r="P41" s="147"/>
      <c r="Q41" s="148"/>
      <c r="R41" s="148"/>
      <c r="S41" s="149"/>
      <c r="T41" s="192"/>
      <c r="U41" s="193">
        <v>14.25</v>
      </c>
      <c r="V41" s="151"/>
      <c r="W41" s="151">
        <v>16.5</v>
      </c>
      <c r="X41" s="151"/>
      <c r="Y41" s="151">
        <v>15.75</v>
      </c>
      <c r="Z41" s="152"/>
      <c r="AA41" s="152"/>
      <c r="AB41" s="151"/>
      <c r="AC41" s="151">
        <v>0.0</v>
      </c>
      <c r="AD41" s="151"/>
      <c r="AE41" s="151"/>
      <c r="AF41" s="151"/>
      <c r="AG41" s="151"/>
      <c r="AH41" s="151"/>
      <c r="AI41" s="151"/>
      <c r="AJ41" s="151"/>
      <c r="AK41" s="152"/>
      <c r="AL41" s="152"/>
      <c r="AM41" s="151"/>
      <c r="AN41" s="151"/>
      <c r="AO41" s="151"/>
      <c r="AP41" s="151"/>
      <c r="AQ41" s="151"/>
      <c r="AR41" s="151">
        <v>0.0</v>
      </c>
      <c r="AS41" s="151"/>
      <c r="AT41" s="151"/>
      <c r="AU41" s="152"/>
      <c r="AV41" s="152"/>
      <c r="AW41" s="151"/>
      <c r="AX41" s="151"/>
      <c r="AY41" s="151"/>
      <c r="AZ41" s="153">
        <v>0.0</v>
      </c>
      <c r="BA41" s="153"/>
      <c r="BB41" s="153"/>
      <c r="BC41" s="153"/>
      <c r="BD41" s="153"/>
      <c r="BE41" s="141"/>
      <c r="BF41" s="141"/>
      <c r="BG41" s="141">
        <v>0.0</v>
      </c>
      <c r="BH41" s="141"/>
      <c r="BI41" s="141"/>
      <c r="BJ41" s="141"/>
      <c r="BK41" s="141"/>
      <c r="BL41" s="141">
        <v>0.0</v>
      </c>
      <c r="BM41" s="141"/>
      <c r="BN41" s="141"/>
      <c r="BO41" s="141">
        <v>0.0</v>
      </c>
      <c r="BP41" s="189"/>
      <c r="BQ41" s="116"/>
      <c r="BR41" s="116"/>
      <c r="BS41" s="116"/>
      <c r="BT41" s="116"/>
      <c r="BU41" s="116"/>
      <c r="BV41" s="116"/>
      <c r="BW41" s="116"/>
      <c r="BX41" s="116"/>
      <c r="BY41" s="116">
        <v>0.0</v>
      </c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136</v>
      </c>
      <c r="D42" s="119">
        <v>5.0</v>
      </c>
      <c r="E42" s="120">
        <v>14.5</v>
      </c>
      <c r="F42" s="121">
        <v>14.5</v>
      </c>
      <c r="G42" s="122">
        <v>2.4</v>
      </c>
      <c r="H42" s="121">
        <v>2.5</v>
      </c>
      <c r="I42" s="123">
        <v>12.0</v>
      </c>
      <c r="J42" s="124">
        <v>0.0</v>
      </c>
      <c r="K42" s="125">
        <v>0.0</v>
      </c>
      <c r="L42" s="126">
        <v>0.0</v>
      </c>
      <c r="M42" s="127">
        <v>1.0</v>
      </c>
      <c r="N42" s="127">
        <v>1.0</v>
      </c>
      <c r="O42" s="128">
        <v>0.0</v>
      </c>
      <c r="P42" s="129"/>
      <c r="Q42" s="130"/>
      <c r="R42" s="130"/>
      <c r="S42" s="131"/>
      <c r="T42" s="190"/>
      <c r="U42" s="191"/>
      <c r="V42" s="133">
        <v>14.5</v>
      </c>
      <c r="W42" s="133"/>
      <c r="X42" s="134"/>
      <c r="Y42" s="133"/>
      <c r="Z42" s="133"/>
      <c r="AA42" s="133"/>
      <c r="AB42" s="133"/>
      <c r="AC42" s="134">
        <v>0.0</v>
      </c>
      <c r="AD42" s="133"/>
      <c r="AE42" s="133"/>
      <c r="AF42" s="133"/>
      <c r="AG42" s="133">
        <v>0.0</v>
      </c>
      <c r="AH42" s="134">
        <v>0.0</v>
      </c>
      <c r="AI42" s="133"/>
      <c r="AJ42" s="133"/>
      <c r="AK42" s="133"/>
      <c r="AL42" s="133"/>
      <c r="AM42" s="133"/>
      <c r="AN42" s="134"/>
      <c r="AO42" s="133"/>
      <c r="AP42" s="133"/>
      <c r="AQ42" s="133"/>
      <c r="AR42" s="134">
        <v>0.0</v>
      </c>
      <c r="AS42" s="133"/>
      <c r="AT42" s="133"/>
      <c r="AU42" s="133"/>
      <c r="AV42" s="133"/>
      <c r="AW42" s="133"/>
      <c r="AX42" s="133"/>
      <c r="AY42" s="133"/>
      <c r="AZ42" s="135"/>
      <c r="BA42" s="135"/>
      <c r="BB42" s="135"/>
      <c r="BC42" s="135"/>
      <c r="BD42" s="135">
        <v>0.0</v>
      </c>
      <c r="BE42" s="123"/>
      <c r="BF42" s="123"/>
      <c r="BG42" s="123">
        <v>0.0</v>
      </c>
      <c r="BH42" s="123"/>
      <c r="BI42" s="123"/>
      <c r="BJ42" s="123"/>
      <c r="BK42" s="123"/>
      <c r="BL42" s="123"/>
      <c r="BM42" s="123"/>
      <c r="BN42" s="123"/>
      <c r="BO42" s="123">
        <v>0.0</v>
      </c>
      <c r="BP42" s="189"/>
      <c r="BQ42" s="116"/>
      <c r="BR42" s="116"/>
      <c r="BS42" s="116"/>
      <c r="BT42" s="116">
        <v>0.0</v>
      </c>
      <c r="BU42" s="116"/>
      <c r="BV42" s="116"/>
      <c r="BW42" s="116"/>
      <c r="BX42" s="116"/>
      <c r="BY42" s="116"/>
      <c r="BZ42" s="116">
        <v>0.0</v>
      </c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117</v>
      </c>
      <c r="D43" s="137">
        <v>5.0</v>
      </c>
      <c r="E43" s="138">
        <v>14.5</v>
      </c>
      <c r="F43" s="139">
        <v>14.5</v>
      </c>
      <c r="G43" s="140">
        <v>2.4</v>
      </c>
      <c r="H43" s="139">
        <v>2.5</v>
      </c>
      <c r="I43" s="141">
        <v>11.0</v>
      </c>
      <c r="J43" s="142">
        <v>0.5</v>
      </c>
      <c r="K43" s="143">
        <v>0.5</v>
      </c>
      <c r="L43" s="144">
        <v>1.0</v>
      </c>
      <c r="M43" s="145">
        <v>1.0</v>
      </c>
      <c r="N43" s="145">
        <v>0.0</v>
      </c>
      <c r="O43" s="146">
        <v>0.0</v>
      </c>
      <c r="P43" s="147"/>
      <c r="Q43" s="148"/>
      <c r="R43" s="148"/>
      <c r="S43" s="149"/>
      <c r="T43" s="192"/>
      <c r="U43" s="193"/>
      <c r="V43" s="151">
        <v>14.5</v>
      </c>
      <c r="W43" s="151"/>
      <c r="X43" s="151"/>
      <c r="Y43" s="151"/>
      <c r="Z43" s="152"/>
      <c r="AA43" s="152"/>
      <c r="AB43" s="151">
        <v>0.0</v>
      </c>
      <c r="AC43" s="151"/>
      <c r="AD43" s="151"/>
      <c r="AE43" s="151"/>
      <c r="AF43" s="151"/>
      <c r="AG43" s="151"/>
      <c r="AH43" s="151"/>
      <c r="AI43" s="151"/>
      <c r="AJ43" s="151"/>
      <c r="AK43" s="152"/>
      <c r="AL43" s="152"/>
      <c r="AM43" s="151">
        <v>0.0</v>
      </c>
      <c r="AN43" s="151"/>
      <c r="AO43" s="151"/>
      <c r="AP43" s="151">
        <v>0.0</v>
      </c>
      <c r="AQ43" s="151"/>
      <c r="AR43" s="151"/>
      <c r="AS43" s="151">
        <v>0.0</v>
      </c>
      <c r="AT43" s="151"/>
      <c r="AU43" s="152"/>
      <c r="AV43" s="152"/>
      <c r="AW43" s="151"/>
      <c r="AX43" s="151"/>
      <c r="AY43" s="151"/>
      <c r="AZ43" s="153"/>
      <c r="BA43" s="153"/>
      <c r="BB43" s="153"/>
      <c r="BC43" s="153"/>
      <c r="BD43" s="153"/>
      <c r="BE43" s="141">
        <v>0.0</v>
      </c>
      <c r="BF43" s="141">
        <v>0.0</v>
      </c>
      <c r="BG43" s="141"/>
      <c r="BH43" s="141">
        <v>0.0</v>
      </c>
      <c r="BI43" s="141"/>
      <c r="BJ43" s="141"/>
      <c r="BK43" s="141">
        <v>0.0</v>
      </c>
      <c r="BL43" s="141"/>
      <c r="BM43" s="141"/>
      <c r="BN43" s="141"/>
      <c r="BO43" s="141"/>
      <c r="BP43" s="189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>
        <v>0.0</v>
      </c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103</v>
      </c>
      <c r="D44" s="119">
        <v>5.0</v>
      </c>
      <c r="E44" s="120">
        <v>14.0</v>
      </c>
      <c r="F44" s="121">
        <v>14.0</v>
      </c>
      <c r="G44" s="122">
        <v>1.8</v>
      </c>
      <c r="H44" s="121">
        <v>5.0</v>
      </c>
      <c r="I44" s="123">
        <v>9.0</v>
      </c>
      <c r="J44" s="124">
        <v>0.0</v>
      </c>
      <c r="K44" s="125">
        <v>0.0</v>
      </c>
      <c r="L44" s="126">
        <v>0.0</v>
      </c>
      <c r="M44" s="127">
        <v>2.0</v>
      </c>
      <c r="N44" s="127">
        <v>2.0</v>
      </c>
      <c r="O44" s="128">
        <v>0.0</v>
      </c>
      <c r="P44" s="129"/>
      <c r="Q44" s="130"/>
      <c r="R44" s="130"/>
      <c r="S44" s="131"/>
      <c r="T44" s="190"/>
      <c r="U44" s="191"/>
      <c r="V44" s="133"/>
      <c r="W44" s="133"/>
      <c r="X44" s="134">
        <v>14.0</v>
      </c>
      <c r="Y44" s="133"/>
      <c r="Z44" s="133">
        <v>0.0</v>
      </c>
      <c r="AA44" s="133"/>
      <c r="AB44" s="133"/>
      <c r="AC44" s="134">
        <v>0.0</v>
      </c>
      <c r="AD44" s="133"/>
      <c r="AE44" s="133"/>
      <c r="AF44" s="133"/>
      <c r="AG44" s="133"/>
      <c r="AH44" s="134"/>
      <c r="AI44" s="133"/>
      <c r="AJ44" s="133"/>
      <c r="AK44" s="133"/>
      <c r="AL44" s="133"/>
      <c r="AM44" s="133"/>
      <c r="AN44" s="134"/>
      <c r="AO44" s="133"/>
      <c r="AP44" s="133">
        <v>0.0</v>
      </c>
      <c r="AQ44" s="133"/>
      <c r="AR44" s="134"/>
      <c r="AS44" s="133"/>
      <c r="AT44" s="133"/>
      <c r="AU44" s="133"/>
      <c r="AV44" s="133">
        <v>0.0</v>
      </c>
      <c r="AW44" s="133"/>
      <c r="AX44" s="133"/>
      <c r="AY44" s="133"/>
      <c r="AZ44" s="135"/>
      <c r="BA44" s="135"/>
      <c r="BB44" s="135">
        <v>0.0</v>
      </c>
      <c r="BC44" s="135"/>
      <c r="BD44" s="135"/>
      <c r="BE44" s="123"/>
      <c r="BF44" s="123">
        <v>0.0</v>
      </c>
      <c r="BG44" s="123"/>
      <c r="BH44" s="123"/>
      <c r="BI44" s="123"/>
      <c r="BJ44" s="123"/>
      <c r="BK44" s="123"/>
      <c r="BL44" s="123">
        <v>0.0</v>
      </c>
      <c r="BM44" s="123"/>
      <c r="BN44" s="123"/>
      <c r="BO44" s="123"/>
      <c r="BP44" s="189"/>
      <c r="BQ44" s="116"/>
      <c r="BR44" s="116"/>
      <c r="BS44" s="116"/>
      <c r="BT44" s="116"/>
      <c r="BU44" s="116"/>
      <c r="BV44" s="116"/>
      <c r="BW44" s="116">
        <v>0.0</v>
      </c>
      <c r="BX44" s="116"/>
      <c r="BY44" s="116"/>
      <c r="BZ44" s="116">
        <v>0.0</v>
      </c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80</v>
      </c>
      <c r="D45" s="137">
        <v>0.0</v>
      </c>
      <c r="E45" s="138">
        <v>0.0</v>
      </c>
      <c r="F45" s="139"/>
      <c r="G45" s="140"/>
      <c r="H45" s="139">
        <v>0.0</v>
      </c>
      <c r="I45" s="141">
        <v>0.0</v>
      </c>
      <c r="J45" s="142">
        <v>0.0</v>
      </c>
      <c r="K45" s="143">
        <v>0.0</v>
      </c>
      <c r="L45" s="144">
        <v>0.0</v>
      </c>
      <c r="M45" s="145">
        <v>0.0</v>
      </c>
      <c r="N45" s="145">
        <v>0.0</v>
      </c>
      <c r="O45" s="146">
        <v>0.0</v>
      </c>
      <c r="P45" s="147"/>
      <c r="Q45" s="148"/>
      <c r="R45" s="148"/>
      <c r="S45" s="149"/>
      <c r="T45" s="192"/>
      <c r="U45" s="193"/>
      <c r="V45" s="151"/>
      <c r="W45" s="151"/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/>
      <c r="AI45" s="151"/>
      <c r="AJ45" s="151"/>
      <c r="AK45" s="152"/>
      <c r="AL45" s="152"/>
      <c r="AM45" s="151"/>
      <c r="AN45" s="151"/>
      <c r="AO45" s="151"/>
      <c r="AP45" s="151"/>
      <c r="AQ45" s="151"/>
      <c r="AR45" s="151">
        <v>0.0</v>
      </c>
      <c r="AS45" s="151">
        <v>0.0</v>
      </c>
      <c r="AT45" s="151">
        <v>0.0</v>
      </c>
      <c r="AU45" s="152">
        <v>0.0</v>
      </c>
      <c r="AV45" s="152">
        <v>0.0</v>
      </c>
      <c r="AW45" s="151">
        <v>0.0</v>
      </c>
      <c r="AX45" s="151">
        <v>0.0</v>
      </c>
      <c r="AY45" s="151">
        <v>0.0</v>
      </c>
      <c r="AZ45" s="153">
        <v>0.0</v>
      </c>
      <c r="BA45" s="153">
        <v>0.0</v>
      </c>
      <c r="BB45" s="153"/>
      <c r="BC45" s="153"/>
      <c r="BD45" s="153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89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83</v>
      </c>
      <c r="D46" s="119">
        <v>0.0</v>
      </c>
      <c r="E46" s="120">
        <v>0.0</v>
      </c>
      <c r="F46" s="121"/>
      <c r="G46" s="122"/>
      <c r="H46" s="121">
        <v>0.0</v>
      </c>
      <c r="I46" s="123">
        <v>0.0</v>
      </c>
      <c r="J46" s="124">
        <v>0.0</v>
      </c>
      <c r="K46" s="125">
        <v>0.0</v>
      </c>
      <c r="L46" s="126">
        <v>0.0</v>
      </c>
      <c r="M46" s="127">
        <v>0.0</v>
      </c>
      <c r="N46" s="127">
        <v>0.0</v>
      </c>
      <c r="O46" s="128">
        <v>0.0</v>
      </c>
      <c r="P46" s="129"/>
      <c r="Q46" s="130"/>
      <c r="R46" s="130"/>
      <c r="S46" s="131"/>
      <c r="T46" s="190"/>
      <c r="U46" s="191"/>
      <c r="V46" s="133"/>
      <c r="W46" s="133"/>
      <c r="X46" s="134"/>
      <c r="Y46" s="133"/>
      <c r="Z46" s="133"/>
      <c r="AA46" s="133"/>
      <c r="AB46" s="133"/>
      <c r="AC46" s="134"/>
      <c r="AD46" s="133"/>
      <c r="AE46" s="133"/>
      <c r="AF46" s="133"/>
      <c r="AG46" s="133"/>
      <c r="AH46" s="134"/>
      <c r="AI46" s="133"/>
      <c r="AJ46" s="133">
        <v>0.0</v>
      </c>
      <c r="AK46" s="133">
        <v>0.0</v>
      </c>
      <c r="AL46" s="133">
        <v>0.0</v>
      </c>
      <c r="AM46" s="133">
        <v>0.0</v>
      </c>
      <c r="AN46" s="134"/>
      <c r="AO46" s="133"/>
      <c r="AP46" s="133"/>
      <c r="AQ46" s="133"/>
      <c r="AR46" s="134"/>
      <c r="AS46" s="133"/>
      <c r="AT46" s="133"/>
      <c r="AU46" s="133"/>
      <c r="AV46" s="133"/>
      <c r="AW46" s="133"/>
      <c r="AX46" s="133"/>
      <c r="AY46" s="133"/>
      <c r="AZ46" s="135"/>
      <c r="BA46" s="135"/>
      <c r="BB46" s="135"/>
      <c r="BC46" s="135"/>
      <c r="BD46" s="135"/>
      <c r="BE46" s="123"/>
      <c r="BF46" s="123"/>
      <c r="BG46" s="123"/>
      <c r="BH46" s="123"/>
      <c r="BI46" s="123"/>
      <c r="BJ46" s="123"/>
      <c r="BK46" s="123"/>
      <c r="BL46" s="123">
        <v>0.0</v>
      </c>
      <c r="BM46" s="123">
        <v>0.0</v>
      </c>
      <c r="BN46" s="123">
        <v>0.0</v>
      </c>
      <c r="BO46" s="123"/>
      <c r="BP46" s="189"/>
      <c r="BQ46" s="116"/>
      <c r="BR46" s="116"/>
      <c r="BS46" s="116"/>
      <c r="BT46" s="116"/>
      <c r="BU46" s="116"/>
      <c r="BV46" s="116">
        <v>0.0</v>
      </c>
      <c r="BW46" s="116">
        <v>0.0</v>
      </c>
      <c r="BX46" s="116">
        <v>0.0</v>
      </c>
      <c r="BY46" s="116"/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84</v>
      </c>
      <c r="D47" s="137">
        <v>0.0</v>
      </c>
      <c r="E47" s="138">
        <v>0.0</v>
      </c>
      <c r="F47" s="139"/>
      <c r="G47" s="140"/>
      <c r="H47" s="139">
        <v>0.0</v>
      </c>
      <c r="I47" s="141">
        <v>0.0</v>
      </c>
      <c r="J47" s="142">
        <v>0.0</v>
      </c>
      <c r="K47" s="143">
        <v>0.0</v>
      </c>
      <c r="L47" s="144">
        <v>0.0</v>
      </c>
      <c r="M47" s="145">
        <v>0.0</v>
      </c>
      <c r="N47" s="145">
        <v>0.0</v>
      </c>
      <c r="O47" s="146">
        <v>0.0</v>
      </c>
      <c r="P47" s="147"/>
      <c r="Q47" s="148"/>
      <c r="R47" s="148"/>
      <c r="S47" s="149"/>
      <c r="T47" s="192"/>
      <c r="U47" s="193"/>
      <c r="V47" s="151"/>
      <c r="W47" s="151"/>
      <c r="X47" s="151"/>
      <c r="Y47" s="151"/>
      <c r="Z47" s="152"/>
      <c r="AA47" s="152"/>
      <c r="AB47" s="151"/>
      <c r="AC47" s="151"/>
      <c r="AD47" s="151"/>
      <c r="AE47" s="151"/>
      <c r="AF47" s="151"/>
      <c r="AG47" s="151"/>
      <c r="AH47" s="151"/>
      <c r="AI47" s="151"/>
      <c r="AJ47" s="151">
        <v>0.0</v>
      </c>
      <c r="AK47" s="152">
        <v>0.0</v>
      </c>
      <c r="AL47" s="152">
        <v>0.0</v>
      </c>
      <c r="AM47" s="151"/>
      <c r="AN47" s="151"/>
      <c r="AO47" s="151"/>
      <c r="AP47" s="151"/>
      <c r="AQ47" s="151"/>
      <c r="AR47" s="151"/>
      <c r="AS47" s="151"/>
      <c r="AT47" s="151"/>
      <c r="AU47" s="152">
        <v>0.0</v>
      </c>
      <c r="AV47" s="152">
        <v>0.0</v>
      </c>
      <c r="AW47" s="151">
        <v>0.0</v>
      </c>
      <c r="AX47" s="151"/>
      <c r="AY47" s="151"/>
      <c r="AZ47" s="153"/>
      <c r="BA47" s="153"/>
      <c r="BB47" s="153"/>
      <c r="BC47" s="153"/>
      <c r="BD47" s="153"/>
      <c r="BE47" s="141">
        <v>0.0</v>
      </c>
      <c r="BF47" s="141">
        <v>0.0</v>
      </c>
      <c r="BG47" s="141">
        <v>0.0</v>
      </c>
      <c r="BH47" s="141">
        <v>0.0</v>
      </c>
      <c r="BI47" s="141"/>
      <c r="BJ47" s="141"/>
      <c r="BK47" s="141"/>
      <c r="BL47" s="141"/>
      <c r="BM47" s="141"/>
      <c r="BN47" s="141"/>
      <c r="BO47" s="141"/>
      <c r="BP47" s="189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87</v>
      </c>
      <c r="D48" s="119">
        <v>0.0</v>
      </c>
      <c r="E48" s="120">
        <v>0.0</v>
      </c>
      <c r="F48" s="121"/>
      <c r="G48" s="122"/>
      <c r="H48" s="121">
        <v>0.0</v>
      </c>
      <c r="I48" s="123">
        <v>0.0</v>
      </c>
      <c r="J48" s="124">
        <v>0.0</v>
      </c>
      <c r="K48" s="125">
        <v>0.0</v>
      </c>
      <c r="L48" s="126">
        <v>0.0</v>
      </c>
      <c r="M48" s="127">
        <v>0.0</v>
      </c>
      <c r="N48" s="127">
        <v>0.0</v>
      </c>
      <c r="O48" s="128">
        <v>0.0</v>
      </c>
      <c r="P48" s="129"/>
      <c r="Q48" s="130"/>
      <c r="R48" s="130"/>
      <c r="S48" s="131"/>
      <c r="T48" s="190"/>
      <c r="U48" s="191"/>
      <c r="V48" s="133"/>
      <c r="W48" s="133"/>
      <c r="X48" s="134"/>
      <c r="Y48" s="133"/>
      <c r="Z48" s="133"/>
      <c r="AA48" s="133"/>
      <c r="AB48" s="133"/>
      <c r="AC48" s="134"/>
      <c r="AD48" s="133">
        <v>0.0</v>
      </c>
      <c r="AE48" s="133">
        <v>0.0</v>
      </c>
      <c r="AF48" s="133">
        <v>0.0</v>
      </c>
      <c r="AG48" s="133">
        <v>0.0</v>
      </c>
      <c r="AH48" s="134">
        <v>0.0</v>
      </c>
      <c r="AI48" s="133"/>
      <c r="AJ48" s="133"/>
      <c r="AK48" s="133"/>
      <c r="AL48" s="133"/>
      <c r="AM48" s="133"/>
      <c r="AN48" s="134"/>
      <c r="AO48" s="133"/>
      <c r="AP48" s="133"/>
      <c r="AQ48" s="133"/>
      <c r="AR48" s="134"/>
      <c r="AS48" s="133"/>
      <c r="AT48" s="133"/>
      <c r="AU48" s="133">
        <v>0.0</v>
      </c>
      <c r="AV48" s="133">
        <v>0.0</v>
      </c>
      <c r="AW48" s="133">
        <v>0.0</v>
      </c>
      <c r="AX48" s="133">
        <v>0.0</v>
      </c>
      <c r="AY48" s="133">
        <v>0.0</v>
      </c>
      <c r="AZ48" s="135"/>
      <c r="BA48" s="135"/>
      <c r="BB48" s="135"/>
      <c r="BC48" s="135"/>
      <c r="BD48" s="135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89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88</v>
      </c>
      <c r="D49" s="137">
        <v>0.0</v>
      </c>
      <c r="E49" s="138">
        <v>0.0</v>
      </c>
      <c r="F49" s="139"/>
      <c r="G49" s="140"/>
      <c r="H49" s="139">
        <v>0.0</v>
      </c>
      <c r="I49" s="141">
        <v>0.0</v>
      </c>
      <c r="J49" s="142">
        <v>0.0</v>
      </c>
      <c r="K49" s="143">
        <v>0.0</v>
      </c>
      <c r="L49" s="144">
        <v>0.0</v>
      </c>
      <c r="M49" s="145">
        <v>0.0</v>
      </c>
      <c r="N49" s="145">
        <v>0.0</v>
      </c>
      <c r="O49" s="146">
        <v>0.0</v>
      </c>
      <c r="P49" s="147"/>
      <c r="Q49" s="148"/>
      <c r="R49" s="148"/>
      <c r="S49" s="149"/>
      <c r="T49" s="192"/>
      <c r="U49" s="193"/>
      <c r="V49" s="151"/>
      <c r="W49" s="151"/>
      <c r="X49" s="151"/>
      <c r="Y49" s="151"/>
      <c r="Z49" s="152"/>
      <c r="AA49" s="152">
        <v>0.0</v>
      </c>
      <c r="AB49" s="151">
        <v>0.0</v>
      </c>
      <c r="AC49" s="151">
        <v>0.0</v>
      </c>
      <c r="AD49" s="151">
        <v>0.0</v>
      </c>
      <c r="AE49" s="151">
        <v>0.0</v>
      </c>
      <c r="AF49" s="151"/>
      <c r="AG49" s="151"/>
      <c r="AH49" s="151"/>
      <c r="AI49" s="151"/>
      <c r="AJ49" s="151"/>
      <c r="AK49" s="152"/>
      <c r="AL49" s="152"/>
      <c r="AM49" s="151"/>
      <c r="AN49" s="151"/>
      <c r="AO49" s="151"/>
      <c r="AP49" s="151"/>
      <c r="AQ49" s="151"/>
      <c r="AR49" s="151"/>
      <c r="AS49" s="151"/>
      <c r="AT49" s="151"/>
      <c r="AU49" s="152"/>
      <c r="AV49" s="152"/>
      <c r="AW49" s="151"/>
      <c r="AX49" s="151"/>
      <c r="AY49" s="151"/>
      <c r="AZ49" s="153">
        <v>0.0</v>
      </c>
      <c r="BA49" s="153">
        <v>0.0</v>
      </c>
      <c r="BB49" s="153">
        <v>0.0</v>
      </c>
      <c r="BC49" s="153">
        <v>0.0</v>
      </c>
      <c r="BD49" s="153">
        <v>0.0</v>
      </c>
      <c r="BE49" s="141"/>
      <c r="BF49" s="141"/>
      <c r="BG49" s="141"/>
      <c r="BH49" s="141"/>
      <c r="BI49" s="141"/>
      <c r="BJ49" s="141"/>
      <c r="BK49" s="141"/>
      <c r="BL49" s="141"/>
      <c r="BM49" s="141"/>
      <c r="BN49" s="141"/>
      <c r="BO49" s="141"/>
      <c r="BP49" s="189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89</v>
      </c>
      <c r="D50" s="119">
        <v>0.0</v>
      </c>
      <c r="E50" s="120">
        <v>0.0</v>
      </c>
      <c r="F50" s="121"/>
      <c r="G50" s="122"/>
      <c r="H50" s="121">
        <v>0.0</v>
      </c>
      <c r="I50" s="123">
        <v>0.0</v>
      </c>
      <c r="J50" s="124">
        <v>0.0</v>
      </c>
      <c r="K50" s="125">
        <v>0.0</v>
      </c>
      <c r="L50" s="126">
        <v>0.0</v>
      </c>
      <c r="M50" s="127">
        <v>0.0</v>
      </c>
      <c r="N50" s="127">
        <v>0.0</v>
      </c>
      <c r="O50" s="128">
        <v>0.0</v>
      </c>
      <c r="P50" s="129"/>
      <c r="Q50" s="130"/>
      <c r="R50" s="130"/>
      <c r="S50" s="131"/>
      <c r="T50" s="190"/>
      <c r="U50" s="191"/>
      <c r="V50" s="133"/>
      <c r="W50" s="133"/>
      <c r="X50" s="134"/>
      <c r="Y50" s="133"/>
      <c r="Z50" s="133">
        <v>0.0</v>
      </c>
      <c r="AA50" s="133">
        <v>0.0</v>
      </c>
      <c r="AB50" s="133">
        <v>0.0</v>
      </c>
      <c r="AC50" s="134">
        <v>0.0</v>
      </c>
      <c r="AD50" s="133"/>
      <c r="AE50" s="133"/>
      <c r="AF50" s="133"/>
      <c r="AG50" s="133"/>
      <c r="AH50" s="134"/>
      <c r="AI50" s="133"/>
      <c r="AJ50" s="133"/>
      <c r="AK50" s="133"/>
      <c r="AL50" s="133"/>
      <c r="AM50" s="133"/>
      <c r="AN50" s="134"/>
      <c r="AO50" s="133"/>
      <c r="AP50" s="133">
        <v>0.0</v>
      </c>
      <c r="AQ50" s="133">
        <v>0.0</v>
      </c>
      <c r="AR50" s="134">
        <v>0.0</v>
      </c>
      <c r="AS50" s="133">
        <v>0.0</v>
      </c>
      <c r="AT50" s="133"/>
      <c r="AU50" s="133"/>
      <c r="AV50" s="133"/>
      <c r="AW50" s="133"/>
      <c r="AX50" s="133"/>
      <c r="AY50" s="133"/>
      <c r="AZ50" s="135"/>
      <c r="BA50" s="135"/>
      <c r="BB50" s="135"/>
      <c r="BC50" s="135"/>
      <c r="BD50" s="135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89"/>
      <c r="BQ50" s="116"/>
      <c r="BR50" s="116"/>
      <c r="BS50" s="116"/>
      <c r="BT50" s="116"/>
      <c r="BU50" s="116"/>
      <c r="BV50" s="116"/>
      <c r="BW50" s="116"/>
      <c r="BX50" s="116"/>
      <c r="BY50" s="116">
        <v>0.0</v>
      </c>
      <c r="BZ50" s="116">
        <v>0.0</v>
      </c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92</v>
      </c>
      <c r="D51" s="137">
        <v>0.0</v>
      </c>
      <c r="E51" s="138">
        <v>0.0</v>
      </c>
      <c r="F51" s="139"/>
      <c r="G51" s="140"/>
      <c r="H51" s="139">
        <v>0.0</v>
      </c>
      <c r="I51" s="141">
        <v>0.0</v>
      </c>
      <c r="J51" s="142">
        <v>0.0</v>
      </c>
      <c r="K51" s="143">
        <v>0.0</v>
      </c>
      <c r="L51" s="144">
        <v>0.0</v>
      </c>
      <c r="M51" s="145">
        <v>0.0</v>
      </c>
      <c r="N51" s="145">
        <v>0.0</v>
      </c>
      <c r="O51" s="146">
        <v>0.0</v>
      </c>
      <c r="P51" s="147"/>
      <c r="Q51" s="148"/>
      <c r="R51" s="148"/>
      <c r="S51" s="149"/>
      <c r="T51" s="192"/>
      <c r="U51" s="193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>
        <v>0.0</v>
      </c>
      <c r="AI51" s="151">
        <v>0.0</v>
      </c>
      <c r="AJ51" s="151"/>
      <c r="AK51" s="152"/>
      <c r="AL51" s="152"/>
      <c r="AM51" s="151"/>
      <c r="AN51" s="151"/>
      <c r="AO51" s="151">
        <v>0.0</v>
      </c>
      <c r="AP51" s="151"/>
      <c r="AQ51" s="151">
        <v>0.0</v>
      </c>
      <c r="AR51" s="151"/>
      <c r="AS51" s="151"/>
      <c r="AT51" s="151"/>
      <c r="AU51" s="152"/>
      <c r="AV51" s="152">
        <v>0.0</v>
      </c>
      <c r="AW51" s="151"/>
      <c r="AX51" s="151"/>
      <c r="AY51" s="151"/>
      <c r="AZ51" s="153"/>
      <c r="BA51" s="153">
        <v>0.0</v>
      </c>
      <c r="BB51" s="153"/>
      <c r="BC51" s="153"/>
      <c r="BD51" s="153"/>
      <c r="BE51" s="141"/>
      <c r="BF51" s="141">
        <v>0.0</v>
      </c>
      <c r="BG51" s="141"/>
      <c r="BH51" s="141"/>
      <c r="BI51" s="141"/>
      <c r="BJ51" s="141"/>
      <c r="BK51" s="141"/>
      <c r="BL51" s="141"/>
      <c r="BM51" s="141"/>
      <c r="BN51" s="141"/>
      <c r="BO51" s="141"/>
      <c r="BP51" s="189"/>
      <c r="BQ51" s="116"/>
      <c r="BR51" s="116"/>
      <c r="BS51" s="116">
        <v>0.0</v>
      </c>
      <c r="BT51" s="116"/>
      <c r="BU51" s="116">
        <v>0.0</v>
      </c>
      <c r="BV51" s="116"/>
      <c r="BW51" s="116"/>
      <c r="BX51" s="116"/>
      <c r="BY51" s="116"/>
      <c r="BZ51" s="116"/>
      <c r="CA51" s="116">
        <v>0.0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93</v>
      </c>
      <c r="D52" s="119">
        <v>0.0</v>
      </c>
      <c r="E52" s="120">
        <v>0.0</v>
      </c>
      <c r="F52" s="121"/>
      <c r="G52" s="122"/>
      <c r="H52" s="121">
        <v>0.0</v>
      </c>
      <c r="I52" s="123">
        <v>0.0</v>
      </c>
      <c r="J52" s="124">
        <v>0.0</v>
      </c>
      <c r="K52" s="125">
        <v>0.0</v>
      </c>
      <c r="L52" s="126">
        <v>0.0</v>
      </c>
      <c r="M52" s="127">
        <v>0.0</v>
      </c>
      <c r="N52" s="127">
        <v>0.0</v>
      </c>
      <c r="O52" s="128">
        <v>0.0</v>
      </c>
      <c r="P52" s="129"/>
      <c r="Q52" s="130"/>
      <c r="R52" s="130"/>
      <c r="S52" s="131"/>
      <c r="T52" s="190"/>
      <c r="U52" s="191"/>
      <c r="V52" s="133"/>
      <c r="W52" s="133"/>
      <c r="X52" s="134"/>
      <c r="Y52" s="133"/>
      <c r="Z52" s="133"/>
      <c r="AA52" s="133"/>
      <c r="AB52" s="133"/>
      <c r="AC52" s="134"/>
      <c r="AD52" s="133"/>
      <c r="AE52" s="133"/>
      <c r="AF52" s="133"/>
      <c r="AG52" s="133"/>
      <c r="AH52" s="134"/>
      <c r="AI52" s="133"/>
      <c r="AJ52" s="133"/>
      <c r="AK52" s="133"/>
      <c r="AL52" s="133"/>
      <c r="AM52" s="133"/>
      <c r="AN52" s="134"/>
      <c r="AO52" s="133"/>
      <c r="AP52" s="133"/>
      <c r="AQ52" s="133"/>
      <c r="AR52" s="134"/>
      <c r="AS52" s="133"/>
      <c r="AT52" s="133"/>
      <c r="AU52" s="133"/>
      <c r="AV52" s="133"/>
      <c r="AW52" s="133"/>
      <c r="AX52" s="133"/>
      <c r="AY52" s="133"/>
      <c r="AZ52" s="135">
        <v>0.0</v>
      </c>
      <c r="BA52" s="135">
        <v>0.0</v>
      </c>
      <c r="BB52" s="135">
        <v>0.0</v>
      </c>
      <c r="BC52" s="135">
        <v>0.0</v>
      </c>
      <c r="BD52" s="135"/>
      <c r="BE52" s="123"/>
      <c r="BF52" s="123"/>
      <c r="BG52" s="123"/>
      <c r="BH52" s="123"/>
      <c r="BI52" s="123"/>
      <c r="BJ52" s="123"/>
      <c r="BK52" s="123"/>
      <c r="BL52" s="123"/>
      <c r="BM52" s="123">
        <v>0.0</v>
      </c>
      <c r="BN52" s="123">
        <v>0.0</v>
      </c>
      <c r="BO52" s="123">
        <v>0.0</v>
      </c>
      <c r="BP52" s="189">
        <v>0.0</v>
      </c>
      <c r="BQ52" s="116">
        <v>0.0</v>
      </c>
      <c r="BR52" s="116">
        <v>0.0</v>
      </c>
      <c r="BS52" s="116"/>
      <c r="BT52" s="116"/>
      <c r="BU52" s="116"/>
      <c r="BV52" s="116"/>
      <c r="BW52" s="116"/>
      <c r="BX52" s="116"/>
      <c r="BY52" s="116"/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97</v>
      </c>
      <c r="D53" s="137">
        <v>0.0</v>
      </c>
      <c r="E53" s="138">
        <v>0.0</v>
      </c>
      <c r="F53" s="139"/>
      <c r="G53" s="140"/>
      <c r="H53" s="139">
        <v>0.0</v>
      </c>
      <c r="I53" s="141">
        <v>0.0</v>
      </c>
      <c r="J53" s="142">
        <v>0.0</v>
      </c>
      <c r="K53" s="143">
        <v>0.0</v>
      </c>
      <c r="L53" s="144">
        <v>0.0</v>
      </c>
      <c r="M53" s="145">
        <v>0.0</v>
      </c>
      <c r="N53" s="145">
        <v>0.0</v>
      </c>
      <c r="O53" s="146">
        <v>0.0</v>
      </c>
      <c r="P53" s="147"/>
      <c r="Q53" s="148"/>
      <c r="R53" s="148"/>
      <c r="S53" s="149"/>
      <c r="T53" s="192"/>
      <c r="U53" s="193"/>
      <c r="V53" s="151"/>
      <c r="W53" s="151"/>
      <c r="X53" s="151"/>
      <c r="Y53" s="151"/>
      <c r="Z53" s="152"/>
      <c r="AA53" s="152">
        <v>0.0</v>
      </c>
      <c r="AB53" s="151"/>
      <c r="AC53" s="151"/>
      <c r="AD53" s="151">
        <v>0.0</v>
      </c>
      <c r="AE53" s="151"/>
      <c r="AF53" s="151"/>
      <c r="AG53" s="151"/>
      <c r="AH53" s="151"/>
      <c r="AI53" s="151"/>
      <c r="AJ53" s="151">
        <v>0.0</v>
      </c>
      <c r="AK53" s="152"/>
      <c r="AL53" s="152"/>
      <c r="AM53" s="151"/>
      <c r="AN53" s="151">
        <v>0.0</v>
      </c>
      <c r="AO53" s="151"/>
      <c r="AP53" s="151"/>
      <c r="AQ53" s="151"/>
      <c r="AR53" s="151"/>
      <c r="AS53" s="151"/>
      <c r="AT53" s="151"/>
      <c r="AU53" s="152">
        <v>0.0</v>
      </c>
      <c r="AV53" s="152"/>
      <c r="AW53" s="151"/>
      <c r="AX53" s="151">
        <v>0.0</v>
      </c>
      <c r="AY53" s="151"/>
      <c r="AZ53" s="153"/>
      <c r="BA53" s="153"/>
      <c r="BB53" s="153"/>
      <c r="BC53" s="153"/>
      <c r="BD53" s="153"/>
      <c r="BE53" s="141"/>
      <c r="BF53" s="141"/>
      <c r="BG53" s="141"/>
      <c r="BH53" s="141"/>
      <c r="BI53" s="141"/>
      <c r="BJ53" s="141">
        <v>0.0</v>
      </c>
      <c r="BK53" s="141"/>
      <c r="BL53" s="141"/>
      <c r="BM53" s="141"/>
      <c r="BN53" s="141"/>
      <c r="BO53" s="141"/>
      <c r="BP53" s="189"/>
      <c r="BQ53" s="116">
        <v>0.0</v>
      </c>
      <c r="BR53" s="116"/>
      <c r="BS53" s="116"/>
      <c r="BT53" s="116">
        <v>0.0</v>
      </c>
      <c r="BU53" s="116"/>
      <c r="BV53" s="116">
        <v>0.0</v>
      </c>
      <c r="BW53" s="116"/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99</v>
      </c>
      <c r="D54" s="119">
        <v>0.0</v>
      </c>
      <c r="E54" s="120">
        <v>0.0</v>
      </c>
      <c r="F54" s="121"/>
      <c r="G54" s="122"/>
      <c r="H54" s="121">
        <v>0.0</v>
      </c>
      <c r="I54" s="123">
        <v>0.0</v>
      </c>
      <c r="J54" s="124">
        <v>0.0</v>
      </c>
      <c r="K54" s="125">
        <v>0.0</v>
      </c>
      <c r="L54" s="126">
        <v>0.0</v>
      </c>
      <c r="M54" s="127">
        <v>0.0</v>
      </c>
      <c r="N54" s="127">
        <v>0.0</v>
      </c>
      <c r="O54" s="128">
        <v>0.0</v>
      </c>
      <c r="P54" s="129"/>
      <c r="Q54" s="130"/>
      <c r="R54" s="130"/>
      <c r="S54" s="131"/>
      <c r="T54" s="190"/>
      <c r="U54" s="191"/>
      <c r="V54" s="133"/>
      <c r="W54" s="133"/>
      <c r="X54" s="134"/>
      <c r="Y54" s="133"/>
      <c r="Z54" s="133"/>
      <c r="AA54" s="133">
        <v>0.0</v>
      </c>
      <c r="AB54" s="133"/>
      <c r="AC54" s="134"/>
      <c r="AD54" s="133"/>
      <c r="AE54" s="133"/>
      <c r="AF54" s="133"/>
      <c r="AG54" s="133">
        <v>0.0</v>
      </c>
      <c r="AH54" s="134"/>
      <c r="AI54" s="133">
        <v>0.0</v>
      </c>
      <c r="AJ54" s="133"/>
      <c r="AK54" s="133"/>
      <c r="AL54" s="133"/>
      <c r="AM54" s="133"/>
      <c r="AN54" s="134"/>
      <c r="AO54" s="133"/>
      <c r="AP54" s="133">
        <v>0.0</v>
      </c>
      <c r="AQ54" s="133"/>
      <c r="AR54" s="134"/>
      <c r="AS54" s="133"/>
      <c r="AT54" s="133"/>
      <c r="AU54" s="133"/>
      <c r="AV54" s="133"/>
      <c r="AW54" s="133"/>
      <c r="AX54" s="133"/>
      <c r="AY54" s="133"/>
      <c r="AZ54" s="135">
        <v>0.0</v>
      </c>
      <c r="BA54" s="135"/>
      <c r="BB54" s="135"/>
      <c r="BC54" s="135">
        <v>0.0</v>
      </c>
      <c r="BD54" s="135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89">
        <v>0.0</v>
      </c>
      <c r="BQ54" s="116"/>
      <c r="BR54" s="116"/>
      <c r="BS54" s="116">
        <v>0.0</v>
      </c>
      <c r="BT54" s="116"/>
      <c r="BU54" s="116"/>
      <c r="BV54" s="116"/>
      <c r="BW54" s="116"/>
      <c r="BX54" s="116"/>
      <c r="BY54" s="116">
        <v>0.0</v>
      </c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100</v>
      </c>
      <c r="D55" s="137">
        <v>0.0</v>
      </c>
      <c r="E55" s="138">
        <v>0.0</v>
      </c>
      <c r="F55" s="139"/>
      <c r="G55" s="140"/>
      <c r="H55" s="139">
        <v>0.0</v>
      </c>
      <c r="I55" s="141">
        <v>0.0</v>
      </c>
      <c r="J55" s="142">
        <v>0.0</v>
      </c>
      <c r="K55" s="143">
        <v>0.0</v>
      </c>
      <c r="L55" s="144">
        <v>0.0</v>
      </c>
      <c r="M55" s="145">
        <v>0.0</v>
      </c>
      <c r="N55" s="145">
        <v>0.0</v>
      </c>
      <c r="O55" s="146">
        <v>0.0</v>
      </c>
      <c r="P55" s="147"/>
      <c r="Q55" s="148"/>
      <c r="R55" s="148"/>
      <c r="S55" s="149"/>
      <c r="T55" s="192"/>
      <c r="U55" s="193"/>
      <c r="V55" s="151"/>
      <c r="W55" s="151"/>
      <c r="X55" s="151"/>
      <c r="Y55" s="151"/>
      <c r="Z55" s="152"/>
      <c r="AA55" s="152"/>
      <c r="AB55" s="151"/>
      <c r="AC55" s="151"/>
      <c r="AD55" s="151"/>
      <c r="AE55" s="151"/>
      <c r="AF55" s="151"/>
      <c r="AG55" s="151"/>
      <c r="AH55" s="151">
        <v>0.0</v>
      </c>
      <c r="AI55" s="151">
        <v>0.0</v>
      </c>
      <c r="AJ55" s="151">
        <v>0.0</v>
      </c>
      <c r="AK55" s="152">
        <v>0.0</v>
      </c>
      <c r="AL55" s="152">
        <v>0.0</v>
      </c>
      <c r="AM55" s="151"/>
      <c r="AN55" s="151"/>
      <c r="AO55" s="151"/>
      <c r="AP55" s="151"/>
      <c r="AQ55" s="151"/>
      <c r="AR55" s="151"/>
      <c r="AS55" s="151"/>
      <c r="AT55" s="151"/>
      <c r="AU55" s="152"/>
      <c r="AV55" s="152"/>
      <c r="AW55" s="151"/>
      <c r="AX55" s="151"/>
      <c r="AY55" s="151"/>
      <c r="AZ55" s="153"/>
      <c r="BA55" s="153"/>
      <c r="BB55" s="153"/>
      <c r="BC55" s="153"/>
      <c r="BD55" s="153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>
        <v>0.0</v>
      </c>
      <c r="BO55" s="141">
        <v>0.0</v>
      </c>
      <c r="BP55" s="189">
        <v>0.0</v>
      </c>
      <c r="BQ55" s="116">
        <v>0.0</v>
      </c>
      <c r="BR55" s="116">
        <v>0.0</v>
      </c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107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90"/>
      <c r="U56" s="191"/>
      <c r="V56" s="133"/>
      <c r="W56" s="133"/>
      <c r="X56" s="134"/>
      <c r="Y56" s="133"/>
      <c r="Z56" s="133">
        <v>0.0</v>
      </c>
      <c r="AA56" s="133">
        <v>0.0</v>
      </c>
      <c r="AB56" s="133">
        <v>0.0</v>
      </c>
      <c r="AC56" s="134">
        <v>0.0</v>
      </c>
      <c r="AD56" s="133">
        <v>0.0</v>
      </c>
      <c r="AE56" s="133">
        <v>0.0</v>
      </c>
      <c r="AF56" s="133"/>
      <c r="AG56" s="133"/>
      <c r="AH56" s="134"/>
      <c r="AI56" s="133"/>
      <c r="AJ56" s="133"/>
      <c r="AK56" s="133"/>
      <c r="AL56" s="133"/>
      <c r="AM56" s="133"/>
      <c r="AN56" s="134"/>
      <c r="AO56" s="133"/>
      <c r="AP56" s="133"/>
      <c r="AQ56" s="133"/>
      <c r="AR56" s="134"/>
      <c r="AS56" s="133"/>
      <c r="AT56" s="133"/>
      <c r="AU56" s="133"/>
      <c r="AV56" s="133"/>
      <c r="AW56" s="133"/>
      <c r="AX56" s="133"/>
      <c r="AY56" s="133"/>
      <c r="AZ56" s="135"/>
      <c r="BA56" s="135"/>
      <c r="BB56" s="135"/>
      <c r="BC56" s="135"/>
      <c r="BD56" s="135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>
        <v>0.0</v>
      </c>
      <c r="BP56" s="189">
        <v>0.0</v>
      </c>
      <c r="BQ56" s="116">
        <v>0.0</v>
      </c>
      <c r="BR56" s="116">
        <v>0.0</v>
      </c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109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92"/>
      <c r="U57" s="193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/>
      <c r="AJ57" s="151"/>
      <c r="AK57" s="152"/>
      <c r="AL57" s="152"/>
      <c r="AM57" s="151"/>
      <c r="AN57" s="151">
        <v>0.0</v>
      </c>
      <c r="AO57" s="151">
        <v>0.0</v>
      </c>
      <c r="AP57" s="151"/>
      <c r="AQ57" s="151"/>
      <c r="AR57" s="151"/>
      <c r="AS57" s="151"/>
      <c r="AT57" s="151"/>
      <c r="AU57" s="152"/>
      <c r="AV57" s="152">
        <v>0.0</v>
      </c>
      <c r="AW57" s="151">
        <v>0.0</v>
      </c>
      <c r="AX57" s="151">
        <v>0.0</v>
      </c>
      <c r="AY57" s="151">
        <v>0.0</v>
      </c>
      <c r="AZ57" s="153"/>
      <c r="BA57" s="153"/>
      <c r="BB57" s="153"/>
      <c r="BC57" s="153"/>
      <c r="BD57" s="153"/>
      <c r="BE57" s="141">
        <v>0.0</v>
      </c>
      <c r="BF57" s="141">
        <v>0.0</v>
      </c>
      <c r="BG57" s="141">
        <v>0.0</v>
      </c>
      <c r="BH57" s="141">
        <v>0.0</v>
      </c>
      <c r="BI57" s="141"/>
      <c r="BJ57" s="141"/>
      <c r="BK57" s="141"/>
      <c r="BL57" s="141"/>
      <c r="BM57" s="141"/>
      <c r="BN57" s="141"/>
      <c r="BO57" s="141"/>
      <c r="BP57" s="189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111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90"/>
      <c r="U58" s="191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>
        <v>0.0</v>
      </c>
      <c r="AG58" s="133">
        <v>0.0</v>
      </c>
      <c r="AH58" s="134">
        <v>0.0</v>
      </c>
      <c r="AI58" s="133">
        <v>0.0</v>
      </c>
      <c r="AJ58" s="133">
        <v>0.0</v>
      </c>
      <c r="AK58" s="133"/>
      <c r="AL58" s="133"/>
      <c r="AM58" s="133"/>
      <c r="AN58" s="134"/>
      <c r="AO58" s="133"/>
      <c r="AP58" s="133"/>
      <c r="AQ58" s="133"/>
      <c r="AR58" s="134"/>
      <c r="AS58" s="133"/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/>
      <c r="BF58" s="123"/>
      <c r="BG58" s="123"/>
      <c r="BH58" s="123"/>
      <c r="BI58" s="123">
        <v>0.0</v>
      </c>
      <c r="BJ58" s="123">
        <v>0.0</v>
      </c>
      <c r="BK58" s="123">
        <v>0.0</v>
      </c>
      <c r="BL58" s="123">
        <v>0.0</v>
      </c>
      <c r="BM58" s="123">
        <v>0.0</v>
      </c>
      <c r="BN58" s="123"/>
      <c r="BO58" s="123"/>
      <c r="BP58" s="189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113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92"/>
      <c r="U59" s="193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>
        <v>0.0</v>
      </c>
      <c r="AJ59" s="151"/>
      <c r="AK59" s="152"/>
      <c r="AL59" s="152">
        <v>0.0</v>
      </c>
      <c r="AM59" s="151"/>
      <c r="AN59" s="151"/>
      <c r="AO59" s="151">
        <v>0.0</v>
      </c>
      <c r="AP59" s="151"/>
      <c r="AQ59" s="151"/>
      <c r="AR59" s="151"/>
      <c r="AS59" s="151"/>
      <c r="AT59" s="151"/>
      <c r="AU59" s="152"/>
      <c r="AV59" s="152"/>
      <c r="AW59" s="151"/>
      <c r="AX59" s="151">
        <v>0.0</v>
      </c>
      <c r="AY59" s="151"/>
      <c r="AZ59" s="153"/>
      <c r="BA59" s="153"/>
      <c r="BB59" s="153"/>
      <c r="BC59" s="153">
        <v>0.0</v>
      </c>
      <c r="BD59" s="153"/>
      <c r="BE59" s="141"/>
      <c r="BF59" s="141"/>
      <c r="BG59" s="141"/>
      <c r="BH59" s="141"/>
      <c r="BI59" s="141"/>
      <c r="BJ59" s="141"/>
      <c r="BK59" s="141"/>
      <c r="BL59" s="141"/>
      <c r="BM59" s="141">
        <v>0.0</v>
      </c>
      <c r="BN59" s="141"/>
      <c r="BO59" s="141">
        <v>0.0</v>
      </c>
      <c r="BP59" s="189"/>
      <c r="BQ59" s="116"/>
      <c r="BR59" s="116">
        <v>0.0</v>
      </c>
      <c r="BS59" s="116"/>
      <c r="BT59" s="116"/>
      <c r="BU59" s="116"/>
      <c r="BV59" s="116"/>
      <c r="BW59" s="116">
        <v>0.0</v>
      </c>
      <c r="BX59" s="116"/>
      <c r="BY59" s="116">
        <v>0.0</v>
      </c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114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90"/>
      <c r="U60" s="191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/>
      <c r="AK60" s="133">
        <v>0.0</v>
      </c>
      <c r="AL60" s="133">
        <v>0.0</v>
      </c>
      <c r="AM60" s="133">
        <v>0.0</v>
      </c>
      <c r="AN60" s="134">
        <v>0.0</v>
      </c>
      <c r="AO60" s="133">
        <v>0.0</v>
      </c>
      <c r="AP60" s="133"/>
      <c r="AQ60" s="133"/>
      <c r="AR60" s="134"/>
      <c r="AS60" s="133"/>
      <c r="AT60" s="133"/>
      <c r="AU60" s="133"/>
      <c r="AV60" s="133"/>
      <c r="AW60" s="133"/>
      <c r="AX60" s="133"/>
      <c r="AY60" s="133"/>
      <c r="AZ60" s="135"/>
      <c r="BA60" s="135"/>
      <c r="BB60" s="135"/>
      <c r="BC60" s="135"/>
      <c r="BD60" s="135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89"/>
      <c r="BQ60" s="116"/>
      <c r="BR60" s="116"/>
      <c r="BS60" s="116"/>
      <c r="BT60" s="116">
        <v>0.0</v>
      </c>
      <c r="BU60" s="116">
        <v>0.0</v>
      </c>
      <c r="BV60" s="116">
        <v>0.0</v>
      </c>
      <c r="BW60" s="116">
        <v>0.0</v>
      </c>
      <c r="BX60" s="116">
        <v>0.0</v>
      </c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115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92"/>
      <c r="U61" s="193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>
        <v>0.0</v>
      </c>
      <c r="BA61" s="153">
        <v>0.0</v>
      </c>
      <c r="BB61" s="153">
        <v>0.0</v>
      </c>
      <c r="BC61" s="153">
        <v>0.0</v>
      </c>
      <c r="BD61" s="153">
        <v>0.0</v>
      </c>
      <c r="BE61" s="141"/>
      <c r="BF61" s="141"/>
      <c r="BG61" s="141"/>
      <c r="BH61" s="141"/>
      <c r="BI61" s="141"/>
      <c r="BJ61" s="141"/>
      <c r="BK61" s="141"/>
      <c r="BL61" s="141"/>
      <c r="BM61" s="141"/>
      <c r="BN61" s="141"/>
      <c r="BO61" s="141"/>
      <c r="BP61" s="189"/>
      <c r="BQ61" s="116"/>
      <c r="BR61" s="116"/>
      <c r="BS61" s="116">
        <v>0.0</v>
      </c>
      <c r="BT61" s="116">
        <v>0.0</v>
      </c>
      <c r="BU61" s="116">
        <v>0.0</v>
      </c>
      <c r="BV61" s="116">
        <v>0.0</v>
      </c>
      <c r="BW61" s="116">
        <v>0.0</v>
      </c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120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90"/>
      <c r="U62" s="191"/>
      <c r="V62" s="133"/>
      <c r="W62" s="133"/>
      <c r="X62" s="134"/>
      <c r="Y62" s="133"/>
      <c r="Z62" s="133">
        <v>0.0</v>
      </c>
      <c r="AA62" s="133"/>
      <c r="AB62" s="133"/>
      <c r="AC62" s="134"/>
      <c r="AD62" s="133"/>
      <c r="AE62" s="133"/>
      <c r="AF62" s="133"/>
      <c r="AG62" s="133"/>
      <c r="AH62" s="134">
        <v>0.0</v>
      </c>
      <c r="AI62" s="133"/>
      <c r="AJ62" s="133"/>
      <c r="AK62" s="133"/>
      <c r="AL62" s="133"/>
      <c r="AM62" s="133">
        <v>0.0</v>
      </c>
      <c r="AN62" s="134"/>
      <c r="AO62" s="133"/>
      <c r="AP62" s="133"/>
      <c r="AQ62" s="133"/>
      <c r="AR62" s="134"/>
      <c r="AS62" s="133"/>
      <c r="AT62" s="133"/>
      <c r="AU62" s="133"/>
      <c r="AV62" s="133"/>
      <c r="AW62" s="133">
        <v>0.0</v>
      </c>
      <c r="AX62" s="133"/>
      <c r="AY62" s="133"/>
      <c r="AZ62" s="135"/>
      <c r="BA62" s="135"/>
      <c r="BB62" s="135">
        <v>0.0</v>
      </c>
      <c r="BC62" s="135"/>
      <c r="BD62" s="135"/>
      <c r="BE62" s="123"/>
      <c r="BF62" s="123">
        <v>0.0</v>
      </c>
      <c r="BG62" s="123"/>
      <c r="BH62" s="123">
        <v>0.0</v>
      </c>
      <c r="BI62" s="123">
        <v>0.0</v>
      </c>
      <c r="BJ62" s="123"/>
      <c r="BK62" s="123"/>
      <c r="BL62" s="123">
        <v>0.0</v>
      </c>
      <c r="BM62" s="123"/>
      <c r="BN62" s="123"/>
      <c r="BO62" s="123"/>
      <c r="BP62" s="189"/>
      <c r="BQ62" s="116">
        <v>0.0</v>
      </c>
      <c r="BR62" s="116"/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121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92"/>
      <c r="U63" s="193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/>
      <c r="AO63" s="151"/>
      <c r="AP63" s="151">
        <v>0.0</v>
      </c>
      <c r="AQ63" s="151">
        <v>0.0</v>
      </c>
      <c r="AR63" s="151">
        <v>0.0</v>
      </c>
      <c r="AS63" s="151">
        <v>0.0</v>
      </c>
      <c r="AT63" s="151">
        <v>0.0</v>
      </c>
      <c r="AU63" s="152"/>
      <c r="AV63" s="152"/>
      <c r="AW63" s="151"/>
      <c r="AX63" s="151"/>
      <c r="AY63" s="151"/>
      <c r="AZ63" s="153"/>
      <c r="BA63" s="153"/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89"/>
      <c r="BQ63" s="116"/>
      <c r="BR63" s="116"/>
      <c r="BS63" s="116"/>
      <c r="BT63" s="116">
        <v>0.0</v>
      </c>
      <c r="BU63" s="116">
        <v>0.0</v>
      </c>
      <c r="BV63" s="116">
        <v>0.0</v>
      </c>
      <c r="BW63" s="116">
        <v>0.0</v>
      </c>
      <c r="BX63" s="116">
        <v>0.0</v>
      </c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125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90"/>
      <c r="U64" s="191"/>
      <c r="V64" s="133"/>
      <c r="W64" s="133"/>
      <c r="X64" s="134"/>
      <c r="Y64" s="133"/>
      <c r="Z64" s="133"/>
      <c r="AA64" s="133"/>
      <c r="AB64" s="133"/>
      <c r="AC64" s="134"/>
      <c r="AD64" s="133"/>
      <c r="AE64" s="133">
        <v>0.0</v>
      </c>
      <c r="AF64" s="133">
        <v>0.0</v>
      </c>
      <c r="AG64" s="133">
        <v>0.0</v>
      </c>
      <c r="AH64" s="134"/>
      <c r="AI64" s="133">
        <v>0.0</v>
      </c>
      <c r="AJ64" s="133"/>
      <c r="AK64" s="133"/>
      <c r="AL64" s="133"/>
      <c r="AM64" s="133">
        <v>0.0</v>
      </c>
      <c r="AN64" s="134"/>
      <c r="AO64" s="133"/>
      <c r="AP64" s="133"/>
      <c r="AQ64" s="133"/>
      <c r="AR64" s="134"/>
      <c r="AS64" s="133"/>
      <c r="AT64" s="133"/>
      <c r="AU64" s="133"/>
      <c r="AV64" s="133"/>
      <c r="AW64" s="133">
        <v>0.0</v>
      </c>
      <c r="AX64" s="133"/>
      <c r="AY64" s="133">
        <v>0.0</v>
      </c>
      <c r="AZ64" s="135"/>
      <c r="BA64" s="135"/>
      <c r="BB64" s="135"/>
      <c r="BC64" s="135"/>
      <c r="BD64" s="135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89"/>
      <c r="BQ64" s="116"/>
      <c r="BR64" s="116"/>
      <c r="BS64" s="116"/>
      <c r="BT64" s="116">
        <v>0.0</v>
      </c>
      <c r="BU64" s="116">
        <v>0.0</v>
      </c>
      <c r="BV64" s="116"/>
      <c r="BW64" s="116"/>
      <c r="BX64" s="116">
        <v>0.0</v>
      </c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128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/>
      <c r="W65" s="151"/>
      <c r="X65" s="151"/>
      <c r="Y65" s="151"/>
      <c r="Z65" s="152">
        <v>0.0</v>
      </c>
      <c r="AA65" s="152"/>
      <c r="AB65" s="151"/>
      <c r="AC65" s="151"/>
      <c r="AD65" s="151">
        <v>0.0</v>
      </c>
      <c r="AE65" s="151"/>
      <c r="AF65" s="151"/>
      <c r="AG65" s="151">
        <v>0.0</v>
      </c>
      <c r="AH65" s="151"/>
      <c r="AI65" s="151"/>
      <c r="AJ65" s="151"/>
      <c r="AK65" s="152"/>
      <c r="AL65" s="152">
        <v>0.0</v>
      </c>
      <c r="AM65" s="151"/>
      <c r="AN65" s="151"/>
      <c r="AO65" s="151"/>
      <c r="AP65" s="151"/>
      <c r="AQ65" s="151">
        <v>0.0</v>
      </c>
      <c r="AR65" s="151"/>
      <c r="AS65" s="151"/>
      <c r="AT65" s="151"/>
      <c r="AU65" s="152"/>
      <c r="AV65" s="152"/>
      <c r="AW65" s="151"/>
      <c r="AX65" s="151">
        <v>0.0</v>
      </c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>
        <v>0.0</v>
      </c>
      <c r="BJ65" s="141"/>
      <c r="BK65" s="141"/>
      <c r="BL65" s="141"/>
      <c r="BM65" s="141"/>
      <c r="BN65" s="141"/>
      <c r="BO65" s="141"/>
      <c r="BP65" s="189">
        <v>0.0</v>
      </c>
      <c r="BQ65" s="116"/>
      <c r="BR65" s="116"/>
      <c r="BS65" s="116">
        <v>0.0</v>
      </c>
      <c r="BT65" s="116"/>
      <c r="BU65" s="116">
        <v>0.0</v>
      </c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129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/>
      <c r="X66" s="134"/>
      <c r="Y66" s="133"/>
      <c r="Z66" s="133"/>
      <c r="AA66" s="133"/>
      <c r="AB66" s="133">
        <v>0.0</v>
      </c>
      <c r="AC66" s="134"/>
      <c r="AD66" s="133"/>
      <c r="AE66" s="133"/>
      <c r="AF66" s="133">
        <v>0.0</v>
      </c>
      <c r="AG66" s="133"/>
      <c r="AH66" s="134"/>
      <c r="AI66" s="133"/>
      <c r="AJ66" s="133"/>
      <c r="AK66" s="133"/>
      <c r="AL66" s="133"/>
      <c r="AM66" s="133"/>
      <c r="AN66" s="134"/>
      <c r="AO66" s="133">
        <v>0.0</v>
      </c>
      <c r="AP66" s="133"/>
      <c r="AQ66" s="133"/>
      <c r="AR66" s="134"/>
      <c r="AS66" s="133"/>
      <c r="AT66" s="133">
        <v>0.0</v>
      </c>
      <c r="AU66" s="133"/>
      <c r="AV66" s="133">
        <v>0.0</v>
      </c>
      <c r="AW66" s="133"/>
      <c r="AX66" s="133"/>
      <c r="AY66" s="133"/>
      <c r="AZ66" s="135"/>
      <c r="BA66" s="135"/>
      <c r="BB66" s="135">
        <v>0.0</v>
      </c>
      <c r="BC66" s="135"/>
      <c r="BD66" s="135"/>
      <c r="BE66" s="123"/>
      <c r="BF66" s="123"/>
      <c r="BG66" s="123"/>
      <c r="BH66" s="123"/>
      <c r="BI66" s="123"/>
      <c r="BJ66" s="123"/>
      <c r="BK66" s="123">
        <v>0.0</v>
      </c>
      <c r="BL66" s="123"/>
      <c r="BM66" s="123"/>
      <c r="BN66" s="123"/>
      <c r="BO66" s="123"/>
      <c r="BP66" s="189"/>
      <c r="BQ66" s="116"/>
      <c r="BR66" s="116"/>
      <c r="BS66" s="116">
        <v>0.0</v>
      </c>
      <c r="BT66" s="116"/>
      <c r="BU66" s="116"/>
      <c r="BV66" s="116"/>
      <c r="BW66" s="116"/>
      <c r="BX66" s="116"/>
      <c r="BY66" s="116">
        <v>0.0</v>
      </c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130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>
        <v>0.0</v>
      </c>
      <c r="AN67" s="151">
        <v>0.0</v>
      </c>
      <c r="AO67" s="151">
        <v>0.0</v>
      </c>
      <c r="AP67" s="151"/>
      <c r="AQ67" s="151">
        <v>0.0</v>
      </c>
      <c r="AR67" s="151">
        <v>0.0</v>
      </c>
      <c r="AS67" s="151"/>
      <c r="AT67" s="151"/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>
        <v>0.0</v>
      </c>
      <c r="BM67" s="141">
        <v>0.0</v>
      </c>
      <c r="BN67" s="141">
        <v>0.0</v>
      </c>
      <c r="BO67" s="141"/>
      <c r="BP67" s="189"/>
      <c r="BQ67" s="116"/>
      <c r="BR67" s="116"/>
      <c r="BS67" s="116"/>
      <c r="BT67" s="116"/>
      <c r="BU67" s="116"/>
      <c r="BV67" s="116"/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134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/>
      <c r="W68" s="173"/>
      <c r="X68" s="172"/>
      <c r="Y68" s="173"/>
      <c r="Z68" s="173"/>
      <c r="AA68" s="173"/>
      <c r="AB68" s="173"/>
      <c r="AC68" s="173"/>
      <c r="AD68" s="173"/>
      <c r="AE68" s="173">
        <v>0.0</v>
      </c>
      <c r="AF68" s="173"/>
      <c r="AG68" s="172"/>
      <c r="AH68" s="173"/>
      <c r="AI68" s="173"/>
      <c r="AJ68" s="173"/>
      <c r="AK68" s="173"/>
      <c r="AL68" s="173">
        <v>0.0</v>
      </c>
      <c r="AM68" s="173"/>
      <c r="AN68" s="172"/>
      <c r="AO68" s="173"/>
      <c r="AP68" s="173"/>
      <c r="AQ68" s="173"/>
      <c r="AR68" s="173"/>
      <c r="AS68" s="173"/>
      <c r="AT68" s="173">
        <v>0.0</v>
      </c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>
        <v>0.0</v>
      </c>
      <c r="BI68" s="175"/>
      <c r="BJ68" s="175"/>
      <c r="BK68" s="175"/>
      <c r="BL68" s="175"/>
      <c r="BM68" s="175"/>
      <c r="BN68" s="175">
        <v>0.0</v>
      </c>
      <c r="BO68" s="175"/>
      <c r="BP68" s="189"/>
      <c r="BQ68" s="116">
        <v>0.0</v>
      </c>
      <c r="BR68" s="116"/>
      <c r="BS68" s="116"/>
      <c r="BT68" s="116"/>
      <c r="BU68" s="116"/>
      <c r="BV68" s="116"/>
      <c r="BW68" s="116">
        <v>0.0</v>
      </c>
      <c r="BX68" s="116"/>
      <c r="BY68" s="116">
        <v>0.0</v>
      </c>
      <c r="BZ68" s="116">
        <v>0.0</v>
      </c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Шпиц</v>
      </c>
      <c r="C9" s="243">
        <v>10.0</v>
      </c>
      <c r="D9" s="101">
        <v>52.75</v>
      </c>
      <c r="E9" s="101">
        <v>26.375</v>
      </c>
      <c r="F9" s="244">
        <f t="shared" ref="F9:F14" si="1">(40-C9)/5</f>
        <v>6</v>
      </c>
      <c r="G9" s="245">
        <f t="shared" ref="G9:G14" si="2">$D$80-D9</f>
        <v>129.25</v>
      </c>
      <c r="H9" s="246">
        <f t="shared" ref="H9:H68" si="3">IFERROR(G9/F9,"-")</f>
        <v>21.54166667</v>
      </c>
      <c r="I9" s="99">
        <f t="shared" ref="I9:I25" si="4">$I$80-D9</f>
        <v>112.25</v>
      </c>
      <c r="J9" s="247">
        <f t="shared" ref="J9:J68" si="5">IFERROR(I9/F9,"-")</f>
        <v>18.70833333</v>
      </c>
      <c r="K9" s="246">
        <f>MAX('Турнирная таблица по среднему б'!T9:BO9)</f>
        <v>29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""))"),"Мишель ")</f>
        <v>Мишель </v>
      </c>
      <c r="N9" s="249">
        <f>IFERROR(__xludf.DUMMYFUNCTION("""COMPUTED_VALUE"""),10.0)</f>
        <v>10</v>
      </c>
      <c r="O9" s="250">
        <f>IFERROR(__xludf.DUMMYFUNCTION("""COMPUTED_VALUE"""),38.0)</f>
        <v>38</v>
      </c>
      <c r="P9" s="251">
        <f t="shared" ref="P9:P12" si="6">$D$80-O9</f>
        <v>144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IFERROR(__xludf.DUMMYFUNCTION("""COMPUTED_VALUE"""),5.0)</f>
        <v>5</v>
      </c>
      <c r="T9" s="254">
        <f>IFERROR(__xludf.DUMMYFUNCTION("""COMPUTED_VALUE"""),25.25)</f>
        <v>25.25</v>
      </c>
      <c r="U9" s="255">
        <f t="shared" ref="U9:U18" si="7">$I$80-T9</f>
        <v>139.75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138</v>
      </c>
      <c r="C10" s="257">
        <v>5.0</v>
      </c>
      <c r="D10" s="123">
        <v>26.0</v>
      </c>
      <c r="E10" s="123">
        <v>26.0</v>
      </c>
      <c r="F10" s="258">
        <f t="shared" si="1"/>
        <v>7</v>
      </c>
      <c r="G10" s="259">
        <f t="shared" si="2"/>
        <v>156</v>
      </c>
      <c r="H10" s="260">
        <f t="shared" si="3"/>
        <v>22.28571429</v>
      </c>
      <c r="I10" s="261">
        <f t="shared" si="4"/>
        <v>139</v>
      </c>
      <c r="J10" s="260">
        <f t="shared" si="5"/>
        <v>19.85714286</v>
      </c>
      <c r="K10" s="262">
        <f>MAX('Турнирная таблица по среднему б'!T10:BO10)</f>
        <v>26</v>
      </c>
      <c r="L10" s="226"/>
      <c r="M10" s="263" t="str">
        <f>IFERROR(__xludf.DUMMYFUNCTION("""COMPUTED_VALUE"""),"SOVEST")</f>
        <v>SOVEST</v>
      </c>
      <c r="N10" s="264">
        <f>IFERROR(__xludf.DUMMYFUNCTION("""COMPUTED_VALUE"""),10.0)</f>
        <v>10</v>
      </c>
      <c r="O10" s="265">
        <f>IFERROR(__xludf.DUMMYFUNCTION("""COMPUTED_VALUE"""),37.0)</f>
        <v>37</v>
      </c>
      <c r="P10" s="251">
        <f t="shared" si="6"/>
        <v>145</v>
      </c>
      <c r="Q10" s="226"/>
      <c r="R10" s="266" t="str">
        <f>IFERROR(__xludf.DUMMYFUNCTION("""COMPUTED_VALUE"""),"Castor Troy ")</f>
        <v>Castor Troy </v>
      </c>
      <c r="S10" s="267">
        <f>IFERROR(__xludf.DUMMYFUNCTION("""COMPUTED_VALUE"""),5.0)</f>
        <v>5</v>
      </c>
      <c r="T10" s="268">
        <f>IFERROR(__xludf.DUMMYFUNCTION("""COMPUTED_VALUE"""),20.75)</f>
        <v>20.75</v>
      </c>
      <c r="U10" s="269">
        <f t="shared" si="7"/>
        <v>144.25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110</v>
      </c>
      <c r="C11" s="270">
        <v>5.0</v>
      </c>
      <c r="D11" s="141">
        <v>25.25</v>
      </c>
      <c r="E11" s="141">
        <v>25.25</v>
      </c>
      <c r="F11" s="244">
        <f t="shared" si="1"/>
        <v>7</v>
      </c>
      <c r="G11" s="245">
        <f t="shared" si="2"/>
        <v>156.75</v>
      </c>
      <c r="H11" s="100">
        <f t="shared" si="3"/>
        <v>22.39285714</v>
      </c>
      <c r="I11" s="99">
        <f t="shared" si="4"/>
        <v>139.75</v>
      </c>
      <c r="J11" s="100">
        <f t="shared" si="5"/>
        <v>19.96428571</v>
      </c>
      <c r="K11" s="246">
        <f>MAX('Турнирная таблица по среднему б'!T11:BO11)</f>
        <v>25.25</v>
      </c>
      <c r="L11" s="226"/>
      <c r="M11" s="271" t="str">
        <f>IFERROR(__xludf.DUMMYFUNCTION("""COMPUTED_VALUE"""),"Тихий закат")</f>
        <v>Тихий закат</v>
      </c>
      <c r="N11" s="272">
        <f>IFERROR(__xludf.DUMMYFUNCTION("""COMPUTED_VALUE"""),0.0)</f>
        <v>0</v>
      </c>
      <c r="O11" s="273">
        <f>IFERROR(__xludf.DUMMYFUNCTION("""COMPUTED_VALUE"""),0.0)</f>
        <v>0</v>
      </c>
      <c r="P11" s="274">
        <f t="shared" si="6"/>
        <v>182</v>
      </c>
      <c r="Q11" s="226"/>
      <c r="R11" s="266" t="str">
        <f>IFERROR(__xludf.DUMMYFUNCTION("""COMPUTED_VALUE"""),"Morti")</f>
        <v>Morti</v>
      </c>
      <c r="S11" s="267">
        <f>IFERROR(__xludf.DUMMYFUNCTION("""COMPUTED_VALUE"""),0.0)</f>
        <v>0</v>
      </c>
      <c r="T11" s="268">
        <f>IFERROR(__xludf.DUMMYFUNCTION("""COMPUTED_VALUE"""),0.0)</f>
        <v>0</v>
      </c>
      <c r="U11" s="269">
        <f t="shared" si="7"/>
        <v>165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123</v>
      </c>
      <c r="C12" s="257">
        <v>10.0</v>
      </c>
      <c r="D12" s="123">
        <v>49.25</v>
      </c>
      <c r="E12" s="123">
        <v>24.625</v>
      </c>
      <c r="F12" s="258">
        <f t="shared" si="1"/>
        <v>6</v>
      </c>
      <c r="G12" s="259">
        <f t="shared" si="2"/>
        <v>132.75</v>
      </c>
      <c r="H12" s="260">
        <f t="shared" si="3"/>
        <v>22.125</v>
      </c>
      <c r="I12" s="261">
        <f t="shared" si="4"/>
        <v>115.75</v>
      </c>
      <c r="J12" s="260">
        <f t="shared" si="5"/>
        <v>19.29166667</v>
      </c>
      <c r="K12" s="262">
        <f>MAX('Турнирная таблица по среднему б'!T12:BO12)</f>
        <v>26.5</v>
      </c>
      <c r="L12" s="226"/>
      <c r="M12" s="275"/>
      <c r="N12" s="276"/>
      <c r="O12" s="277"/>
      <c r="P12" s="278">
        <f t="shared" si="6"/>
        <v>182</v>
      </c>
      <c r="Q12" s="226"/>
      <c r="R12" s="266"/>
      <c r="S12" s="267"/>
      <c r="T12" s="268"/>
      <c r="U12" s="269">
        <f t="shared" si="7"/>
        <v>165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124</v>
      </c>
      <c r="C13" s="270">
        <v>10.0</v>
      </c>
      <c r="D13" s="141">
        <v>46.25</v>
      </c>
      <c r="E13" s="141">
        <v>23.125</v>
      </c>
      <c r="F13" s="244">
        <f t="shared" si="1"/>
        <v>6</v>
      </c>
      <c r="G13" s="245">
        <f t="shared" si="2"/>
        <v>135.75</v>
      </c>
      <c r="H13" s="100">
        <f t="shared" si="3"/>
        <v>22.625</v>
      </c>
      <c r="I13" s="99">
        <f t="shared" si="4"/>
        <v>118.75</v>
      </c>
      <c r="J13" s="100">
        <f t="shared" si="5"/>
        <v>19.79166667</v>
      </c>
      <c r="K13" s="246">
        <f>MAX('Турнирная таблица по среднему б'!T13:BO13)</f>
        <v>28.75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165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102</v>
      </c>
      <c r="C14" s="257">
        <v>10.0</v>
      </c>
      <c r="D14" s="123">
        <v>45.5</v>
      </c>
      <c r="E14" s="123">
        <v>22.75</v>
      </c>
      <c r="F14" s="258">
        <f t="shared" si="1"/>
        <v>6</v>
      </c>
      <c r="G14" s="259">
        <f t="shared" si="2"/>
        <v>136.5</v>
      </c>
      <c r="H14" s="260">
        <f t="shared" si="3"/>
        <v>22.75</v>
      </c>
      <c r="I14" s="261">
        <f t="shared" si="4"/>
        <v>119.5</v>
      </c>
      <c r="J14" s="260">
        <f t="shared" si="5"/>
        <v>19.91666667</v>
      </c>
      <c r="K14" s="262">
        <f>MAX('Турнирная таблица по среднему б'!T14:BO14)</f>
        <v>23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165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79</v>
      </c>
      <c r="C15" s="286">
        <v>5.0</v>
      </c>
      <c r="D15" s="175">
        <v>22.75</v>
      </c>
      <c r="E15" s="175">
        <v>22.75</v>
      </c>
      <c r="F15" s="287">
        <f>(40-C15)</f>
        <v>35</v>
      </c>
      <c r="G15" s="288">
        <f>171.25-D15</f>
        <v>148.5</v>
      </c>
      <c r="H15" s="289">
        <f t="shared" si="3"/>
        <v>4.242857143</v>
      </c>
      <c r="I15" s="290">
        <f t="shared" si="4"/>
        <v>142.25</v>
      </c>
      <c r="J15" s="289">
        <f t="shared" si="5"/>
        <v>4.064285714</v>
      </c>
      <c r="K15" s="291">
        <f>MAX('Турнирная таблица по среднему б'!T15:BO15)</f>
        <v>22.75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165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96</v>
      </c>
      <c r="C16" s="297">
        <v>5.0</v>
      </c>
      <c r="D16" s="298">
        <v>22.5</v>
      </c>
      <c r="E16" s="298">
        <v>22.5</v>
      </c>
      <c r="F16" s="258">
        <f t="shared" ref="F16:F19" si="8">(40-C16)/5</f>
        <v>7</v>
      </c>
      <c r="G16" s="259">
        <f t="shared" ref="G16:G19" si="9">$D$80-D16</f>
        <v>159.5</v>
      </c>
      <c r="H16" s="260">
        <f t="shared" si="3"/>
        <v>22.78571429</v>
      </c>
      <c r="I16" s="261">
        <f t="shared" si="4"/>
        <v>142.5</v>
      </c>
      <c r="J16" s="260">
        <f t="shared" si="5"/>
        <v>20.35714286</v>
      </c>
      <c r="K16" s="262">
        <f>MAX('Турнирная таблица по среднему б'!T16:BO16)</f>
        <v>22.5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165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132</v>
      </c>
      <c r="C17" s="270">
        <v>5.0</v>
      </c>
      <c r="D17" s="141">
        <v>22.25</v>
      </c>
      <c r="E17" s="141">
        <v>22.25</v>
      </c>
      <c r="F17" s="244">
        <f t="shared" si="8"/>
        <v>7</v>
      </c>
      <c r="G17" s="245">
        <f t="shared" si="9"/>
        <v>159.75</v>
      </c>
      <c r="H17" s="100">
        <f t="shared" si="3"/>
        <v>22.82142857</v>
      </c>
      <c r="I17" s="99">
        <f t="shared" si="4"/>
        <v>142.75</v>
      </c>
      <c r="J17" s="100">
        <f t="shared" si="5"/>
        <v>20.39285714</v>
      </c>
      <c r="K17" s="246">
        <f>MAX('Турнирная таблица по среднему б'!T17:BO17)</f>
        <v>22.25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165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90</v>
      </c>
      <c r="C18" s="257">
        <v>5.0</v>
      </c>
      <c r="D18" s="123">
        <v>22.0</v>
      </c>
      <c r="E18" s="123">
        <v>22.0</v>
      </c>
      <c r="F18" s="258">
        <f t="shared" si="8"/>
        <v>7</v>
      </c>
      <c r="G18" s="259">
        <f t="shared" si="9"/>
        <v>160</v>
      </c>
      <c r="H18" s="260">
        <f t="shared" si="3"/>
        <v>22.85714286</v>
      </c>
      <c r="I18" s="261">
        <f t="shared" si="4"/>
        <v>143</v>
      </c>
      <c r="J18" s="260">
        <f t="shared" si="5"/>
        <v>20.42857143</v>
      </c>
      <c r="K18" s="262">
        <f>MAX('Турнирная таблица по среднему б'!T18:BO18)</f>
        <v>22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165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91</v>
      </c>
      <c r="C19" s="270">
        <v>10.0</v>
      </c>
      <c r="D19" s="141">
        <v>43.75</v>
      </c>
      <c r="E19" s="141">
        <v>21.875</v>
      </c>
      <c r="F19" s="244">
        <f t="shared" si="8"/>
        <v>6</v>
      </c>
      <c r="G19" s="245">
        <f t="shared" si="9"/>
        <v>138.25</v>
      </c>
      <c r="H19" s="100">
        <f t="shared" si="3"/>
        <v>23.04166667</v>
      </c>
      <c r="I19" s="99">
        <f t="shared" si="4"/>
        <v>121.25</v>
      </c>
      <c r="J19" s="100">
        <f t="shared" si="5"/>
        <v>20.20833333</v>
      </c>
      <c r="K19" s="246">
        <f>MAX('Турнирная таблица по среднему б'!T19:BO19)</f>
        <v>23.25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82</v>
      </c>
      <c r="C20" s="257">
        <v>10.0</v>
      </c>
      <c r="D20" s="123">
        <v>43.0</v>
      </c>
      <c r="E20" s="123">
        <v>21.5</v>
      </c>
      <c r="F20" s="258">
        <f t="shared" ref="F20:F68" si="10">(40-C20)</f>
        <v>30</v>
      </c>
      <c r="G20" s="259">
        <f>171.25-D20</f>
        <v>128.25</v>
      </c>
      <c r="H20" s="260">
        <f t="shared" si="3"/>
        <v>4.275</v>
      </c>
      <c r="I20" s="261">
        <f t="shared" si="4"/>
        <v>122</v>
      </c>
      <c r="J20" s="260">
        <f t="shared" si="5"/>
        <v>4.066666667</v>
      </c>
      <c r="K20" s="262">
        <f>MAX('Турнирная таблица по среднему б'!T20:BO20)</f>
        <v>27.5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98</v>
      </c>
      <c r="C21" s="270">
        <v>5.0</v>
      </c>
      <c r="D21" s="141">
        <v>21.5</v>
      </c>
      <c r="E21" s="141">
        <v>21.5</v>
      </c>
      <c r="F21" s="258">
        <f t="shared" si="10"/>
        <v>35</v>
      </c>
      <c r="G21" s="245">
        <f t="shared" ref="G21:G25" si="11">$D$80-D21</f>
        <v>160.5</v>
      </c>
      <c r="H21" s="100">
        <f t="shared" si="3"/>
        <v>4.585714286</v>
      </c>
      <c r="I21" s="99">
        <f t="shared" si="4"/>
        <v>143.5</v>
      </c>
      <c r="J21" s="100">
        <f t="shared" si="5"/>
        <v>4.1</v>
      </c>
      <c r="K21" s="246">
        <f>MAX('Турнирная таблица по среднему б'!T21:BO21)</f>
        <v>21.5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104</v>
      </c>
      <c r="C22" s="257">
        <v>5.0</v>
      </c>
      <c r="D22" s="123">
        <v>21.0</v>
      </c>
      <c r="E22" s="123">
        <v>21.0</v>
      </c>
      <c r="F22" s="258">
        <f t="shared" si="10"/>
        <v>35</v>
      </c>
      <c r="G22" s="259">
        <f t="shared" si="11"/>
        <v>161</v>
      </c>
      <c r="H22" s="260">
        <f t="shared" si="3"/>
        <v>4.6</v>
      </c>
      <c r="I22" s="261">
        <f t="shared" si="4"/>
        <v>144</v>
      </c>
      <c r="J22" s="260">
        <f t="shared" si="5"/>
        <v>4.114285714</v>
      </c>
      <c r="K22" s="262">
        <f>MAX('Турнирная таблица по среднему б'!T22:BO22)</f>
        <v>21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127</v>
      </c>
      <c r="C23" s="270">
        <v>5.0</v>
      </c>
      <c r="D23" s="141">
        <v>21.0</v>
      </c>
      <c r="E23" s="141">
        <v>21.0</v>
      </c>
      <c r="F23" s="258">
        <f t="shared" si="10"/>
        <v>35</v>
      </c>
      <c r="G23" s="245">
        <f t="shared" si="11"/>
        <v>161</v>
      </c>
      <c r="H23" s="100">
        <f t="shared" si="3"/>
        <v>4.6</v>
      </c>
      <c r="I23" s="99">
        <f t="shared" si="4"/>
        <v>144</v>
      </c>
      <c r="J23" s="100">
        <f t="shared" si="5"/>
        <v>4.114285714</v>
      </c>
      <c r="K23" s="246">
        <f>MAX('Турнирная таблица по среднему б'!T23:BO23)</f>
        <v>21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122</v>
      </c>
      <c r="C24" s="257">
        <v>5.0</v>
      </c>
      <c r="D24" s="123">
        <v>20.75</v>
      </c>
      <c r="E24" s="123">
        <v>20.75</v>
      </c>
      <c r="F24" s="258">
        <f t="shared" si="10"/>
        <v>35</v>
      </c>
      <c r="G24" s="259">
        <f t="shared" si="11"/>
        <v>161.25</v>
      </c>
      <c r="H24" s="260">
        <f t="shared" si="3"/>
        <v>4.607142857</v>
      </c>
      <c r="I24" s="261">
        <f t="shared" si="4"/>
        <v>144.25</v>
      </c>
      <c r="J24" s="260">
        <f t="shared" si="5"/>
        <v>4.121428571</v>
      </c>
      <c r="K24" s="262">
        <f>MAX('Турнирная таблица по среднему б'!T24:BO24)</f>
        <v>20.75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86</v>
      </c>
      <c r="C25" s="286">
        <v>10.0</v>
      </c>
      <c r="D25" s="175">
        <v>41.25</v>
      </c>
      <c r="E25" s="175">
        <v>20.625</v>
      </c>
      <c r="F25" s="258">
        <f t="shared" si="10"/>
        <v>30</v>
      </c>
      <c r="G25" s="288">
        <f t="shared" si="11"/>
        <v>140.75</v>
      </c>
      <c r="H25" s="289">
        <f t="shared" si="3"/>
        <v>4.691666667</v>
      </c>
      <c r="I25" s="290">
        <f t="shared" si="4"/>
        <v>123.75</v>
      </c>
      <c r="J25" s="289">
        <f t="shared" si="5"/>
        <v>4.125</v>
      </c>
      <c r="K25" s="291">
        <f>MAX('Турнирная таблица по среднему б'!T25:BO25)</f>
        <v>21.75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81</v>
      </c>
      <c r="C26" s="297">
        <v>5.0</v>
      </c>
      <c r="D26" s="298">
        <v>20.0</v>
      </c>
      <c r="E26" s="298">
        <v>20.0</v>
      </c>
      <c r="F26" s="258">
        <f t="shared" si="10"/>
        <v>35</v>
      </c>
      <c r="G26" s="259">
        <f>171.25-D26</f>
        <v>151.25</v>
      </c>
      <c r="H26" s="260">
        <f t="shared" si="3"/>
        <v>4.321428571</v>
      </c>
      <c r="I26" s="261">
        <f>D25-D26</f>
        <v>21.25</v>
      </c>
      <c r="J26" s="260">
        <f t="shared" si="5"/>
        <v>0.6071428571</v>
      </c>
      <c r="K26" s="262">
        <f>MAX('Турнирная таблица по среднему б'!T26:BO26)</f>
        <v>20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106</v>
      </c>
      <c r="C27" s="270">
        <v>10.0</v>
      </c>
      <c r="D27" s="141">
        <v>39.25</v>
      </c>
      <c r="E27" s="141">
        <v>19.625</v>
      </c>
      <c r="F27" s="258">
        <f t="shared" si="10"/>
        <v>30</v>
      </c>
      <c r="G27" s="245">
        <f t="shared" ref="G27:G68" si="12">$D$80-D27</f>
        <v>142.75</v>
      </c>
      <c r="H27" s="100">
        <f t="shared" si="3"/>
        <v>4.758333333</v>
      </c>
      <c r="I27" s="99">
        <f t="shared" ref="I27:I68" si="13">$I$80-D27</f>
        <v>125.75</v>
      </c>
      <c r="J27" s="100">
        <f t="shared" si="5"/>
        <v>4.191666667</v>
      </c>
      <c r="K27" s="246">
        <f>MAX('Турнирная таблица по среднему б'!T27:BO27)</f>
        <v>20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101</v>
      </c>
      <c r="C28" s="257">
        <v>10.0</v>
      </c>
      <c r="D28" s="123">
        <v>38.0</v>
      </c>
      <c r="E28" s="123">
        <v>19.0</v>
      </c>
      <c r="F28" s="258">
        <f t="shared" si="10"/>
        <v>30</v>
      </c>
      <c r="G28" s="259">
        <f t="shared" si="12"/>
        <v>144</v>
      </c>
      <c r="H28" s="260">
        <f t="shared" si="3"/>
        <v>4.8</v>
      </c>
      <c r="I28" s="261">
        <f t="shared" si="13"/>
        <v>127</v>
      </c>
      <c r="J28" s="260">
        <f t="shared" si="5"/>
        <v>4.233333333</v>
      </c>
      <c r="K28" s="262">
        <f>MAX('Турнирная таблица по среднему б'!T28:BO28)</f>
        <v>21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105</v>
      </c>
      <c r="C29" s="270">
        <v>10.0</v>
      </c>
      <c r="D29" s="141">
        <v>37.25</v>
      </c>
      <c r="E29" s="141">
        <v>18.625</v>
      </c>
      <c r="F29" s="258">
        <f t="shared" si="10"/>
        <v>30</v>
      </c>
      <c r="G29" s="245">
        <f t="shared" si="12"/>
        <v>144.75</v>
      </c>
      <c r="H29" s="100">
        <f t="shared" si="3"/>
        <v>4.825</v>
      </c>
      <c r="I29" s="99">
        <f t="shared" si="13"/>
        <v>127.75</v>
      </c>
      <c r="J29" s="100">
        <f t="shared" si="5"/>
        <v>4.258333333</v>
      </c>
      <c r="K29" s="246">
        <f>MAX('Турнирная таблица по среднему б'!T29:BO29)</f>
        <v>22.5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126</v>
      </c>
      <c r="C30" s="257">
        <v>5.0</v>
      </c>
      <c r="D30" s="123">
        <v>18.5</v>
      </c>
      <c r="E30" s="123">
        <v>18.5</v>
      </c>
      <c r="F30" s="258">
        <f t="shared" si="10"/>
        <v>35</v>
      </c>
      <c r="G30" s="259">
        <f t="shared" si="12"/>
        <v>163.5</v>
      </c>
      <c r="H30" s="260">
        <f t="shared" si="3"/>
        <v>4.671428571</v>
      </c>
      <c r="I30" s="261">
        <f t="shared" si="13"/>
        <v>146.5</v>
      </c>
      <c r="J30" s="260">
        <f t="shared" si="5"/>
        <v>4.185714286</v>
      </c>
      <c r="K30" s="262">
        <f>MAX('Турнирная таблица по среднему б'!T30:BO30)</f>
        <v>18.5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135</v>
      </c>
      <c r="C31" s="270">
        <v>10.0</v>
      </c>
      <c r="D31" s="141">
        <v>37.0</v>
      </c>
      <c r="E31" s="141">
        <v>18.5</v>
      </c>
      <c r="F31" s="258">
        <f t="shared" si="10"/>
        <v>30</v>
      </c>
      <c r="G31" s="245">
        <f t="shared" si="12"/>
        <v>145</v>
      </c>
      <c r="H31" s="100">
        <f t="shared" si="3"/>
        <v>4.833333333</v>
      </c>
      <c r="I31" s="99">
        <f t="shared" si="13"/>
        <v>128</v>
      </c>
      <c r="J31" s="100">
        <f t="shared" si="5"/>
        <v>4.266666667</v>
      </c>
      <c r="K31" s="246">
        <f>MAX('Турнирная таблица по среднему б'!T31:BO31)</f>
        <v>19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131</v>
      </c>
      <c r="C32" s="257">
        <v>20.0</v>
      </c>
      <c r="D32" s="123">
        <v>72.25</v>
      </c>
      <c r="E32" s="123">
        <v>18.0625</v>
      </c>
      <c r="F32" s="258">
        <f t="shared" si="10"/>
        <v>20</v>
      </c>
      <c r="G32" s="259">
        <f t="shared" si="12"/>
        <v>109.75</v>
      </c>
      <c r="H32" s="260">
        <f t="shared" si="3"/>
        <v>5.4875</v>
      </c>
      <c r="I32" s="261">
        <f t="shared" si="13"/>
        <v>92.75</v>
      </c>
      <c r="J32" s="260">
        <f t="shared" si="5"/>
        <v>4.6375</v>
      </c>
      <c r="K32" s="262">
        <f>MAX('Турнирная таблица по среднему б'!T32:BO32)</f>
        <v>23.25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119</v>
      </c>
      <c r="C33" s="270">
        <v>10.0</v>
      </c>
      <c r="D33" s="141">
        <v>36.0</v>
      </c>
      <c r="E33" s="141">
        <v>18.0</v>
      </c>
      <c r="F33" s="258">
        <f t="shared" si="10"/>
        <v>30</v>
      </c>
      <c r="G33" s="245">
        <f t="shared" si="12"/>
        <v>146</v>
      </c>
      <c r="H33" s="100">
        <f t="shared" si="3"/>
        <v>4.866666667</v>
      </c>
      <c r="I33" s="99">
        <f t="shared" si="13"/>
        <v>129</v>
      </c>
      <c r="J33" s="100">
        <f t="shared" si="5"/>
        <v>4.3</v>
      </c>
      <c r="K33" s="246">
        <f>MAX('Турнирная таблица по среднему б'!T33:BO33)</f>
        <v>21.25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112</v>
      </c>
      <c r="C34" s="257">
        <v>10.0</v>
      </c>
      <c r="D34" s="123">
        <v>35.25</v>
      </c>
      <c r="E34" s="123">
        <v>17.625</v>
      </c>
      <c r="F34" s="258">
        <f t="shared" si="10"/>
        <v>30</v>
      </c>
      <c r="G34" s="259">
        <f t="shared" si="12"/>
        <v>146.75</v>
      </c>
      <c r="H34" s="260">
        <f t="shared" si="3"/>
        <v>4.891666667</v>
      </c>
      <c r="I34" s="261">
        <f t="shared" si="13"/>
        <v>129.75</v>
      </c>
      <c r="J34" s="260">
        <f t="shared" si="5"/>
        <v>4.325</v>
      </c>
      <c r="K34" s="262">
        <f>MAX('Турнирная таблица по среднему б'!T34:BO34)</f>
        <v>17.75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108</v>
      </c>
      <c r="C35" s="270">
        <v>10.0</v>
      </c>
      <c r="D35" s="141">
        <v>34.25</v>
      </c>
      <c r="E35" s="141">
        <v>17.125</v>
      </c>
      <c r="F35" s="258">
        <f t="shared" si="10"/>
        <v>30</v>
      </c>
      <c r="G35" s="245">
        <f t="shared" si="12"/>
        <v>147.75</v>
      </c>
      <c r="H35" s="100">
        <f t="shared" si="3"/>
        <v>4.925</v>
      </c>
      <c r="I35" s="99">
        <f t="shared" si="13"/>
        <v>130.75</v>
      </c>
      <c r="J35" s="100">
        <f t="shared" si="5"/>
        <v>4.358333333</v>
      </c>
      <c r="K35" s="246">
        <f>MAX('Турнирная таблица по среднему б'!T35:BO35)</f>
        <v>19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137</v>
      </c>
      <c r="C36" s="257">
        <v>10.0</v>
      </c>
      <c r="D36" s="123">
        <v>33.5</v>
      </c>
      <c r="E36" s="123">
        <v>16.75</v>
      </c>
      <c r="F36" s="258">
        <f t="shared" si="10"/>
        <v>30</v>
      </c>
      <c r="G36" s="259">
        <f t="shared" si="12"/>
        <v>148.5</v>
      </c>
      <c r="H36" s="260">
        <f t="shared" si="3"/>
        <v>4.95</v>
      </c>
      <c r="I36" s="261">
        <f t="shared" si="13"/>
        <v>131.5</v>
      </c>
      <c r="J36" s="260">
        <f t="shared" si="5"/>
        <v>4.383333333</v>
      </c>
      <c r="K36" s="262">
        <f>MAX('Турнирная таблица по среднему б'!T36:BO36)</f>
        <v>17.5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118</v>
      </c>
      <c r="C37" s="270">
        <v>10.0</v>
      </c>
      <c r="D37" s="141">
        <v>33.25</v>
      </c>
      <c r="E37" s="141">
        <v>16.625</v>
      </c>
      <c r="F37" s="258">
        <f t="shared" si="10"/>
        <v>30</v>
      </c>
      <c r="G37" s="245">
        <f t="shared" si="12"/>
        <v>148.75</v>
      </c>
      <c r="H37" s="100">
        <f t="shared" si="3"/>
        <v>4.958333333</v>
      </c>
      <c r="I37" s="99">
        <f t="shared" si="13"/>
        <v>131.75</v>
      </c>
      <c r="J37" s="100">
        <f t="shared" si="5"/>
        <v>4.391666667</v>
      </c>
      <c r="K37" s="246">
        <f>MAX('Турнирная таблица по среднему б'!T37:BO37)</f>
        <v>17.5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133</v>
      </c>
      <c r="C38" s="257">
        <v>10.0</v>
      </c>
      <c r="D38" s="123">
        <v>32.5</v>
      </c>
      <c r="E38" s="123">
        <v>16.25</v>
      </c>
      <c r="F38" s="258">
        <f t="shared" si="10"/>
        <v>30</v>
      </c>
      <c r="G38" s="259">
        <f t="shared" si="12"/>
        <v>149.5</v>
      </c>
      <c r="H38" s="260">
        <f t="shared" si="3"/>
        <v>4.983333333</v>
      </c>
      <c r="I38" s="261">
        <f t="shared" si="13"/>
        <v>132.5</v>
      </c>
      <c r="J38" s="260">
        <f t="shared" si="5"/>
        <v>4.416666667</v>
      </c>
      <c r="K38" s="262">
        <f>MAX('Турнирная таблица по среднему б'!T38:BO38)</f>
        <v>16.5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94</v>
      </c>
      <c r="C39" s="270">
        <v>10.0</v>
      </c>
      <c r="D39" s="141">
        <v>32.5</v>
      </c>
      <c r="E39" s="141">
        <v>16.25</v>
      </c>
      <c r="F39" s="258">
        <f t="shared" si="10"/>
        <v>30</v>
      </c>
      <c r="G39" s="245">
        <f t="shared" si="12"/>
        <v>149.5</v>
      </c>
      <c r="H39" s="100">
        <f t="shared" si="3"/>
        <v>4.983333333</v>
      </c>
      <c r="I39" s="99">
        <f t="shared" si="13"/>
        <v>132.5</v>
      </c>
      <c r="J39" s="100">
        <f t="shared" si="5"/>
        <v>4.416666667</v>
      </c>
      <c r="K39" s="246">
        <f>MAX('Турнирная таблица по среднему б'!T39:BO39)</f>
        <v>18.25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95</v>
      </c>
      <c r="C40" s="257">
        <v>10.0</v>
      </c>
      <c r="D40" s="123">
        <v>32.25</v>
      </c>
      <c r="E40" s="123">
        <v>16.125</v>
      </c>
      <c r="F40" s="258">
        <f t="shared" si="10"/>
        <v>30</v>
      </c>
      <c r="G40" s="259">
        <f t="shared" si="12"/>
        <v>149.75</v>
      </c>
      <c r="H40" s="260">
        <f t="shared" si="3"/>
        <v>4.991666667</v>
      </c>
      <c r="I40" s="261">
        <f t="shared" si="13"/>
        <v>132.75</v>
      </c>
      <c r="J40" s="260">
        <f t="shared" si="5"/>
        <v>4.425</v>
      </c>
      <c r="K40" s="262">
        <f>MAX('Турнирная таблица по среднему б'!T40:BO40)</f>
        <v>16.75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85</v>
      </c>
      <c r="C41" s="270">
        <v>15.0</v>
      </c>
      <c r="D41" s="141">
        <v>46.5</v>
      </c>
      <c r="E41" s="141">
        <v>15.5</v>
      </c>
      <c r="F41" s="258">
        <f t="shared" si="10"/>
        <v>25</v>
      </c>
      <c r="G41" s="245">
        <f t="shared" si="12"/>
        <v>135.5</v>
      </c>
      <c r="H41" s="100">
        <f t="shared" si="3"/>
        <v>5.42</v>
      </c>
      <c r="I41" s="99">
        <f t="shared" si="13"/>
        <v>118.5</v>
      </c>
      <c r="J41" s="100">
        <f t="shared" si="5"/>
        <v>4.74</v>
      </c>
      <c r="K41" s="246">
        <f>MAX('Турнирная таблица по среднему б'!T41:BO41)</f>
        <v>16.5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136</v>
      </c>
      <c r="C42" s="257">
        <v>5.0</v>
      </c>
      <c r="D42" s="123">
        <v>14.5</v>
      </c>
      <c r="E42" s="123">
        <v>14.5</v>
      </c>
      <c r="F42" s="258">
        <f t="shared" si="10"/>
        <v>35</v>
      </c>
      <c r="G42" s="259">
        <f t="shared" si="12"/>
        <v>167.5</v>
      </c>
      <c r="H42" s="260">
        <f t="shared" si="3"/>
        <v>4.785714286</v>
      </c>
      <c r="I42" s="261">
        <f t="shared" si="13"/>
        <v>150.5</v>
      </c>
      <c r="J42" s="260">
        <f t="shared" si="5"/>
        <v>4.3</v>
      </c>
      <c r="K42" s="262">
        <f>MAX('Турнирная таблица по среднему б'!T42:BO42)</f>
        <v>14.5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117</v>
      </c>
      <c r="C43" s="270">
        <v>5.0</v>
      </c>
      <c r="D43" s="141">
        <v>14.5</v>
      </c>
      <c r="E43" s="141">
        <v>14.5</v>
      </c>
      <c r="F43" s="258">
        <f t="shared" si="10"/>
        <v>35</v>
      </c>
      <c r="G43" s="245">
        <f t="shared" si="12"/>
        <v>167.5</v>
      </c>
      <c r="H43" s="100">
        <f t="shared" si="3"/>
        <v>4.785714286</v>
      </c>
      <c r="I43" s="99">
        <f t="shared" si="13"/>
        <v>150.5</v>
      </c>
      <c r="J43" s="100">
        <f t="shared" si="5"/>
        <v>4.3</v>
      </c>
      <c r="K43" s="246">
        <f>MAX('Турнирная таблица по среднему б'!T43:BO43)</f>
        <v>14.5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103</v>
      </c>
      <c r="C44" s="257">
        <v>5.0</v>
      </c>
      <c r="D44" s="123">
        <v>14.0</v>
      </c>
      <c r="E44" s="123">
        <v>14.0</v>
      </c>
      <c r="F44" s="258">
        <f t="shared" si="10"/>
        <v>35</v>
      </c>
      <c r="G44" s="259">
        <f t="shared" si="12"/>
        <v>168</v>
      </c>
      <c r="H44" s="260">
        <f t="shared" si="3"/>
        <v>4.8</v>
      </c>
      <c r="I44" s="261">
        <f t="shared" si="13"/>
        <v>151</v>
      </c>
      <c r="J44" s="260">
        <f t="shared" si="5"/>
        <v>4.314285714</v>
      </c>
      <c r="K44" s="262">
        <f>MAX('Турнирная таблица по среднему б'!T44:BO44)</f>
        <v>14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80</v>
      </c>
      <c r="C45" s="270">
        <v>0.0</v>
      </c>
      <c r="D45" s="141">
        <v>0.0</v>
      </c>
      <c r="E45" s="141"/>
      <c r="F45" s="258">
        <f t="shared" si="10"/>
        <v>40</v>
      </c>
      <c r="G45" s="245">
        <f t="shared" si="12"/>
        <v>182</v>
      </c>
      <c r="H45" s="100">
        <f t="shared" si="3"/>
        <v>4.55</v>
      </c>
      <c r="I45" s="99">
        <f t="shared" si="13"/>
        <v>165</v>
      </c>
      <c r="J45" s="100">
        <f t="shared" si="5"/>
        <v>4.125</v>
      </c>
      <c r="K45" s="246">
        <f>MAX('Турнирная таблица по среднему б'!T45:BO45)</f>
        <v>0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83</v>
      </c>
      <c r="C46" s="257">
        <v>0.0</v>
      </c>
      <c r="D46" s="123">
        <v>0.0</v>
      </c>
      <c r="E46" s="123"/>
      <c r="F46" s="258">
        <f t="shared" si="10"/>
        <v>40</v>
      </c>
      <c r="G46" s="259">
        <f t="shared" si="12"/>
        <v>182</v>
      </c>
      <c r="H46" s="260">
        <f t="shared" si="3"/>
        <v>4.55</v>
      </c>
      <c r="I46" s="261">
        <f t="shared" si="13"/>
        <v>165</v>
      </c>
      <c r="J46" s="260">
        <f t="shared" si="5"/>
        <v>4.125</v>
      </c>
      <c r="K46" s="262">
        <f>MAX('Турнирная таблица по среднему б'!T46:BO46)</f>
        <v>0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84</v>
      </c>
      <c r="C47" s="270">
        <v>0.0</v>
      </c>
      <c r="D47" s="141">
        <v>0.0</v>
      </c>
      <c r="E47" s="141"/>
      <c r="F47" s="258">
        <f t="shared" si="10"/>
        <v>40</v>
      </c>
      <c r="G47" s="245">
        <f t="shared" si="12"/>
        <v>182</v>
      </c>
      <c r="H47" s="100">
        <f t="shared" si="3"/>
        <v>4.55</v>
      </c>
      <c r="I47" s="99">
        <f t="shared" si="13"/>
        <v>165</v>
      </c>
      <c r="J47" s="100">
        <f t="shared" si="5"/>
        <v>4.125</v>
      </c>
      <c r="K47" s="246">
        <f>MAX('Турнирная таблица по среднему б'!T47:BO47)</f>
        <v>0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87</v>
      </c>
      <c r="C48" s="257">
        <v>0.0</v>
      </c>
      <c r="D48" s="123">
        <v>0.0</v>
      </c>
      <c r="E48" s="123"/>
      <c r="F48" s="258">
        <f t="shared" si="10"/>
        <v>40</v>
      </c>
      <c r="G48" s="259">
        <f t="shared" si="12"/>
        <v>182</v>
      </c>
      <c r="H48" s="260">
        <f t="shared" si="3"/>
        <v>4.55</v>
      </c>
      <c r="I48" s="261">
        <f t="shared" si="13"/>
        <v>165</v>
      </c>
      <c r="J48" s="260">
        <f t="shared" si="5"/>
        <v>4.125</v>
      </c>
      <c r="K48" s="262">
        <f>MAX('Турнирная таблица по среднему б'!T48:BO48)</f>
        <v>0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88</v>
      </c>
      <c r="C49" s="270">
        <v>0.0</v>
      </c>
      <c r="D49" s="141">
        <v>0.0</v>
      </c>
      <c r="E49" s="141"/>
      <c r="F49" s="258">
        <f t="shared" si="10"/>
        <v>40</v>
      </c>
      <c r="G49" s="245">
        <f t="shared" si="12"/>
        <v>182</v>
      </c>
      <c r="H49" s="100">
        <f t="shared" si="3"/>
        <v>4.55</v>
      </c>
      <c r="I49" s="99">
        <f t="shared" si="13"/>
        <v>165</v>
      </c>
      <c r="J49" s="100">
        <f t="shared" si="5"/>
        <v>4.125</v>
      </c>
      <c r="K49" s="246">
        <f>MAX('Турнирная таблица по среднему б'!T49:BO49)</f>
        <v>0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89</v>
      </c>
      <c r="C50" s="257">
        <v>0.0</v>
      </c>
      <c r="D50" s="123">
        <v>0.0</v>
      </c>
      <c r="E50" s="123"/>
      <c r="F50" s="258">
        <f t="shared" si="10"/>
        <v>40</v>
      </c>
      <c r="G50" s="259">
        <f t="shared" si="12"/>
        <v>182</v>
      </c>
      <c r="H50" s="260">
        <f t="shared" si="3"/>
        <v>4.55</v>
      </c>
      <c r="I50" s="261">
        <f t="shared" si="13"/>
        <v>165</v>
      </c>
      <c r="J50" s="260">
        <f t="shared" si="5"/>
        <v>4.125</v>
      </c>
      <c r="K50" s="262">
        <f>MAX('Турнирная таблица по среднему б'!T50:BO50)</f>
        <v>0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92</v>
      </c>
      <c r="C51" s="270">
        <v>0.0</v>
      </c>
      <c r="D51" s="141">
        <v>0.0</v>
      </c>
      <c r="E51" s="141"/>
      <c r="F51" s="258">
        <f t="shared" si="10"/>
        <v>40</v>
      </c>
      <c r="G51" s="245">
        <f t="shared" si="12"/>
        <v>182</v>
      </c>
      <c r="H51" s="100">
        <f t="shared" si="3"/>
        <v>4.55</v>
      </c>
      <c r="I51" s="99">
        <f t="shared" si="13"/>
        <v>165</v>
      </c>
      <c r="J51" s="100">
        <f t="shared" si="5"/>
        <v>4.125</v>
      </c>
      <c r="K51" s="246">
        <f>MAX('Турнирная таблица по среднему б'!T51:BO51)</f>
        <v>0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93</v>
      </c>
      <c r="C52" s="257">
        <v>0.0</v>
      </c>
      <c r="D52" s="123">
        <v>0.0</v>
      </c>
      <c r="E52" s="123"/>
      <c r="F52" s="258">
        <f t="shared" si="10"/>
        <v>40</v>
      </c>
      <c r="G52" s="259">
        <f t="shared" si="12"/>
        <v>182</v>
      </c>
      <c r="H52" s="260">
        <f t="shared" si="3"/>
        <v>4.55</v>
      </c>
      <c r="I52" s="261">
        <f t="shared" si="13"/>
        <v>165</v>
      </c>
      <c r="J52" s="260">
        <f t="shared" si="5"/>
        <v>4.125</v>
      </c>
      <c r="K52" s="262">
        <f>MAX('Турнирная таблица по среднему б'!T52:BO52)</f>
        <v>0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97</v>
      </c>
      <c r="C53" s="270">
        <v>0.0</v>
      </c>
      <c r="D53" s="141">
        <v>0.0</v>
      </c>
      <c r="E53" s="141"/>
      <c r="F53" s="258">
        <f t="shared" si="10"/>
        <v>40</v>
      </c>
      <c r="G53" s="245">
        <f t="shared" si="12"/>
        <v>182</v>
      </c>
      <c r="H53" s="100">
        <f t="shared" si="3"/>
        <v>4.55</v>
      </c>
      <c r="I53" s="99">
        <f t="shared" si="13"/>
        <v>165</v>
      </c>
      <c r="J53" s="100">
        <f t="shared" si="5"/>
        <v>4.125</v>
      </c>
      <c r="K53" s="246">
        <f>MAX('Турнирная таблица по среднему б'!T53:BO53)</f>
        <v>0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99</v>
      </c>
      <c r="C54" s="257">
        <v>0.0</v>
      </c>
      <c r="D54" s="123">
        <v>0.0</v>
      </c>
      <c r="E54" s="123"/>
      <c r="F54" s="258">
        <f t="shared" si="10"/>
        <v>40</v>
      </c>
      <c r="G54" s="259">
        <f t="shared" si="12"/>
        <v>182</v>
      </c>
      <c r="H54" s="260">
        <f t="shared" si="3"/>
        <v>4.55</v>
      </c>
      <c r="I54" s="261">
        <f t="shared" si="13"/>
        <v>165</v>
      </c>
      <c r="J54" s="260">
        <f t="shared" si="5"/>
        <v>4.125</v>
      </c>
      <c r="K54" s="262">
        <f>MAX('Турнирная таблица по среднему б'!T54:BO54)</f>
        <v>0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100</v>
      </c>
      <c r="C55" s="270">
        <v>0.0</v>
      </c>
      <c r="D55" s="141">
        <v>0.0</v>
      </c>
      <c r="E55" s="141"/>
      <c r="F55" s="258">
        <f t="shared" si="10"/>
        <v>40</v>
      </c>
      <c r="G55" s="245">
        <f t="shared" si="12"/>
        <v>182</v>
      </c>
      <c r="H55" s="100">
        <f t="shared" si="3"/>
        <v>4.55</v>
      </c>
      <c r="I55" s="99">
        <f t="shared" si="13"/>
        <v>165</v>
      </c>
      <c r="J55" s="100">
        <f t="shared" si="5"/>
        <v>4.125</v>
      </c>
      <c r="K55" s="246">
        <f>MAX('Турнирная таблица по среднему б'!T55:BO55)</f>
        <v>0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107</v>
      </c>
      <c r="C56" s="257">
        <v>0.0</v>
      </c>
      <c r="D56" s="123">
        <v>0.0</v>
      </c>
      <c r="E56" s="123"/>
      <c r="F56" s="258">
        <f t="shared" si="10"/>
        <v>40</v>
      </c>
      <c r="G56" s="259">
        <f t="shared" si="12"/>
        <v>182</v>
      </c>
      <c r="H56" s="260">
        <f t="shared" si="3"/>
        <v>4.55</v>
      </c>
      <c r="I56" s="261">
        <f t="shared" si="13"/>
        <v>165</v>
      </c>
      <c r="J56" s="260">
        <f t="shared" si="5"/>
        <v>4.125</v>
      </c>
      <c r="K56" s="262">
        <f>MAX('Турнирная таблица по среднему б'!T56:BO56)</f>
        <v>0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109</v>
      </c>
      <c r="C57" s="270">
        <v>0.0</v>
      </c>
      <c r="D57" s="141">
        <v>0.0</v>
      </c>
      <c r="E57" s="141"/>
      <c r="F57" s="258">
        <f t="shared" si="10"/>
        <v>40</v>
      </c>
      <c r="G57" s="245">
        <f t="shared" si="12"/>
        <v>182</v>
      </c>
      <c r="H57" s="100">
        <f t="shared" si="3"/>
        <v>4.55</v>
      </c>
      <c r="I57" s="99">
        <f t="shared" si="13"/>
        <v>165</v>
      </c>
      <c r="J57" s="100">
        <f t="shared" si="5"/>
        <v>4.125</v>
      </c>
      <c r="K57" s="246">
        <f>MAX('Турнирная таблица по среднему б'!T57:BO57)</f>
        <v>0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111</v>
      </c>
      <c r="C58" s="257">
        <v>0.0</v>
      </c>
      <c r="D58" s="123">
        <v>0.0</v>
      </c>
      <c r="E58" s="123"/>
      <c r="F58" s="258">
        <f t="shared" si="10"/>
        <v>40</v>
      </c>
      <c r="G58" s="259">
        <f t="shared" si="12"/>
        <v>182</v>
      </c>
      <c r="H58" s="260">
        <f t="shared" si="3"/>
        <v>4.55</v>
      </c>
      <c r="I58" s="261">
        <f t="shared" si="13"/>
        <v>165</v>
      </c>
      <c r="J58" s="260">
        <f t="shared" si="5"/>
        <v>4.125</v>
      </c>
      <c r="K58" s="262">
        <f>MAX('Турнирная таблица по среднему б'!T58:BO58)</f>
        <v>0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113</v>
      </c>
      <c r="C59" s="270">
        <v>0.0</v>
      </c>
      <c r="D59" s="141">
        <v>0.0</v>
      </c>
      <c r="E59" s="141"/>
      <c r="F59" s="258">
        <f t="shared" si="10"/>
        <v>40</v>
      </c>
      <c r="G59" s="245">
        <f t="shared" si="12"/>
        <v>182</v>
      </c>
      <c r="H59" s="100">
        <f t="shared" si="3"/>
        <v>4.55</v>
      </c>
      <c r="I59" s="99">
        <f t="shared" si="13"/>
        <v>165</v>
      </c>
      <c r="J59" s="100">
        <f t="shared" si="5"/>
        <v>4.125</v>
      </c>
      <c r="K59" s="246">
        <f>MAX('Турнирная таблица по среднему б'!T59:BO59)</f>
        <v>0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114</v>
      </c>
      <c r="C60" s="257">
        <v>0.0</v>
      </c>
      <c r="D60" s="123">
        <v>0.0</v>
      </c>
      <c r="E60" s="123"/>
      <c r="F60" s="258">
        <f t="shared" si="10"/>
        <v>40</v>
      </c>
      <c r="G60" s="259">
        <f t="shared" si="12"/>
        <v>182</v>
      </c>
      <c r="H60" s="260">
        <f t="shared" si="3"/>
        <v>4.55</v>
      </c>
      <c r="I60" s="261">
        <f t="shared" si="13"/>
        <v>165</v>
      </c>
      <c r="J60" s="260">
        <f t="shared" si="5"/>
        <v>4.125</v>
      </c>
      <c r="K60" s="262">
        <f>MAX('Турнирная таблица по среднему б'!T60:BO60)</f>
        <v>0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115</v>
      </c>
      <c r="C61" s="270">
        <v>0.0</v>
      </c>
      <c r="D61" s="141">
        <v>0.0</v>
      </c>
      <c r="E61" s="141"/>
      <c r="F61" s="258">
        <f t="shared" si="10"/>
        <v>40</v>
      </c>
      <c r="G61" s="245">
        <f t="shared" si="12"/>
        <v>182</v>
      </c>
      <c r="H61" s="100">
        <f t="shared" si="3"/>
        <v>4.55</v>
      </c>
      <c r="I61" s="99">
        <f t="shared" si="13"/>
        <v>165</v>
      </c>
      <c r="J61" s="100">
        <f t="shared" si="5"/>
        <v>4.125</v>
      </c>
      <c r="K61" s="246">
        <f>MAX('Турнирная таблица по среднему б'!T61:BO61)</f>
        <v>0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120</v>
      </c>
      <c r="C62" s="257">
        <v>0.0</v>
      </c>
      <c r="D62" s="123">
        <v>0.0</v>
      </c>
      <c r="E62" s="123"/>
      <c r="F62" s="258">
        <f t="shared" si="10"/>
        <v>40</v>
      </c>
      <c r="G62" s="259">
        <f t="shared" si="12"/>
        <v>182</v>
      </c>
      <c r="H62" s="260">
        <f t="shared" si="3"/>
        <v>4.55</v>
      </c>
      <c r="I62" s="261">
        <f t="shared" si="13"/>
        <v>165</v>
      </c>
      <c r="J62" s="260">
        <f t="shared" si="5"/>
        <v>4.125</v>
      </c>
      <c r="K62" s="262">
        <f>MAX('Турнирная таблица по среднему б'!T62:BO62)</f>
        <v>0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121</v>
      </c>
      <c r="C63" s="270">
        <v>0.0</v>
      </c>
      <c r="D63" s="141">
        <v>0.0</v>
      </c>
      <c r="E63" s="141"/>
      <c r="F63" s="258">
        <f t="shared" si="10"/>
        <v>40</v>
      </c>
      <c r="G63" s="245">
        <f t="shared" si="12"/>
        <v>182</v>
      </c>
      <c r="H63" s="100">
        <f t="shared" si="3"/>
        <v>4.55</v>
      </c>
      <c r="I63" s="99">
        <f t="shared" si="13"/>
        <v>165</v>
      </c>
      <c r="J63" s="100">
        <f t="shared" si="5"/>
        <v>4.125</v>
      </c>
      <c r="K63" s="246">
        <f>MAX('Турнирная таблица по среднему б'!T63:BO63)</f>
        <v>0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125</v>
      </c>
      <c r="C64" s="257">
        <v>0.0</v>
      </c>
      <c r="D64" s="123">
        <v>0.0</v>
      </c>
      <c r="E64" s="123"/>
      <c r="F64" s="258">
        <f t="shared" si="10"/>
        <v>40</v>
      </c>
      <c r="G64" s="259">
        <f t="shared" si="12"/>
        <v>182</v>
      </c>
      <c r="H64" s="260">
        <f t="shared" si="3"/>
        <v>4.55</v>
      </c>
      <c r="I64" s="261">
        <f t="shared" si="13"/>
        <v>165</v>
      </c>
      <c r="J64" s="260">
        <f t="shared" si="5"/>
        <v>4.125</v>
      </c>
      <c r="K64" s="262">
        <f>MAX('Турнирная таблица по среднему б'!T64:BO64)</f>
        <v>0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128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182</v>
      </c>
      <c r="H65" s="100">
        <f t="shared" si="3"/>
        <v>4.55</v>
      </c>
      <c r="I65" s="99">
        <f t="shared" si="13"/>
        <v>165</v>
      </c>
      <c r="J65" s="100">
        <f t="shared" si="5"/>
        <v>4.125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129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182</v>
      </c>
      <c r="H66" s="260">
        <f t="shared" si="3"/>
        <v>4.55</v>
      </c>
      <c r="I66" s="261">
        <f t="shared" si="13"/>
        <v>165</v>
      </c>
      <c r="J66" s="260">
        <f t="shared" si="5"/>
        <v>4.125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130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182</v>
      </c>
      <c r="H67" s="100">
        <f t="shared" si="3"/>
        <v>4.55</v>
      </c>
      <c r="I67" s="99">
        <f t="shared" si="13"/>
        <v>165</v>
      </c>
      <c r="J67" s="100">
        <f t="shared" si="5"/>
        <v>4.125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134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182</v>
      </c>
      <c r="H68" s="289">
        <f t="shared" si="3"/>
        <v>4.55</v>
      </c>
      <c r="I68" s="309">
        <f t="shared" si="13"/>
        <v>165</v>
      </c>
      <c r="J68" s="310">
        <f t="shared" si="5"/>
        <v>4.125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22.75</v>
      </c>
      <c r="E79" s="323"/>
      <c r="F79" s="324" t="s">
        <v>141</v>
      </c>
      <c r="G79" s="183"/>
      <c r="H79" s="184"/>
      <c r="I79" s="325">
        <f>E25</f>
        <v>20.625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182</v>
      </c>
      <c r="E80" s="323"/>
      <c r="F80" s="320" t="s">
        <v>143</v>
      </c>
      <c r="G80" s="183"/>
      <c r="H80" s="184"/>
      <c r="I80" s="325">
        <f>(E25*8)</f>
        <v>165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  <c r="BL4" s="353"/>
      <c r="BM4" s="353"/>
    </row>
    <row r="5">
      <c r="A5" s="354" t="s">
        <v>79</v>
      </c>
      <c r="B5" s="355">
        <f t="shared" ref="B5:B64" si="1">SUM(K5:L5)</f>
        <v>5</v>
      </c>
      <c r="C5" s="356">
        <f>'Турнирная таблица по Алфавиту'!E7</f>
        <v>22.75</v>
      </c>
      <c r="D5" s="357">
        <f>'Турнирная таблица по Алфавиту'!F7</f>
        <v>22.75</v>
      </c>
      <c r="E5" s="358">
        <f>COUNTIFS('Все игры'!A$3:A1000,A5,'Все игры'!F$3:F1000,"=1")</f>
        <v>0</v>
      </c>
      <c r="F5" s="358">
        <f>COUNTIFS('Все игры'!A$3:A1000,A5,'Все игры'!F$3:F1000,"=0,50")</f>
        <v>0</v>
      </c>
      <c r="G5" s="358">
        <f>COUNTIFS('Все игры'!A$3:A1000,A5,'Все игры'!G$3:G1000,"&gt;0")</f>
        <v>0</v>
      </c>
      <c r="H5" s="359">
        <f t="shared" ref="H5:H64" si="2">IFERROR(G5/K5,0)</f>
        <v>0</v>
      </c>
      <c r="I5" s="360">
        <f>COUNTIFS('Все игры'!A$3:A1000,A5,'Все игры'!E$3:E1000,"У/Победа")</f>
        <v>0</v>
      </c>
      <c r="J5" s="360">
        <f>COUNTIFS('Все игры'!A$3:A1000,A5,'Все игры'!E$3:E1000,"У/Проигрыш")</f>
        <v>0</v>
      </c>
      <c r="K5" s="361">
        <f t="shared" ref="K5:K64" si="3">O5+P5+S5+T5</f>
        <v>5</v>
      </c>
      <c r="L5" s="355">
        <f t="shared" ref="L5:L64" si="4">M5+N5+Q5+R5</f>
        <v>0</v>
      </c>
      <c r="M5" s="355">
        <f>COUNTIFS('Все игры'!A$3:A1000,A5,'Все игры'!C$3:C1000,"&gt;0",'Все игры'!B$3:B1000,"Мафия")</f>
        <v>0</v>
      </c>
      <c r="N5" s="355">
        <f>IFERROR(__xludf.DUMMYFUNCTION("COUNTBLANK(FILTER('Все игры'!A$3:C1000,'Все игры'!A$3:A1000=A5,'Все игры'!C$3:C1000 &lt; 1,'Все игры'!B$3:B1000=""Мафия""))"),0.0)</f>
        <v>0</v>
      </c>
      <c r="O5" s="355">
        <f>COUNTIFS('Все игры'!A$3:A1000,A5,'Все игры'!C$3:C1000,"&gt;0",'Все игры'!B$3:B1000,"Шериф")</f>
        <v>0</v>
      </c>
      <c r="P5" s="362">
        <f>IFERROR(__xludf.DUMMYFUNCTION("COUNTBLANK(FILTER('Все игры'!A$3:C1000,'Все игры'!A$3:A1000=A5,'Все игры'!C$3:C1000 &lt; 1,'Все игры'!B$3:B1000=""Шериф""))"),0.0)</f>
        <v>0</v>
      </c>
      <c r="Q5" s="355">
        <f>COUNTIFS('Все игры'!A$3:A1000,A5,'Все игры'!C$3:C1000,"&gt;0",'Все игры'!B$3:B1000,"Дон")</f>
        <v>0</v>
      </c>
      <c r="R5" s="355">
        <f>IFERROR(__xludf.DUMMYFUNCTION("COUNTBLANK(FILTER('Все игры'!A$3:C1000,'Все игры'!A$3:A1000=A5,'Все игры'!C$3:C1000 &lt; 1,'Все игры'!B$3:B1000=""Дон""))"),0.0)</f>
        <v>0</v>
      </c>
      <c r="S5" s="355">
        <f>COUNTIFS('Все игры'!A$3:A1000,A5,'Все игры'!C$3:C1000,"&gt;0",'Все игры'!B$3:B1000,"Мирный")</f>
        <v>3</v>
      </c>
      <c r="T5" s="363">
        <f>IFERROR(__xludf.DUMMYFUNCTION("COUNTBLANK(FILTER('Все игры'!A$3:C1000,'Все игры'!A$3:A1000=A5,'Все игры'!C$3:C1000 &lt; 1,'Все игры'!B$3:B1000=""Мирный""))"),2.0)</f>
        <v>2</v>
      </c>
      <c r="U5" s="364">
        <f>IFERROR((M5+O5+Q5+S5)/B5, )</f>
        <v>0.6</v>
      </c>
      <c r="V5" s="365">
        <f t="shared" ref="V5:V64" si="5">IFERROR(((O5+S5)/K5),0)</f>
        <v>0.6</v>
      </c>
      <c r="W5" s="365">
        <f t="shared" ref="W5:W64" si="6">IFERROR(((M5+Q5)/L5),0)</f>
        <v>0</v>
      </c>
      <c r="X5" s="365">
        <f t="shared" ref="X5:X64" si="7">IFERROR((M5/(M5+N5)),0)</f>
        <v>0</v>
      </c>
      <c r="Y5" s="365">
        <f t="shared" ref="Y5:Y64" si="8">IFERROR((O5/(O5+P5)),0)</f>
        <v>0</v>
      </c>
      <c r="Z5" s="365">
        <f t="shared" ref="Z5:Z64" si="9">IFERROR((Q5/(Q5+R5)),0)</f>
        <v>0</v>
      </c>
      <c r="AA5" s="366">
        <f t="shared" ref="AA5:AA64" si="10">IFERROR((S5/(S5+T5)),0)</f>
        <v>0.6</v>
      </c>
      <c r="AB5" s="356">
        <f>SUMIFS('Все игры'!D$3:D1000,'Все игры'!A$3:A1000,A5)</f>
        <v>15.25</v>
      </c>
      <c r="AC5" s="356">
        <f>SUMIFS('Все игры'!D$3:D1000,'Все игры'!A$3:A1000,A5,'Все игры'!B$3:B1000,"Мафия")</f>
        <v>0</v>
      </c>
      <c r="AD5" s="367">
        <f>SUMIFS('Все игры'!D$3:D1000,'Все игры'!A$3:A1000,A5,'Все игры'!B$3:B1000,"Шериф")</f>
        <v>0</v>
      </c>
      <c r="AE5" s="356">
        <f>SUMIFS('Все игры'!D$3:D1000,'Все игры'!A$3:A1000,A5,'Все игры'!B$3:B1000,"Дон")</f>
        <v>0</v>
      </c>
      <c r="AF5" s="357">
        <f>SUMIFS('Все игры'!D$3:D1000,'Все игры'!A$3:A1000,A5,'Все игры'!B$3:B1000,"Мирный")</f>
        <v>15.25</v>
      </c>
      <c r="AG5" s="356">
        <f t="shared" ref="AG5:AG64" si="11">IFERROR(AB5/B5,0)</f>
        <v>3.05</v>
      </c>
      <c r="AH5" s="356">
        <f t="shared" ref="AH5:AH64" si="12">IFERROR(AC5/(M5+N5),0)</f>
        <v>0</v>
      </c>
      <c r="AI5" s="356">
        <f t="shared" ref="AI5:AI64" si="13">IFERROR(AD5/(O5+P5),0)</f>
        <v>0</v>
      </c>
      <c r="AJ5" s="356">
        <f t="shared" ref="AJ5:AJ64" si="14">IFERROR(AE5/(Q5+R5),0)</f>
        <v>0</v>
      </c>
      <c r="AK5" s="356">
        <f t="shared" ref="AK5:AK64" si="15">IFERROR(AF5/(S5+T5),0)</f>
        <v>3.05</v>
      </c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</row>
    <row r="6">
      <c r="A6" s="368" t="s">
        <v>80</v>
      </c>
      <c r="B6" s="369">
        <f t="shared" si="1"/>
        <v>0</v>
      </c>
      <c r="C6" s="370">
        <f>'Турнирная таблица по Алфавиту'!E8</f>
        <v>0</v>
      </c>
      <c r="D6" s="371" t="str">
        <f>'Турнирная таблица по Алфавиту'!F8</f>
        <v/>
      </c>
      <c r="E6" s="372">
        <f>COUNTIFS('Все игры'!A$3:A1000,A6,'Все игры'!F$3:F1000,"=1")</f>
        <v>0</v>
      </c>
      <c r="F6" s="372">
        <f>COUNTIFS('Все игры'!A$3:A1000,A6,'Все игры'!F$3:F1000,"=0,50")</f>
        <v>0</v>
      </c>
      <c r="G6" s="372">
        <f>COUNTIFS('Все игры'!A$3:A1000,A6,'Все игры'!G$3:G1000,"&gt;0")</f>
        <v>0</v>
      </c>
      <c r="H6" s="373">
        <f t="shared" si="2"/>
        <v>0</v>
      </c>
      <c r="I6" s="374">
        <f>COUNTIFS('Все игры'!A$3:A1000,A6,'Все игры'!E$3:E1000,"У/Победа")</f>
        <v>0</v>
      </c>
      <c r="J6" s="374">
        <f>COUNTIFS('Все игры'!A$3:A1000,A6,'Все игры'!E$3:E1000,"У/Проигрыш")</f>
        <v>0</v>
      </c>
      <c r="K6" s="375">
        <f t="shared" si="3"/>
        <v>0</v>
      </c>
      <c r="L6" s="369">
        <f t="shared" si="4"/>
        <v>0</v>
      </c>
      <c r="M6" s="369">
        <f>COUNTIFS('Все игры'!A$3:A1000,A6,'Все игры'!C$3:C1000,"&gt;0",'Все игры'!B$3:B1000,"Мафия")</f>
        <v>0</v>
      </c>
      <c r="N6" s="369">
        <f>IFERROR(__xludf.DUMMYFUNCTION("COUNTBLANK(FILTER('Все игры'!A$3:C1000,'Все игры'!A$3:A1000=A6,'Все игры'!C$3:C1000 &lt; 1,'Все игры'!B$3:B1000=""Мафия""))"),0.0)</f>
        <v>0</v>
      </c>
      <c r="O6" s="369">
        <f>COUNTIFS('Все игры'!A$3:A1000,A6,'Все игры'!C$3:C1000,"&gt;0",'Все игры'!B$3:B1000,"Шериф")</f>
        <v>0</v>
      </c>
      <c r="P6" s="376">
        <f>IFERROR(__xludf.DUMMYFUNCTION("COUNTBLANK(FILTER('Все игры'!A$3:C1000,'Все игры'!A$3:A1000=A6,'Все игры'!C$3:C1000 &lt; 1,'Все игры'!B$3:B1000=""Шериф""))"),0.0)</f>
        <v>0</v>
      </c>
      <c r="Q6" s="369">
        <f>COUNTIFS('Все игры'!A$3:A1000,A6,'Все игры'!C$3:C1000,"&gt;0",'Все игры'!B$3:B1000,"Дон")</f>
        <v>0</v>
      </c>
      <c r="R6" s="369">
        <f>IFERROR(__xludf.DUMMYFUNCTION("COUNTBLANK(FILTER('Все игры'!A$3:C1000,'Все игры'!A$3:A1000=A6,'Все игры'!C$3:C1000 &lt; 1,'Все игры'!B$3:B1000=""Дон""))"),0.0)</f>
        <v>0</v>
      </c>
      <c r="S6" s="369">
        <f>COUNTIFS('Все игры'!A$3:A1000,A6,'Все игры'!C$3:C1000,"&gt;0",'Все игры'!B$3:B1000,"Мирный")</f>
        <v>0</v>
      </c>
      <c r="T6" s="377">
        <f>IFERROR(__xludf.DUMMYFUNCTION("COUNTBLANK(FILTER('Все игры'!A$3:C1000,'Все игры'!A$3:A1000=A6,'Все игры'!C$3:C1000 &lt; 1,'Все игры'!B$3:B1000=""Мирный""))"),0.0)</f>
        <v>0</v>
      </c>
      <c r="U6" s="378">
        <f t="shared" ref="U6:U64" si="16">IFERROR((M6+O6+Q6+S6)/B6,0)</f>
        <v>0</v>
      </c>
      <c r="V6" s="379">
        <f t="shared" si="5"/>
        <v>0</v>
      </c>
      <c r="W6" s="379">
        <f t="shared" si="6"/>
        <v>0</v>
      </c>
      <c r="X6" s="379">
        <f t="shared" si="7"/>
        <v>0</v>
      </c>
      <c r="Y6" s="379">
        <f t="shared" si="8"/>
        <v>0</v>
      </c>
      <c r="Z6" s="379">
        <f t="shared" si="9"/>
        <v>0</v>
      </c>
      <c r="AA6" s="380">
        <f t="shared" si="10"/>
        <v>0</v>
      </c>
      <c r="AB6" s="370">
        <f>SUMIFS('Все игры'!D$3:D1000,'Все игры'!A$3:A1000,A6)</f>
        <v>0</v>
      </c>
      <c r="AC6" s="370">
        <f>SUMIFS('Все игры'!D$3:D1000,'Все игры'!A$3:A1000,A6,'Все игры'!B$3:B1000,"Мафия")</f>
        <v>0</v>
      </c>
      <c r="AD6" s="381">
        <f>SUMIFS('Все игры'!D$3:D1000,'Все игры'!A$3:A1000,A6,'Все игры'!B$3:B1000,"Шериф")</f>
        <v>0</v>
      </c>
      <c r="AE6" s="370">
        <f>SUMIFS('Все игры'!D$3:D1000,'Все игры'!A$3:A1000,A6,'Все игры'!B$3:B1000,"Дон")</f>
        <v>0</v>
      </c>
      <c r="AF6" s="371">
        <f>SUMIFS('Все игры'!D$3:D1000,'Все игры'!A$3:A1000,A6,'Все игры'!B$3:B1000,"Мирный")</f>
        <v>0</v>
      </c>
      <c r="AG6" s="370">
        <f t="shared" si="11"/>
        <v>0</v>
      </c>
      <c r="AH6" s="370">
        <f t="shared" si="12"/>
        <v>0</v>
      </c>
      <c r="AI6" s="370">
        <f t="shared" si="13"/>
        <v>0</v>
      </c>
      <c r="AJ6" s="370">
        <f t="shared" si="14"/>
        <v>0</v>
      </c>
      <c r="AK6" s="370">
        <f t="shared" si="15"/>
        <v>0</v>
      </c>
      <c r="AL6" s="356"/>
      <c r="AM6" s="356"/>
      <c r="AN6" s="356"/>
      <c r="AO6" s="356"/>
      <c r="AP6" s="356"/>
      <c r="AQ6" s="356"/>
      <c r="AR6" s="356"/>
      <c r="AS6" s="356"/>
      <c r="AT6" s="356"/>
      <c r="AU6" s="356"/>
      <c r="AV6" s="356"/>
      <c r="AW6" s="356"/>
      <c r="AX6" s="356"/>
      <c r="AY6" s="356"/>
      <c r="AZ6" s="356"/>
      <c r="BA6" s="356"/>
      <c r="BB6" s="356"/>
      <c r="BC6" s="356"/>
      <c r="BD6" s="356"/>
      <c r="BE6" s="356"/>
      <c r="BF6" s="356"/>
      <c r="BG6" s="356"/>
      <c r="BH6" s="356"/>
      <c r="BI6" s="356"/>
      <c r="BJ6" s="356"/>
      <c r="BK6" s="356"/>
      <c r="BL6" s="356"/>
      <c r="BM6" s="356"/>
    </row>
    <row r="7">
      <c r="A7" s="368" t="s">
        <v>81</v>
      </c>
      <c r="B7" s="355">
        <f t="shared" si="1"/>
        <v>5</v>
      </c>
      <c r="C7" s="356">
        <f>'Турнирная таблица по Алфавиту'!E9</f>
        <v>20</v>
      </c>
      <c r="D7" s="357">
        <f>'Турнирная таблица по Алфавиту'!F9</f>
        <v>20</v>
      </c>
      <c r="E7" s="358">
        <f>COUNTIFS('Все игры'!A$3:A1000,A7,'Все игры'!F$3:F1000,"=1")</f>
        <v>0</v>
      </c>
      <c r="F7" s="358">
        <f>COUNTIFS('Все игры'!A$3:A1000,A7,'Все игры'!F$3:F1000,"=0,50")</f>
        <v>1</v>
      </c>
      <c r="G7" s="358">
        <f>COUNTIFS('Все игры'!A$3:A1000,A7,'Все игры'!G$3:G1000,"&gt;0")</f>
        <v>2</v>
      </c>
      <c r="H7" s="359">
        <f t="shared" si="2"/>
        <v>0.5</v>
      </c>
      <c r="I7" s="360">
        <f>COUNTIFS('Все игры'!A$3:A1000,A7,'Все игры'!E$3:E1000,"У/Победа")</f>
        <v>0</v>
      </c>
      <c r="J7" s="360">
        <f>COUNTIFS('Все игры'!A$3:A1000,A7,'Все игры'!E$3:E1000,"У/Проигрыш")</f>
        <v>1</v>
      </c>
      <c r="K7" s="361">
        <f t="shared" si="3"/>
        <v>4</v>
      </c>
      <c r="L7" s="355">
        <f t="shared" si="4"/>
        <v>1</v>
      </c>
      <c r="M7" s="355">
        <f>COUNTIFS('Все игры'!A$3:A1000,A7,'Все игры'!C$3:C1000,"&gt;0",'Все игры'!B$3:B1000,"Мафия")</f>
        <v>0</v>
      </c>
      <c r="N7" s="355">
        <f>IFERROR(__xludf.DUMMYFUNCTION("COUNTBLANK(FILTER('Все игры'!A$3:C1000,'Все игры'!A$3:A1000=A7,'Все игры'!C$3:C1000 &lt; 1,'Все игры'!B$3:B1000=""Мафия""))"),0.0)</f>
        <v>0</v>
      </c>
      <c r="O7" s="355">
        <f>COUNTIFS('Все игры'!A$3:A1000,A7,'Все игры'!C$3:C1000,"&gt;0",'Все игры'!B$3:B1000,"Шериф")</f>
        <v>0</v>
      </c>
      <c r="P7" s="362">
        <f>IFERROR(__xludf.DUMMYFUNCTION("COUNTBLANK(FILTER('Все игры'!A$3:C1000,'Все игры'!A$3:A1000=A7,'Все игры'!C$3:C1000 &lt; 1,'Все игры'!B$3:B1000=""Шериф""))"),0.0)</f>
        <v>0</v>
      </c>
      <c r="Q7" s="355">
        <f>COUNTIFS('Все игры'!A$3:A1000,A7,'Все игры'!C$3:C1000,"&gt;0",'Все игры'!B$3:B1000,"Дон")</f>
        <v>0</v>
      </c>
      <c r="R7" s="355">
        <f>IFERROR(__xludf.DUMMYFUNCTION("COUNTBLANK(FILTER('Все игры'!A$3:C1000,'Все игры'!A$3:A1000=A7,'Все игры'!C$3:C1000 &lt; 1,'Все игры'!B$3:B1000=""Дон""))"),1.0)</f>
        <v>1</v>
      </c>
      <c r="S7" s="355">
        <f>COUNTIFS('Все игры'!A$3:A1000,A7,'Все игры'!C$3:C1000,"&gt;0",'Все игры'!B$3:B1000,"Мирный")</f>
        <v>2</v>
      </c>
      <c r="T7" s="363">
        <f>IFERROR(__xludf.DUMMYFUNCTION("COUNTBLANK(FILTER('Все игры'!A$3:C1000,'Все игры'!A$3:A1000=A7,'Все игры'!C$3:C1000 &lt; 1,'Все игры'!B$3:B1000=""Мирный""))"),2.0)</f>
        <v>2</v>
      </c>
      <c r="U7" s="364">
        <f t="shared" si="16"/>
        <v>0.4</v>
      </c>
      <c r="V7" s="365">
        <f t="shared" si="5"/>
        <v>0.5</v>
      </c>
      <c r="W7" s="365">
        <f t="shared" si="6"/>
        <v>0</v>
      </c>
      <c r="X7" s="365">
        <f t="shared" si="7"/>
        <v>0</v>
      </c>
      <c r="Y7" s="365">
        <f t="shared" si="8"/>
        <v>0</v>
      </c>
      <c r="Z7" s="365">
        <f t="shared" si="9"/>
        <v>0</v>
      </c>
      <c r="AA7" s="366">
        <f t="shared" si="10"/>
        <v>0.5</v>
      </c>
      <c r="AB7" s="356">
        <f>SUMIFS('Все игры'!D$3:D1000,'Все игры'!A$3:A1000,A7)</f>
        <v>13</v>
      </c>
      <c r="AC7" s="356">
        <f>SUMIFS('Все игры'!D$3:D1000,'Все игры'!A$3:A1000,A7,'Все игры'!B$3:B1000,"Мафия")</f>
        <v>0</v>
      </c>
      <c r="AD7" s="367">
        <f>SUMIFS('Все игры'!D$3:D1000,'Все игры'!A$3:A1000,A7,'Все игры'!B$3:B1000,"Шериф")</f>
        <v>0</v>
      </c>
      <c r="AE7" s="356">
        <f>SUMIFS('Все игры'!D$3:D1000,'Все игры'!A$3:A1000,A7,'Все игры'!B$3:B1000,"Дон")</f>
        <v>2</v>
      </c>
      <c r="AF7" s="357">
        <f>SUMIFS('Все игры'!D$3:D1000,'Все игры'!A$3:A1000,A7,'Все игры'!B$3:B1000,"Мирный")</f>
        <v>11</v>
      </c>
      <c r="AG7" s="356">
        <f t="shared" si="11"/>
        <v>2.6</v>
      </c>
      <c r="AH7" s="356">
        <f t="shared" si="12"/>
        <v>0</v>
      </c>
      <c r="AI7" s="356">
        <f t="shared" si="13"/>
        <v>0</v>
      </c>
      <c r="AJ7" s="356">
        <f t="shared" si="14"/>
        <v>2</v>
      </c>
      <c r="AK7" s="356">
        <f t="shared" si="15"/>
        <v>2.75</v>
      </c>
      <c r="AL7" s="356"/>
      <c r="AM7" s="356"/>
      <c r="AN7" s="356"/>
      <c r="AO7" s="356"/>
      <c r="AP7" s="356"/>
      <c r="AQ7" s="356"/>
      <c r="AR7" s="356"/>
      <c r="AS7" s="356"/>
      <c r="AT7" s="356"/>
      <c r="AU7" s="356"/>
      <c r="AV7" s="356"/>
      <c r="AW7" s="356"/>
      <c r="AX7" s="356"/>
      <c r="AY7" s="356"/>
      <c r="AZ7" s="356"/>
      <c r="BA7" s="356"/>
      <c r="BB7" s="356"/>
      <c r="BC7" s="356"/>
      <c r="BD7" s="356"/>
      <c r="BE7" s="356"/>
      <c r="BF7" s="356"/>
      <c r="BG7" s="356"/>
      <c r="BH7" s="356"/>
      <c r="BI7" s="356"/>
      <c r="BJ7" s="356"/>
      <c r="BK7" s="356"/>
      <c r="BL7" s="356"/>
      <c r="BM7" s="356"/>
    </row>
    <row r="8">
      <c r="A8" s="368" t="s">
        <v>82</v>
      </c>
      <c r="B8" s="369">
        <f t="shared" si="1"/>
        <v>10</v>
      </c>
      <c r="C8" s="370">
        <f>'Турнирная таблица по Алфавиту'!E10</f>
        <v>43</v>
      </c>
      <c r="D8" s="371">
        <f>'Турнирная таблица по Алфавиту'!F10</f>
        <v>21.5</v>
      </c>
      <c r="E8" s="372">
        <f>COUNTIFS('Все игры'!A$3:A1000,A8,'Все игры'!F$3:F1000,"=1")</f>
        <v>0</v>
      </c>
      <c r="F8" s="372">
        <f>COUNTIFS('Все игры'!A$3:A1000,A8,'Все игры'!F$3:F1000,"=0,50")</f>
        <v>1</v>
      </c>
      <c r="G8" s="372">
        <f>COUNTIFS('Все игры'!A$3:A1000,A8,'Все игры'!G$3:G1000,"&gt;0")</f>
        <v>3</v>
      </c>
      <c r="H8" s="373">
        <f t="shared" si="2"/>
        <v>0.3333333333</v>
      </c>
      <c r="I8" s="374">
        <f>COUNTIFS('Все игры'!A$3:A1000,A8,'Все игры'!E$3:E1000,"У/Победа")</f>
        <v>0</v>
      </c>
      <c r="J8" s="374">
        <f>COUNTIFS('Все игры'!A$3:A1000,A8,'Все игры'!E$3:E1000,"У/Проигрыш")</f>
        <v>0</v>
      </c>
      <c r="K8" s="375">
        <f t="shared" si="3"/>
        <v>9</v>
      </c>
      <c r="L8" s="369">
        <f t="shared" si="4"/>
        <v>1</v>
      </c>
      <c r="M8" s="369">
        <f>COUNTIFS('Все игры'!A$3:A1000,A8,'Все игры'!C$3:C1000,"&gt;0",'Все игры'!B$3:B1000,"Мафия")</f>
        <v>1</v>
      </c>
      <c r="N8" s="369">
        <f>IFERROR(__xludf.DUMMYFUNCTION("COUNTBLANK(FILTER('Все игры'!A$3:C1000,'Все игры'!A$3:A1000=A8,'Все игры'!C$3:C1000 &lt; 1,'Все игры'!B$3:B1000=""Мафия""))"),0.0)</f>
        <v>0</v>
      </c>
      <c r="O8" s="369">
        <f>COUNTIFS('Все игры'!A$3:A1000,A8,'Все игры'!C$3:C1000,"&gt;0",'Все игры'!B$3:B1000,"Шериф")</f>
        <v>0</v>
      </c>
      <c r="P8" s="376">
        <f>IFERROR(__xludf.DUMMYFUNCTION("COUNTBLANK(FILTER('Все игры'!A$3:C1000,'Все игры'!A$3:A1000=A8,'Все игры'!C$3:C1000 &lt; 1,'Все игры'!B$3:B1000=""Шериф""))"),1.0)</f>
        <v>1</v>
      </c>
      <c r="Q8" s="369">
        <f>COUNTIFS('Все игры'!A$3:A1000,A8,'Все игры'!C$3:C1000,"&gt;0",'Все игры'!B$3:B1000,"Дон")</f>
        <v>0</v>
      </c>
      <c r="R8" s="369">
        <f>IFERROR(__xludf.DUMMYFUNCTION("COUNTBLANK(FILTER('Все игры'!A$3:C1000,'Все игры'!A$3:A1000=A8,'Все игры'!C$3:C1000 &lt; 1,'Все игры'!B$3:B1000=""Дон""))"),0.0)</f>
        <v>0</v>
      </c>
      <c r="S8" s="369">
        <f>COUNTIFS('Все игры'!A$3:A1000,A8,'Все игры'!C$3:C1000,"&gt;0",'Все игры'!B$3:B1000,"Мирный")</f>
        <v>4</v>
      </c>
      <c r="T8" s="377">
        <f>IFERROR(__xludf.DUMMYFUNCTION("COUNTBLANK(FILTER('Все игры'!A$3:C1000,'Все игры'!A$3:A1000=A8,'Все игры'!C$3:C1000 &lt; 1,'Все игры'!B$3:B1000=""Мирный""))"),4.0)</f>
        <v>4</v>
      </c>
      <c r="U8" s="378">
        <f t="shared" si="16"/>
        <v>0.5</v>
      </c>
      <c r="V8" s="379">
        <f t="shared" si="5"/>
        <v>0.4444444444</v>
      </c>
      <c r="W8" s="379">
        <f t="shared" si="6"/>
        <v>1</v>
      </c>
      <c r="X8" s="379">
        <f t="shared" si="7"/>
        <v>1</v>
      </c>
      <c r="Y8" s="379">
        <f t="shared" si="8"/>
        <v>0</v>
      </c>
      <c r="Z8" s="379">
        <f t="shared" si="9"/>
        <v>0</v>
      </c>
      <c r="AA8" s="380">
        <f t="shared" si="10"/>
        <v>0.5</v>
      </c>
      <c r="AB8" s="370">
        <f>SUMIFS('Все игры'!D$3:D1000,'Все игры'!A$3:A1000,A8)</f>
        <v>28</v>
      </c>
      <c r="AC8" s="370">
        <f>SUMIFS('Все игры'!D$3:D1000,'Все игры'!A$3:A1000,A8,'Все игры'!B$3:B1000,"Мафия")</f>
        <v>3.5</v>
      </c>
      <c r="AD8" s="381">
        <f>SUMIFS('Все игры'!D$3:D1000,'Все игры'!A$3:A1000,A8,'Все игры'!B$3:B1000,"Шериф")</f>
        <v>4</v>
      </c>
      <c r="AE8" s="370">
        <f>SUMIFS('Все игры'!D$3:D1000,'Все игры'!A$3:A1000,A8,'Все игры'!B$3:B1000,"Дон")</f>
        <v>0</v>
      </c>
      <c r="AF8" s="371">
        <f>SUMIFS('Все игры'!D$3:D1000,'Все игры'!A$3:A1000,A8,'Все игры'!B$3:B1000,"Мирный")</f>
        <v>20.5</v>
      </c>
      <c r="AG8" s="370">
        <f t="shared" si="11"/>
        <v>2.8</v>
      </c>
      <c r="AH8" s="370">
        <f t="shared" si="12"/>
        <v>3.5</v>
      </c>
      <c r="AI8" s="370">
        <f t="shared" si="13"/>
        <v>4</v>
      </c>
      <c r="AJ8" s="370">
        <f t="shared" si="14"/>
        <v>0</v>
      </c>
      <c r="AK8" s="370">
        <f t="shared" si="15"/>
        <v>2.5625</v>
      </c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/>
      <c r="BK8" s="356"/>
      <c r="BL8" s="356"/>
      <c r="BM8" s="356"/>
    </row>
    <row r="9">
      <c r="A9" s="368" t="s">
        <v>83</v>
      </c>
      <c r="B9" s="355">
        <f t="shared" si="1"/>
        <v>0</v>
      </c>
      <c r="C9" s="356">
        <f>'Турнирная таблица по Алфавиту'!E11</f>
        <v>0</v>
      </c>
      <c r="D9" s="357" t="str">
        <f>'Турнирная таблица по Алфавиту'!F11</f>
        <v/>
      </c>
      <c r="E9" s="358">
        <f>COUNTIFS('Все игры'!A$3:A1000,A9,'Все игры'!F$3:F1000,"=1")</f>
        <v>0</v>
      </c>
      <c r="F9" s="358">
        <f>COUNTIFS('Все игры'!A$3:A1000,A9,'Все игры'!F$3:F1000,"=0,50")</f>
        <v>0</v>
      </c>
      <c r="G9" s="358">
        <f>COUNTIFS('Все игры'!A$3:A1000,A9,'Все игры'!G$3:G1000,"&gt;0")</f>
        <v>0</v>
      </c>
      <c r="H9" s="359">
        <f t="shared" si="2"/>
        <v>0</v>
      </c>
      <c r="I9" s="360">
        <f>COUNTIFS('Все игры'!A$3:A1000,A9,'Все игры'!E$3:E1000,"У/Победа")</f>
        <v>0</v>
      </c>
      <c r="J9" s="360">
        <f>COUNTIFS('Все игры'!A$3:A1000,A9,'Все игры'!E$3:E1000,"У/Проигрыш")</f>
        <v>0</v>
      </c>
      <c r="K9" s="361">
        <f t="shared" si="3"/>
        <v>0</v>
      </c>
      <c r="L9" s="355">
        <f t="shared" si="4"/>
        <v>0</v>
      </c>
      <c r="M9" s="355">
        <f>COUNTIFS('Все игры'!A$3:A1000,A9,'Все игры'!C$3:C1000,"&gt;0",'Все игры'!B$3:B1000,"Мафия")</f>
        <v>0</v>
      </c>
      <c r="N9" s="355">
        <f>IFERROR(__xludf.DUMMYFUNCTION("COUNTBLANK(FILTER('Все игры'!A$3:C1000,'Все игры'!A$3:A1000=A9,'Все игры'!C$3:C1000 &lt; 1,'Все игры'!B$3:B1000=""Мафия""))"),0.0)</f>
        <v>0</v>
      </c>
      <c r="O9" s="355">
        <f>COUNTIFS('Все игры'!A$3:A1000,A9,'Все игры'!C$3:C1000,"&gt;0",'Все игры'!B$3:B1000,"Шериф")</f>
        <v>0</v>
      </c>
      <c r="P9" s="362">
        <f>IFERROR(__xludf.DUMMYFUNCTION("COUNTBLANK(FILTER('Все игры'!A$3:C1000,'Все игры'!A$3:A1000=A9,'Все игры'!C$3:C1000 &lt; 1,'Все игры'!B$3:B1000=""Шериф""))"),0.0)</f>
        <v>0</v>
      </c>
      <c r="Q9" s="355">
        <f>COUNTIFS('Все игры'!A$3:A1000,A9,'Все игры'!C$3:C1000,"&gt;0",'Все игры'!B$3:B1000,"Дон")</f>
        <v>0</v>
      </c>
      <c r="R9" s="355">
        <f>IFERROR(__xludf.DUMMYFUNCTION("COUNTBLANK(FILTER('Все игры'!A$3:C1000,'Все игры'!A$3:A1000=A9,'Все игры'!C$3:C1000 &lt; 1,'Все игры'!B$3:B1000=""Дон""))"),0.0)</f>
        <v>0</v>
      </c>
      <c r="S9" s="355">
        <f>COUNTIFS('Все игры'!A$3:A1000,A9,'Все игры'!C$3:C1000,"&gt;0",'Все игры'!B$3:B1000,"Мирный")</f>
        <v>0</v>
      </c>
      <c r="T9" s="363">
        <f>IFERROR(__xludf.DUMMYFUNCTION("COUNTBLANK(FILTER('Все игры'!A$3:C1000,'Все игры'!A$3:A1000=A9,'Все игры'!C$3:C1000 &lt; 1,'Все игры'!B$3:B1000=""Мирный""))"),0.0)</f>
        <v>0</v>
      </c>
      <c r="U9" s="364">
        <f t="shared" si="16"/>
        <v>0</v>
      </c>
      <c r="V9" s="365">
        <f t="shared" si="5"/>
        <v>0</v>
      </c>
      <c r="W9" s="365">
        <f t="shared" si="6"/>
        <v>0</v>
      </c>
      <c r="X9" s="365">
        <f t="shared" si="7"/>
        <v>0</v>
      </c>
      <c r="Y9" s="365">
        <f t="shared" si="8"/>
        <v>0</v>
      </c>
      <c r="Z9" s="365">
        <f t="shared" si="9"/>
        <v>0</v>
      </c>
      <c r="AA9" s="366">
        <f t="shared" si="10"/>
        <v>0</v>
      </c>
      <c r="AB9" s="356">
        <f>SUMIFS('Все игры'!D$3:D1000,'Все игры'!A$3:A1000,A9)</f>
        <v>0</v>
      </c>
      <c r="AC9" s="356">
        <f>SUMIFS('Все игры'!D$3:D1000,'Все игры'!A$3:A1000,A9,'Все игры'!B$3:B1000,"Мафия")</f>
        <v>0</v>
      </c>
      <c r="AD9" s="367">
        <f>SUMIFS('Все игры'!D$3:D1000,'Все игры'!A$3:A1000,A9,'Все игры'!B$3:B1000,"Шериф")</f>
        <v>0</v>
      </c>
      <c r="AE9" s="356">
        <f>SUMIFS('Все игры'!D$3:D1000,'Все игры'!A$3:A1000,A9,'Все игры'!B$3:B1000,"Дон")</f>
        <v>0</v>
      </c>
      <c r="AF9" s="357">
        <f>SUMIFS('Все игры'!D$3:D1000,'Все игры'!A$3:A1000,A9,'Все игры'!B$3:B1000,"Мирный")</f>
        <v>0</v>
      </c>
      <c r="AG9" s="356">
        <f t="shared" si="11"/>
        <v>0</v>
      </c>
      <c r="AH9" s="356">
        <f t="shared" si="12"/>
        <v>0</v>
      </c>
      <c r="AI9" s="356">
        <f t="shared" si="13"/>
        <v>0</v>
      </c>
      <c r="AJ9" s="356">
        <f t="shared" si="14"/>
        <v>0</v>
      </c>
      <c r="AK9" s="356">
        <f t="shared" si="15"/>
        <v>0</v>
      </c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/>
      <c r="BI9" s="356"/>
      <c r="BJ9" s="356"/>
      <c r="BK9" s="356"/>
      <c r="BL9" s="356"/>
      <c r="BM9" s="356"/>
    </row>
    <row r="10">
      <c r="A10" s="368" t="s">
        <v>84</v>
      </c>
      <c r="B10" s="369">
        <f t="shared" si="1"/>
        <v>0</v>
      </c>
      <c r="C10" s="370">
        <f>'Турнирная таблица по Алфавиту'!E12</f>
        <v>0</v>
      </c>
      <c r="D10" s="371" t="str">
        <f>'Турнирная таблица по Алфавиту'!F12</f>
        <v/>
      </c>
      <c r="E10" s="372">
        <f>COUNTIFS('Все игры'!A$3:A1000,A10,'Все игры'!F$3:F1000,"=1")</f>
        <v>0</v>
      </c>
      <c r="F10" s="372">
        <f>COUNTIFS('Все игры'!A$3:A1000,A10,'Все игры'!F$3:F1000,"=0,50")</f>
        <v>0</v>
      </c>
      <c r="G10" s="372">
        <f>COUNTIFS('Все игры'!A$3:A1000,A10,'Все игры'!G$3:G1000,"&gt;0")</f>
        <v>0</v>
      </c>
      <c r="H10" s="373">
        <f t="shared" si="2"/>
        <v>0</v>
      </c>
      <c r="I10" s="374">
        <f>COUNTIFS('Все игры'!A$3:A1000,A10,'Все игры'!E$3:E1000,"У/Победа")</f>
        <v>0</v>
      </c>
      <c r="J10" s="374">
        <f>COUNTIFS('Все игры'!A$3:A1000,A10,'Все игры'!E$3:E1000,"У/Проигрыш")</f>
        <v>0</v>
      </c>
      <c r="K10" s="375">
        <f t="shared" si="3"/>
        <v>0</v>
      </c>
      <c r="L10" s="369">
        <f t="shared" si="4"/>
        <v>0</v>
      </c>
      <c r="M10" s="369">
        <f>COUNTIFS('Все игры'!A$3:A1000,A10,'Все игры'!C$3:C1000,"&gt;0",'Все игры'!B$3:B1000,"Мафия")</f>
        <v>0</v>
      </c>
      <c r="N10" s="369">
        <f>IFERROR(__xludf.DUMMYFUNCTION("COUNTBLANK(FILTER('Все игры'!A$3:C1000,'Все игры'!A$3:A1000=A10,'Все игры'!C$3:C1000 &lt; 1,'Все игры'!B$3:B1000=""Мафия""))"),0.0)</f>
        <v>0</v>
      </c>
      <c r="O10" s="369">
        <f>COUNTIFS('Все игры'!A$3:A1000,A10,'Все игры'!C$3:C1000,"&gt;0",'Все игры'!B$3:B1000,"Шериф")</f>
        <v>0</v>
      </c>
      <c r="P10" s="376">
        <f>IFERROR(__xludf.DUMMYFUNCTION("COUNTBLANK(FILTER('Все игры'!A$3:C1000,'Все игры'!A$3:A1000=A10,'Все игры'!C$3:C1000 &lt; 1,'Все игры'!B$3:B1000=""Шериф""))"),0.0)</f>
        <v>0</v>
      </c>
      <c r="Q10" s="369">
        <f>COUNTIFS('Все игры'!A$3:A1000,A10,'Все игры'!C$3:C1000,"&gt;0",'Все игры'!B$3:B1000,"Дон")</f>
        <v>0</v>
      </c>
      <c r="R10" s="369">
        <f>IFERROR(__xludf.DUMMYFUNCTION("COUNTBLANK(FILTER('Все игры'!A$3:C1000,'Все игры'!A$3:A1000=A10,'Все игры'!C$3:C1000 &lt; 1,'Все игры'!B$3:B1000=""Дон""))"),0.0)</f>
        <v>0</v>
      </c>
      <c r="S10" s="369">
        <f>COUNTIFS('Все игры'!A$3:A1000,A10,'Все игры'!C$3:C1000,"&gt;0",'Все игры'!B$3:B1000,"Мирный")</f>
        <v>0</v>
      </c>
      <c r="T10" s="377">
        <f>IFERROR(__xludf.DUMMYFUNCTION("COUNTBLANK(FILTER('Все игры'!A$3:C1000,'Все игры'!A$3:A1000=A10,'Все игры'!C$3:C1000 &lt; 1,'Все игры'!B$3:B1000=""Мирный""))"),0.0)</f>
        <v>0</v>
      </c>
      <c r="U10" s="378">
        <f t="shared" si="16"/>
        <v>0</v>
      </c>
      <c r="V10" s="379">
        <f t="shared" si="5"/>
        <v>0</v>
      </c>
      <c r="W10" s="379">
        <f t="shared" si="6"/>
        <v>0</v>
      </c>
      <c r="X10" s="379">
        <f t="shared" si="7"/>
        <v>0</v>
      </c>
      <c r="Y10" s="379">
        <f t="shared" si="8"/>
        <v>0</v>
      </c>
      <c r="Z10" s="379">
        <f t="shared" si="9"/>
        <v>0</v>
      </c>
      <c r="AA10" s="380">
        <f t="shared" si="10"/>
        <v>0</v>
      </c>
      <c r="AB10" s="370">
        <f>SUMIFS('Все игры'!D$3:D1000,'Все игры'!A$3:A1000,A10)</f>
        <v>0</v>
      </c>
      <c r="AC10" s="370">
        <f>SUMIFS('Все игры'!D$3:D1000,'Все игры'!A$3:A1000,A10,'Все игры'!B$3:B1000,"Мафия")</f>
        <v>0</v>
      </c>
      <c r="AD10" s="381">
        <f>SUMIFS('Все игры'!D$3:D1000,'Все игры'!A$3:A1000,A10,'Все игры'!B$3:B1000,"Шериф")</f>
        <v>0</v>
      </c>
      <c r="AE10" s="370">
        <f>SUMIFS('Все игры'!D$3:D1000,'Все игры'!A$3:A1000,A10,'Все игры'!B$3:B1000,"Дон")</f>
        <v>0</v>
      </c>
      <c r="AF10" s="371">
        <f>SUMIFS('Все игры'!D$3:D1000,'Все игры'!A$3:A1000,A10,'Все игры'!B$3:B1000,"Мирный")</f>
        <v>0</v>
      </c>
      <c r="AG10" s="370">
        <f t="shared" si="11"/>
        <v>0</v>
      </c>
      <c r="AH10" s="370">
        <f t="shared" si="12"/>
        <v>0</v>
      </c>
      <c r="AI10" s="370">
        <f t="shared" si="13"/>
        <v>0</v>
      </c>
      <c r="AJ10" s="370">
        <f t="shared" si="14"/>
        <v>0</v>
      </c>
      <c r="AK10" s="370">
        <f t="shared" si="15"/>
        <v>0</v>
      </c>
      <c r="AL10" s="356"/>
      <c r="AM10" s="356"/>
      <c r="AN10" s="356"/>
      <c r="AO10" s="356"/>
      <c r="AP10" s="356"/>
      <c r="AQ10" s="356"/>
      <c r="AR10" s="356"/>
      <c r="AS10" s="356"/>
      <c r="AT10" s="356"/>
      <c r="AU10" s="356"/>
      <c r="AV10" s="356"/>
      <c r="AW10" s="356"/>
      <c r="AX10" s="356"/>
      <c r="AY10" s="356"/>
      <c r="AZ10" s="356"/>
      <c r="BA10" s="356"/>
      <c r="BB10" s="356"/>
      <c r="BC10" s="356"/>
      <c r="BD10" s="356"/>
      <c r="BE10" s="356"/>
      <c r="BF10" s="356"/>
      <c r="BG10" s="356"/>
      <c r="BH10" s="356"/>
      <c r="BI10" s="356"/>
      <c r="BJ10" s="356"/>
      <c r="BK10" s="356"/>
      <c r="BL10" s="356"/>
      <c r="BM10" s="356"/>
    </row>
    <row r="11">
      <c r="A11" s="368" t="s">
        <v>85</v>
      </c>
      <c r="B11" s="369">
        <f t="shared" si="1"/>
        <v>15</v>
      </c>
      <c r="C11" s="370">
        <f>'Турнирная таблица по Алфавиту'!E13</f>
        <v>46.5</v>
      </c>
      <c r="D11" s="371">
        <f>'Турнирная таблица по Алфавиту'!F13</f>
        <v>15.5</v>
      </c>
      <c r="E11" s="372">
        <f>COUNTIFS('Все игры'!A$3:A1000,A11,'Все игры'!F$3:F1000,"=1")</f>
        <v>0</v>
      </c>
      <c r="F11" s="372">
        <f>COUNTIFS('Все игры'!A$3:A1000,A11,'Все игры'!F$3:F1000,"=0,50")</f>
        <v>0</v>
      </c>
      <c r="G11" s="372">
        <f>COUNTIFS('Все игры'!A$3:A1000,A11,'Все игры'!G$3:G1000,"&gt;0")</f>
        <v>0</v>
      </c>
      <c r="H11" s="373">
        <f t="shared" si="2"/>
        <v>0</v>
      </c>
      <c r="I11" s="374">
        <f>COUNTIFS('Все игры'!A$3:A1000,A11,'Все игры'!E$3:E1000,"У/Победа")</f>
        <v>0</v>
      </c>
      <c r="J11" s="374">
        <f>COUNTIFS('Все игры'!A$3:A1000,A11,'Все игры'!E$3:E1000,"У/Проигрыш")</f>
        <v>1</v>
      </c>
      <c r="K11" s="375">
        <f t="shared" si="3"/>
        <v>10</v>
      </c>
      <c r="L11" s="369">
        <f t="shared" si="4"/>
        <v>5</v>
      </c>
      <c r="M11" s="369">
        <f>COUNTIFS('Все игры'!A$3:A1000,A11,'Все игры'!C$3:C1000,"&gt;0",'Все игры'!B$3:B1000,"Мафия")</f>
        <v>0</v>
      </c>
      <c r="N11" s="369">
        <f>IFERROR(__xludf.DUMMYFUNCTION("COUNTBLANK(FILTER('Все игры'!A$3:C1000,'Все игры'!A$3:A1000=A11,'Все игры'!C$3:C1000 &lt; 1,'Все игры'!B$3:B1000=""Мафия""))"),2.0)</f>
        <v>2</v>
      </c>
      <c r="O11" s="369">
        <f>COUNTIFS('Все игры'!A$3:A1000,A11,'Все игры'!C$3:C1000,"&gt;0",'Все игры'!B$3:B1000,"Шериф")</f>
        <v>1</v>
      </c>
      <c r="P11" s="376">
        <f>IFERROR(__xludf.DUMMYFUNCTION("COUNTBLANK(FILTER('Все игры'!A$3:C1000,'Все игры'!A$3:A1000=A11,'Все игры'!C$3:C1000 &lt; 1,'Все игры'!B$3:B1000=""Шериф""))"),0.0)</f>
        <v>0</v>
      </c>
      <c r="Q11" s="369">
        <f>COUNTIFS('Все игры'!A$3:A1000,A11,'Все игры'!C$3:C1000,"&gt;0",'Все игры'!B$3:B1000,"Дон")</f>
        <v>1</v>
      </c>
      <c r="R11" s="369">
        <f>IFERROR(__xludf.DUMMYFUNCTION("COUNTBLANK(FILTER('Все игры'!A$3:C1000,'Все игры'!A$3:A1000=A11,'Все игры'!C$3:C1000 &lt; 1,'Все игры'!B$3:B1000=""Дон""))"),2.0)</f>
        <v>2</v>
      </c>
      <c r="S11" s="369">
        <f>COUNTIFS('Все игры'!A$3:A1000,A11,'Все игры'!C$3:C1000,"&gt;0",'Все игры'!B$3:B1000,"Мирный")</f>
        <v>2</v>
      </c>
      <c r="T11" s="377">
        <f>IFERROR(__xludf.DUMMYFUNCTION("COUNTBLANK(FILTER('Все игры'!A$3:C1000,'Все игры'!A$3:A1000=A11,'Все игры'!C$3:C1000 &lt; 1,'Все игры'!B$3:B1000=""Мирный""))"),7.0)</f>
        <v>7</v>
      </c>
      <c r="U11" s="378">
        <f t="shared" si="16"/>
        <v>0.2666666667</v>
      </c>
      <c r="V11" s="379">
        <f t="shared" si="5"/>
        <v>0.3</v>
      </c>
      <c r="W11" s="379">
        <f t="shared" si="6"/>
        <v>0.2</v>
      </c>
      <c r="X11" s="379">
        <f t="shared" si="7"/>
        <v>0</v>
      </c>
      <c r="Y11" s="379">
        <f t="shared" si="8"/>
        <v>1</v>
      </c>
      <c r="Z11" s="379">
        <f t="shared" si="9"/>
        <v>0.3333333333</v>
      </c>
      <c r="AA11" s="380">
        <f t="shared" si="10"/>
        <v>0.2222222222</v>
      </c>
      <c r="AB11" s="370">
        <f>SUMIFS('Все игры'!D$3:D1000,'Все игры'!A$3:A1000,A11)</f>
        <v>36.5</v>
      </c>
      <c r="AC11" s="370">
        <f>SUMIFS('Все игры'!D$3:D1000,'Все игры'!A$3:A1000,A11,'Все игры'!B$3:B1000,"Мафия")</f>
        <v>4.5</v>
      </c>
      <c r="AD11" s="381">
        <f>SUMIFS('Все игры'!D$3:D1000,'Все игры'!A$3:A1000,A11,'Все игры'!B$3:B1000,"Шериф")</f>
        <v>4</v>
      </c>
      <c r="AE11" s="370">
        <f>SUMIFS('Все игры'!D$3:D1000,'Все игры'!A$3:A1000,A11,'Все игры'!B$3:B1000,"Дон")</f>
        <v>6</v>
      </c>
      <c r="AF11" s="371">
        <f>SUMIFS('Все игры'!D$3:D1000,'Все игры'!A$3:A1000,A11,'Все игры'!B$3:B1000,"Мирный")</f>
        <v>22</v>
      </c>
      <c r="AG11" s="370">
        <f t="shared" si="11"/>
        <v>2.433333333</v>
      </c>
      <c r="AH11" s="370">
        <f t="shared" si="12"/>
        <v>2.25</v>
      </c>
      <c r="AI11" s="370">
        <f t="shared" si="13"/>
        <v>4</v>
      </c>
      <c r="AJ11" s="370">
        <f t="shared" si="14"/>
        <v>2</v>
      </c>
      <c r="AK11" s="370">
        <f t="shared" si="15"/>
        <v>2.444444444</v>
      </c>
      <c r="AL11" s="356"/>
      <c r="AM11" s="356"/>
      <c r="AN11" s="356"/>
      <c r="AO11" s="356"/>
      <c r="AP11" s="356"/>
      <c r="AQ11" s="356"/>
      <c r="AR11" s="356"/>
      <c r="AS11" s="356"/>
      <c r="AT11" s="356"/>
      <c r="AU11" s="356"/>
      <c r="AV11" s="356"/>
      <c r="AW11" s="356"/>
      <c r="AX11" s="356"/>
      <c r="AY11" s="356"/>
      <c r="AZ11" s="356"/>
      <c r="BA11" s="356"/>
      <c r="BB11" s="356"/>
      <c r="BC11" s="356"/>
      <c r="BD11" s="356"/>
      <c r="BE11" s="356"/>
      <c r="BF11" s="356"/>
      <c r="BG11" s="356"/>
      <c r="BH11" s="356"/>
      <c r="BI11" s="356"/>
      <c r="BJ11" s="356"/>
      <c r="BK11" s="356"/>
      <c r="BL11" s="356"/>
      <c r="BM11" s="356"/>
    </row>
    <row r="12">
      <c r="A12" s="368" t="s">
        <v>86</v>
      </c>
      <c r="B12" s="355">
        <f t="shared" si="1"/>
        <v>10</v>
      </c>
      <c r="C12" s="356">
        <f>'Турнирная таблица по Алфавиту'!E14</f>
        <v>41.25</v>
      </c>
      <c r="D12" s="357">
        <f>'Турнирная таблица по Алфавиту'!F14</f>
        <v>20.625</v>
      </c>
      <c r="E12" s="358">
        <f>COUNTIFS('Все игры'!A$3:A1000,A12,'Все игры'!F$3:F1000,"=1")</f>
        <v>0</v>
      </c>
      <c r="F12" s="358">
        <f>COUNTIFS('Все игры'!A$3:A1000,A12,'Все игры'!F$3:F1000,"=0,50")</f>
        <v>0</v>
      </c>
      <c r="G12" s="358">
        <f>COUNTIFS('Все игры'!A$3:A1000,A12,'Все игры'!G$3:G1000,"&gt;0")</f>
        <v>1</v>
      </c>
      <c r="H12" s="359">
        <f t="shared" si="2"/>
        <v>0.2</v>
      </c>
      <c r="I12" s="360">
        <f>COUNTIFS('Все игры'!A$3:A1000,A12,'Все игры'!E$3:E1000,"У/Победа")</f>
        <v>3</v>
      </c>
      <c r="J12" s="360">
        <f>COUNTIFS('Все игры'!A$3:A1000,A12,'Все игры'!E$3:E1000,"У/Проигрыш")</f>
        <v>0</v>
      </c>
      <c r="K12" s="361">
        <f t="shared" si="3"/>
        <v>5</v>
      </c>
      <c r="L12" s="355">
        <f t="shared" si="4"/>
        <v>5</v>
      </c>
      <c r="M12" s="355">
        <f>COUNTIFS('Все игры'!A$3:A1000,A12,'Все игры'!C$3:C1000,"&gt;0",'Все игры'!B$3:B1000,"Мафия")</f>
        <v>1</v>
      </c>
      <c r="N12" s="355">
        <f>IFERROR(__xludf.DUMMYFUNCTION("COUNTBLANK(FILTER('Все игры'!A$3:C1000,'Все игры'!A$3:A1000=A12,'Все игры'!C$3:C1000 &lt; 1,'Все игры'!B$3:B1000=""Мафия""))"),0.0)</f>
        <v>0</v>
      </c>
      <c r="O12" s="355">
        <f>COUNTIFS('Все игры'!A$3:A1000,A12,'Все игры'!C$3:C1000,"&gt;0",'Все игры'!B$3:B1000,"Шериф")</f>
        <v>0</v>
      </c>
      <c r="P12" s="362">
        <f>IFERROR(__xludf.DUMMYFUNCTION("COUNTBLANK(FILTER('Все игры'!A$3:C1000,'Все игры'!A$3:A1000=A12,'Все игры'!C$3:C1000 &lt; 1,'Все игры'!B$3:B1000=""Шериф""))"),0.0)</f>
        <v>0</v>
      </c>
      <c r="Q12" s="355">
        <f>COUNTIFS('Все игры'!A$3:A1000,A12,'Все игры'!C$3:C1000,"&gt;0",'Все игры'!B$3:B1000,"Дон")</f>
        <v>3</v>
      </c>
      <c r="R12" s="355">
        <f>IFERROR(__xludf.DUMMYFUNCTION("COUNTBLANK(FILTER('Все игры'!A$3:C1000,'Все игры'!A$3:A1000=A12,'Все игры'!C$3:C1000 &lt; 1,'Все игры'!B$3:B1000=""Дон""))"),1.0)</f>
        <v>1</v>
      </c>
      <c r="S12" s="355">
        <f>COUNTIFS('Все игры'!A$3:A1000,A12,'Все игры'!C$3:C1000,"&gt;0",'Все игры'!B$3:B1000,"Мирный")</f>
        <v>1</v>
      </c>
      <c r="T12" s="363">
        <f>IFERROR(__xludf.DUMMYFUNCTION("COUNTBLANK(FILTER('Все игры'!A$3:C1000,'Все игры'!A$3:A1000=A12,'Все игры'!C$3:C1000 &lt; 1,'Все игры'!B$3:B1000=""Мирный""))"),4.0)</f>
        <v>4</v>
      </c>
      <c r="U12" s="364">
        <f t="shared" si="16"/>
        <v>0.5</v>
      </c>
      <c r="V12" s="365">
        <f t="shared" si="5"/>
        <v>0.2</v>
      </c>
      <c r="W12" s="365">
        <f t="shared" si="6"/>
        <v>0.8</v>
      </c>
      <c r="X12" s="365">
        <f t="shared" si="7"/>
        <v>1</v>
      </c>
      <c r="Y12" s="365">
        <f t="shared" si="8"/>
        <v>0</v>
      </c>
      <c r="Z12" s="365">
        <f t="shared" si="9"/>
        <v>0.75</v>
      </c>
      <c r="AA12" s="366">
        <f t="shared" si="10"/>
        <v>0.2</v>
      </c>
      <c r="AB12" s="356">
        <f>SUMIFS('Все игры'!D$3:D1000,'Все игры'!A$3:A1000,A12)</f>
        <v>28.25</v>
      </c>
      <c r="AC12" s="356">
        <f>SUMIFS('Все игры'!D$3:D1000,'Все игры'!A$3:A1000,A12,'Все игры'!B$3:B1000,"Мафия")</f>
        <v>3.5</v>
      </c>
      <c r="AD12" s="367">
        <f>SUMIFS('Все игры'!D$3:D1000,'Все игры'!A$3:A1000,A12,'Все игры'!B$3:B1000,"Шериф")</f>
        <v>0</v>
      </c>
      <c r="AE12" s="356">
        <f>SUMIFS('Все игры'!D$3:D1000,'Все игры'!A$3:A1000,A12,'Все игры'!B$3:B1000,"Дон")</f>
        <v>13.75</v>
      </c>
      <c r="AF12" s="357">
        <f>SUMIFS('Все игры'!D$3:D1000,'Все игры'!A$3:A1000,A12,'Все игры'!B$3:B1000,"Мирный")</f>
        <v>11</v>
      </c>
      <c r="AG12" s="356">
        <f t="shared" si="11"/>
        <v>2.825</v>
      </c>
      <c r="AH12" s="356">
        <f t="shared" si="12"/>
        <v>3.5</v>
      </c>
      <c r="AI12" s="356">
        <f t="shared" si="13"/>
        <v>0</v>
      </c>
      <c r="AJ12" s="356">
        <f t="shared" si="14"/>
        <v>3.4375</v>
      </c>
      <c r="AK12" s="356">
        <f t="shared" si="15"/>
        <v>2.2</v>
      </c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6"/>
      <c r="BM12" s="356"/>
    </row>
    <row r="13">
      <c r="A13" s="368" t="s">
        <v>87</v>
      </c>
      <c r="B13" s="369">
        <f t="shared" si="1"/>
        <v>0</v>
      </c>
      <c r="C13" s="370">
        <f>'Турнирная таблица по Алфавиту'!E15</f>
        <v>0</v>
      </c>
      <c r="D13" s="371" t="str">
        <f>'Турнирная таблица по Алфавиту'!F15</f>
        <v/>
      </c>
      <c r="E13" s="372">
        <f>COUNTIFS('Все игры'!A$3:A1000,A13,'Все игры'!F$3:F1000,"=1")</f>
        <v>0</v>
      </c>
      <c r="F13" s="372">
        <f>COUNTIFS('Все игры'!A$3:A1000,A13,'Все игры'!F$3:F1000,"=0,50")</f>
        <v>0</v>
      </c>
      <c r="G13" s="372">
        <f>COUNTIFS('Все игры'!A$3:A1000,A13,'Все игры'!G$3:G1000,"&gt;0")</f>
        <v>0</v>
      </c>
      <c r="H13" s="373">
        <f t="shared" si="2"/>
        <v>0</v>
      </c>
      <c r="I13" s="374">
        <f>COUNTIFS('Все игры'!A$3:A1000,A13,'Все игры'!E$3:E1000,"У/Победа")</f>
        <v>0</v>
      </c>
      <c r="J13" s="374">
        <f>COUNTIFS('Все игры'!A$3:A1000,A13,'Все игры'!E$3:E1000,"У/Проигрыш")</f>
        <v>0</v>
      </c>
      <c r="K13" s="375">
        <f t="shared" si="3"/>
        <v>0</v>
      </c>
      <c r="L13" s="369">
        <f t="shared" si="4"/>
        <v>0</v>
      </c>
      <c r="M13" s="369">
        <f>COUNTIFS('Все игры'!A$3:A1000,A13,'Все игры'!C$3:C1000,"&gt;0",'Все игры'!B$3:B1000,"Мафия")</f>
        <v>0</v>
      </c>
      <c r="N13" s="369">
        <f>IFERROR(__xludf.DUMMYFUNCTION("COUNTBLANK(FILTER('Все игры'!A$3:C1000,'Все игры'!A$3:A1000=A13,'Все игры'!C$3:C1000 &lt; 1,'Все игры'!B$3:B1000=""Мафия""))"),0.0)</f>
        <v>0</v>
      </c>
      <c r="O13" s="369">
        <f>COUNTIFS('Все игры'!A$3:A1000,A13,'Все игры'!C$3:C1000,"&gt;0",'Все игры'!B$3:B1000,"Шериф")</f>
        <v>0</v>
      </c>
      <c r="P13" s="376">
        <f>IFERROR(__xludf.DUMMYFUNCTION("COUNTBLANK(FILTER('Все игры'!A$3:C1000,'Все игры'!A$3:A1000=A13,'Все игры'!C$3:C1000 &lt; 1,'Все игры'!B$3:B1000=""Шериф""))"),0.0)</f>
        <v>0</v>
      </c>
      <c r="Q13" s="369">
        <f>COUNTIFS('Все игры'!A$3:A1000,A13,'Все игры'!C$3:C1000,"&gt;0",'Все игры'!B$3:B1000,"Дон")</f>
        <v>0</v>
      </c>
      <c r="R13" s="369">
        <f>IFERROR(__xludf.DUMMYFUNCTION("COUNTBLANK(FILTER('Все игры'!A$3:C1000,'Все игры'!A$3:A1000=A13,'Все игры'!C$3:C1000 &lt; 1,'Все игры'!B$3:B1000=""Дон""))"),0.0)</f>
        <v>0</v>
      </c>
      <c r="S13" s="369">
        <f>COUNTIFS('Все игры'!A$3:A1000,A13,'Все игры'!C$3:C1000,"&gt;0",'Все игры'!B$3:B1000,"Мирный")</f>
        <v>0</v>
      </c>
      <c r="T13" s="377">
        <f>IFERROR(__xludf.DUMMYFUNCTION("COUNTBLANK(FILTER('Все игры'!A$3:C1000,'Все игры'!A$3:A1000=A13,'Все игры'!C$3:C1000 &lt; 1,'Все игры'!B$3:B1000=""Мирный""))"),0.0)</f>
        <v>0</v>
      </c>
      <c r="U13" s="378">
        <f t="shared" si="16"/>
        <v>0</v>
      </c>
      <c r="V13" s="379">
        <f t="shared" si="5"/>
        <v>0</v>
      </c>
      <c r="W13" s="379">
        <f t="shared" si="6"/>
        <v>0</v>
      </c>
      <c r="X13" s="379">
        <f t="shared" si="7"/>
        <v>0</v>
      </c>
      <c r="Y13" s="379">
        <f t="shared" si="8"/>
        <v>0</v>
      </c>
      <c r="Z13" s="379">
        <f t="shared" si="9"/>
        <v>0</v>
      </c>
      <c r="AA13" s="380">
        <f t="shared" si="10"/>
        <v>0</v>
      </c>
      <c r="AB13" s="370">
        <f>SUMIFS('Все игры'!D$3:D1000,'Все игры'!A$3:A1000,A13)</f>
        <v>0</v>
      </c>
      <c r="AC13" s="370">
        <f>SUMIFS('Все игры'!D$3:D1000,'Все игры'!A$3:A1000,A13,'Все игры'!B$3:B1000,"Мафия")</f>
        <v>0</v>
      </c>
      <c r="AD13" s="381">
        <f>SUMIFS('Все игры'!D$3:D1000,'Все игры'!A$3:A1000,A13,'Все игры'!B$3:B1000,"Шериф")</f>
        <v>0</v>
      </c>
      <c r="AE13" s="370">
        <f>SUMIFS('Все игры'!D$3:D1000,'Все игры'!A$3:A1000,A13,'Все игры'!B$3:B1000,"Дон")</f>
        <v>0</v>
      </c>
      <c r="AF13" s="371">
        <f>SUMIFS('Все игры'!D$3:D1000,'Все игры'!A$3:A1000,A13,'Все игры'!B$3:B1000,"Мирный")</f>
        <v>0</v>
      </c>
      <c r="AG13" s="370">
        <f t="shared" si="11"/>
        <v>0</v>
      </c>
      <c r="AH13" s="370">
        <f t="shared" si="12"/>
        <v>0</v>
      </c>
      <c r="AI13" s="370">
        <f t="shared" si="13"/>
        <v>0</v>
      </c>
      <c r="AJ13" s="370">
        <f t="shared" si="14"/>
        <v>0</v>
      </c>
      <c r="AK13" s="370">
        <f t="shared" si="15"/>
        <v>0</v>
      </c>
      <c r="AL13" s="356"/>
      <c r="AM13" s="356"/>
      <c r="AN13" s="356"/>
      <c r="AO13" s="356"/>
      <c r="AP13" s="356"/>
      <c r="AQ13" s="356"/>
      <c r="AR13" s="356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/>
      <c r="BE13" s="356"/>
      <c r="BF13" s="356"/>
      <c r="BG13" s="356"/>
      <c r="BH13" s="356"/>
      <c r="BI13" s="356"/>
      <c r="BJ13" s="356"/>
      <c r="BK13" s="356"/>
      <c r="BL13" s="356"/>
      <c r="BM13" s="356"/>
    </row>
    <row r="14">
      <c r="A14" s="368" t="s">
        <v>88</v>
      </c>
      <c r="B14" s="355">
        <f t="shared" si="1"/>
        <v>0</v>
      </c>
      <c r="C14" s="356">
        <f>'Турнирная таблица по Алфавиту'!E16</f>
        <v>0</v>
      </c>
      <c r="D14" s="357" t="str">
        <f>'Турнирная таблица по Алфавиту'!F16</f>
        <v/>
      </c>
      <c r="E14" s="358">
        <f>COUNTIFS('Все игры'!A$3:A1000,A14,'Все игры'!F$3:F1000,"=1")</f>
        <v>0</v>
      </c>
      <c r="F14" s="358">
        <f>COUNTIFS('Все игры'!A$3:A1000,A14,'Все игры'!F$3:F1000,"=0,50")</f>
        <v>0</v>
      </c>
      <c r="G14" s="358">
        <f>COUNTIFS('Все игры'!A$3:A1000,A14,'Все игры'!G$3:G1000,"&gt;0")</f>
        <v>0</v>
      </c>
      <c r="H14" s="359">
        <f t="shared" si="2"/>
        <v>0</v>
      </c>
      <c r="I14" s="360">
        <f>COUNTIFS('Все игры'!A$3:A1000,A14,'Все игры'!E$3:E1000,"У/Победа")</f>
        <v>0</v>
      </c>
      <c r="J14" s="360">
        <f>COUNTIFS('Все игры'!A$3:A1000,A14,'Все игры'!E$3:E1000,"У/Проигрыш")</f>
        <v>0</v>
      </c>
      <c r="K14" s="361">
        <f t="shared" si="3"/>
        <v>0</v>
      </c>
      <c r="L14" s="355">
        <f t="shared" si="4"/>
        <v>0</v>
      </c>
      <c r="M14" s="355">
        <f>COUNTIFS('Все игры'!A$3:A1000,A14,'Все игры'!C$3:C1000,"&gt;0",'Все игры'!B$3:B1000,"Мафия")</f>
        <v>0</v>
      </c>
      <c r="N14" s="355">
        <f>IFERROR(__xludf.DUMMYFUNCTION("COUNTBLANK(FILTER('Все игры'!A$3:C1000,'Все игры'!A$3:A1000=A14,'Все игры'!C$3:C1000 &lt; 1,'Все игры'!B$3:B1000=""Мафия""))"),0.0)</f>
        <v>0</v>
      </c>
      <c r="O14" s="355">
        <f>COUNTIFS('Все игры'!A$3:A1000,A14,'Все игры'!C$3:C1000,"&gt;0",'Все игры'!B$3:B1000,"Шериф")</f>
        <v>0</v>
      </c>
      <c r="P14" s="362">
        <f>IFERROR(__xludf.DUMMYFUNCTION("COUNTBLANK(FILTER('Все игры'!A$3:C1000,'Все игры'!A$3:A1000=A14,'Все игры'!C$3:C1000 &lt; 1,'Все игры'!B$3:B1000=""Шериф""))"),0.0)</f>
        <v>0</v>
      </c>
      <c r="Q14" s="355">
        <f>COUNTIFS('Все игры'!A$3:A1000,A14,'Все игры'!C$3:C1000,"&gt;0",'Все игры'!B$3:B1000,"Дон")</f>
        <v>0</v>
      </c>
      <c r="R14" s="355">
        <f>IFERROR(__xludf.DUMMYFUNCTION("COUNTBLANK(FILTER('Все игры'!A$3:C1000,'Все игры'!A$3:A1000=A14,'Все игры'!C$3:C1000 &lt; 1,'Все игры'!B$3:B1000=""Дон""))"),0.0)</f>
        <v>0</v>
      </c>
      <c r="S14" s="355">
        <f>COUNTIFS('Все игры'!A$3:A1000,A14,'Все игры'!C$3:C1000,"&gt;0",'Все игры'!B$3:B1000,"Мирный")</f>
        <v>0</v>
      </c>
      <c r="T14" s="363">
        <f>IFERROR(__xludf.DUMMYFUNCTION("COUNTBLANK(FILTER('Все игры'!A$3:C1000,'Все игры'!A$3:A1000=A14,'Все игры'!C$3:C1000 &lt; 1,'Все игры'!B$3:B1000=""Мирный""))"),0.0)</f>
        <v>0</v>
      </c>
      <c r="U14" s="364">
        <f t="shared" si="16"/>
        <v>0</v>
      </c>
      <c r="V14" s="365">
        <f t="shared" si="5"/>
        <v>0</v>
      </c>
      <c r="W14" s="365">
        <f t="shared" si="6"/>
        <v>0</v>
      </c>
      <c r="X14" s="365">
        <f t="shared" si="7"/>
        <v>0</v>
      </c>
      <c r="Y14" s="365">
        <f t="shared" si="8"/>
        <v>0</v>
      </c>
      <c r="Z14" s="365">
        <f t="shared" si="9"/>
        <v>0</v>
      </c>
      <c r="AA14" s="366">
        <f t="shared" si="10"/>
        <v>0</v>
      </c>
      <c r="AB14" s="356">
        <f>SUMIFS('Все игры'!D$3:D1000,'Все игры'!A$3:A1000,A14)</f>
        <v>0</v>
      </c>
      <c r="AC14" s="356">
        <f>SUMIFS('Все игры'!D$3:D1000,'Все игры'!A$3:A1000,A14,'Все игры'!B$3:B1000,"Мафия")</f>
        <v>0</v>
      </c>
      <c r="AD14" s="367">
        <f>SUMIFS('Все игры'!D$3:D1000,'Все игры'!A$3:A1000,A14,'Все игры'!B$3:B1000,"Шериф")</f>
        <v>0</v>
      </c>
      <c r="AE14" s="356">
        <f>SUMIFS('Все игры'!D$3:D1000,'Все игры'!A$3:A1000,A14,'Все игры'!B$3:B1000,"Дон")</f>
        <v>0</v>
      </c>
      <c r="AF14" s="357">
        <f>SUMIFS('Все игры'!D$3:D1000,'Все игры'!A$3:A1000,A14,'Все игры'!B$3:B1000,"Мирный")</f>
        <v>0</v>
      </c>
      <c r="AG14" s="356">
        <f t="shared" si="11"/>
        <v>0</v>
      </c>
      <c r="AH14" s="356">
        <f t="shared" si="12"/>
        <v>0</v>
      </c>
      <c r="AI14" s="356">
        <f t="shared" si="13"/>
        <v>0</v>
      </c>
      <c r="AJ14" s="356">
        <f t="shared" si="14"/>
        <v>0</v>
      </c>
      <c r="AK14" s="356">
        <f t="shared" si="15"/>
        <v>0</v>
      </c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</row>
    <row r="15">
      <c r="A15" s="368" t="s">
        <v>89</v>
      </c>
      <c r="B15" s="369">
        <f t="shared" si="1"/>
        <v>0</v>
      </c>
      <c r="C15" s="370">
        <f>'Турнирная таблица по Алфавиту'!E17</f>
        <v>0</v>
      </c>
      <c r="D15" s="371" t="str">
        <f>'Турнирная таблица по Алфавиту'!F17</f>
        <v/>
      </c>
      <c r="E15" s="372">
        <f>COUNTIFS('Все игры'!A$3:A1000,A15,'Все игры'!F$3:F1000,"=1")</f>
        <v>0</v>
      </c>
      <c r="F15" s="372">
        <f>COUNTIFS('Все игры'!A$3:A1000,A15,'Все игры'!F$3:F1000,"=0,50")</f>
        <v>0</v>
      </c>
      <c r="G15" s="372">
        <f>COUNTIFS('Все игры'!A$3:A1000,A15,'Все игры'!G$3:G1000,"&gt;0")</f>
        <v>0</v>
      </c>
      <c r="H15" s="373">
        <f t="shared" si="2"/>
        <v>0</v>
      </c>
      <c r="I15" s="374">
        <f>COUNTIFS('Все игры'!A$3:A1000,A15,'Все игры'!E$3:E1000,"У/Победа")</f>
        <v>0</v>
      </c>
      <c r="J15" s="374">
        <f>COUNTIFS('Все игры'!A$3:A1000,A15,'Все игры'!E$3:E1000,"У/Проигрыш")</f>
        <v>0</v>
      </c>
      <c r="K15" s="375">
        <f t="shared" si="3"/>
        <v>0</v>
      </c>
      <c r="L15" s="369">
        <f t="shared" si="4"/>
        <v>0</v>
      </c>
      <c r="M15" s="369">
        <f>COUNTIFS('Все игры'!A$3:A1000,A15,'Все игры'!C$3:C1000,"&gt;0",'Все игры'!B$3:B1000,"Мафия")</f>
        <v>0</v>
      </c>
      <c r="N15" s="369">
        <f>IFERROR(__xludf.DUMMYFUNCTION("COUNTBLANK(FILTER('Все игры'!A$3:C1000,'Все игры'!A$3:A1000=A15,'Все игры'!C$3:C1000 &lt; 1,'Все игры'!B$3:B1000=""Мафия""))"),0.0)</f>
        <v>0</v>
      </c>
      <c r="O15" s="369">
        <f>COUNTIFS('Все игры'!A$3:A1000,A15,'Все игры'!C$3:C1000,"&gt;0",'Все игры'!B$3:B1000,"Шериф")</f>
        <v>0</v>
      </c>
      <c r="P15" s="376">
        <f>IFERROR(__xludf.DUMMYFUNCTION("COUNTBLANK(FILTER('Все игры'!A$3:C1000,'Все игры'!A$3:A1000=A15,'Все игры'!C$3:C1000 &lt; 1,'Все игры'!B$3:B1000=""Шериф""))"),0.0)</f>
        <v>0</v>
      </c>
      <c r="Q15" s="369">
        <f>COUNTIFS('Все игры'!A$3:A1000,A15,'Все игры'!C$3:C1000,"&gt;0",'Все игры'!B$3:B1000,"Дон")</f>
        <v>0</v>
      </c>
      <c r="R15" s="369">
        <f>IFERROR(__xludf.DUMMYFUNCTION("COUNTBLANK(FILTER('Все игры'!A$3:C1000,'Все игры'!A$3:A1000=A15,'Все игры'!C$3:C1000 &lt; 1,'Все игры'!B$3:B1000=""Дон""))"),0.0)</f>
        <v>0</v>
      </c>
      <c r="S15" s="369">
        <f>COUNTIFS('Все игры'!A$3:A1000,A15,'Все игры'!C$3:C1000,"&gt;0",'Все игры'!B$3:B1000,"Мирный")</f>
        <v>0</v>
      </c>
      <c r="T15" s="377">
        <f>IFERROR(__xludf.DUMMYFUNCTION("COUNTBLANK(FILTER('Все игры'!A$3:C1000,'Все игры'!A$3:A1000=A15,'Все игры'!C$3:C1000 &lt; 1,'Все игры'!B$3:B1000=""Мирный""))"),0.0)</f>
        <v>0</v>
      </c>
      <c r="U15" s="378">
        <f t="shared" si="16"/>
        <v>0</v>
      </c>
      <c r="V15" s="379">
        <f t="shared" si="5"/>
        <v>0</v>
      </c>
      <c r="W15" s="379">
        <f t="shared" si="6"/>
        <v>0</v>
      </c>
      <c r="X15" s="379">
        <f t="shared" si="7"/>
        <v>0</v>
      </c>
      <c r="Y15" s="379">
        <f t="shared" si="8"/>
        <v>0</v>
      </c>
      <c r="Z15" s="379">
        <f t="shared" si="9"/>
        <v>0</v>
      </c>
      <c r="AA15" s="380">
        <f t="shared" si="10"/>
        <v>0</v>
      </c>
      <c r="AB15" s="370">
        <f>SUMIFS('Все игры'!D$3:D1000,'Все игры'!A$3:A1000,A15)</f>
        <v>0</v>
      </c>
      <c r="AC15" s="370">
        <f>SUMIFS('Все игры'!D$3:D1000,'Все игры'!A$3:A1000,A15,'Все игры'!B$3:B1000,"Мафия")</f>
        <v>0</v>
      </c>
      <c r="AD15" s="381">
        <f>SUMIFS('Все игры'!D$3:D1000,'Все игры'!A$3:A1000,A15,'Все игры'!B$3:B1000,"Шериф")</f>
        <v>0</v>
      </c>
      <c r="AE15" s="370">
        <f>SUMIFS('Все игры'!D$3:D1000,'Все игры'!A$3:A1000,A15,'Все игры'!B$3:B1000,"Дон")</f>
        <v>0</v>
      </c>
      <c r="AF15" s="371">
        <f>SUMIFS('Все игры'!D$3:D1000,'Все игры'!A$3:A1000,A15,'Все игры'!B$3:B1000,"Мирный")</f>
        <v>0</v>
      </c>
      <c r="AG15" s="370">
        <f t="shared" si="11"/>
        <v>0</v>
      </c>
      <c r="AH15" s="370">
        <f t="shared" si="12"/>
        <v>0</v>
      </c>
      <c r="AI15" s="370">
        <f t="shared" si="13"/>
        <v>0</v>
      </c>
      <c r="AJ15" s="370">
        <f t="shared" si="14"/>
        <v>0</v>
      </c>
      <c r="AK15" s="370">
        <f t="shared" si="15"/>
        <v>0</v>
      </c>
      <c r="AL15" s="356"/>
      <c r="AM15" s="356"/>
      <c r="AN15" s="356"/>
      <c r="AO15" s="356"/>
      <c r="AP15" s="356"/>
      <c r="AQ15" s="356"/>
      <c r="AR15" s="356"/>
      <c r="AS15" s="356"/>
      <c r="AT15" s="356"/>
      <c r="AU15" s="356"/>
      <c r="AV15" s="356"/>
      <c r="AW15" s="356"/>
      <c r="AX15" s="356"/>
      <c r="AY15" s="356"/>
      <c r="AZ15" s="356"/>
      <c r="BA15" s="356"/>
      <c r="BB15" s="356"/>
      <c r="BC15" s="356"/>
      <c r="BD15" s="356"/>
      <c r="BE15" s="356"/>
      <c r="BF15" s="356"/>
      <c r="BG15" s="356"/>
      <c r="BH15" s="356"/>
      <c r="BI15" s="356"/>
      <c r="BJ15" s="356"/>
      <c r="BK15" s="356"/>
      <c r="BL15" s="356"/>
      <c r="BM15" s="356"/>
    </row>
    <row r="16">
      <c r="A16" s="368" t="s">
        <v>90</v>
      </c>
      <c r="B16" s="355">
        <f t="shared" si="1"/>
        <v>5</v>
      </c>
      <c r="C16" s="356">
        <f>'Турнирная таблица по Алфавиту'!E18</f>
        <v>22</v>
      </c>
      <c r="D16" s="357">
        <f>'Турнирная таблица по Алфавиту'!F18</f>
        <v>22</v>
      </c>
      <c r="E16" s="358">
        <f>COUNTIFS('Все игры'!A$3:A1000,A16,'Все игры'!F$3:F1000,"=1")</f>
        <v>0</v>
      </c>
      <c r="F16" s="358">
        <f>COUNTIFS('Все игры'!A$3:A1000,A16,'Все игры'!F$3:F1000,"=0,50")</f>
        <v>0</v>
      </c>
      <c r="G16" s="358">
        <f>COUNTIFS('Все игры'!A$3:A1000,A16,'Все игры'!G$3:G1000,"&gt;0")</f>
        <v>0</v>
      </c>
      <c r="H16" s="359">
        <f t="shared" si="2"/>
        <v>0</v>
      </c>
      <c r="I16" s="360">
        <f>COUNTIFS('Все игры'!A$3:A1000,A16,'Все игры'!E$3:E1000,"У/Победа")</f>
        <v>0</v>
      </c>
      <c r="J16" s="360">
        <f>COUNTIFS('Все игры'!A$3:A1000,A16,'Все игры'!E$3:E1000,"У/Проигрыш")</f>
        <v>0</v>
      </c>
      <c r="K16" s="361">
        <f t="shared" si="3"/>
        <v>3</v>
      </c>
      <c r="L16" s="355">
        <f t="shared" si="4"/>
        <v>2</v>
      </c>
      <c r="M16" s="355">
        <f>COUNTIFS('Все игры'!A$3:A1000,A16,'Все игры'!C$3:C1000,"&gt;0",'Все игры'!B$3:B1000,"Мафия")</f>
        <v>1</v>
      </c>
      <c r="N16" s="355">
        <f>IFERROR(__xludf.DUMMYFUNCTION("COUNTBLANK(FILTER('Все игры'!A$3:C1000,'Все игры'!A$3:A1000=A16,'Все игры'!C$3:C1000 &lt; 1,'Все игры'!B$3:B1000=""Мафия""))"),1.0)</f>
        <v>1</v>
      </c>
      <c r="O16" s="355">
        <f>COUNTIFS('Все игры'!A$3:A1000,A16,'Все игры'!C$3:C1000,"&gt;0",'Все игры'!B$3:B1000,"Шериф")</f>
        <v>0</v>
      </c>
      <c r="P16" s="362">
        <f>IFERROR(__xludf.DUMMYFUNCTION("COUNTBLANK(FILTER('Все игры'!A$3:C1000,'Все игры'!A$3:A1000=A16,'Все игры'!C$3:C1000 &lt; 1,'Все игры'!B$3:B1000=""Шериф""))"),0.0)</f>
        <v>0</v>
      </c>
      <c r="Q16" s="355">
        <f>COUNTIFS('Все игры'!A$3:A1000,A16,'Все игры'!C$3:C1000,"&gt;0",'Все игры'!B$3:B1000,"Дон")</f>
        <v>0</v>
      </c>
      <c r="R16" s="355">
        <f>IFERROR(__xludf.DUMMYFUNCTION("COUNTBLANK(FILTER('Все игры'!A$3:C1000,'Все игры'!A$3:A1000=A16,'Все игры'!C$3:C1000 &lt; 1,'Все игры'!B$3:B1000=""Дон""))"),0.0)</f>
        <v>0</v>
      </c>
      <c r="S16" s="355">
        <f>COUNTIFS('Все игры'!A$3:A1000,A16,'Все игры'!C$3:C1000,"&gt;0",'Все игры'!B$3:B1000,"Мирный")</f>
        <v>2</v>
      </c>
      <c r="T16" s="363">
        <f>IFERROR(__xludf.DUMMYFUNCTION("COUNTBLANK(FILTER('Все игры'!A$3:C1000,'Все игры'!A$3:A1000=A16,'Все игры'!C$3:C1000 &lt; 1,'Все игры'!B$3:B1000=""Мирный""))"),1.0)</f>
        <v>1</v>
      </c>
      <c r="U16" s="364">
        <f t="shared" si="16"/>
        <v>0.6</v>
      </c>
      <c r="V16" s="365">
        <f t="shared" si="5"/>
        <v>0.6666666667</v>
      </c>
      <c r="W16" s="365">
        <f t="shared" si="6"/>
        <v>0.5</v>
      </c>
      <c r="X16" s="365">
        <f t="shared" si="7"/>
        <v>0.5</v>
      </c>
      <c r="Y16" s="365">
        <f t="shared" si="8"/>
        <v>0</v>
      </c>
      <c r="Z16" s="365">
        <f t="shared" si="9"/>
        <v>0</v>
      </c>
      <c r="AA16" s="366">
        <f t="shared" si="10"/>
        <v>0.6666666667</v>
      </c>
      <c r="AB16" s="356">
        <f>SUMIFS('Все игры'!D$3:D1000,'Все игры'!A$3:A1000,A16)</f>
        <v>14.5</v>
      </c>
      <c r="AC16" s="356">
        <f>SUMIFS('Все игры'!D$3:D1000,'Все игры'!A$3:A1000,A16,'Все игры'!B$3:B1000,"Мафия")</f>
        <v>6.25</v>
      </c>
      <c r="AD16" s="367">
        <f>SUMIFS('Все игры'!D$3:D1000,'Все игры'!A$3:A1000,A16,'Все игры'!B$3:B1000,"Шериф")</f>
        <v>0</v>
      </c>
      <c r="AE16" s="356">
        <f>SUMIFS('Все игры'!D$3:D1000,'Все игры'!A$3:A1000,A16,'Все игры'!B$3:B1000,"Дон")</f>
        <v>0</v>
      </c>
      <c r="AF16" s="357">
        <f>SUMIFS('Все игры'!D$3:D1000,'Все игры'!A$3:A1000,A16,'Все игры'!B$3:B1000,"Мирный")</f>
        <v>8.25</v>
      </c>
      <c r="AG16" s="356">
        <f t="shared" si="11"/>
        <v>2.9</v>
      </c>
      <c r="AH16" s="356">
        <f t="shared" si="12"/>
        <v>3.125</v>
      </c>
      <c r="AI16" s="356">
        <f t="shared" si="13"/>
        <v>0</v>
      </c>
      <c r="AJ16" s="356">
        <f t="shared" si="14"/>
        <v>0</v>
      </c>
      <c r="AK16" s="356">
        <f t="shared" si="15"/>
        <v>2.75</v>
      </c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</row>
    <row r="17">
      <c r="A17" s="368" t="s">
        <v>91</v>
      </c>
      <c r="B17" s="369">
        <f t="shared" si="1"/>
        <v>10</v>
      </c>
      <c r="C17" s="370">
        <f>'Турнирная таблица по Алфавиту'!E19</f>
        <v>43.75</v>
      </c>
      <c r="D17" s="371">
        <f>'Турнирная таблица по Алфавиту'!F19</f>
        <v>21.875</v>
      </c>
      <c r="E17" s="372">
        <f>COUNTIFS('Все игры'!A$3:A1000,A17,'Все игры'!F$3:F1000,"=1")</f>
        <v>0</v>
      </c>
      <c r="F17" s="372">
        <f>COUNTIFS('Все игры'!A$3:A1000,A17,'Все игры'!F$3:F1000,"=0,50")</f>
        <v>0</v>
      </c>
      <c r="G17" s="372">
        <f>COUNTIFS('Все игры'!A$3:A1000,A17,'Все игры'!G$3:G1000,"&gt;0")</f>
        <v>2</v>
      </c>
      <c r="H17" s="373">
        <f t="shared" si="2"/>
        <v>0.3333333333</v>
      </c>
      <c r="I17" s="374">
        <f>COUNTIFS('Все игры'!A$3:A1000,A17,'Все игры'!E$3:E1000,"У/Победа")</f>
        <v>1</v>
      </c>
      <c r="J17" s="374">
        <f>COUNTIFS('Все игры'!A$3:A1000,A17,'Все игры'!E$3:E1000,"У/Проигрыш")</f>
        <v>0</v>
      </c>
      <c r="K17" s="375">
        <f t="shared" si="3"/>
        <v>6</v>
      </c>
      <c r="L17" s="369">
        <f t="shared" si="4"/>
        <v>4</v>
      </c>
      <c r="M17" s="369">
        <f>COUNTIFS('Все игры'!A$3:A1000,A17,'Все игры'!C$3:C1000,"&gt;0",'Все игры'!B$3:B1000,"Мафия")</f>
        <v>3</v>
      </c>
      <c r="N17" s="369">
        <f>IFERROR(__xludf.DUMMYFUNCTION("COUNTBLANK(FILTER('Все игры'!A$3:C1000,'Все игры'!A$3:A1000=A17,'Все игры'!C$3:C1000 &lt; 1,'Все игры'!B$3:B1000=""Мафия""))"),0.0)</f>
        <v>0</v>
      </c>
      <c r="O17" s="369">
        <f>COUNTIFS('Все игры'!A$3:A1000,A17,'Все игры'!C$3:C1000,"&gt;0",'Все игры'!B$3:B1000,"Шериф")</f>
        <v>0</v>
      </c>
      <c r="P17" s="376">
        <f>IFERROR(__xludf.DUMMYFUNCTION("COUNTBLANK(FILTER('Все игры'!A$3:C1000,'Все игры'!A$3:A1000=A17,'Все игры'!C$3:C1000 &lt; 1,'Все игры'!B$3:B1000=""Шериф""))"),0.0)</f>
        <v>0</v>
      </c>
      <c r="Q17" s="369">
        <f>COUNTIFS('Все игры'!A$3:A1000,A17,'Все игры'!C$3:C1000,"&gt;0",'Все игры'!B$3:B1000,"Дон")</f>
        <v>1</v>
      </c>
      <c r="R17" s="369">
        <f>IFERROR(__xludf.DUMMYFUNCTION("COUNTBLANK(FILTER('Все игры'!A$3:C1000,'Все игры'!A$3:A1000=A17,'Все игры'!C$3:C1000 &lt; 1,'Все игры'!B$3:B1000=""Дон""))"),0.0)</f>
        <v>0</v>
      </c>
      <c r="S17" s="369">
        <f>COUNTIFS('Все игры'!A$3:A1000,A17,'Все игры'!C$3:C1000,"&gt;0",'Все игры'!B$3:B1000,"Мирный")</f>
        <v>2</v>
      </c>
      <c r="T17" s="377">
        <f>IFERROR(__xludf.DUMMYFUNCTION("COUNTBLANK(FILTER('Все игры'!A$3:C1000,'Все игры'!A$3:A1000=A17,'Все игры'!C$3:C1000 &lt; 1,'Все игры'!B$3:B1000=""Мирный""))"),4.0)</f>
        <v>4</v>
      </c>
      <c r="U17" s="378">
        <f t="shared" si="16"/>
        <v>0.6</v>
      </c>
      <c r="V17" s="379">
        <f t="shared" si="5"/>
        <v>0.3333333333</v>
      </c>
      <c r="W17" s="379">
        <f t="shared" si="6"/>
        <v>1</v>
      </c>
      <c r="X17" s="379">
        <f t="shared" si="7"/>
        <v>1</v>
      </c>
      <c r="Y17" s="379">
        <f t="shared" si="8"/>
        <v>0</v>
      </c>
      <c r="Z17" s="379">
        <f t="shared" si="9"/>
        <v>1</v>
      </c>
      <c r="AA17" s="380">
        <f t="shared" si="10"/>
        <v>0.3333333333</v>
      </c>
      <c r="AB17" s="370">
        <f>SUMIFS('Все игры'!D$3:D1000,'Все игры'!A$3:A1000,A17)</f>
        <v>27.75</v>
      </c>
      <c r="AC17" s="370">
        <f>SUMIFS('Все игры'!D$3:D1000,'Все игры'!A$3:A1000,A17,'Все игры'!B$3:B1000,"Мафия")</f>
        <v>11</v>
      </c>
      <c r="AD17" s="381">
        <f>SUMIFS('Все игры'!D$3:D1000,'Все игры'!A$3:A1000,A17,'Все игры'!B$3:B1000,"Шериф")</f>
        <v>0</v>
      </c>
      <c r="AE17" s="370">
        <f>SUMIFS('Все игры'!D$3:D1000,'Все игры'!A$3:A1000,A17,'Все игры'!B$3:B1000,"Дон")</f>
        <v>2.5</v>
      </c>
      <c r="AF17" s="371">
        <f>SUMIFS('Все игры'!D$3:D1000,'Все игры'!A$3:A1000,A17,'Все игры'!B$3:B1000,"Мирный")</f>
        <v>14.25</v>
      </c>
      <c r="AG17" s="370">
        <f t="shared" si="11"/>
        <v>2.775</v>
      </c>
      <c r="AH17" s="370">
        <f t="shared" si="12"/>
        <v>3.666666667</v>
      </c>
      <c r="AI17" s="370">
        <f t="shared" si="13"/>
        <v>0</v>
      </c>
      <c r="AJ17" s="370">
        <f t="shared" si="14"/>
        <v>2.5</v>
      </c>
      <c r="AK17" s="370">
        <f t="shared" si="15"/>
        <v>2.375</v>
      </c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</row>
    <row r="18">
      <c r="A18" s="354" t="s">
        <v>92</v>
      </c>
      <c r="B18" s="355">
        <f t="shared" si="1"/>
        <v>0</v>
      </c>
      <c r="C18" s="356">
        <f>'Турнирная таблица по Алфавиту'!E20</f>
        <v>0</v>
      </c>
      <c r="D18" s="357" t="str">
        <f>'Турнирная таблица по Алфавиту'!F20</f>
        <v/>
      </c>
      <c r="E18" s="358">
        <f>COUNTIFS('Все игры'!A$3:A1000,A18,'Все игры'!F$3:F1000,"=1")</f>
        <v>0</v>
      </c>
      <c r="F18" s="358">
        <f>COUNTIFS('Все игры'!A$3:A1000,A18,'Все игры'!F$3:F1000,"=0,50")</f>
        <v>0</v>
      </c>
      <c r="G18" s="358">
        <f>COUNTIFS('Все игры'!A$3:A1000,A18,'Все игры'!G$3:G1000,"&gt;0")</f>
        <v>0</v>
      </c>
      <c r="H18" s="359">
        <f t="shared" si="2"/>
        <v>0</v>
      </c>
      <c r="I18" s="360">
        <f>COUNTIFS('Все игры'!A$3:A1000,A18,'Все игры'!E$3:E1000,"У/Победа")</f>
        <v>0</v>
      </c>
      <c r="J18" s="360">
        <f>COUNTIFS('Все игры'!A$3:A1000,A18,'Все игры'!E$3:E1000,"У/Проигрыш")</f>
        <v>0</v>
      </c>
      <c r="K18" s="361">
        <f t="shared" si="3"/>
        <v>0</v>
      </c>
      <c r="L18" s="355">
        <f t="shared" si="4"/>
        <v>0</v>
      </c>
      <c r="M18" s="355">
        <f>COUNTIFS('Все игры'!A$3:A1000,A18,'Все игры'!C$3:C1000,"&gt;0",'Все игры'!B$3:B1000,"Мафия")</f>
        <v>0</v>
      </c>
      <c r="N18" s="355">
        <f>IFERROR(__xludf.DUMMYFUNCTION("COUNTBLANK(FILTER('Все игры'!A$3:C1000,'Все игры'!A$3:A1000=A18,'Все игры'!C$3:C1000 &lt; 1,'Все игры'!B$3:B1000=""Мафия""))"),0.0)</f>
        <v>0</v>
      </c>
      <c r="O18" s="355">
        <f>COUNTIFS('Все игры'!A$3:A1000,A18,'Все игры'!C$3:C1000,"&gt;0",'Все игры'!B$3:B1000,"Шериф")</f>
        <v>0</v>
      </c>
      <c r="P18" s="362">
        <f>IFERROR(__xludf.DUMMYFUNCTION("COUNTBLANK(FILTER('Все игры'!A$3:C1000,'Все игры'!A$3:A1000=A18,'Все игры'!C$3:C1000 &lt; 1,'Все игры'!B$3:B1000=""Шериф""))"),0.0)</f>
        <v>0</v>
      </c>
      <c r="Q18" s="355">
        <f>COUNTIFS('Все игры'!A$3:A1000,A18,'Все игры'!C$3:C1000,"&gt;0",'Все игры'!B$3:B1000,"Дон")</f>
        <v>0</v>
      </c>
      <c r="R18" s="355">
        <f>IFERROR(__xludf.DUMMYFUNCTION("COUNTBLANK(FILTER('Все игры'!A$3:C1000,'Все игры'!A$3:A1000=A18,'Все игры'!C$3:C1000 &lt; 1,'Все игры'!B$3:B1000=""Дон""))"),0.0)</f>
        <v>0</v>
      </c>
      <c r="S18" s="355">
        <f>COUNTIFS('Все игры'!A$3:A1000,A18,'Все игры'!C$3:C1000,"&gt;0",'Все игры'!B$3:B1000,"Мирный")</f>
        <v>0</v>
      </c>
      <c r="T18" s="363">
        <f>IFERROR(__xludf.DUMMYFUNCTION("COUNTBLANK(FILTER('Все игры'!A$3:C1000,'Все игры'!A$3:A1000=A18,'Все игры'!C$3:C1000 &lt; 1,'Все игры'!B$3:B1000=""Мирный""))"),0.0)</f>
        <v>0</v>
      </c>
      <c r="U18" s="364">
        <f t="shared" si="16"/>
        <v>0</v>
      </c>
      <c r="V18" s="365">
        <f t="shared" si="5"/>
        <v>0</v>
      </c>
      <c r="W18" s="365">
        <f t="shared" si="6"/>
        <v>0</v>
      </c>
      <c r="X18" s="365">
        <f t="shared" si="7"/>
        <v>0</v>
      </c>
      <c r="Y18" s="365">
        <f t="shared" si="8"/>
        <v>0</v>
      </c>
      <c r="Z18" s="365">
        <f t="shared" si="9"/>
        <v>0</v>
      </c>
      <c r="AA18" s="366">
        <f t="shared" si="10"/>
        <v>0</v>
      </c>
      <c r="AB18" s="356">
        <f>SUMIFS('Все игры'!D$3:D1000,'Все игры'!A$3:A1000,A18)</f>
        <v>0</v>
      </c>
      <c r="AC18" s="356">
        <f>SUMIFS('Все игры'!D$3:D1000,'Все игры'!A$3:A1000,A18,'Все игры'!B$3:B1000,"Мафия")</f>
        <v>0</v>
      </c>
      <c r="AD18" s="367">
        <f>SUMIFS('Все игры'!D$3:D1000,'Все игры'!A$3:A1000,A18,'Все игры'!B$3:B1000,"Шериф")</f>
        <v>0</v>
      </c>
      <c r="AE18" s="356">
        <f>SUMIFS('Все игры'!D$3:D1000,'Все игры'!A$3:A1000,A18,'Все игры'!B$3:B1000,"Дон")</f>
        <v>0</v>
      </c>
      <c r="AF18" s="357">
        <f>SUMIFS('Все игры'!D$3:D1000,'Все игры'!A$3:A1000,A18,'Все игры'!B$3:B1000,"Мирный")</f>
        <v>0</v>
      </c>
      <c r="AG18" s="356">
        <f t="shared" si="11"/>
        <v>0</v>
      </c>
      <c r="AH18" s="356">
        <f t="shared" si="12"/>
        <v>0</v>
      </c>
      <c r="AI18" s="356">
        <f t="shared" si="13"/>
        <v>0</v>
      </c>
      <c r="AJ18" s="356">
        <f t="shared" si="14"/>
        <v>0</v>
      </c>
      <c r="AK18" s="356">
        <f t="shared" si="15"/>
        <v>0</v>
      </c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/>
      <c r="BF18" s="356"/>
      <c r="BG18" s="356"/>
      <c r="BH18" s="356"/>
      <c r="BI18" s="356"/>
      <c r="BJ18" s="356"/>
      <c r="BK18" s="356"/>
      <c r="BL18" s="356"/>
      <c r="BM18" s="356"/>
    </row>
    <row r="19">
      <c r="A19" s="354" t="s">
        <v>93</v>
      </c>
      <c r="B19" s="369">
        <f t="shared" si="1"/>
        <v>0</v>
      </c>
      <c r="C19" s="370">
        <f>'Турнирная таблица по Алфавиту'!E21</f>
        <v>0</v>
      </c>
      <c r="D19" s="371" t="str">
        <f>'Турнирная таблица по Алфавиту'!F21</f>
        <v/>
      </c>
      <c r="E19" s="372">
        <f>COUNTIFS('Все игры'!A$3:A1000,A19,'Все игры'!F$3:F1000,"=1")</f>
        <v>0</v>
      </c>
      <c r="F19" s="372">
        <f>COUNTIFS('Все игры'!A$3:A1000,A19,'Все игры'!F$3:F1000,"=0,50")</f>
        <v>0</v>
      </c>
      <c r="G19" s="372">
        <f>COUNTIFS('Все игры'!A$3:A1000,A19,'Все игры'!G$3:G1000,"&gt;0")</f>
        <v>0</v>
      </c>
      <c r="H19" s="373">
        <f t="shared" si="2"/>
        <v>0</v>
      </c>
      <c r="I19" s="374">
        <f>COUNTIFS('Все игры'!A$3:A1000,A19,'Все игры'!E$3:E1000,"У/Победа")</f>
        <v>0</v>
      </c>
      <c r="J19" s="374">
        <f>COUNTIFS('Все игры'!A$3:A1000,A19,'Все игры'!E$3:E1000,"У/Проигрыш")</f>
        <v>0</v>
      </c>
      <c r="K19" s="375">
        <f t="shared" si="3"/>
        <v>0</v>
      </c>
      <c r="L19" s="369">
        <f t="shared" si="4"/>
        <v>0</v>
      </c>
      <c r="M19" s="369">
        <f>COUNTIFS('Все игры'!A$3:A1000,A19,'Все игры'!C$3:C1000,"&gt;0",'Все игры'!B$3:B1000,"Мафия")</f>
        <v>0</v>
      </c>
      <c r="N19" s="369">
        <f>IFERROR(__xludf.DUMMYFUNCTION("COUNTBLANK(FILTER('Все игры'!A$3:C1000,'Все игры'!A$3:A1000=A19,'Все игры'!C$3:C1000 &lt; 1,'Все игры'!B$3:B1000=""Мафия""))"),0.0)</f>
        <v>0</v>
      </c>
      <c r="O19" s="369">
        <f>COUNTIFS('Все игры'!A$3:A1000,A19,'Все игры'!C$3:C1000,"&gt;0",'Все игры'!B$3:B1000,"Шериф")</f>
        <v>0</v>
      </c>
      <c r="P19" s="376">
        <f>IFERROR(__xludf.DUMMYFUNCTION("COUNTBLANK(FILTER('Все игры'!A$3:C1000,'Все игры'!A$3:A1000=A19,'Все игры'!C$3:C1000 &lt; 1,'Все игры'!B$3:B1000=""Шериф""))"),0.0)</f>
        <v>0</v>
      </c>
      <c r="Q19" s="369">
        <f>COUNTIFS('Все игры'!A$3:A1000,A19,'Все игры'!C$3:C1000,"&gt;0",'Все игры'!B$3:B1000,"Дон")</f>
        <v>0</v>
      </c>
      <c r="R19" s="369">
        <f>IFERROR(__xludf.DUMMYFUNCTION("COUNTBLANK(FILTER('Все игры'!A$3:C1000,'Все игры'!A$3:A1000=A19,'Все игры'!C$3:C1000 &lt; 1,'Все игры'!B$3:B1000=""Дон""))"),0.0)</f>
        <v>0</v>
      </c>
      <c r="S19" s="369">
        <f>COUNTIFS('Все игры'!A$3:A1000,A19,'Все игры'!C$3:C1000,"&gt;0",'Все игры'!B$3:B1000,"Мирный")</f>
        <v>0</v>
      </c>
      <c r="T19" s="377">
        <f>IFERROR(__xludf.DUMMYFUNCTION("COUNTBLANK(FILTER('Все игры'!A$3:C1000,'Все игры'!A$3:A1000=A19,'Все игры'!C$3:C1000 &lt; 1,'Все игры'!B$3:B1000=""Мирный""))"),0.0)</f>
        <v>0</v>
      </c>
      <c r="U19" s="378">
        <f t="shared" si="16"/>
        <v>0</v>
      </c>
      <c r="V19" s="379">
        <f t="shared" si="5"/>
        <v>0</v>
      </c>
      <c r="W19" s="379">
        <f t="shared" si="6"/>
        <v>0</v>
      </c>
      <c r="X19" s="379">
        <f t="shared" si="7"/>
        <v>0</v>
      </c>
      <c r="Y19" s="379">
        <f t="shared" si="8"/>
        <v>0</v>
      </c>
      <c r="Z19" s="379">
        <f t="shared" si="9"/>
        <v>0</v>
      </c>
      <c r="AA19" s="380">
        <f t="shared" si="10"/>
        <v>0</v>
      </c>
      <c r="AB19" s="370">
        <f>SUMIFS('Все игры'!D$3:D1000,'Все игры'!A$3:A1000,A19)</f>
        <v>0</v>
      </c>
      <c r="AC19" s="370">
        <f>SUMIFS('Все игры'!D$3:D1000,'Все игры'!A$3:A1000,A19,'Все игры'!B$3:B1000,"Мафия")</f>
        <v>0</v>
      </c>
      <c r="AD19" s="381">
        <f>SUMIFS('Все игры'!D$3:D1000,'Все игры'!A$3:A1000,A19,'Все игры'!B$3:B1000,"Шериф")</f>
        <v>0</v>
      </c>
      <c r="AE19" s="370">
        <f>SUMIFS('Все игры'!D$3:D1000,'Все игры'!A$3:A1000,A19,'Все игры'!B$3:B1000,"Дон")</f>
        <v>0</v>
      </c>
      <c r="AF19" s="371">
        <f>SUMIFS('Все игры'!D$3:D1000,'Все игры'!A$3:A1000,A19,'Все игры'!B$3:B1000,"Мирный")</f>
        <v>0</v>
      </c>
      <c r="AG19" s="370">
        <f t="shared" si="11"/>
        <v>0</v>
      </c>
      <c r="AH19" s="370">
        <f t="shared" si="12"/>
        <v>0</v>
      </c>
      <c r="AI19" s="370">
        <f t="shared" si="13"/>
        <v>0</v>
      </c>
      <c r="AJ19" s="370">
        <f t="shared" si="14"/>
        <v>0</v>
      </c>
      <c r="AK19" s="370">
        <f t="shared" si="15"/>
        <v>0</v>
      </c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</row>
    <row r="20">
      <c r="A20" s="368" t="s">
        <v>94</v>
      </c>
      <c r="B20" s="355">
        <f t="shared" si="1"/>
        <v>10</v>
      </c>
      <c r="C20" s="356">
        <f>'Турнирная таблица по Алфавиту'!E22</f>
        <v>32.5</v>
      </c>
      <c r="D20" s="357">
        <f>'Турнирная таблица по Алфавиту'!F22</f>
        <v>16.25</v>
      </c>
      <c r="E20" s="358">
        <f>COUNTIFS('Все игры'!A$3:A1000,A20,'Все игры'!F$3:F1000,"=1")</f>
        <v>0</v>
      </c>
      <c r="F20" s="358">
        <f>COUNTIFS('Все игры'!A$3:A1000,A20,'Все игры'!F$3:F1000,"=0,50")</f>
        <v>0</v>
      </c>
      <c r="G20" s="358">
        <f>COUNTIFS('Все игры'!A$3:A1000,A20,'Все игры'!G$3:G1000,"&gt;0")</f>
        <v>0</v>
      </c>
      <c r="H20" s="359">
        <f t="shared" si="2"/>
        <v>0</v>
      </c>
      <c r="I20" s="360">
        <f>COUNTIFS('Все игры'!A$3:A1000,A20,'Все игры'!E$3:E1000,"У/Победа")</f>
        <v>0</v>
      </c>
      <c r="J20" s="360">
        <f>COUNTIFS('Все игры'!A$3:A1000,A20,'Все игры'!E$3:E1000,"У/Проигрыш")</f>
        <v>0</v>
      </c>
      <c r="K20" s="361">
        <f t="shared" si="3"/>
        <v>5</v>
      </c>
      <c r="L20" s="355">
        <f t="shared" si="4"/>
        <v>5</v>
      </c>
      <c r="M20" s="355">
        <f>COUNTIFS('Все игры'!A$3:A1000,A20,'Все игры'!C$3:C1000,"&gt;0",'Все игры'!B$3:B1000,"Мафия")</f>
        <v>2</v>
      </c>
      <c r="N20" s="355">
        <f>IFERROR(__xludf.DUMMYFUNCTION("COUNTBLANK(FILTER('Все игры'!A$3:C1000,'Все игры'!A$3:A1000=A20,'Все игры'!C$3:C1000 &lt; 1,'Все игры'!B$3:B1000=""Мафия""))"),3.0)</f>
        <v>3</v>
      </c>
      <c r="O20" s="355">
        <f>COUNTIFS('Все игры'!A$3:A1000,A20,'Все игры'!C$3:C1000,"&gt;0",'Все игры'!B$3:B1000,"Шериф")</f>
        <v>0</v>
      </c>
      <c r="P20" s="362">
        <f>IFERROR(__xludf.DUMMYFUNCTION("COUNTBLANK(FILTER('Все игры'!A$3:C1000,'Все игры'!A$3:A1000=A20,'Все игры'!C$3:C1000 &lt; 1,'Все игры'!B$3:B1000=""Шериф""))"),2.0)</f>
        <v>2</v>
      </c>
      <c r="Q20" s="355">
        <f>COUNTIFS('Все игры'!A$3:A1000,A20,'Все игры'!C$3:C1000,"&gt;0",'Все игры'!B$3:B1000,"Дон")</f>
        <v>0</v>
      </c>
      <c r="R20" s="355">
        <f>IFERROR(__xludf.DUMMYFUNCTION("COUNTBLANK(FILTER('Все игры'!A$3:C1000,'Все игры'!A$3:A1000=A20,'Все игры'!C$3:C1000 &lt; 1,'Все игры'!B$3:B1000=""Дон""))"),0.0)</f>
        <v>0</v>
      </c>
      <c r="S20" s="355">
        <f>COUNTIFS('Все игры'!A$3:A1000,A20,'Все игры'!C$3:C1000,"&gt;0",'Все игры'!B$3:B1000,"Мирный")</f>
        <v>1</v>
      </c>
      <c r="T20" s="363">
        <f>IFERROR(__xludf.DUMMYFUNCTION("COUNTBLANK(FILTER('Все игры'!A$3:C1000,'Все игры'!A$3:A1000=A20,'Все игры'!C$3:C1000 &lt; 1,'Все игры'!B$3:B1000=""Мирный""))"),2.0)</f>
        <v>2</v>
      </c>
      <c r="U20" s="364">
        <f t="shared" si="16"/>
        <v>0.3</v>
      </c>
      <c r="V20" s="365">
        <f t="shared" si="5"/>
        <v>0.2</v>
      </c>
      <c r="W20" s="365">
        <f t="shared" si="6"/>
        <v>0.4</v>
      </c>
      <c r="X20" s="365">
        <f t="shared" si="7"/>
        <v>0.4</v>
      </c>
      <c r="Y20" s="365">
        <f t="shared" si="8"/>
        <v>0</v>
      </c>
      <c r="Z20" s="365">
        <f t="shared" si="9"/>
        <v>0</v>
      </c>
      <c r="AA20" s="366">
        <f t="shared" si="10"/>
        <v>0.3333333333</v>
      </c>
      <c r="AB20" s="356">
        <f>SUMIFS('Все игры'!D$3:D1000,'Все игры'!A$3:A1000,A20)</f>
        <v>25</v>
      </c>
      <c r="AC20" s="356">
        <f>SUMIFS('Все игры'!D$3:D1000,'Все игры'!A$3:A1000,A20,'Все игры'!B$3:B1000,"Мафия")</f>
        <v>12.75</v>
      </c>
      <c r="AD20" s="367">
        <f>SUMIFS('Все игры'!D$3:D1000,'Все игры'!A$3:A1000,A20,'Все игры'!B$3:B1000,"Шериф")</f>
        <v>5.25</v>
      </c>
      <c r="AE20" s="356">
        <f>SUMIFS('Все игры'!D$3:D1000,'Все игры'!A$3:A1000,A20,'Все игры'!B$3:B1000,"Дон")</f>
        <v>0</v>
      </c>
      <c r="AF20" s="357">
        <f>SUMIFS('Все игры'!D$3:D1000,'Все игры'!A$3:A1000,A20,'Все игры'!B$3:B1000,"Мирный")</f>
        <v>7</v>
      </c>
      <c r="AG20" s="356">
        <f t="shared" si="11"/>
        <v>2.5</v>
      </c>
      <c r="AH20" s="356">
        <f t="shared" si="12"/>
        <v>2.55</v>
      </c>
      <c r="AI20" s="356">
        <f t="shared" si="13"/>
        <v>2.625</v>
      </c>
      <c r="AJ20" s="356">
        <f t="shared" si="14"/>
        <v>0</v>
      </c>
      <c r="AK20" s="356">
        <f t="shared" si="15"/>
        <v>2.333333333</v>
      </c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</row>
    <row r="21">
      <c r="A21" s="368" t="s">
        <v>95</v>
      </c>
      <c r="B21" s="369">
        <f t="shared" si="1"/>
        <v>10</v>
      </c>
      <c r="C21" s="370">
        <f>'Турнирная таблица по Алфавиту'!E23</f>
        <v>32.25</v>
      </c>
      <c r="D21" s="371">
        <f>'Турнирная таблица по Алфавиту'!F23</f>
        <v>16.125</v>
      </c>
      <c r="E21" s="372">
        <f>COUNTIFS('Все игры'!A$3:A1000,A21,'Все игры'!F$3:F1000,"=1")</f>
        <v>0</v>
      </c>
      <c r="F21" s="372">
        <f>COUNTIFS('Все игры'!A$3:A1000,A21,'Все игры'!F$3:F1000,"=0,50")</f>
        <v>1</v>
      </c>
      <c r="G21" s="372">
        <f>COUNTIFS('Все игры'!A$3:A1000,A21,'Все игры'!G$3:G1000,"&gt;0")</f>
        <v>2</v>
      </c>
      <c r="H21" s="373">
        <f t="shared" si="2"/>
        <v>0.3333333333</v>
      </c>
      <c r="I21" s="374">
        <f>COUNTIFS('Все игры'!A$3:A1000,A21,'Все игры'!E$3:E1000,"У/Победа")</f>
        <v>0</v>
      </c>
      <c r="J21" s="374">
        <f>COUNTIFS('Все игры'!A$3:A1000,A21,'Все игры'!E$3:E1000,"У/Проигрыш")</f>
        <v>1</v>
      </c>
      <c r="K21" s="375">
        <f t="shared" si="3"/>
        <v>6</v>
      </c>
      <c r="L21" s="369">
        <f t="shared" si="4"/>
        <v>4</v>
      </c>
      <c r="M21" s="369">
        <f>COUNTIFS('Все игры'!A$3:A1000,A21,'Все игры'!C$3:C1000,"&gt;0",'Все игры'!B$3:B1000,"Мафия")</f>
        <v>1</v>
      </c>
      <c r="N21" s="369">
        <f>IFERROR(__xludf.DUMMYFUNCTION("COUNTBLANK(FILTER('Все игры'!A$3:C1000,'Все игры'!A$3:A1000=A21,'Все игры'!C$3:C1000 &lt; 1,'Все игры'!B$3:B1000=""Мафия""))"),1.0)</f>
        <v>1</v>
      </c>
      <c r="O21" s="369">
        <f>COUNTIFS('Все игры'!A$3:A1000,A21,'Все игры'!C$3:C1000,"&gt;0",'Все игры'!B$3:B1000,"Шериф")</f>
        <v>0</v>
      </c>
      <c r="P21" s="376">
        <f>IFERROR(__xludf.DUMMYFUNCTION("COUNTBLANK(FILTER('Все игры'!A$3:C1000,'Все игры'!A$3:A1000=A21,'Все игры'!C$3:C1000 &lt; 1,'Все игры'!B$3:B1000=""Шериф""))"),2.0)</f>
        <v>2</v>
      </c>
      <c r="Q21" s="369">
        <f>COUNTIFS('Все игры'!A$3:A1000,A21,'Все игры'!C$3:C1000,"&gt;0",'Все игры'!B$3:B1000,"Дон")</f>
        <v>1</v>
      </c>
      <c r="R21" s="369">
        <f>IFERROR(__xludf.DUMMYFUNCTION("COUNTBLANK(FILTER('Все игры'!A$3:C1000,'Все игры'!A$3:A1000=A21,'Все игры'!C$3:C1000 &lt; 1,'Все игры'!B$3:B1000=""Дон""))"),1.0)</f>
        <v>1</v>
      </c>
      <c r="S21" s="369">
        <f>COUNTIFS('Все игры'!A$3:A1000,A21,'Все игры'!C$3:C1000,"&gt;0",'Все игры'!B$3:B1000,"Мирный")</f>
        <v>0</v>
      </c>
      <c r="T21" s="377">
        <f>IFERROR(__xludf.DUMMYFUNCTION("COUNTBLANK(FILTER('Все игры'!A$3:C1000,'Все игры'!A$3:A1000=A21,'Все игры'!C$3:C1000 &lt; 1,'Все игры'!B$3:B1000=""Мирный""))"),4.0)</f>
        <v>4</v>
      </c>
      <c r="U21" s="378">
        <f t="shared" si="16"/>
        <v>0.2</v>
      </c>
      <c r="V21" s="379">
        <f t="shared" si="5"/>
        <v>0</v>
      </c>
      <c r="W21" s="379">
        <f t="shared" si="6"/>
        <v>0.5</v>
      </c>
      <c r="X21" s="379">
        <f t="shared" si="7"/>
        <v>0.5</v>
      </c>
      <c r="Y21" s="379">
        <f t="shared" si="8"/>
        <v>0</v>
      </c>
      <c r="Z21" s="379">
        <f t="shared" si="9"/>
        <v>0.5</v>
      </c>
      <c r="AA21" s="380">
        <f t="shared" si="10"/>
        <v>0</v>
      </c>
      <c r="AB21" s="370">
        <f>SUMIFS('Все игры'!D$3:D1000,'Все игры'!A$3:A1000,A21)</f>
        <v>25.75</v>
      </c>
      <c r="AC21" s="370">
        <f>SUMIFS('Все игры'!D$3:D1000,'Все игры'!A$3:A1000,A21,'Все игры'!B$3:B1000,"Мафия")</f>
        <v>5.25</v>
      </c>
      <c r="AD21" s="381">
        <f>SUMIFS('Все игры'!D$3:D1000,'Все игры'!A$3:A1000,A21,'Все игры'!B$3:B1000,"Шериф")</f>
        <v>5.75</v>
      </c>
      <c r="AE21" s="370">
        <f>SUMIFS('Все игры'!D$3:D1000,'Все игры'!A$3:A1000,A21,'Все игры'!B$3:B1000,"Дон")</f>
        <v>6</v>
      </c>
      <c r="AF21" s="371">
        <f>SUMIFS('Все игры'!D$3:D1000,'Все игры'!A$3:A1000,A21,'Все игры'!B$3:B1000,"Мирный")</f>
        <v>8.75</v>
      </c>
      <c r="AG21" s="370">
        <f t="shared" si="11"/>
        <v>2.575</v>
      </c>
      <c r="AH21" s="370">
        <f t="shared" si="12"/>
        <v>2.625</v>
      </c>
      <c r="AI21" s="370">
        <f t="shared" si="13"/>
        <v>2.875</v>
      </c>
      <c r="AJ21" s="370">
        <f t="shared" si="14"/>
        <v>3</v>
      </c>
      <c r="AK21" s="370">
        <f t="shared" si="15"/>
        <v>2.1875</v>
      </c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</row>
    <row r="22">
      <c r="A22" s="368" t="s">
        <v>96</v>
      </c>
      <c r="B22" s="355">
        <f t="shared" si="1"/>
        <v>5</v>
      </c>
      <c r="C22" s="356">
        <f>'Турнирная таблица по Алфавиту'!E24</f>
        <v>22.5</v>
      </c>
      <c r="D22" s="357">
        <f>'Турнирная таблица по Алфавиту'!F24</f>
        <v>22.5</v>
      </c>
      <c r="E22" s="358">
        <f>COUNTIFS('Все игры'!A$3:A1000,A22,'Все игры'!F$3:F1000,"=1")</f>
        <v>0</v>
      </c>
      <c r="F22" s="358">
        <f>COUNTIFS('Все игры'!A$3:A1000,A22,'Все игры'!F$3:F1000,"=0,50")</f>
        <v>0</v>
      </c>
      <c r="G22" s="358">
        <f>COUNTIFS('Все игры'!A$3:A1000,A22,'Все игры'!G$3:G1000,"&gt;0")</f>
        <v>1</v>
      </c>
      <c r="H22" s="359">
        <f t="shared" si="2"/>
        <v>0.25</v>
      </c>
      <c r="I22" s="360">
        <f>COUNTIFS('Все игры'!A$3:A1000,A22,'Все игры'!E$3:E1000,"У/Победа")</f>
        <v>0</v>
      </c>
      <c r="J22" s="360">
        <f>COUNTIFS('Все игры'!A$3:A1000,A22,'Все игры'!E$3:E1000,"У/Проигрыш")</f>
        <v>0</v>
      </c>
      <c r="K22" s="361">
        <f t="shared" si="3"/>
        <v>4</v>
      </c>
      <c r="L22" s="355">
        <f t="shared" si="4"/>
        <v>1</v>
      </c>
      <c r="M22" s="355">
        <f>COUNTIFS('Все игры'!A$3:A1000,A22,'Все игры'!C$3:C1000,"&gt;0",'Все игры'!B$3:B1000,"Мафия")</f>
        <v>1</v>
      </c>
      <c r="N22" s="355">
        <f>IFERROR(__xludf.DUMMYFUNCTION("COUNTBLANK(FILTER('Все игры'!A$3:C1000,'Все игры'!A$3:A1000=A22,'Все игры'!C$3:C1000 &lt; 1,'Все игры'!B$3:B1000=""Мафия""))"),0.0)</f>
        <v>0</v>
      </c>
      <c r="O22" s="355">
        <f>COUNTIFS('Все игры'!A$3:A1000,A22,'Все игры'!C$3:C1000,"&gt;0",'Все игры'!B$3:B1000,"Шериф")</f>
        <v>1</v>
      </c>
      <c r="P22" s="362">
        <f>IFERROR(__xludf.DUMMYFUNCTION("COUNTBLANK(FILTER('Все игры'!A$3:C1000,'Все игры'!A$3:A1000=A22,'Все игры'!C$3:C1000 &lt; 1,'Все игры'!B$3:B1000=""Шериф""))"),0.0)</f>
        <v>0</v>
      </c>
      <c r="Q22" s="355">
        <f>COUNTIFS('Все игры'!A$3:A1000,A22,'Все игры'!C$3:C1000,"&gt;0",'Все игры'!B$3:B1000,"Дон")</f>
        <v>0</v>
      </c>
      <c r="R22" s="355">
        <f>IFERROR(__xludf.DUMMYFUNCTION("COUNTBLANK(FILTER('Все игры'!A$3:C1000,'Все игры'!A$3:A1000=A22,'Все игры'!C$3:C1000 &lt; 1,'Все игры'!B$3:B1000=""Дон""))"),0.0)</f>
        <v>0</v>
      </c>
      <c r="S22" s="355">
        <f>COUNTIFS('Все игры'!A$3:A1000,A22,'Все игры'!C$3:C1000,"&gt;0",'Все игры'!B$3:B1000,"Мирный")</f>
        <v>2</v>
      </c>
      <c r="T22" s="363">
        <f>IFERROR(__xludf.DUMMYFUNCTION("COUNTBLANK(FILTER('Все игры'!A$3:C1000,'Все игры'!A$3:A1000=A22,'Все игры'!C$3:C1000 &lt; 1,'Все игры'!B$3:B1000=""Мирный""))"),1.0)</f>
        <v>1</v>
      </c>
      <c r="U22" s="364">
        <f t="shared" si="16"/>
        <v>0.8</v>
      </c>
      <c r="V22" s="365">
        <f t="shared" si="5"/>
        <v>0.75</v>
      </c>
      <c r="W22" s="365">
        <f t="shared" si="6"/>
        <v>1</v>
      </c>
      <c r="X22" s="365">
        <f t="shared" si="7"/>
        <v>1</v>
      </c>
      <c r="Y22" s="365">
        <f t="shared" si="8"/>
        <v>1</v>
      </c>
      <c r="Z22" s="365">
        <f t="shared" si="9"/>
        <v>0</v>
      </c>
      <c r="AA22" s="366">
        <f t="shared" si="10"/>
        <v>0.6666666667</v>
      </c>
      <c r="AB22" s="356">
        <f>SUMIFS('Все игры'!D$3:D1000,'Все игры'!A$3:A1000,A22)</f>
        <v>12</v>
      </c>
      <c r="AC22" s="356">
        <f>SUMIFS('Все игры'!D$3:D1000,'Все игры'!A$3:A1000,A22,'Все игры'!B$3:B1000,"Мафия")</f>
        <v>2.25</v>
      </c>
      <c r="AD22" s="367">
        <f>SUMIFS('Все игры'!D$3:D1000,'Все игры'!A$3:A1000,A22,'Все игры'!B$3:B1000,"Шериф")</f>
        <v>3.25</v>
      </c>
      <c r="AE22" s="356">
        <f>SUMIFS('Все игры'!D$3:D1000,'Все игры'!A$3:A1000,A22,'Все игры'!B$3:B1000,"Дон")</f>
        <v>0</v>
      </c>
      <c r="AF22" s="357">
        <f>SUMIFS('Все игры'!D$3:D1000,'Все игры'!A$3:A1000,A22,'Все игры'!B$3:B1000,"Мирный")</f>
        <v>6.5</v>
      </c>
      <c r="AG22" s="356">
        <f t="shared" si="11"/>
        <v>2.4</v>
      </c>
      <c r="AH22" s="356">
        <f t="shared" si="12"/>
        <v>2.25</v>
      </c>
      <c r="AI22" s="356">
        <f t="shared" si="13"/>
        <v>3.25</v>
      </c>
      <c r="AJ22" s="356">
        <f t="shared" si="14"/>
        <v>0</v>
      </c>
      <c r="AK22" s="356">
        <f t="shared" si="15"/>
        <v>2.166666667</v>
      </c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</row>
    <row r="23">
      <c r="A23" s="368" t="s">
        <v>97</v>
      </c>
      <c r="B23" s="369">
        <f t="shared" si="1"/>
        <v>0</v>
      </c>
      <c r="C23" s="370">
        <f>'Турнирная таблица по Алфавиту'!E25</f>
        <v>0</v>
      </c>
      <c r="D23" s="371" t="str">
        <f>'Турнирная таблица по Алфавиту'!F25</f>
        <v/>
      </c>
      <c r="E23" s="372">
        <f>COUNTIFS('Все игры'!A$3:A1000,A23,'Все игры'!F$3:F1000,"=1")</f>
        <v>0</v>
      </c>
      <c r="F23" s="372">
        <f>COUNTIFS('Все игры'!A$3:A1000,A23,'Все игры'!F$3:F1000,"=0,50")</f>
        <v>0</v>
      </c>
      <c r="G23" s="372">
        <f>COUNTIFS('Все игры'!A$3:A1000,A23,'Все игры'!G$3:G1000,"&gt;0")</f>
        <v>0</v>
      </c>
      <c r="H23" s="373">
        <f t="shared" si="2"/>
        <v>0</v>
      </c>
      <c r="I23" s="374">
        <f>COUNTIFS('Все игры'!A$3:A1000,A23,'Все игры'!E$3:E1000,"У/Победа")</f>
        <v>0</v>
      </c>
      <c r="J23" s="374">
        <f>COUNTIFS('Все игры'!A$3:A1000,A23,'Все игры'!E$3:E1000,"У/Проигрыш")</f>
        <v>0</v>
      </c>
      <c r="K23" s="375">
        <f t="shared" si="3"/>
        <v>0</v>
      </c>
      <c r="L23" s="369">
        <f t="shared" si="4"/>
        <v>0</v>
      </c>
      <c r="M23" s="369">
        <f>COUNTIFS('Все игры'!A$3:A1000,A23,'Все игры'!C$3:C1000,"&gt;0",'Все игры'!B$3:B1000,"Мафия")</f>
        <v>0</v>
      </c>
      <c r="N23" s="369">
        <f>IFERROR(__xludf.DUMMYFUNCTION("COUNTBLANK(FILTER('Все игры'!A$3:C1000,'Все игры'!A$3:A1000=A23,'Все игры'!C$3:C1000 &lt; 1,'Все игры'!B$3:B1000=""Мафия""))"),0.0)</f>
        <v>0</v>
      </c>
      <c r="O23" s="369">
        <f>COUNTIFS('Все игры'!A$3:A1000,A23,'Все игры'!C$3:C1000,"&gt;0",'Все игры'!B$3:B1000,"Шериф")</f>
        <v>0</v>
      </c>
      <c r="P23" s="376">
        <f>IFERROR(__xludf.DUMMYFUNCTION("COUNTBLANK(FILTER('Все игры'!A$3:C1000,'Все игры'!A$3:A1000=A23,'Все игры'!C$3:C1000 &lt; 1,'Все игры'!B$3:B1000=""Шериф""))"),0.0)</f>
        <v>0</v>
      </c>
      <c r="Q23" s="369">
        <f>COUNTIFS('Все игры'!A$3:A1000,A23,'Все игры'!C$3:C1000,"&gt;0",'Все игры'!B$3:B1000,"Дон")</f>
        <v>0</v>
      </c>
      <c r="R23" s="369">
        <f>IFERROR(__xludf.DUMMYFUNCTION("COUNTBLANK(FILTER('Все игры'!A$3:C1000,'Все игры'!A$3:A1000=A23,'Все игры'!C$3:C1000 &lt; 1,'Все игры'!B$3:B1000=""Дон""))"),0.0)</f>
        <v>0</v>
      </c>
      <c r="S23" s="369">
        <f>COUNTIFS('Все игры'!A$3:A1000,A23,'Все игры'!C$3:C1000,"&gt;0",'Все игры'!B$3:B1000,"Мирный")</f>
        <v>0</v>
      </c>
      <c r="T23" s="377">
        <f>IFERROR(__xludf.DUMMYFUNCTION("COUNTBLANK(FILTER('Все игры'!A$3:C1000,'Все игры'!A$3:A1000=A23,'Все игры'!C$3:C1000 &lt; 1,'Все игры'!B$3:B1000=""Мирный""))"),0.0)</f>
        <v>0</v>
      </c>
      <c r="U23" s="378">
        <f t="shared" si="16"/>
        <v>0</v>
      </c>
      <c r="V23" s="379">
        <f t="shared" si="5"/>
        <v>0</v>
      </c>
      <c r="W23" s="379">
        <f t="shared" si="6"/>
        <v>0</v>
      </c>
      <c r="X23" s="379">
        <f t="shared" si="7"/>
        <v>0</v>
      </c>
      <c r="Y23" s="379">
        <f t="shared" si="8"/>
        <v>0</v>
      </c>
      <c r="Z23" s="379">
        <f t="shared" si="9"/>
        <v>0</v>
      </c>
      <c r="AA23" s="380">
        <f t="shared" si="10"/>
        <v>0</v>
      </c>
      <c r="AB23" s="370">
        <f>SUMIFS('Все игры'!D$3:D1000,'Все игры'!A$3:A1000,A23)</f>
        <v>0</v>
      </c>
      <c r="AC23" s="370">
        <f>SUMIFS('Все игры'!D$3:D1000,'Все игры'!A$3:A1000,A23,'Все игры'!B$3:B1000,"Мафия")</f>
        <v>0</v>
      </c>
      <c r="AD23" s="381">
        <f>SUMIFS('Все игры'!D$3:D1000,'Все игры'!A$3:A1000,A23,'Все игры'!B$3:B1000,"Шериф")</f>
        <v>0</v>
      </c>
      <c r="AE23" s="370">
        <f>SUMIFS('Все игры'!D$3:D1000,'Все игры'!A$3:A1000,A23,'Все игры'!B$3:B1000,"Дон")</f>
        <v>0</v>
      </c>
      <c r="AF23" s="371">
        <f>SUMIFS('Все игры'!D$3:D1000,'Все игры'!A$3:A1000,A23,'Все игры'!B$3:B1000,"Мирный")</f>
        <v>0</v>
      </c>
      <c r="AG23" s="370">
        <f t="shared" si="11"/>
        <v>0</v>
      </c>
      <c r="AH23" s="370">
        <f t="shared" si="12"/>
        <v>0</v>
      </c>
      <c r="AI23" s="370">
        <f t="shared" si="13"/>
        <v>0</v>
      </c>
      <c r="AJ23" s="370">
        <f t="shared" si="14"/>
        <v>0</v>
      </c>
      <c r="AK23" s="370">
        <f t="shared" si="15"/>
        <v>0</v>
      </c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</row>
    <row r="24">
      <c r="A24" s="368" t="s">
        <v>98</v>
      </c>
      <c r="B24" s="355">
        <f t="shared" si="1"/>
        <v>5</v>
      </c>
      <c r="C24" s="356">
        <f>'Турнирная таблица по Алфавиту'!E26</f>
        <v>21.5</v>
      </c>
      <c r="D24" s="357">
        <f>'Турнирная таблица по Алфавиту'!F26</f>
        <v>21.5</v>
      </c>
      <c r="E24" s="358">
        <f>COUNTIFS('Все игры'!A$3:A1000,A24,'Все игры'!F$3:F1000,"=1")</f>
        <v>0</v>
      </c>
      <c r="F24" s="358">
        <f>COUNTIFS('Все игры'!A$3:A1000,A24,'Все игры'!F$3:F1000,"=0,50")</f>
        <v>1</v>
      </c>
      <c r="G24" s="358">
        <f>COUNTIFS('Все игры'!A$3:A1000,A24,'Все игры'!G$3:G1000,"&gt;0")</f>
        <v>1</v>
      </c>
      <c r="H24" s="359">
        <f t="shared" si="2"/>
        <v>0.2</v>
      </c>
      <c r="I24" s="360">
        <f>COUNTIFS('Все игры'!A$3:A1000,A24,'Все игры'!E$3:E1000,"У/Победа")</f>
        <v>0</v>
      </c>
      <c r="J24" s="360">
        <f>COUNTIFS('Все игры'!A$3:A1000,A24,'Все игры'!E$3:E1000,"У/Проигрыш")</f>
        <v>0</v>
      </c>
      <c r="K24" s="361">
        <f t="shared" si="3"/>
        <v>5</v>
      </c>
      <c r="L24" s="355">
        <f t="shared" si="4"/>
        <v>0</v>
      </c>
      <c r="M24" s="355">
        <f>COUNTIFS('Все игры'!A$3:A1000,A24,'Все игры'!C$3:C1000,"&gt;0",'Все игры'!B$3:B1000,"Мафия")</f>
        <v>0</v>
      </c>
      <c r="N24" s="355">
        <f>IFERROR(__xludf.DUMMYFUNCTION("COUNTBLANK(FILTER('Все игры'!A$3:C1000,'Все игры'!A$3:A1000=A24,'Все игры'!C$3:C1000 &lt; 1,'Все игры'!B$3:B1000=""Мафия""))"),0.0)</f>
        <v>0</v>
      </c>
      <c r="O24" s="355">
        <f>COUNTIFS('Все игры'!A$3:A1000,A24,'Все игры'!C$3:C1000,"&gt;0",'Все игры'!B$3:B1000,"Шериф")</f>
        <v>2</v>
      </c>
      <c r="P24" s="362">
        <f>IFERROR(__xludf.DUMMYFUNCTION("COUNTBLANK(FILTER('Все игры'!A$3:C1000,'Все игры'!A$3:A1000=A24,'Все игры'!C$3:C1000 &lt; 1,'Все игры'!B$3:B1000=""Шериф""))"),1.0)</f>
        <v>1</v>
      </c>
      <c r="Q24" s="355">
        <f>COUNTIFS('Все игры'!A$3:A1000,A24,'Все игры'!C$3:C1000,"&gt;0",'Все игры'!B$3:B1000,"Дон")</f>
        <v>0</v>
      </c>
      <c r="R24" s="355">
        <f>IFERROR(__xludf.DUMMYFUNCTION("COUNTBLANK(FILTER('Все игры'!A$3:C1000,'Все игры'!A$3:A1000=A24,'Все игры'!C$3:C1000 &lt; 1,'Все игры'!B$3:B1000=""Дон""))"),0.0)</f>
        <v>0</v>
      </c>
      <c r="S24" s="355">
        <f>COUNTIFS('Все игры'!A$3:A1000,A24,'Все игры'!C$3:C1000,"&gt;0",'Все игры'!B$3:B1000,"Мирный")</f>
        <v>1</v>
      </c>
      <c r="T24" s="363">
        <f>IFERROR(__xludf.DUMMYFUNCTION("COUNTBLANK(FILTER('Все игры'!A$3:C1000,'Все игры'!A$3:A1000=A24,'Все игры'!C$3:C1000 &lt; 1,'Все игры'!B$3:B1000=""Мирный""))"),1.0)</f>
        <v>1</v>
      </c>
      <c r="U24" s="364">
        <f t="shared" si="16"/>
        <v>0.6</v>
      </c>
      <c r="V24" s="365">
        <f t="shared" si="5"/>
        <v>0.6</v>
      </c>
      <c r="W24" s="365">
        <f t="shared" si="6"/>
        <v>0</v>
      </c>
      <c r="X24" s="365">
        <f t="shared" si="7"/>
        <v>0</v>
      </c>
      <c r="Y24" s="365">
        <f t="shared" si="8"/>
        <v>0.6666666667</v>
      </c>
      <c r="Z24" s="365">
        <f t="shared" si="9"/>
        <v>0</v>
      </c>
      <c r="AA24" s="366">
        <f t="shared" si="10"/>
        <v>0.5</v>
      </c>
      <c r="AB24" s="356">
        <f>SUMIFS('Все игры'!D$3:D1000,'Все игры'!A$3:A1000,A24)</f>
        <v>13</v>
      </c>
      <c r="AC24" s="356">
        <f>SUMIFS('Все игры'!D$3:D1000,'Все игры'!A$3:A1000,A24,'Все игры'!B$3:B1000,"Мафия")</f>
        <v>0</v>
      </c>
      <c r="AD24" s="367">
        <f>SUMIFS('Все игры'!D$3:D1000,'Все игры'!A$3:A1000,A24,'Все игры'!B$3:B1000,"Шериф")</f>
        <v>8.5</v>
      </c>
      <c r="AE24" s="356">
        <f>SUMIFS('Все игры'!D$3:D1000,'Все игры'!A$3:A1000,A24,'Все игры'!B$3:B1000,"Дон")</f>
        <v>0</v>
      </c>
      <c r="AF24" s="357">
        <f>SUMIFS('Все игры'!D$3:D1000,'Все игры'!A$3:A1000,A24,'Все игры'!B$3:B1000,"Мирный")</f>
        <v>4.5</v>
      </c>
      <c r="AG24" s="356">
        <f t="shared" si="11"/>
        <v>2.6</v>
      </c>
      <c r="AH24" s="356">
        <f t="shared" si="12"/>
        <v>0</v>
      </c>
      <c r="AI24" s="356">
        <f t="shared" si="13"/>
        <v>2.833333333</v>
      </c>
      <c r="AJ24" s="356">
        <f t="shared" si="14"/>
        <v>0</v>
      </c>
      <c r="AK24" s="356">
        <f t="shared" si="15"/>
        <v>2.25</v>
      </c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</row>
    <row r="25">
      <c r="A25" s="368" t="s">
        <v>99</v>
      </c>
      <c r="B25" s="369">
        <f t="shared" si="1"/>
        <v>0</v>
      </c>
      <c r="C25" s="370">
        <f>'Турнирная таблица по Алфавиту'!E27</f>
        <v>0</v>
      </c>
      <c r="D25" s="371" t="str">
        <f>'Турнирная таблица по Алфавиту'!F27</f>
        <v/>
      </c>
      <c r="E25" s="372">
        <f>COUNTIFS('Все игры'!A$3:A1000,A25,'Все игры'!F$3:F1000,"=1")</f>
        <v>0</v>
      </c>
      <c r="F25" s="372">
        <f>COUNTIFS('Все игры'!A$3:A1000,A25,'Все игры'!F$3:F1000,"=0,50")</f>
        <v>0</v>
      </c>
      <c r="G25" s="372">
        <f>COUNTIFS('Все игры'!A$3:A1000,A25,'Все игры'!G$3:G1000,"&gt;0")</f>
        <v>0</v>
      </c>
      <c r="H25" s="373">
        <f t="shared" si="2"/>
        <v>0</v>
      </c>
      <c r="I25" s="374">
        <f>COUNTIFS('Все игры'!A$3:A1000,A25,'Все игры'!E$3:E1000,"У/Победа")</f>
        <v>0</v>
      </c>
      <c r="J25" s="374">
        <f>COUNTIFS('Все игры'!A$3:A1000,A25,'Все игры'!E$3:E1000,"У/Проигрыш")</f>
        <v>0</v>
      </c>
      <c r="K25" s="375">
        <f t="shared" si="3"/>
        <v>0</v>
      </c>
      <c r="L25" s="369">
        <f t="shared" si="4"/>
        <v>0</v>
      </c>
      <c r="M25" s="369">
        <f>COUNTIFS('Все игры'!A$3:A1000,A25,'Все игры'!C$3:C1000,"&gt;0",'Все игры'!B$3:B1000,"Мафия")</f>
        <v>0</v>
      </c>
      <c r="N25" s="369">
        <f>IFERROR(__xludf.DUMMYFUNCTION("COUNTBLANK(FILTER('Все игры'!A$3:C1000,'Все игры'!A$3:A1000=A25,'Все игры'!C$3:C1000 &lt; 1,'Все игры'!B$3:B1000=""Мафия""))"),0.0)</f>
        <v>0</v>
      </c>
      <c r="O25" s="369">
        <f>COUNTIFS('Все игры'!A$3:A1000,A25,'Все игры'!C$3:C1000,"&gt;0",'Все игры'!B$3:B1000,"Шериф")</f>
        <v>0</v>
      </c>
      <c r="P25" s="376">
        <f>IFERROR(__xludf.DUMMYFUNCTION("COUNTBLANK(FILTER('Все игры'!A$3:C1000,'Все игры'!A$3:A1000=A25,'Все игры'!C$3:C1000 &lt; 1,'Все игры'!B$3:B1000=""Шериф""))"),0.0)</f>
        <v>0</v>
      </c>
      <c r="Q25" s="369">
        <f>COUNTIFS('Все игры'!A$3:A1000,A25,'Все игры'!C$3:C1000,"&gt;0",'Все игры'!B$3:B1000,"Дон")</f>
        <v>0</v>
      </c>
      <c r="R25" s="369">
        <f>IFERROR(__xludf.DUMMYFUNCTION("COUNTBLANK(FILTER('Все игры'!A$3:C1000,'Все игры'!A$3:A1000=A25,'Все игры'!C$3:C1000 &lt; 1,'Все игры'!B$3:B1000=""Дон""))"),0.0)</f>
        <v>0</v>
      </c>
      <c r="S25" s="369">
        <f>COUNTIFS('Все игры'!A$3:A1000,A25,'Все игры'!C$3:C1000,"&gt;0",'Все игры'!B$3:B1000,"Мирный")</f>
        <v>0</v>
      </c>
      <c r="T25" s="377">
        <f>IFERROR(__xludf.DUMMYFUNCTION("COUNTBLANK(FILTER('Все игры'!A$3:C1000,'Все игры'!A$3:A1000=A25,'Все игры'!C$3:C1000 &lt; 1,'Все игры'!B$3:B1000=""Мирный""))"),0.0)</f>
        <v>0</v>
      </c>
      <c r="U25" s="378">
        <f t="shared" si="16"/>
        <v>0</v>
      </c>
      <c r="V25" s="379">
        <f t="shared" si="5"/>
        <v>0</v>
      </c>
      <c r="W25" s="379">
        <f t="shared" si="6"/>
        <v>0</v>
      </c>
      <c r="X25" s="379">
        <f t="shared" si="7"/>
        <v>0</v>
      </c>
      <c r="Y25" s="379">
        <f t="shared" si="8"/>
        <v>0</v>
      </c>
      <c r="Z25" s="379">
        <f t="shared" si="9"/>
        <v>0</v>
      </c>
      <c r="AA25" s="380">
        <f t="shared" si="10"/>
        <v>0</v>
      </c>
      <c r="AB25" s="370">
        <f>SUMIFS('Все игры'!D$3:D1000,'Все игры'!A$3:A1000,A25)</f>
        <v>0</v>
      </c>
      <c r="AC25" s="370">
        <f>SUMIFS('Все игры'!D$3:D1000,'Все игры'!A$3:A1000,A25,'Все игры'!B$3:B1000,"Мафия")</f>
        <v>0</v>
      </c>
      <c r="AD25" s="381">
        <f>SUMIFS('Все игры'!D$3:D1000,'Все игры'!A$3:A1000,A25,'Все игры'!B$3:B1000,"Шериф")</f>
        <v>0</v>
      </c>
      <c r="AE25" s="370">
        <f>SUMIFS('Все игры'!D$3:D1000,'Все игры'!A$3:A1000,A25,'Все игры'!B$3:B1000,"Дон")</f>
        <v>0</v>
      </c>
      <c r="AF25" s="371">
        <f>SUMIFS('Все игры'!D$3:D1000,'Все игры'!A$3:A1000,A25,'Все игры'!B$3:B1000,"Мирный")</f>
        <v>0</v>
      </c>
      <c r="AG25" s="370">
        <f t="shared" si="11"/>
        <v>0</v>
      </c>
      <c r="AH25" s="370">
        <f t="shared" si="12"/>
        <v>0</v>
      </c>
      <c r="AI25" s="370">
        <f t="shared" si="13"/>
        <v>0</v>
      </c>
      <c r="AJ25" s="370">
        <f t="shared" si="14"/>
        <v>0</v>
      </c>
      <c r="AK25" s="370">
        <f t="shared" si="15"/>
        <v>0</v>
      </c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</row>
    <row r="26">
      <c r="A26" s="368" t="s">
        <v>100</v>
      </c>
      <c r="B26" s="355">
        <f t="shared" si="1"/>
        <v>0</v>
      </c>
      <c r="C26" s="356">
        <f>'Турнирная таблица по Алфавиту'!E28</f>
        <v>0</v>
      </c>
      <c r="D26" s="357" t="str">
        <f>'Турнирная таблица по Алфавиту'!F28</f>
        <v/>
      </c>
      <c r="E26" s="358">
        <f>COUNTIFS('Все игры'!A$3:A1000,A26,'Все игры'!F$3:F1000,"=1")</f>
        <v>0</v>
      </c>
      <c r="F26" s="358">
        <f>COUNTIFS('Все игры'!A$3:A1000,A26,'Все игры'!F$3:F1000,"=0,50")</f>
        <v>0</v>
      </c>
      <c r="G26" s="358">
        <f>COUNTIFS('Все игры'!A$3:A1000,A26,'Все игры'!G$3:G1000,"&gt;0")</f>
        <v>0</v>
      </c>
      <c r="H26" s="359">
        <f t="shared" si="2"/>
        <v>0</v>
      </c>
      <c r="I26" s="360">
        <f>COUNTIFS('Все игры'!A$3:A1000,A26,'Все игры'!E$3:E1000,"У/Победа")</f>
        <v>0</v>
      </c>
      <c r="J26" s="360">
        <f>COUNTIFS('Все игры'!A$3:A1000,A26,'Все игры'!E$3:E1000,"У/Проигрыш")</f>
        <v>0</v>
      </c>
      <c r="K26" s="361">
        <f t="shared" si="3"/>
        <v>0</v>
      </c>
      <c r="L26" s="355">
        <f t="shared" si="4"/>
        <v>0</v>
      </c>
      <c r="M26" s="355">
        <f>COUNTIFS('Все игры'!A$3:A1000,A26,'Все игры'!C$3:C1000,"&gt;0",'Все игры'!B$3:B1000,"Мафия")</f>
        <v>0</v>
      </c>
      <c r="N26" s="355">
        <f>IFERROR(__xludf.DUMMYFUNCTION("COUNTBLANK(FILTER('Все игры'!A$3:C1000,'Все игры'!A$3:A1000=A26,'Все игры'!C$3:C1000 &lt; 1,'Все игры'!B$3:B1000=""Мафия""))"),0.0)</f>
        <v>0</v>
      </c>
      <c r="O26" s="355">
        <f>COUNTIFS('Все игры'!A$3:A1000,A26,'Все игры'!C$3:C1000,"&gt;0",'Все игры'!B$3:B1000,"Шериф")</f>
        <v>0</v>
      </c>
      <c r="P26" s="362">
        <f>IFERROR(__xludf.DUMMYFUNCTION("COUNTBLANK(FILTER('Все игры'!A$3:C1000,'Все игры'!A$3:A1000=A26,'Все игры'!C$3:C1000 &lt; 1,'Все игры'!B$3:B1000=""Шериф""))"),0.0)</f>
        <v>0</v>
      </c>
      <c r="Q26" s="355">
        <f>COUNTIFS('Все игры'!A$3:A1000,A26,'Все игры'!C$3:C1000,"&gt;0",'Все игры'!B$3:B1000,"Дон")</f>
        <v>0</v>
      </c>
      <c r="R26" s="355">
        <f>IFERROR(__xludf.DUMMYFUNCTION("COUNTBLANK(FILTER('Все игры'!A$3:C1000,'Все игры'!A$3:A1000=A26,'Все игры'!C$3:C1000 &lt; 1,'Все игры'!B$3:B1000=""Дон""))"),0.0)</f>
        <v>0</v>
      </c>
      <c r="S26" s="355">
        <f>COUNTIFS('Все игры'!A$3:A1000,A26,'Все игры'!C$3:C1000,"&gt;0",'Все игры'!B$3:B1000,"Мирный")</f>
        <v>0</v>
      </c>
      <c r="T26" s="363">
        <f>IFERROR(__xludf.DUMMYFUNCTION("COUNTBLANK(FILTER('Все игры'!A$3:C1000,'Все игры'!A$3:A1000=A26,'Все игры'!C$3:C1000 &lt; 1,'Все игры'!B$3:B1000=""Мирный""))"),0.0)</f>
        <v>0</v>
      </c>
      <c r="U26" s="364">
        <f t="shared" si="16"/>
        <v>0</v>
      </c>
      <c r="V26" s="365">
        <f t="shared" si="5"/>
        <v>0</v>
      </c>
      <c r="W26" s="365">
        <f t="shared" si="6"/>
        <v>0</v>
      </c>
      <c r="X26" s="365">
        <f t="shared" si="7"/>
        <v>0</v>
      </c>
      <c r="Y26" s="365">
        <f t="shared" si="8"/>
        <v>0</v>
      </c>
      <c r="Z26" s="365">
        <f t="shared" si="9"/>
        <v>0</v>
      </c>
      <c r="AA26" s="366">
        <f t="shared" si="10"/>
        <v>0</v>
      </c>
      <c r="AB26" s="356">
        <f>SUMIFS('Все игры'!D$3:D1000,'Все игры'!A$3:A1000,A26)</f>
        <v>0</v>
      </c>
      <c r="AC26" s="356">
        <f>SUMIFS('Все игры'!D$3:D1000,'Все игры'!A$3:A1000,A26,'Все игры'!B$3:B1000,"Мафия")</f>
        <v>0</v>
      </c>
      <c r="AD26" s="367">
        <f>SUMIFS('Все игры'!D$3:D1000,'Все игры'!A$3:A1000,A26,'Все игры'!B$3:B1000,"Шериф")</f>
        <v>0</v>
      </c>
      <c r="AE26" s="356">
        <f>SUMIFS('Все игры'!D$3:D1000,'Все игры'!A$3:A1000,A26,'Все игры'!B$3:B1000,"Дон")</f>
        <v>0</v>
      </c>
      <c r="AF26" s="357">
        <f>SUMIFS('Все игры'!D$3:D1000,'Все игры'!A$3:A1000,A26,'Все игры'!B$3:B1000,"Мирный")</f>
        <v>0</v>
      </c>
      <c r="AG26" s="356">
        <f t="shared" si="11"/>
        <v>0</v>
      </c>
      <c r="AH26" s="356">
        <f t="shared" si="12"/>
        <v>0</v>
      </c>
      <c r="AI26" s="356">
        <f t="shared" si="13"/>
        <v>0</v>
      </c>
      <c r="AJ26" s="356">
        <f t="shared" si="14"/>
        <v>0</v>
      </c>
      <c r="AK26" s="356">
        <f t="shared" si="15"/>
        <v>0</v>
      </c>
      <c r="AL26" s="356"/>
      <c r="AM26" s="356"/>
      <c r="AN26" s="356"/>
      <c r="AO26" s="356"/>
      <c r="AP26" s="356"/>
      <c r="AQ26" s="356"/>
      <c r="AR26" s="356"/>
      <c r="AS26" s="356"/>
      <c r="AT26" s="356"/>
      <c r="AU26" s="356"/>
      <c r="AV26" s="356"/>
      <c r="AW26" s="356"/>
      <c r="AX26" s="356"/>
      <c r="AY26" s="356"/>
      <c r="AZ26" s="356"/>
      <c r="BA26" s="356"/>
      <c r="BB26" s="356"/>
      <c r="BC26" s="356"/>
      <c r="BD26" s="356"/>
      <c r="BE26" s="356"/>
      <c r="BF26" s="356"/>
      <c r="BG26" s="356"/>
      <c r="BH26" s="356"/>
      <c r="BI26" s="356"/>
      <c r="BJ26" s="356"/>
      <c r="BK26" s="356"/>
      <c r="BL26" s="356"/>
      <c r="BM26" s="356"/>
    </row>
    <row r="27">
      <c r="A27" s="368" t="s">
        <v>101</v>
      </c>
      <c r="B27" s="369">
        <f t="shared" si="1"/>
        <v>10</v>
      </c>
      <c r="C27" s="370">
        <f>'Турнирная таблица по Алфавиту'!E29</f>
        <v>38</v>
      </c>
      <c r="D27" s="371">
        <f>'Турнирная таблица по Алфавиту'!F29</f>
        <v>19</v>
      </c>
      <c r="E27" s="372">
        <f>COUNTIFS('Все игры'!A$3:A1000,A27,'Все игры'!F$3:F1000,"=1")</f>
        <v>0</v>
      </c>
      <c r="F27" s="372">
        <f>COUNTIFS('Все игры'!A$3:A1000,A27,'Все игры'!F$3:F1000,"=0,50")</f>
        <v>0</v>
      </c>
      <c r="G27" s="372">
        <f>COUNTIFS('Все игры'!A$3:A1000,A27,'Все игры'!G$3:G1000,"&gt;0")</f>
        <v>1</v>
      </c>
      <c r="H27" s="373">
        <f t="shared" si="2"/>
        <v>0.1428571429</v>
      </c>
      <c r="I27" s="374">
        <f>COUNTIFS('Все игры'!A$3:A1000,A27,'Все игры'!E$3:E1000,"У/Победа")</f>
        <v>0</v>
      </c>
      <c r="J27" s="374">
        <f>COUNTIFS('Все игры'!A$3:A1000,A27,'Все игры'!E$3:E1000,"У/Проигрыш")</f>
        <v>0</v>
      </c>
      <c r="K27" s="375">
        <f t="shared" si="3"/>
        <v>7</v>
      </c>
      <c r="L27" s="369">
        <f t="shared" si="4"/>
        <v>3</v>
      </c>
      <c r="M27" s="369">
        <f>COUNTIFS('Все игры'!A$3:A1000,A27,'Все игры'!C$3:C1000,"&gt;0",'Все игры'!B$3:B1000,"Мафия")</f>
        <v>2</v>
      </c>
      <c r="N27" s="369">
        <f>IFERROR(__xludf.DUMMYFUNCTION("COUNTBLANK(FILTER('Все игры'!A$3:C1000,'Все игры'!A$3:A1000=A27,'Все игры'!C$3:C1000 &lt; 1,'Все игры'!B$3:B1000=""Мафия""))"),1.0)</f>
        <v>1</v>
      </c>
      <c r="O27" s="369">
        <f>COUNTIFS('Все игры'!A$3:A1000,A27,'Все игры'!C$3:C1000,"&gt;0",'Все игры'!B$3:B1000,"Шериф")</f>
        <v>0</v>
      </c>
      <c r="P27" s="376">
        <f>IFERROR(__xludf.DUMMYFUNCTION("COUNTBLANK(FILTER('Все игры'!A$3:C1000,'Все игры'!A$3:A1000=A27,'Все игры'!C$3:C1000 &lt; 1,'Все игры'!B$3:B1000=""Шериф""))"),1.0)</f>
        <v>1</v>
      </c>
      <c r="Q27" s="369">
        <f>COUNTIFS('Все игры'!A$3:A1000,A27,'Все игры'!C$3:C1000,"&gt;0",'Все игры'!B$3:B1000,"Дон")</f>
        <v>0</v>
      </c>
      <c r="R27" s="369">
        <f>IFERROR(__xludf.DUMMYFUNCTION("COUNTBLANK(FILTER('Все игры'!A$3:C1000,'Все игры'!A$3:A1000=A27,'Все игры'!C$3:C1000 &lt; 1,'Все игры'!B$3:B1000=""Дон""))"),0.0)</f>
        <v>0</v>
      </c>
      <c r="S27" s="369">
        <f>COUNTIFS('Все игры'!A$3:A1000,A27,'Все игры'!C$3:C1000,"&gt;0",'Все игры'!B$3:B1000,"Мирный")</f>
        <v>3</v>
      </c>
      <c r="T27" s="377">
        <f>IFERROR(__xludf.DUMMYFUNCTION("COUNTBLANK(FILTER('Все игры'!A$3:C1000,'Все игры'!A$3:A1000=A27,'Все игры'!C$3:C1000 &lt; 1,'Все игры'!B$3:B1000=""Мирный""))"),3.0)</f>
        <v>3</v>
      </c>
      <c r="U27" s="378">
        <f t="shared" si="16"/>
        <v>0.5</v>
      </c>
      <c r="V27" s="379">
        <f t="shared" si="5"/>
        <v>0.4285714286</v>
      </c>
      <c r="W27" s="379">
        <f t="shared" si="6"/>
        <v>0.6666666667</v>
      </c>
      <c r="X27" s="379">
        <f t="shared" si="7"/>
        <v>0.6666666667</v>
      </c>
      <c r="Y27" s="379">
        <f t="shared" si="8"/>
        <v>0</v>
      </c>
      <c r="Z27" s="379">
        <f t="shared" si="9"/>
        <v>0</v>
      </c>
      <c r="AA27" s="380">
        <f t="shared" si="10"/>
        <v>0.5</v>
      </c>
      <c r="AB27" s="370">
        <f>SUMIFS('Все игры'!D$3:D1000,'Все игры'!A$3:A1000,A27)</f>
        <v>25</v>
      </c>
      <c r="AC27" s="370">
        <f>SUMIFS('Все игры'!D$3:D1000,'Все игры'!A$3:A1000,A27,'Все игры'!B$3:B1000,"Мафия")</f>
        <v>6.25</v>
      </c>
      <c r="AD27" s="381">
        <f>SUMIFS('Все игры'!D$3:D1000,'Все игры'!A$3:A1000,A27,'Все игры'!B$3:B1000,"Шериф")</f>
        <v>2</v>
      </c>
      <c r="AE27" s="370">
        <f>SUMIFS('Все игры'!D$3:D1000,'Все игры'!A$3:A1000,A27,'Все игры'!B$3:B1000,"Дон")</f>
        <v>0</v>
      </c>
      <c r="AF27" s="371">
        <f>SUMIFS('Все игры'!D$3:D1000,'Все игры'!A$3:A1000,A27,'Все игры'!B$3:B1000,"Мирный")</f>
        <v>16.75</v>
      </c>
      <c r="AG27" s="370">
        <f t="shared" si="11"/>
        <v>2.5</v>
      </c>
      <c r="AH27" s="370">
        <f t="shared" si="12"/>
        <v>2.083333333</v>
      </c>
      <c r="AI27" s="370">
        <f t="shared" si="13"/>
        <v>2</v>
      </c>
      <c r="AJ27" s="370">
        <f t="shared" si="14"/>
        <v>0</v>
      </c>
      <c r="AK27" s="370">
        <f t="shared" si="15"/>
        <v>2.791666667</v>
      </c>
      <c r="AL27" s="356"/>
      <c r="AM27" s="356"/>
      <c r="AN27" s="356"/>
      <c r="AO27" s="356"/>
      <c r="AP27" s="356"/>
      <c r="AQ27" s="356"/>
      <c r="AR27" s="356"/>
      <c r="AS27" s="356"/>
      <c r="AT27" s="356"/>
      <c r="AU27" s="356"/>
      <c r="AV27" s="356"/>
      <c r="AW27" s="356"/>
      <c r="AX27" s="356"/>
      <c r="AY27" s="356"/>
      <c r="AZ27" s="356"/>
      <c r="BA27" s="356"/>
      <c r="BB27" s="356"/>
      <c r="BC27" s="356"/>
      <c r="BD27" s="356"/>
      <c r="BE27" s="356"/>
      <c r="BF27" s="356"/>
      <c r="BG27" s="356"/>
      <c r="BH27" s="356"/>
      <c r="BI27" s="356"/>
      <c r="BJ27" s="356"/>
      <c r="BK27" s="356"/>
      <c r="BL27" s="356"/>
      <c r="BM27" s="356"/>
    </row>
    <row r="28">
      <c r="A28" s="368" t="s">
        <v>102</v>
      </c>
      <c r="B28" s="355">
        <f t="shared" si="1"/>
        <v>10</v>
      </c>
      <c r="C28" s="356">
        <f>'Турнирная таблица по Алфавиту'!E30</f>
        <v>45.5</v>
      </c>
      <c r="D28" s="357">
        <f>'Турнирная таблица по Алфавиту'!F30</f>
        <v>22.75</v>
      </c>
      <c r="E28" s="358">
        <f>COUNTIFS('Все игры'!A$3:A1000,A28,'Все игры'!F$3:F1000,"=1")</f>
        <v>0</v>
      </c>
      <c r="F28" s="358">
        <f>COUNTIFS('Все игры'!A$3:A1000,A28,'Все игры'!F$3:F1000,"=0,50")</f>
        <v>0</v>
      </c>
      <c r="G28" s="358">
        <f>COUNTIFS('Все игры'!A$3:A1000,A28,'Все игры'!G$3:G1000,"&gt;0")</f>
        <v>1</v>
      </c>
      <c r="H28" s="359">
        <f t="shared" si="2"/>
        <v>0.1666666667</v>
      </c>
      <c r="I28" s="360">
        <f>COUNTIFS('Все игры'!A$3:A1000,A28,'Все игры'!E$3:E1000,"У/Победа")</f>
        <v>0</v>
      </c>
      <c r="J28" s="360">
        <f>COUNTIFS('Все игры'!A$3:A1000,A28,'Все игры'!E$3:E1000,"У/Проигрыш")</f>
        <v>2</v>
      </c>
      <c r="K28" s="361">
        <f t="shared" si="3"/>
        <v>6</v>
      </c>
      <c r="L28" s="355">
        <f t="shared" si="4"/>
        <v>4</v>
      </c>
      <c r="M28" s="355">
        <f>COUNTIFS('Все игры'!A$3:A1000,A28,'Все игры'!C$3:C1000,"&gt;0",'Все игры'!B$3:B1000,"Мафия")</f>
        <v>0</v>
      </c>
      <c r="N28" s="355">
        <f>IFERROR(__xludf.DUMMYFUNCTION("COUNTBLANK(FILTER('Все игры'!A$3:C1000,'Все игры'!A$3:A1000=A28,'Все игры'!C$3:C1000 &lt; 1,'Все игры'!B$3:B1000=""Мафия""))"),1.0)</f>
        <v>1</v>
      </c>
      <c r="O28" s="355">
        <f>COUNTIFS('Все игры'!A$3:A1000,A28,'Все игры'!C$3:C1000,"&gt;0",'Все игры'!B$3:B1000,"Шериф")</f>
        <v>0</v>
      </c>
      <c r="P28" s="362">
        <f>IFERROR(__xludf.DUMMYFUNCTION("COUNTBLANK(FILTER('Все игры'!A$3:C1000,'Все игры'!A$3:A1000=A28,'Все игры'!C$3:C1000 &lt; 1,'Все игры'!B$3:B1000=""Шериф""))"),0.0)</f>
        <v>0</v>
      </c>
      <c r="Q28" s="355">
        <f>COUNTIFS('Все игры'!A$3:A1000,A28,'Все игры'!C$3:C1000,"&gt;0",'Все игры'!B$3:B1000,"Дон")</f>
        <v>2</v>
      </c>
      <c r="R28" s="355">
        <f>IFERROR(__xludf.DUMMYFUNCTION("COUNTBLANK(FILTER('Все игры'!A$3:C1000,'Все игры'!A$3:A1000=A28,'Все игры'!C$3:C1000 &lt; 1,'Все игры'!B$3:B1000=""Дон""))"),1.0)</f>
        <v>1</v>
      </c>
      <c r="S28" s="355">
        <f>COUNTIFS('Все игры'!A$3:A1000,A28,'Все игры'!C$3:C1000,"&gt;0",'Все игры'!B$3:B1000,"Мирный")</f>
        <v>4</v>
      </c>
      <c r="T28" s="363">
        <f>IFERROR(__xludf.DUMMYFUNCTION("COUNTBLANK(FILTER('Все игры'!A$3:C1000,'Все игры'!A$3:A1000=A28,'Все игры'!C$3:C1000 &lt; 1,'Все игры'!B$3:B1000=""Мирный""))"),2.0)</f>
        <v>2</v>
      </c>
      <c r="U28" s="364">
        <f t="shared" si="16"/>
        <v>0.6</v>
      </c>
      <c r="V28" s="365">
        <f t="shared" si="5"/>
        <v>0.6666666667</v>
      </c>
      <c r="W28" s="365">
        <f t="shared" si="6"/>
        <v>0.5</v>
      </c>
      <c r="X28" s="365">
        <f t="shared" si="7"/>
        <v>0</v>
      </c>
      <c r="Y28" s="365">
        <f t="shared" si="8"/>
        <v>0</v>
      </c>
      <c r="Z28" s="365">
        <f t="shared" si="9"/>
        <v>0.6666666667</v>
      </c>
      <c r="AA28" s="366">
        <f t="shared" si="10"/>
        <v>0.6666666667</v>
      </c>
      <c r="AB28" s="356">
        <f>SUMIFS('Все игры'!D$3:D1000,'Все игры'!A$3:A1000,A28)</f>
        <v>30</v>
      </c>
      <c r="AC28" s="356">
        <f>SUMIFS('Все игры'!D$3:D1000,'Все игры'!A$3:A1000,A28,'Все игры'!B$3:B1000,"Мафия")</f>
        <v>2</v>
      </c>
      <c r="AD28" s="367">
        <f>SUMIFS('Все игры'!D$3:D1000,'Все игры'!A$3:A1000,A28,'Все игры'!B$3:B1000,"Шериф")</f>
        <v>0</v>
      </c>
      <c r="AE28" s="356">
        <f>SUMIFS('Все игры'!D$3:D1000,'Все игры'!A$3:A1000,A28,'Все игры'!B$3:B1000,"Дон")</f>
        <v>9</v>
      </c>
      <c r="AF28" s="357">
        <f>SUMIFS('Все игры'!D$3:D1000,'Все игры'!A$3:A1000,A28,'Все игры'!B$3:B1000,"Мирный")</f>
        <v>19</v>
      </c>
      <c r="AG28" s="356">
        <f t="shared" si="11"/>
        <v>3</v>
      </c>
      <c r="AH28" s="356">
        <f t="shared" si="12"/>
        <v>2</v>
      </c>
      <c r="AI28" s="356">
        <f t="shared" si="13"/>
        <v>0</v>
      </c>
      <c r="AJ28" s="356">
        <f t="shared" si="14"/>
        <v>3</v>
      </c>
      <c r="AK28" s="356">
        <f t="shared" si="15"/>
        <v>3.166666667</v>
      </c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6"/>
      <c r="AX28" s="356"/>
      <c r="AY28" s="356"/>
      <c r="AZ28" s="356"/>
      <c r="BA28" s="356"/>
      <c r="BB28" s="356"/>
      <c r="BC28" s="356"/>
      <c r="BD28" s="356"/>
      <c r="BE28" s="356"/>
      <c r="BF28" s="356"/>
      <c r="BG28" s="356"/>
      <c r="BH28" s="356"/>
      <c r="BI28" s="356"/>
      <c r="BJ28" s="356"/>
      <c r="BK28" s="356"/>
      <c r="BL28" s="356"/>
      <c r="BM28" s="356"/>
    </row>
    <row r="29">
      <c r="A29" s="368" t="s">
        <v>103</v>
      </c>
      <c r="B29" s="369">
        <f t="shared" si="1"/>
        <v>5</v>
      </c>
      <c r="C29" s="370">
        <f>'Турнирная таблица по Алфавиту'!E31</f>
        <v>14</v>
      </c>
      <c r="D29" s="371">
        <f>'Турнирная таблица по Алфавиту'!F31</f>
        <v>14</v>
      </c>
      <c r="E29" s="372">
        <f>COUNTIFS('Все игры'!A$3:A1000,A29,'Все игры'!F$3:F1000,"=1")</f>
        <v>0</v>
      </c>
      <c r="F29" s="372">
        <f>COUNTIFS('Все игры'!A$3:A1000,A29,'Все игры'!F$3:F1000,"=0,50")</f>
        <v>0</v>
      </c>
      <c r="G29" s="372">
        <f>COUNTIFS('Все игры'!A$3:A1000,A29,'Все игры'!G$3:G1000,"&gt;0")</f>
        <v>0</v>
      </c>
      <c r="H29" s="373">
        <f t="shared" si="2"/>
        <v>0</v>
      </c>
      <c r="I29" s="374">
        <f>COUNTIFS('Все игры'!A$3:A1000,A29,'Все игры'!E$3:E1000,"У/Победа")</f>
        <v>0</v>
      </c>
      <c r="J29" s="374">
        <f>COUNTIFS('Все игры'!A$3:A1000,A29,'Все игры'!E$3:E1000,"У/Проигрыш")</f>
        <v>0</v>
      </c>
      <c r="K29" s="375">
        <f t="shared" si="3"/>
        <v>4</v>
      </c>
      <c r="L29" s="369">
        <f t="shared" si="4"/>
        <v>1</v>
      </c>
      <c r="M29" s="369">
        <f>COUNTIFS('Все игры'!A$3:A1000,A29,'Все игры'!C$3:C1000,"&gt;0",'Все игры'!B$3:B1000,"Мафия")</f>
        <v>0</v>
      </c>
      <c r="N29" s="369">
        <f>IFERROR(__xludf.DUMMYFUNCTION("COUNTBLANK(FILTER('Все игры'!A$3:C1000,'Все игры'!A$3:A1000=A29,'Все игры'!C$3:C1000 &lt; 1,'Все игры'!B$3:B1000=""Мафия""))"),0.0)</f>
        <v>0</v>
      </c>
      <c r="O29" s="369">
        <f>COUNTIFS('Все игры'!A$3:A1000,A29,'Все игры'!C$3:C1000,"&gt;0",'Все игры'!B$3:B1000,"Шериф")</f>
        <v>1</v>
      </c>
      <c r="P29" s="376">
        <f>IFERROR(__xludf.DUMMYFUNCTION("COUNTBLANK(FILTER('Все игры'!A$3:C1000,'Все игры'!A$3:A1000=A29,'Все игры'!C$3:C1000 &lt; 1,'Все игры'!B$3:B1000=""Шериф""))"),0.0)</f>
        <v>0</v>
      </c>
      <c r="Q29" s="369">
        <f>COUNTIFS('Все игры'!A$3:A1000,A29,'Все игры'!C$3:C1000,"&gt;0",'Все игры'!B$3:B1000,"Дон")</f>
        <v>1</v>
      </c>
      <c r="R29" s="369">
        <f>IFERROR(__xludf.DUMMYFUNCTION("COUNTBLANK(FILTER('Все игры'!A$3:C1000,'Все игры'!A$3:A1000=A29,'Все игры'!C$3:C1000 &lt; 1,'Все игры'!B$3:B1000=""Дон""))"),0.0)</f>
        <v>0</v>
      </c>
      <c r="S29" s="369">
        <f>COUNTIFS('Все игры'!A$3:A1000,A29,'Все игры'!C$3:C1000,"&gt;0",'Все игры'!B$3:B1000,"Мирный")</f>
        <v>0</v>
      </c>
      <c r="T29" s="377">
        <f>IFERROR(__xludf.DUMMYFUNCTION("COUNTBLANK(FILTER('Все игры'!A$3:C1000,'Все игры'!A$3:A1000=A29,'Все игры'!C$3:C1000 &lt; 1,'Все игры'!B$3:B1000=""Мирный""))"),3.0)</f>
        <v>3</v>
      </c>
      <c r="U29" s="378">
        <f t="shared" si="16"/>
        <v>0.4</v>
      </c>
      <c r="V29" s="379">
        <f t="shared" si="5"/>
        <v>0.25</v>
      </c>
      <c r="W29" s="379">
        <f t="shared" si="6"/>
        <v>1</v>
      </c>
      <c r="X29" s="379">
        <f t="shared" si="7"/>
        <v>0</v>
      </c>
      <c r="Y29" s="379">
        <f t="shared" si="8"/>
        <v>1</v>
      </c>
      <c r="Z29" s="379">
        <f t="shared" si="9"/>
        <v>1</v>
      </c>
      <c r="AA29" s="380">
        <f t="shared" si="10"/>
        <v>0</v>
      </c>
      <c r="AB29" s="370">
        <f>SUMIFS('Все игры'!D$3:D1000,'Все игры'!A$3:A1000,A29)</f>
        <v>9</v>
      </c>
      <c r="AC29" s="370">
        <f>SUMIFS('Все игры'!D$3:D1000,'Все игры'!A$3:A1000,A29,'Все игры'!B$3:B1000,"Мафия")</f>
        <v>0</v>
      </c>
      <c r="AD29" s="381">
        <f>SUMIFS('Все игры'!D$3:D1000,'Все игры'!A$3:A1000,A29,'Все игры'!B$3:B1000,"Шериф")</f>
        <v>2.75</v>
      </c>
      <c r="AE29" s="370">
        <f>SUMIFS('Все игры'!D$3:D1000,'Все игры'!A$3:A1000,A29,'Все игры'!B$3:B1000,"Дон")</f>
        <v>3</v>
      </c>
      <c r="AF29" s="371">
        <f>SUMIFS('Все игры'!D$3:D1000,'Все игры'!A$3:A1000,A29,'Все игры'!B$3:B1000,"Мирный")</f>
        <v>3.25</v>
      </c>
      <c r="AG29" s="370">
        <f t="shared" si="11"/>
        <v>1.8</v>
      </c>
      <c r="AH29" s="370">
        <f t="shared" si="12"/>
        <v>0</v>
      </c>
      <c r="AI29" s="370">
        <f t="shared" si="13"/>
        <v>2.75</v>
      </c>
      <c r="AJ29" s="370">
        <f t="shared" si="14"/>
        <v>3</v>
      </c>
      <c r="AK29" s="370">
        <f t="shared" si="15"/>
        <v>1.083333333</v>
      </c>
      <c r="AL29" s="356"/>
      <c r="AM29" s="356"/>
      <c r="AN29" s="356"/>
      <c r="AO29" s="356"/>
      <c r="AP29" s="356"/>
      <c r="AQ29" s="356"/>
      <c r="AR29" s="356"/>
      <c r="AS29" s="356"/>
      <c r="AT29" s="356"/>
      <c r="AU29" s="356"/>
      <c r="AV29" s="356"/>
      <c r="AW29" s="356"/>
      <c r="AX29" s="356"/>
      <c r="AY29" s="356"/>
      <c r="AZ29" s="356"/>
      <c r="BA29" s="356"/>
      <c r="BB29" s="356"/>
      <c r="BC29" s="356"/>
      <c r="BD29" s="356"/>
      <c r="BE29" s="356"/>
      <c r="BF29" s="356"/>
      <c r="BG29" s="356"/>
      <c r="BH29" s="356"/>
      <c r="BI29" s="356"/>
      <c r="BJ29" s="356"/>
      <c r="BK29" s="356"/>
      <c r="BL29" s="356"/>
      <c r="BM29" s="356"/>
    </row>
    <row r="30">
      <c r="A30" s="368" t="s">
        <v>104</v>
      </c>
      <c r="B30" s="355">
        <f t="shared" si="1"/>
        <v>5</v>
      </c>
      <c r="C30" s="356">
        <f>'Турнирная таблица по Алфавиту'!E32</f>
        <v>21</v>
      </c>
      <c r="D30" s="357">
        <f>'Турнирная таблица по Алфавиту'!F32</f>
        <v>21</v>
      </c>
      <c r="E30" s="358">
        <f>COUNTIFS('Все игры'!A$3:A1000,A30,'Все игры'!F$3:F1000,"=1")</f>
        <v>0</v>
      </c>
      <c r="F30" s="358">
        <f>COUNTIFS('Все игры'!A$3:A1000,A30,'Все игры'!F$3:F1000,"=0,50")</f>
        <v>0</v>
      </c>
      <c r="G30" s="358">
        <f>COUNTIFS('Все игры'!A$3:A1000,A30,'Все игры'!G$3:G1000,"&gt;0")</f>
        <v>1</v>
      </c>
      <c r="H30" s="359">
        <f t="shared" si="2"/>
        <v>0.25</v>
      </c>
      <c r="I30" s="360">
        <f>COUNTIFS('Все игры'!A$3:A1000,A30,'Все игры'!E$3:E1000,"У/Победа")</f>
        <v>0</v>
      </c>
      <c r="J30" s="360">
        <f>COUNTIFS('Все игры'!A$3:A1000,A30,'Все игры'!E$3:E1000,"У/Проигрыш")</f>
        <v>0</v>
      </c>
      <c r="K30" s="361">
        <f t="shared" si="3"/>
        <v>4</v>
      </c>
      <c r="L30" s="355">
        <f t="shared" si="4"/>
        <v>1</v>
      </c>
      <c r="M30" s="355">
        <f>COUNTIFS('Все игры'!A$3:A1000,A30,'Все игры'!C$3:C1000,"&gt;0",'Все игры'!B$3:B1000,"Мафия")</f>
        <v>0</v>
      </c>
      <c r="N30" s="355">
        <f>IFERROR(__xludf.DUMMYFUNCTION("COUNTBLANK(FILTER('Все игры'!A$3:C1000,'Все игры'!A$3:A1000=A30,'Все игры'!C$3:C1000 &lt; 1,'Все игры'!B$3:B1000=""Мафия""))"),0.0)</f>
        <v>0</v>
      </c>
      <c r="O30" s="355">
        <f>COUNTIFS('Все игры'!A$3:A1000,A30,'Все игры'!C$3:C1000,"&gt;0",'Все игры'!B$3:B1000,"Шериф")</f>
        <v>1</v>
      </c>
      <c r="P30" s="362">
        <f>IFERROR(__xludf.DUMMYFUNCTION("COUNTBLANK(FILTER('Все игры'!A$3:C1000,'Все игры'!A$3:A1000=A30,'Все игры'!C$3:C1000 &lt; 1,'Все игры'!B$3:B1000=""Шериф""))"),0.0)</f>
        <v>0</v>
      </c>
      <c r="Q30" s="355">
        <f>COUNTIFS('Все игры'!A$3:A1000,A30,'Все игры'!C$3:C1000,"&gt;0",'Все игры'!B$3:B1000,"Дон")</f>
        <v>0</v>
      </c>
      <c r="R30" s="355">
        <f>IFERROR(__xludf.DUMMYFUNCTION("COUNTBLANK(FILTER('Все игры'!A$3:C1000,'Все игры'!A$3:A1000=A30,'Все игры'!C$3:C1000 &lt; 1,'Все игры'!B$3:B1000=""Дон""))"),1.0)</f>
        <v>1</v>
      </c>
      <c r="S30" s="355">
        <f>COUNTIFS('Все игры'!A$3:A1000,A30,'Все игры'!C$3:C1000,"&gt;0",'Все игры'!B$3:B1000,"Мирный")</f>
        <v>1</v>
      </c>
      <c r="T30" s="363">
        <f>IFERROR(__xludf.DUMMYFUNCTION("COUNTBLANK(FILTER('Все игры'!A$3:C1000,'Все игры'!A$3:A1000=A30,'Все игры'!C$3:C1000 &lt; 1,'Все игры'!B$3:B1000=""Мирный""))"),2.0)</f>
        <v>2</v>
      </c>
      <c r="U30" s="364">
        <f t="shared" si="16"/>
        <v>0.4</v>
      </c>
      <c r="V30" s="365">
        <f t="shared" si="5"/>
        <v>0.5</v>
      </c>
      <c r="W30" s="365">
        <f t="shared" si="6"/>
        <v>0</v>
      </c>
      <c r="X30" s="365">
        <f t="shared" si="7"/>
        <v>0</v>
      </c>
      <c r="Y30" s="365">
        <f t="shared" si="8"/>
        <v>1</v>
      </c>
      <c r="Z30" s="365">
        <f t="shared" si="9"/>
        <v>0</v>
      </c>
      <c r="AA30" s="366">
        <f t="shared" si="10"/>
        <v>0.3333333333</v>
      </c>
      <c r="AB30" s="356">
        <f>SUMIFS('Все игры'!D$3:D1000,'Все игры'!A$3:A1000,A30)</f>
        <v>15.5</v>
      </c>
      <c r="AC30" s="356">
        <f>SUMIFS('Все игры'!D$3:D1000,'Все игры'!A$3:A1000,A30,'Все игры'!B$3:B1000,"Мафия")</f>
        <v>0</v>
      </c>
      <c r="AD30" s="367">
        <f>SUMIFS('Все игры'!D$3:D1000,'Все игры'!A$3:A1000,A30,'Все игры'!B$3:B1000,"Шериф")</f>
        <v>4</v>
      </c>
      <c r="AE30" s="356">
        <f>SUMIFS('Все игры'!D$3:D1000,'Все игры'!A$3:A1000,A30,'Все игры'!B$3:B1000,"Дон")</f>
        <v>2.5</v>
      </c>
      <c r="AF30" s="357">
        <f>SUMIFS('Все игры'!D$3:D1000,'Все игры'!A$3:A1000,A30,'Все игры'!B$3:B1000,"Мирный")</f>
        <v>9</v>
      </c>
      <c r="AG30" s="356">
        <f t="shared" si="11"/>
        <v>3.1</v>
      </c>
      <c r="AH30" s="356">
        <f t="shared" si="12"/>
        <v>0</v>
      </c>
      <c r="AI30" s="356">
        <f t="shared" si="13"/>
        <v>4</v>
      </c>
      <c r="AJ30" s="356">
        <f t="shared" si="14"/>
        <v>2.5</v>
      </c>
      <c r="AK30" s="356">
        <f t="shared" si="15"/>
        <v>3</v>
      </c>
      <c r="AL30" s="356"/>
      <c r="AM30" s="356"/>
      <c r="AN30" s="356"/>
      <c r="AO30" s="356"/>
      <c r="AP30" s="356"/>
      <c r="AQ30" s="356"/>
      <c r="AR30" s="356"/>
      <c r="AS30" s="356"/>
      <c r="AT30" s="356"/>
      <c r="AU30" s="356"/>
      <c r="AV30" s="356"/>
      <c r="AW30" s="356"/>
      <c r="AX30" s="356"/>
      <c r="AY30" s="356"/>
      <c r="AZ30" s="356"/>
      <c r="BA30" s="356"/>
      <c r="BB30" s="356"/>
      <c r="BC30" s="356"/>
      <c r="BD30" s="356"/>
      <c r="BE30" s="356"/>
      <c r="BF30" s="356"/>
      <c r="BG30" s="356"/>
      <c r="BH30" s="356"/>
      <c r="BI30" s="356"/>
      <c r="BJ30" s="356"/>
      <c r="BK30" s="356"/>
      <c r="BL30" s="356"/>
      <c r="BM30" s="356"/>
    </row>
    <row r="31">
      <c r="A31" s="368" t="s">
        <v>105</v>
      </c>
      <c r="B31" s="369">
        <f t="shared" si="1"/>
        <v>10</v>
      </c>
      <c r="C31" s="370">
        <f>'Турнирная таблица по Алфавиту'!E33</f>
        <v>37.25</v>
      </c>
      <c r="D31" s="371">
        <f>'Турнирная таблица по Алфавиту'!F33</f>
        <v>18.625</v>
      </c>
      <c r="E31" s="372">
        <f>COUNTIFS('Все игры'!A$3:A1000,A31,'Все игры'!F$3:F1000,"=1")</f>
        <v>0</v>
      </c>
      <c r="F31" s="372">
        <f>COUNTIFS('Все игры'!A$3:A1000,A31,'Все игры'!F$3:F1000,"=0,50")</f>
        <v>0</v>
      </c>
      <c r="G31" s="372">
        <f>COUNTIFS('Все игры'!A$3:A1000,A31,'Все игры'!G$3:G1000,"&gt;0")</f>
        <v>1</v>
      </c>
      <c r="H31" s="373">
        <f t="shared" si="2"/>
        <v>0.1428571429</v>
      </c>
      <c r="I31" s="374">
        <f>COUNTIFS('Все игры'!A$3:A1000,A31,'Все игры'!E$3:E1000,"У/Победа")</f>
        <v>0</v>
      </c>
      <c r="J31" s="374">
        <f>COUNTIFS('Все игры'!A$3:A1000,A31,'Все игры'!E$3:E1000,"У/Проигрыш")</f>
        <v>0</v>
      </c>
      <c r="K31" s="375">
        <f t="shared" si="3"/>
        <v>7</v>
      </c>
      <c r="L31" s="369">
        <f t="shared" si="4"/>
        <v>3</v>
      </c>
      <c r="M31" s="369">
        <f>COUNTIFS('Все игры'!A$3:A1000,A31,'Все игры'!C$3:C1000,"&gt;0",'Все игры'!B$3:B1000,"Мафия")</f>
        <v>1</v>
      </c>
      <c r="N31" s="369">
        <f>IFERROR(__xludf.DUMMYFUNCTION("COUNTBLANK(FILTER('Все игры'!A$3:C1000,'Все игры'!A$3:A1000=A31,'Все игры'!C$3:C1000 &lt; 1,'Все игры'!B$3:B1000=""Мафия""))"),0.0)</f>
        <v>0</v>
      </c>
      <c r="O31" s="369">
        <f>COUNTIFS('Все игры'!A$3:A1000,A31,'Все игры'!C$3:C1000,"&gt;0",'Все игры'!B$3:B1000,"Шериф")</f>
        <v>0</v>
      </c>
      <c r="P31" s="376">
        <f>IFERROR(__xludf.DUMMYFUNCTION("COUNTBLANK(FILTER('Все игры'!A$3:C1000,'Все игры'!A$3:A1000=A31,'Все игры'!C$3:C1000 &lt; 1,'Все игры'!B$3:B1000=""Шериф""))"),1.0)</f>
        <v>1</v>
      </c>
      <c r="Q31" s="369">
        <f>COUNTIFS('Все игры'!A$3:A1000,A31,'Все игры'!C$3:C1000,"&gt;0",'Все игры'!B$3:B1000,"Дон")</f>
        <v>1</v>
      </c>
      <c r="R31" s="369">
        <f>IFERROR(__xludf.DUMMYFUNCTION("COUNTBLANK(FILTER('Все игры'!A$3:C1000,'Все игры'!A$3:A1000=A31,'Все игры'!C$3:C1000 &lt; 1,'Все игры'!B$3:B1000=""Дон""))"),1.0)</f>
        <v>1</v>
      </c>
      <c r="S31" s="369">
        <f>COUNTIFS('Все игры'!A$3:A1000,A31,'Все игры'!C$3:C1000,"&gt;0",'Все игры'!B$3:B1000,"Мирный")</f>
        <v>3</v>
      </c>
      <c r="T31" s="377">
        <f>IFERROR(__xludf.DUMMYFUNCTION("COUNTBLANK(FILTER('Все игры'!A$3:C1000,'Все игры'!A$3:A1000=A31,'Все игры'!C$3:C1000 &lt; 1,'Все игры'!B$3:B1000=""Мирный""))"),3.0)</f>
        <v>3</v>
      </c>
      <c r="U31" s="378">
        <f t="shared" si="16"/>
        <v>0.5</v>
      </c>
      <c r="V31" s="379">
        <f t="shared" si="5"/>
        <v>0.4285714286</v>
      </c>
      <c r="W31" s="379">
        <f t="shared" si="6"/>
        <v>0.6666666667</v>
      </c>
      <c r="X31" s="379">
        <f t="shared" si="7"/>
        <v>1</v>
      </c>
      <c r="Y31" s="379">
        <f t="shared" si="8"/>
        <v>0</v>
      </c>
      <c r="Z31" s="379">
        <f t="shared" si="9"/>
        <v>0.5</v>
      </c>
      <c r="AA31" s="380">
        <f t="shared" si="10"/>
        <v>0.5</v>
      </c>
      <c r="AB31" s="370">
        <f>SUMIFS('Все игры'!D$3:D1000,'Все игры'!A$3:A1000,A31)</f>
        <v>24.25</v>
      </c>
      <c r="AC31" s="370">
        <f>SUMIFS('Все игры'!D$3:D1000,'Все игры'!A$3:A1000,A31,'Все игры'!B$3:B1000,"Мафия")</f>
        <v>2.5</v>
      </c>
      <c r="AD31" s="381">
        <f>SUMIFS('Все игры'!D$3:D1000,'Все игры'!A$3:A1000,A31,'Все игры'!B$3:B1000,"Шериф")</f>
        <v>1.5</v>
      </c>
      <c r="AE31" s="370">
        <f>SUMIFS('Все игры'!D$3:D1000,'Все игры'!A$3:A1000,A31,'Все игры'!B$3:B1000,"Дон")</f>
        <v>5.25</v>
      </c>
      <c r="AF31" s="371">
        <f>SUMIFS('Все игры'!D$3:D1000,'Все игры'!A$3:A1000,A31,'Все игры'!B$3:B1000,"Мирный")</f>
        <v>15</v>
      </c>
      <c r="AG31" s="370">
        <f t="shared" si="11"/>
        <v>2.425</v>
      </c>
      <c r="AH31" s="370">
        <f t="shared" si="12"/>
        <v>2.5</v>
      </c>
      <c r="AI31" s="370">
        <f t="shared" si="13"/>
        <v>1.5</v>
      </c>
      <c r="AJ31" s="370">
        <f t="shared" si="14"/>
        <v>2.625</v>
      </c>
      <c r="AK31" s="370">
        <f t="shared" si="15"/>
        <v>2.5</v>
      </c>
      <c r="AL31" s="356"/>
      <c r="AM31" s="356"/>
      <c r="AN31" s="356"/>
      <c r="AO31" s="356"/>
      <c r="AP31" s="356"/>
      <c r="AQ31" s="356"/>
      <c r="AR31" s="356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/>
      <c r="BD31" s="356"/>
      <c r="BE31" s="356"/>
      <c r="BF31" s="356"/>
      <c r="BG31" s="356"/>
      <c r="BH31" s="356"/>
      <c r="BI31" s="356"/>
      <c r="BJ31" s="356"/>
      <c r="BK31" s="356"/>
      <c r="BL31" s="356"/>
      <c r="BM31" s="356"/>
    </row>
    <row r="32">
      <c r="A32" s="368" t="s">
        <v>106</v>
      </c>
      <c r="B32" s="355">
        <f t="shared" si="1"/>
        <v>10</v>
      </c>
      <c r="C32" s="356">
        <f>'Турнирная таблица по Алфавиту'!E34</f>
        <v>39.25</v>
      </c>
      <c r="D32" s="357">
        <f>'Турнирная таблица по Алфавиту'!F34</f>
        <v>19.625</v>
      </c>
      <c r="E32" s="358">
        <f>COUNTIFS('Все игры'!A$3:A1000,A32,'Все игры'!F$3:F1000,"=1")</f>
        <v>0</v>
      </c>
      <c r="F32" s="358">
        <f>COUNTIFS('Все игры'!A$3:A1000,A32,'Все игры'!F$3:F1000,"=0,50")</f>
        <v>0</v>
      </c>
      <c r="G32" s="358">
        <f>COUNTIFS('Все игры'!A$3:A1000,A32,'Все игры'!G$3:G1000,"&gt;0")</f>
        <v>0</v>
      </c>
      <c r="H32" s="359">
        <f t="shared" si="2"/>
        <v>0</v>
      </c>
      <c r="I32" s="360">
        <f>COUNTIFS('Все игры'!A$3:A1000,A32,'Все игры'!E$3:E1000,"У/Победа")</f>
        <v>0</v>
      </c>
      <c r="J32" s="360">
        <f>COUNTIFS('Все игры'!A$3:A1000,A32,'Все игры'!E$3:E1000,"У/Проигрыш")</f>
        <v>1</v>
      </c>
      <c r="K32" s="361">
        <f t="shared" si="3"/>
        <v>5</v>
      </c>
      <c r="L32" s="355">
        <f t="shared" si="4"/>
        <v>5</v>
      </c>
      <c r="M32" s="355">
        <f>COUNTIFS('Все игры'!A$3:A1000,A32,'Все игры'!C$3:C1000,"&gt;0",'Все игры'!B$3:B1000,"Мафия")</f>
        <v>3</v>
      </c>
      <c r="N32" s="355">
        <f>IFERROR(__xludf.DUMMYFUNCTION("COUNTBLANK(FILTER('Все игры'!A$3:C1000,'Все игры'!A$3:A1000=A32,'Все игры'!C$3:C1000 &lt; 1,'Все игры'!B$3:B1000=""Мафия""))"),2.0)</f>
        <v>2</v>
      </c>
      <c r="O32" s="355">
        <f>COUNTIFS('Все игры'!A$3:A1000,A32,'Все игры'!C$3:C1000,"&gt;0",'Все игры'!B$3:B1000,"Шериф")</f>
        <v>1</v>
      </c>
      <c r="P32" s="362">
        <f>IFERROR(__xludf.DUMMYFUNCTION("COUNTBLANK(FILTER('Все игры'!A$3:C1000,'Все игры'!A$3:A1000=A32,'Все игры'!C$3:C1000 &lt; 1,'Все игры'!B$3:B1000=""Шериф""))"),0.0)</f>
        <v>0</v>
      </c>
      <c r="Q32" s="355">
        <f>COUNTIFS('Все игры'!A$3:A1000,A32,'Все игры'!C$3:C1000,"&gt;0",'Все игры'!B$3:B1000,"Дон")</f>
        <v>0</v>
      </c>
      <c r="R32" s="355">
        <f>IFERROR(__xludf.DUMMYFUNCTION("COUNTBLANK(FILTER('Все игры'!A$3:C1000,'Все игры'!A$3:A1000=A32,'Все игры'!C$3:C1000 &lt; 1,'Все игры'!B$3:B1000=""Дон""))"),0.0)</f>
        <v>0</v>
      </c>
      <c r="S32" s="355">
        <f>COUNTIFS('Все игры'!A$3:A1000,A32,'Все игры'!C$3:C1000,"&gt;0",'Все игры'!B$3:B1000,"Мирный")</f>
        <v>1</v>
      </c>
      <c r="T32" s="363">
        <f>IFERROR(__xludf.DUMMYFUNCTION("COUNTBLANK(FILTER('Все игры'!A$3:C1000,'Все игры'!A$3:A1000=A32,'Все игры'!C$3:C1000 &lt; 1,'Все игры'!B$3:B1000=""Мирный""))"),3.0)</f>
        <v>3</v>
      </c>
      <c r="U32" s="364">
        <f t="shared" si="16"/>
        <v>0.5</v>
      </c>
      <c r="V32" s="365">
        <f t="shared" si="5"/>
        <v>0.4</v>
      </c>
      <c r="W32" s="365">
        <f t="shared" si="6"/>
        <v>0.6</v>
      </c>
      <c r="X32" s="365">
        <f t="shared" si="7"/>
        <v>0.6</v>
      </c>
      <c r="Y32" s="365">
        <f t="shared" si="8"/>
        <v>1</v>
      </c>
      <c r="Z32" s="365">
        <f t="shared" si="9"/>
        <v>0</v>
      </c>
      <c r="AA32" s="366">
        <f t="shared" si="10"/>
        <v>0.25</v>
      </c>
      <c r="AB32" s="356">
        <f>SUMIFS('Все игры'!D$3:D1000,'Все игры'!A$3:A1000,A32)</f>
        <v>26.75</v>
      </c>
      <c r="AC32" s="356">
        <f>SUMIFS('Все игры'!D$3:D1000,'Все игры'!A$3:A1000,A32,'Все игры'!B$3:B1000,"Мафия")</f>
        <v>13.25</v>
      </c>
      <c r="AD32" s="367">
        <f>SUMIFS('Все игры'!D$3:D1000,'Все игры'!A$3:A1000,A32,'Все игры'!B$3:B1000,"Шериф")</f>
        <v>3.25</v>
      </c>
      <c r="AE32" s="356">
        <f>SUMIFS('Все игры'!D$3:D1000,'Все игры'!A$3:A1000,A32,'Все игры'!B$3:B1000,"Дон")</f>
        <v>0</v>
      </c>
      <c r="AF32" s="357">
        <f>SUMIFS('Все игры'!D$3:D1000,'Все игры'!A$3:A1000,A32,'Все игры'!B$3:B1000,"Мирный")</f>
        <v>10.25</v>
      </c>
      <c r="AG32" s="356">
        <f t="shared" si="11"/>
        <v>2.675</v>
      </c>
      <c r="AH32" s="356">
        <f t="shared" si="12"/>
        <v>2.65</v>
      </c>
      <c r="AI32" s="356">
        <f t="shared" si="13"/>
        <v>3.25</v>
      </c>
      <c r="AJ32" s="356">
        <f t="shared" si="14"/>
        <v>0</v>
      </c>
      <c r="AK32" s="356">
        <f t="shared" si="15"/>
        <v>2.5625</v>
      </c>
      <c r="AL32" s="356"/>
      <c r="AM32" s="356"/>
      <c r="AN32" s="356"/>
      <c r="AO32" s="356"/>
      <c r="AP32" s="356"/>
      <c r="AQ32" s="356"/>
      <c r="AR32" s="356"/>
      <c r="AS32" s="356"/>
      <c r="AT32" s="356"/>
      <c r="AU32" s="356"/>
      <c r="AV32" s="356"/>
      <c r="AW32" s="356"/>
      <c r="AX32" s="356"/>
      <c r="AY32" s="356"/>
      <c r="AZ32" s="356"/>
      <c r="BA32" s="356"/>
      <c r="BB32" s="356"/>
      <c r="BC32" s="356"/>
      <c r="BD32" s="356"/>
      <c r="BE32" s="356"/>
      <c r="BF32" s="356"/>
      <c r="BG32" s="356"/>
      <c r="BH32" s="356"/>
      <c r="BI32" s="356"/>
      <c r="BJ32" s="356"/>
      <c r="BK32" s="356"/>
      <c r="BL32" s="356"/>
      <c r="BM32" s="356"/>
    </row>
    <row r="33">
      <c r="A33" s="368" t="s">
        <v>107</v>
      </c>
      <c r="B33" s="369">
        <f t="shared" si="1"/>
        <v>0</v>
      </c>
      <c r="C33" s="370">
        <f>'Турнирная таблица по Алфавиту'!E35</f>
        <v>0</v>
      </c>
      <c r="D33" s="371" t="str">
        <f>'Турнирная таблица по Алфавиту'!F35</f>
        <v/>
      </c>
      <c r="E33" s="372">
        <f>COUNTIFS('Все игры'!A$3:A1000,A33,'Все игры'!F$3:F1000,"=1")</f>
        <v>0</v>
      </c>
      <c r="F33" s="372">
        <f>COUNTIFS('Все игры'!A$3:A1000,A33,'Все игры'!F$3:F1000,"=0,50")</f>
        <v>0</v>
      </c>
      <c r="G33" s="372">
        <f>COUNTIFS('Все игры'!A$3:A1000,A33,'Все игры'!G$3:G1000,"&gt;0")</f>
        <v>0</v>
      </c>
      <c r="H33" s="373">
        <f t="shared" si="2"/>
        <v>0</v>
      </c>
      <c r="I33" s="374">
        <f>COUNTIFS('Все игры'!A$3:A1000,A33,'Все игры'!E$3:E1000,"У/Победа")</f>
        <v>0</v>
      </c>
      <c r="J33" s="374">
        <f>COUNTIFS('Все игры'!A$3:A1000,A33,'Все игры'!E$3:E1000,"У/Проигрыш")</f>
        <v>0</v>
      </c>
      <c r="K33" s="375">
        <f t="shared" si="3"/>
        <v>0</v>
      </c>
      <c r="L33" s="369">
        <f t="shared" si="4"/>
        <v>0</v>
      </c>
      <c r="M33" s="369">
        <f>COUNTIFS('Все игры'!A$3:A1000,A33,'Все игры'!C$3:C1000,"&gt;0",'Все игры'!B$3:B1000,"Мафия")</f>
        <v>0</v>
      </c>
      <c r="N33" s="369">
        <f>IFERROR(__xludf.DUMMYFUNCTION("COUNTBLANK(FILTER('Все игры'!A$3:C1000,'Все игры'!A$3:A1000=A33,'Все игры'!C$3:C1000 &lt; 1,'Все игры'!B$3:B1000=""Мафия""))"),0.0)</f>
        <v>0</v>
      </c>
      <c r="O33" s="369">
        <f>COUNTIFS('Все игры'!A$3:A1000,A33,'Все игры'!C$3:C1000,"&gt;0",'Все игры'!B$3:B1000,"Шериф")</f>
        <v>0</v>
      </c>
      <c r="P33" s="376">
        <f>IFERROR(__xludf.DUMMYFUNCTION("COUNTBLANK(FILTER('Все игры'!A$3:C1000,'Все игры'!A$3:A1000=A33,'Все игры'!C$3:C1000 &lt; 1,'Все игры'!B$3:B1000=""Шериф""))"),0.0)</f>
        <v>0</v>
      </c>
      <c r="Q33" s="369">
        <f>COUNTIFS('Все игры'!A$3:A1000,A33,'Все игры'!C$3:C1000,"&gt;0",'Все игры'!B$3:B1000,"Дон")</f>
        <v>0</v>
      </c>
      <c r="R33" s="369">
        <f>IFERROR(__xludf.DUMMYFUNCTION("COUNTBLANK(FILTER('Все игры'!A$3:C1000,'Все игры'!A$3:A1000=A33,'Все игры'!C$3:C1000 &lt; 1,'Все игры'!B$3:B1000=""Дон""))"),0.0)</f>
        <v>0</v>
      </c>
      <c r="S33" s="369">
        <f>COUNTIFS('Все игры'!A$3:A1000,A33,'Все игры'!C$3:C1000,"&gt;0",'Все игры'!B$3:B1000,"Мирный")</f>
        <v>0</v>
      </c>
      <c r="T33" s="377">
        <f>IFERROR(__xludf.DUMMYFUNCTION("COUNTBLANK(FILTER('Все игры'!A$3:C1000,'Все игры'!A$3:A1000=A33,'Все игры'!C$3:C1000 &lt; 1,'Все игры'!B$3:B1000=""Мирный""))"),0.0)</f>
        <v>0</v>
      </c>
      <c r="U33" s="378">
        <f t="shared" si="16"/>
        <v>0</v>
      </c>
      <c r="V33" s="379">
        <f t="shared" si="5"/>
        <v>0</v>
      </c>
      <c r="W33" s="379">
        <f t="shared" si="6"/>
        <v>0</v>
      </c>
      <c r="X33" s="379">
        <f t="shared" si="7"/>
        <v>0</v>
      </c>
      <c r="Y33" s="379">
        <f t="shared" si="8"/>
        <v>0</v>
      </c>
      <c r="Z33" s="379">
        <f t="shared" si="9"/>
        <v>0</v>
      </c>
      <c r="AA33" s="380">
        <f t="shared" si="10"/>
        <v>0</v>
      </c>
      <c r="AB33" s="370">
        <f>SUMIFS('Все игры'!D$3:D1000,'Все игры'!A$3:A1000,A33)</f>
        <v>0</v>
      </c>
      <c r="AC33" s="370">
        <f>SUMIFS('Все игры'!D$3:D1000,'Все игры'!A$3:A1000,A33,'Все игры'!B$3:B1000,"Мафия")</f>
        <v>0</v>
      </c>
      <c r="AD33" s="381">
        <f>SUMIFS('Все игры'!D$3:D1000,'Все игры'!A$3:A1000,A33,'Все игры'!B$3:B1000,"Шериф")</f>
        <v>0</v>
      </c>
      <c r="AE33" s="370">
        <f>SUMIFS('Все игры'!D$3:D1000,'Все игры'!A$3:A1000,A33,'Все игры'!B$3:B1000,"Дон")</f>
        <v>0</v>
      </c>
      <c r="AF33" s="371">
        <f>SUMIFS('Все игры'!D$3:D1000,'Все игры'!A$3:A1000,A33,'Все игры'!B$3:B1000,"Мирный")</f>
        <v>0</v>
      </c>
      <c r="AG33" s="370">
        <f t="shared" si="11"/>
        <v>0</v>
      </c>
      <c r="AH33" s="370">
        <f t="shared" si="12"/>
        <v>0</v>
      </c>
      <c r="AI33" s="370">
        <f t="shared" si="13"/>
        <v>0</v>
      </c>
      <c r="AJ33" s="370">
        <f t="shared" si="14"/>
        <v>0</v>
      </c>
      <c r="AK33" s="370">
        <f t="shared" si="15"/>
        <v>0</v>
      </c>
      <c r="AL33" s="356"/>
      <c r="AM33" s="356"/>
      <c r="AN33" s="356"/>
      <c r="AO33" s="356"/>
      <c r="AP33" s="356"/>
      <c r="AQ33" s="356"/>
      <c r="AR33" s="356"/>
      <c r="AS33" s="356"/>
      <c r="AT33" s="356"/>
      <c r="AU33" s="356"/>
      <c r="AV33" s="356"/>
      <c r="AW33" s="356"/>
      <c r="AX33" s="356"/>
      <c r="AY33" s="356"/>
      <c r="AZ33" s="356"/>
      <c r="BA33" s="356"/>
      <c r="BB33" s="356"/>
      <c r="BC33" s="356"/>
      <c r="BD33" s="356"/>
      <c r="BE33" s="356"/>
      <c r="BF33" s="356"/>
      <c r="BG33" s="356"/>
      <c r="BH33" s="356"/>
      <c r="BI33" s="356"/>
      <c r="BJ33" s="356"/>
      <c r="BK33" s="356"/>
      <c r="BL33" s="356"/>
      <c r="BM33" s="356"/>
    </row>
    <row r="34">
      <c r="A34" s="368" t="s">
        <v>108</v>
      </c>
      <c r="B34" s="355">
        <f t="shared" si="1"/>
        <v>10</v>
      </c>
      <c r="C34" s="356">
        <f>'Турнирная таблица по Алфавиту'!E36</f>
        <v>34.25</v>
      </c>
      <c r="D34" s="357">
        <f>'Турнирная таблица по Алфавиту'!F36</f>
        <v>17.125</v>
      </c>
      <c r="E34" s="358">
        <f>COUNTIFS('Все игры'!A$3:A1000,A34,'Все игры'!F$3:F1000,"=1")</f>
        <v>0</v>
      </c>
      <c r="F34" s="358">
        <f>COUNTIFS('Все игры'!A$3:A1000,A34,'Все игры'!F$3:F1000,"=0,50")</f>
        <v>1</v>
      </c>
      <c r="G34" s="358">
        <f>COUNTIFS('Все игры'!A$3:A1000,A34,'Все игры'!G$3:G1000,"&gt;0")</f>
        <v>2</v>
      </c>
      <c r="H34" s="359">
        <f t="shared" si="2"/>
        <v>0.2222222222</v>
      </c>
      <c r="I34" s="360">
        <f>COUNTIFS('Все игры'!A$3:A1000,A34,'Все игры'!E$3:E1000,"У/Победа")</f>
        <v>0</v>
      </c>
      <c r="J34" s="360">
        <f>COUNTIFS('Все игры'!A$3:A1000,A34,'Все игры'!E$3:E1000,"У/Проигрыш")</f>
        <v>0</v>
      </c>
      <c r="K34" s="361">
        <f t="shared" si="3"/>
        <v>9</v>
      </c>
      <c r="L34" s="355">
        <f t="shared" si="4"/>
        <v>1</v>
      </c>
      <c r="M34" s="355">
        <f>COUNTIFS('Все игры'!A$3:A1000,A34,'Все игры'!C$3:C1000,"&gt;0",'Все игры'!B$3:B1000,"Мафия")</f>
        <v>0</v>
      </c>
      <c r="N34" s="355">
        <f>IFERROR(__xludf.DUMMYFUNCTION("COUNTBLANK(FILTER('Все игры'!A$3:C1000,'Все игры'!A$3:A1000=A34,'Все игры'!C$3:C1000 &lt; 1,'Все игры'!B$3:B1000=""Мафия""))"),0.0)</f>
        <v>0</v>
      </c>
      <c r="O34" s="355">
        <f>COUNTIFS('Все игры'!A$3:A1000,A34,'Все игры'!C$3:C1000,"&gt;0",'Все игры'!B$3:B1000,"Шериф")</f>
        <v>0</v>
      </c>
      <c r="P34" s="362">
        <f>IFERROR(__xludf.DUMMYFUNCTION("COUNTBLANK(FILTER('Все игры'!A$3:C1000,'Все игры'!A$3:A1000=A34,'Все игры'!C$3:C1000 &lt; 1,'Все игры'!B$3:B1000=""Шериф""))"),3.0)</f>
        <v>3</v>
      </c>
      <c r="Q34" s="355">
        <f>COUNTIFS('Все игры'!A$3:A1000,A34,'Все игры'!C$3:C1000,"&gt;0",'Все игры'!B$3:B1000,"Дон")</f>
        <v>1</v>
      </c>
      <c r="R34" s="355">
        <f>IFERROR(__xludf.DUMMYFUNCTION("COUNTBLANK(FILTER('Все игры'!A$3:C1000,'Все игры'!A$3:A1000=A34,'Все игры'!C$3:C1000 &lt; 1,'Все игры'!B$3:B1000=""Дон""))"),0.0)</f>
        <v>0</v>
      </c>
      <c r="S34" s="355">
        <f>COUNTIFS('Все игры'!A$3:A1000,A34,'Все игры'!C$3:C1000,"&gt;0",'Все игры'!B$3:B1000,"Мирный")</f>
        <v>2</v>
      </c>
      <c r="T34" s="363">
        <f>IFERROR(__xludf.DUMMYFUNCTION("COUNTBLANK(FILTER('Все игры'!A$3:C1000,'Все игры'!A$3:A1000=A34,'Все игры'!C$3:C1000 &lt; 1,'Все игры'!B$3:B1000=""Мирный""))"),4.0)</f>
        <v>4</v>
      </c>
      <c r="U34" s="364">
        <f t="shared" si="16"/>
        <v>0.3</v>
      </c>
      <c r="V34" s="365">
        <f t="shared" si="5"/>
        <v>0.2222222222</v>
      </c>
      <c r="W34" s="365">
        <f t="shared" si="6"/>
        <v>1</v>
      </c>
      <c r="X34" s="365">
        <f t="shared" si="7"/>
        <v>0</v>
      </c>
      <c r="Y34" s="365">
        <f t="shared" si="8"/>
        <v>0</v>
      </c>
      <c r="Z34" s="365">
        <f t="shared" si="9"/>
        <v>1</v>
      </c>
      <c r="AA34" s="366">
        <f t="shared" si="10"/>
        <v>0.3333333333</v>
      </c>
      <c r="AB34" s="356">
        <f>SUMIFS('Все игры'!D$3:D1000,'Все игры'!A$3:A1000,A34)</f>
        <v>25.25</v>
      </c>
      <c r="AC34" s="356">
        <f>SUMIFS('Все игры'!D$3:D1000,'Все игры'!A$3:A1000,A34,'Все игры'!B$3:B1000,"Мафия")</f>
        <v>0</v>
      </c>
      <c r="AD34" s="367">
        <f>SUMIFS('Все игры'!D$3:D1000,'Все игры'!A$3:A1000,A34,'Все игры'!B$3:B1000,"Шериф")</f>
        <v>7</v>
      </c>
      <c r="AE34" s="356">
        <f>SUMIFS('Все игры'!D$3:D1000,'Все игры'!A$3:A1000,A34,'Все игры'!B$3:B1000,"Дон")</f>
        <v>3.75</v>
      </c>
      <c r="AF34" s="357">
        <f>SUMIFS('Все игры'!D$3:D1000,'Все игры'!A$3:A1000,A34,'Все игры'!B$3:B1000,"Мирный")</f>
        <v>14.5</v>
      </c>
      <c r="AG34" s="356">
        <f t="shared" si="11"/>
        <v>2.525</v>
      </c>
      <c r="AH34" s="356">
        <f t="shared" si="12"/>
        <v>0</v>
      </c>
      <c r="AI34" s="356">
        <f t="shared" si="13"/>
        <v>2.333333333</v>
      </c>
      <c r="AJ34" s="356">
        <f t="shared" si="14"/>
        <v>3.75</v>
      </c>
      <c r="AK34" s="356">
        <f t="shared" si="15"/>
        <v>2.416666667</v>
      </c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/>
      <c r="BI34" s="356"/>
      <c r="BJ34" s="356"/>
      <c r="BK34" s="356"/>
      <c r="BL34" s="356"/>
      <c r="BM34" s="356"/>
    </row>
    <row r="35">
      <c r="A35" s="368" t="s">
        <v>109</v>
      </c>
      <c r="B35" s="369">
        <f t="shared" si="1"/>
        <v>0</v>
      </c>
      <c r="C35" s="370">
        <f>'Турнирная таблица по Алфавиту'!E37</f>
        <v>0</v>
      </c>
      <c r="D35" s="371" t="str">
        <f>'Турнирная таблица по Алфавиту'!F37</f>
        <v/>
      </c>
      <c r="E35" s="372">
        <f>COUNTIFS('Все игры'!A$3:A1000,A35,'Все игры'!F$3:F1000,"=1")</f>
        <v>0</v>
      </c>
      <c r="F35" s="372">
        <f>COUNTIFS('Все игры'!A$3:A1000,A35,'Все игры'!F$3:F1000,"=0,50")</f>
        <v>0</v>
      </c>
      <c r="G35" s="372">
        <f>COUNTIFS('Все игры'!A$3:A1000,A35,'Все игры'!G$3:G1000,"&gt;0")</f>
        <v>0</v>
      </c>
      <c r="H35" s="373">
        <f t="shared" si="2"/>
        <v>0</v>
      </c>
      <c r="I35" s="374">
        <f>COUNTIFS('Все игры'!A$3:A1000,A35,'Все игры'!E$3:E1000,"У/Победа")</f>
        <v>0</v>
      </c>
      <c r="J35" s="374">
        <f>COUNTIFS('Все игры'!A$3:A1000,A35,'Все игры'!E$3:E1000,"У/Проигрыш")</f>
        <v>0</v>
      </c>
      <c r="K35" s="375">
        <f t="shared" si="3"/>
        <v>0</v>
      </c>
      <c r="L35" s="369">
        <f t="shared" si="4"/>
        <v>0</v>
      </c>
      <c r="M35" s="369">
        <f>COUNTIFS('Все игры'!A$3:A1000,A35,'Все игры'!C$3:C1000,"&gt;0",'Все игры'!B$3:B1000,"Мафия")</f>
        <v>0</v>
      </c>
      <c r="N35" s="369">
        <f>IFERROR(__xludf.DUMMYFUNCTION("COUNTBLANK(FILTER('Все игры'!A$3:C1000,'Все игры'!A$3:A1000=A35,'Все игры'!C$3:C1000 &lt; 1,'Все игры'!B$3:B1000=""Мафия""))"),0.0)</f>
        <v>0</v>
      </c>
      <c r="O35" s="369">
        <f>COUNTIFS('Все игры'!A$3:A1000,A35,'Все игры'!C$3:C1000,"&gt;0",'Все игры'!B$3:B1000,"Шериф")</f>
        <v>0</v>
      </c>
      <c r="P35" s="376">
        <f>IFERROR(__xludf.DUMMYFUNCTION("COUNTBLANK(FILTER('Все игры'!A$3:C1000,'Все игры'!A$3:A1000=A35,'Все игры'!C$3:C1000 &lt; 1,'Все игры'!B$3:B1000=""Шериф""))"),0.0)</f>
        <v>0</v>
      </c>
      <c r="Q35" s="369">
        <f>COUNTIFS('Все игры'!A$3:A1000,A35,'Все игры'!C$3:C1000,"&gt;0",'Все игры'!B$3:B1000,"Дон")</f>
        <v>0</v>
      </c>
      <c r="R35" s="369">
        <f>IFERROR(__xludf.DUMMYFUNCTION("COUNTBLANK(FILTER('Все игры'!A$3:C1000,'Все игры'!A$3:A1000=A35,'Все игры'!C$3:C1000 &lt; 1,'Все игры'!B$3:B1000=""Дон""))"),0.0)</f>
        <v>0</v>
      </c>
      <c r="S35" s="369">
        <f>COUNTIFS('Все игры'!A$3:A1000,A35,'Все игры'!C$3:C1000,"&gt;0",'Все игры'!B$3:B1000,"Мирный")</f>
        <v>0</v>
      </c>
      <c r="T35" s="377">
        <f>IFERROR(__xludf.DUMMYFUNCTION("COUNTBLANK(FILTER('Все игры'!A$3:C1000,'Все игры'!A$3:A1000=A35,'Все игры'!C$3:C1000 &lt; 1,'Все игры'!B$3:B1000=""Мирный""))"),0.0)</f>
        <v>0</v>
      </c>
      <c r="U35" s="378">
        <f t="shared" si="16"/>
        <v>0</v>
      </c>
      <c r="V35" s="379">
        <f t="shared" si="5"/>
        <v>0</v>
      </c>
      <c r="W35" s="379">
        <f t="shared" si="6"/>
        <v>0</v>
      </c>
      <c r="X35" s="379">
        <f t="shared" si="7"/>
        <v>0</v>
      </c>
      <c r="Y35" s="379">
        <f t="shared" si="8"/>
        <v>0</v>
      </c>
      <c r="Z35" s="379">
        <f t="shared" si="9"/>
        <v>0</v>
      </c>
      <c r="AA35" s="380">
        <f t="shared" si="10"/>
        <v>0</v>
      </c>
      <c r="AB35" s="370">
        <f>SUMIFS('Все игры'!D$3:D1000,'Все игры'!A$3:A1000,A35)</f>
        <v>0</v>
      </c>
      <c r="AC35" s="370">
        <f>SUMIFS('Все игры'!D$3:D1000,'Все игры'!A$3:A1000,A35,'Все игры'!B$3:B1000,"Мафия")</f>
        <v>0</v>
      </c>
      <c r="AD35" s="381">
        <f>SUMIFS('Все игры'!D$3:D1000,'Все игры'!A$3:A1000,A35,'Все игры'!B$3:B1000,"Шериф")</f>
        <v>0</v>
      </c>
      <c r="AE35" s="370">
        <f>SUMIFS('Все игры'!D$3:D1000,'Все игры'!A$3:A1000,A35,'Все игры'!B$3:B1000,"Дон")</f>
        <v>0</v>
      </c>
      <c r="AF35" s="371">
        <f>SUMIFS('Все игры'!D$3:D1000,'Все игры'!A$3:A1000,A35,'Все игры'!B$3:B1000,"Мирный")</f>
        <v>0</v>
      </c>
      <c r="AG35" s="370">
        <f t="shared" si="11"/>
        <v>0</v>
      </c>
      <c r="AH35" s="370">
        <f t="shared" si="12"/>
        <v>0</v>
      </c>
      <c r="AI35" s="370">
        <f t="shared" si="13"/>
        <v>0</v>
      </c>
      <c r="AJ35" s="370">
        <f t="shared" si="14"/>
        <v>0</v>
      </c>
      <c r="AK35" s="370">
        <f t="shared" si="15"/>
        <v>0</v>
      </c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/>
      <c r="BE35" s="356"/>
      <c r="BF35" s="356"/>
      <c r="BG35" s="356"/>
      <c r="BH35" s="356"/>
      <c r="BI35" s="356"/>
      <c r="BJ35" s="356"/>
      <c r="BK35" s="356"/>
      <c r="BL35" s="356"/>
      <c r="BM35" s="356"/>
    </row>
    <row r="36">
      <c r="A36" s="354" t="s">
        <v>110</v>
      </c>
      <c r="B36" s="355">
        <f t="shared" si="1"/>
        <v>5</v>
      </c>
      <c r="C36" s="356">
        <f>'Турнирная таблица по Алфавиту'!E38</f>
        <v>25.25</v>
      </c>
      <c r="D36" s="357">
        <f>'Турнирная таблица по Алфавиту'!F38</f>
        <v>25.25</v>
      </c>
      <c r="E36" s="358">
        <f>COUNTIFS('Все игры'!A$3:A1000,A36,'Все игры'!F$3:F1000,"=1")</f>
        <v>0</v>
      </c>
      <c r="F36" s="358">
        <f>COUNTIFS('Все игры'!A$3:A1000,A36,'Все игры'!F$3:F1000,"=0,50")</f>
        <v>0</v>
      </c>
      <c r="G36" s="358">
        <f>COUNTIFS('Все игры'!A$3:A1000,A36,'Все игры'!G$3:G1000,"&gt;0")</f>
        <v>0</v>
      </c>
      <c r="H36" s="359">
        <f t="shared" si="2"/>
        <v>0</v>
      </c>
      <c r="I36" s="360">
        <f>COUNTIFS('Все игры'!A$3:A1000,A36,'Все игры'!E$3:E1000,"У/Победа")</f>
        <v>1</v>
      </c>
      <c r="J36" s="360">
        <f>COUNTIFS('Все игры'!A$3:A1000,A36,'Все игры'!E$3:E1000,"У/Проигрыш")</f>
        <v>0</v>
      </c>
      <c r="K36" s="361">
        <f t="shared" si="3"/>
        <v>4</v>
      </c>
      <c r="L36" s="355">
        <f t="shared" si="4"/>
        <v>1</v>
      </c>
      <c r="M36" s="355">
        <f>COUNTIFS('Все игры'!A$3:A1000,A36,'Все игры'!C$3:C1000,"&gt;0",'Все игры'!B$3:B1000,"Мафия")</f>
        <v>1</v>
      </c>
      <c r="N36" s="355">
        <f>IFERROR(__xludf.DUMMYFUNCTION("COUNTBLANK(FILTER('Все игры'!A$3:C1000,'Все игры'!A$3:A1000=A36,'Все игры'!C$3:C1000 &lt; 1,'Все игры'!B$3:B1000=""Мафия""))"),0.0)</f>
        <v>0</v>
      </c>
      <c r="O36" s="355">
        <f>COUNTIFS('Все игры'!A$3:A1000,A36,'Все игры'!C$3:C1000,"&gt;0",'Все игры'!B$3:B1000,"Шериф")</f>
        <v>0</v>
      </c>
      <c r="P36" s="362">
        <f>IFERROR(__xludf.DUMMYFUNCTION("COUNTBLANK(FILTER('Все игры'!A$3:C1000,'Все игры'!A$3:A1000=A36,'Все игры'!C$3:C1000 &lt; 1,'Все игры'!B$3:B1000=""Шериф""))"),0.0)</f>
        <v>0</v>
      </c>
      <c r="Q36" s="355">
        <f>COUNTIFS('Все игры'!A$3:A1000,A36,'Все игры'!C$3:C1000,"&gt;0",'Все игры'!B$3:B1000,"Дон")</f>
        <v>0</v>
      </c>
      <c r="R36" s="355">
        <f>IFERROR(__xludf.DUMMYFUNCTION("COUNTBLANK(FILTER('Все игры'!A$3:C1000,'Все игры'!A$3:A1000=A36,'Все игры'!C$3:C1000 &lt; 1,'Все игры'!B$3:B1000=""Дон""))"),0.0)</f>
        <v>0</v>
      </c>
      <c r="S36" s="355">
        <f>COUNTIFS('Все игры'!A$3:A1000,A36,'Все игры'!C$3:C1000,"&gt;0",'Все игры'!B$3:B1000,"Мирный")</f>
        <v>3</v>
      </c>
      <c r="T36" s="363">
        <f>IFERROR(__xludf.DUMMYFUNCTION("COUNTBLANK(FILTER('Все игры'!A$3:C1000,'Все игры'!A$3:A1000=A36,'Все игры'!C$3:C1000 &lt; 1,'Все игры'!B$3:B1000=""Мирный""))"),1.0)</f>
        <v>1</v>
      </c>
      <c r="U36" s="364">
        <f t="shared" si="16"/>
        <v>0.8</v>
      </c>
      <c r="V36" s="365">
        <f t="shared" si="5"/>
        <v>0.75</v>
      </c>
      <c r="W36" s="365">
        <f t="shared" si="6"/>
        <v>1</v>
      </c>
      <c r="X36" s="365">
        <f t="shared" si="7"/>
        <v>1</v>
      </c>
      <c r="Y36" s="365">
        <f t="shared" si="8"/>
        <v>0</v>
      </c>
      <c r="Z36" s="365">
        <f t="shared" si="9"/>
        <v>0</v>
      </c>
      <c r="AA36" s="366">
        <f t="shared" si="10"/>
        <v>0.75</v>
      </c>
      <c r="AB36" s="356">
        <f>SUMIFS('Все игры'!D$3:D1000,'Все игры'!A$3:A1000,A36)</f>
        <v>15.25</v>
      </c>
      <c r="AC36" s="356">
        <f>SUMIFS('Все игры'!D$3:D1000,'Все игры'!A$3:A1000,A36,'Все игры'!B$3:B1000,"Мафия")</f>
        <v>3.5</v>
      </c>
      <c r="AD36" s="367">
        <f>SUMIFS('Все игры'!D$3:D1000,'Все игры'!A$3:A1000,A36,'Все игры'!B$3:B1000,"Шериф")</f>
        <v>0</v>
      </c>
      <c r="AE36" s="356">
        <f>SUMIFS('Все игры'!D$3:D1000,'Все игры'!A$3:A1000,A36,'Все игры'!B$3:B1000,"Дон")</f>
        <v>0</v>
      </c>
      <c r="AF36" s="357">
        <f>SUMIFS('Все игры'!D$3:D1000,'Все игры'!A$3:A1000,A36,'Все игры'!B$3:B1000,"Мирный")</f>
        <v>11.75</v>
      </c>
      <c r="AG36" s="356">
        <f t="shared" si="11"/>
        <v>3.05</v>
      </c>
      <c r="AH36" s="356">
        <f t="shared" si="12"/>
        <v>3.5</v>
      </c>
      <c r="AI36" s="356">
        <f t="shared" si="13"/>
        <v>0</v>
      </c>
      <c r="AJ36" s="356">
        <f t="shared" si="14"/>
        <v>0</v>
      </c>
      <c r="AK36" s="356">
        <f t="shared" si="15"/>
        <v>2.9375</v>
      </c>
      <c r="AL36" s="356"/>
      <c r="AM36" s="356"/>
      <c r="AN36" s="356"/>
      <c r="AO36" s="356"/>
      <c r="AP36" s="356"/>
      <c r="AQ36" s="356"/>
      <c r="AR36" s="356"/>
      <c r="AS36" s="356"/>
      <c r="AT36" s="356"/>
      <c r="AU36" s="356"/>
      <c r="AV36" s="356"/>
      <c r="AW36" s="356"/>
      <c r="AX36" s="356"/>
      <c r="AY36" s="356"/>
      <c r="AZ36" s="356"/>
      <c r="BA36" s="356"/>
      <c r="BB36" s="356"/>
      <c r="BC36" s="356"/>
      <c r="BD36" s="356"/>
      <c r="BE36" s="356"/>
      <c r="BF36" s="356"/>
      <c r="BG36" s="356"/>
      <c r="BH36" s="356"/>
      <c r="BI36" s="356"/>
      <c r="BJ36" s="356"/>
      <c r="BK36" s="356"/>
      <c r="BL36" s="356"/>
      <c r="BM36" s="356"/>
    </row>
    <row r="37">
      <c r="A37" s="368" t="s">
        <v>111</v>
      </c>
      <c r="B37" s="369">
        <f t="shared" si="1"/>
        <v>0</v>
      </c>
      <c r="C37" s="370">
        <f>'Турнирная таблица по Алфавиту'!E39</f>
        <v>0</v>
      </c>
      <c r="D37" s="371" t="str">
        <f>'Турнирная таблица по Алфавиту'!F39</f>
        <v/>
      </c>
      <c r="E37" s="372">
        <f>COUNTIFS('Все игры'!A$3:A1000,A37,'Все игры'!F$3:F1000,"=1")</f>
        <v>0</v>
      </c>
      <c r="F37" s="372">
        <f>COUNTIFS('Все игры'!A$3:A1000,A37,'Все игры'!F$3:F1000,"=0,50")</f>
        <v>0</v>
      </c>
      <c r="G37" s="372">
        <f>COUNTIFS('Все игры'!A$3:A1000,A37,'Все игры'!G$3:G1000,"&gt;0")</f>
        <v>0</v>
      </c>
      <c r="H37" s="373">
        <f t="shared" si="2"/>
        <v>0</v>
      </c>
      <c r="I37" s="374">
        <f>COUNTIFS('Все игры'!A$3:A1000,A37,'Все игры'!E$3:E1000,"У/Победа")</f>
        <v>0</v>
      </c>
      <c r="J37" s="374">
        <f>COUNTIFS('Все игры'!A$3:A1000,A37,'Все игры'!E$3:E1000,"У/Проигрыш")</f>
        <v>0</v>
      </c>
      <c r="K37" s="375">
        <f t="shared" si="3"/>
        <v>0</v>
      </c>
      <c r="L37" s="369">
        <f t="shared" si="4"/>
        <v>0</v>
      </c>
      <c r="M37" s="369">
        <f>COUNTIFS('Все игры'!A$3:A1000,A37,'Все игры'!C$3:C1000,"&gt;0",'Все игры'!B$3:B1000,"Мафия")</f>
        <v>0</v>
      </c>
      <c r="N37" s="369">
        <f>IFERROR(__xludf.DUMMYFUNCTION("COUNTBLANK(FILTER('Все игры'!A$3:C1000,'Все игры'!A$3:A1000=A37,'Все игры'!C$3:C1000 &lt; 1,'Все игры'!B$3:B1000=""Мафия""))"),0.0)</f>
        <v>0</v>
      </c>
      <c r="O37" s="369">
        <f>COUNTIFS('Все игры'!A$3:A1000,A37,'Все игры'!C$3:C1000,"&gt;0",'Все игры'!B$3:B1000,"Шериф")</f>
        <v>0</v>
      </c>
      <c r="P37" s="376">
        <f>IFERROR(__xludf.DUMMYFUNCTION("COUNTBLANK(FILTER('Все игры'!A$3:C1000,'Все игры'!A$3:A1000=A37,'Все игры'!C$3:C1000 &lt; 1,'Все игры'!B$3:B1000=""Шериф""))"),0.0)</f>
        <v>0</v>
      </c>
      <c r="Q37" s="369">
        <f>COUNTIFS('Все игры'!A$3:A1000,A37,'Все игры'!C$3:C1000,"&gt;0",'Все игры'!B$3:B1000,"Дон")</f>
        <v>0</v>
      </c>
      <c r="R37" s="369">
        <f>IFERROR(__xludf.DUMMYFUNCTION("COUNTBLANK(FILTER('Все игры'!A$3:C1000,'Все игры'!A$3:A1000=A37,'Все игры'!C$3:C1000 &lt; 1,'Все игры'!B$3:B1000=""Дон""))"),0.0)</f>
        <v>0</v>
      </c>
      <c r="S37" s="369">
        <f>COUNTIFS('Все игры'!A$3:A1000,A37,'Все игры'!C$3:C1000,"&gt;0",'Все игры'!B$3:B1000,"Мирный")</f>
        <v>0</v>
      </c>
      <c r="T37" s="377">
        <f>IFERROR(__xludf.DUMMYFUNCTION("COUNTBLANK(FILTER('Все игры'!A$3:C1000,'Все игры'!A$3:A1000=A37,'Все игры'!C$3:C1000 &lt; 1,'Все игры'!B$3:B1000=""Мирный""))"),0.0)</f>
        <v>0</v>
      </c>
      <c r="U37" s="378">
        <f t="shared" si="16"/>
        <v>0</v>
      </c>
      <c r="V37" s="379">
        <f t="shared" si="5"/>
        <v>0</v>
      </c>
      <c r="W37" s="379">
        <f t="shared" si="6"/>
        <v>0</v>
      </c>
      <c r="X37" s="379">
        <f t="shared" si="7"/>
        <v>0</v>
      </c>
      <c r="Y37" s="379">
        <f t="shared" si="8"/>
        <v>0</v>
      </c>
      <c r="Z37" s="379">
        <f t="shared" si="9"/>
        <v>0</v>
      </c>
      <c r="AA37" s="380">
        <f t="shared" si="10"/>
        <v>0</v>
      </c>
      <c r="AB37" s="370">
        <f>SUMIFS('Все игры'!D$3:D1000,'Все игры'!A$3:A1000,A37)</f>
        <v>0</v>
      </c>
      <c r="AC37" s="370">
        <f>SUMIFS('Все игры'!D$3:D1000,'Все игры'!A$3:A1000,A37,'Все игры'!B$3:B1000,"Мафия")</f>
        <v>0</v>
      </c>
      <c r="AD37" s="381">
        <f>SUMIFS('Все игры'!D$3:D1000,'Все игры'!A$3:A1000,A37,'Все игры'!B$3:B1000,"Шериф")</f>
        <v>0</v>
      </c>
      <c r="AE37" s="370">
        <f>SUMIFS('Все игры'!D$3:D1000,'Все игры'!A$3:A1000,A37,'Все игры'!B$3:B1000,"Дон")</f>
        <v>0</v>
      </c>
      <c r="AF37" s="371">
        <f>SUMIFS('Все игры'!D$3:D1000,'Все игры'!A$3:A1000,A37,'Все игры'!B$3:B1000,"Мирный")</f>
        <v>0</v>
      </c>
      <c r="AG37" s="370">
        <f t="shared" si="11"/>
        <v>0</v>
      </c>
      <c r="AH37" s="370">
        <f t="shared" si="12"/>
        <v>0</v>
      </c>
      <c r="AI37" s="370">
        <f t="shared" si="13"/>
        <v>0</v>
      </c>
      <c r="AJ37" s="370">
        <f t="shared" si="14"/>
        <v>0</v>
      </c>
      <c r="AK37" s="370">
        <f t="shared" si="15"/>
        <v>0</v>
      </c>
      <c r="AL37" s="356"/>
      <c r="AM37" s="356"/>
      <c r="AN37" s="356"/>
      <c r="AO37" s="356"/>
      <c r="AP37" s="356"/>
      <c r="AQ37" s="356"/>
      <c r="AR37" s="356"/>
      <c r="AS37" s="356"/>
      <c r="AT37" s="356"/>
      <c r="AU37" s="356"/>
      <c r="AV37" s="356"/>
      <c r="AW37" s="356"/>
      <c r="AX37" s="356"/>
      <c r="AY37" s="356"/>
      <c r="AZ37" s="356"/>
      <c r="BA37" s="356"/>
      <c r="BB37" s="356"/>
      <c r="BC37" s="356"/>
      <c r="BD37" s="356"/>
      <c r="BE37" s="356"/>
      <c r="BF37" s="356"/>
      <c r="BG37" s="356"/>
      <c r="BH37" s="356"/>
      <c r="BI37" s="356"/>
      <c r="BJ37" s="356"/>
      <c r="BK37" s="356"/>
      <c r="BL37" s="356"/>
      <c r="BM37" s="356"/>
    </row>
    <row r="38">
      <c r="A38" s="368" t="s">
        <v>112</v>
      </c>
      <c r="B38" s="355">
        <f t="shared" si="1"/>
        <v>10</v>
      </c>
      <c r="C38" s="356">
        <f>'Турнирная таблица по Алфавиту'!E40</f>
        <v>35.25</v>
      </c>
      <c r="D38" s="357">
        <f>'Турнирная таблица по Алфавиту'!F40</f>
        <v>17.625</v>
      </c>
      <c r="E38" s="358">
        <f>COUNTIFS('Все игры'!A$3:A1000,A38,'Все игры'!F$3:F1000,"=1")</f>
        <v>0</v>
      </c>
      <c r="F38" s="358">
        <f>COUNTIFS('Все игры'!A$3:A1000,A38,'Все игры'!F$3:F1000,"=0,50")</f>
        <v>0</v>
      </c>
      <c r="G38" s="358">
        <f>COUNTIFS('Все игры'!A$3:A1000,A38,'Все игры'!G$3:G1000,"&gt;0")</f>
        <v>0</v>
      </c>
      <c r="H38" s="359">
        <f t="shared" si="2"/>
        <v>0</v>
      </c>
      <c r="I38" s="360">
        <f>COUNTIFS('Все игры'!A$3:A1000,A38,'Все игры'!E$3:E1000,"У/Победа")</f>
        <v>0</v>
      </c>
      <c r="J38" s="360">
        <f>COUNTIFS('Все игры'!A$3:A1000,A38,'Все игры'!E$3:E1000,"У/Проигрыш")</f>
        <v>0</v>
      </c>
      <c r="K38" s="361">
        <f t="shared" si="3"/>
        <v>6</v>
      </c>
      <c r="L38" s="355">
        <f t="shared" si="4"/>
        <v>4</v>
      </c>
      <c r="M38" s="355">
        <f>COUNTIFS('Все игры'!A$3:A1000,A38,'Все игры'!C$3:C1000,"&gt;0",'Все игры'!B$3:B1000,"Мафия")</f>
        <v>2</v>
      </c>
      <c r="N38" s="355">
        <f>IFERROR(__xludf.DUMMYFUNCTION("COUNTBLANK(FILTER('Все игры'!A$3:C1000,'Все игры'!A$3:A1000=A38,'Все игры'!C$3:C1000 &lt; 1,'Все игры'!B$3:B1000=""Мафия""))"),1.0)</f>
        <v>1</v>
      </c>
      <c r="O38" s="355">
        <f>COUNTIFS('Все игры'!A$3:A1000,A38,'Все игры'!C$3:C1000,"&gt;0",'Все игры'!B$3:B1000,"Шериф")</f>
        <v>0</v>
      </c>
      <c r="P38" s="362">
        <f>IFERROR(__xludf.DUMMYFUNCTION("COUNTBLANK(FILTER('Все игры'!A$3:C1000,'Все игры'!A$3:A1000=A38,'Все игры'!C$3:C1000 &lt; 1,'Все игры'!B$3:B1000=""Шериф""))"),2.0)</f>
        <v>2</v>
      </c>
      <c r="Q38" s="355">
        <f>COUNTIFS('Все игры'!A$3:A1000,A38,'Все игры'!C$3:C1000,"&gt;0",'Все игры'!B$3:B1000,"Дон")</f>
        <v>0</v>
      </c>
      <c r="R38" s="355">
        <f>IFERROR(__xludf.DUMMYFUNCTION("COUNTBLANK(FILTER('Все игры'!A$3:C1000,'Все игры'!A$3:A1000=A38,'Все игры'!C$3:C1000 &lt; 1,'Все игры'!B$3:B1000=""Дон""))"),1.0)</f>
        <v>1</v>
      </c>
      <c r="S38" s="355">
        <f>COUNTIFS('Все игры'!A$3:A1000,A38,'Все игры'!C$3:C1000,"&gt;0",'Все игры'!B$3:B1000,"Мирный")</f>
        <v>2</v>
      </c>
      <c r="T38" s="363">
        <f>IFERROR(__xludf.DUMMYFUNCTION("COUNTBLANK(FILTER('Все игры'!A$3:C1000,'Все игры'!A$3:A1000=A38,'Все игры'!C$3:C1000 &lt; 1,'Все игры'!B$3:B1000=""Мирный""))"),2.0)</f>
        <v>2</v>
      </c>
      <c r="U38" s="364">
        <f t="shared" si="16"/>
        <v>0.4</v>
      </c>
      <c r="V38" s="365">
        <f t="shared" si="5"/>
        <v>0.3333333333</v>
      </c>
      <c r="W38" s="365">
        <f t="shared" si="6"/>
        <v>0.5</v>
      </c>
      <c r="X38" s="365">
        <f t="shared" si="7"/>
        <v>0.6666666667</v>
      </c>
      <c r="Y38" s="365">
        <f t="shared" si="8"/>
        <v>0</v>
      </c>
      <c r="Z38" s="365">
        <f t="shared" si="9"/>
        <v>0</v>
      </c>
      <c r="AA38" s="366">
        <f t="shared" si="10"/>
        <v>0.5</v>
      </c>
      <c r="AB38" s="356">
        <f>SUMIFS('Все игры'!D$3:D1000,'Все игры'!A$3:A1000,A38)</f>
        <v>25.25</v>
      </c>
      <c r="AC38" s="356">
        <f>SUMIFS('Все игры'!D$3:D1000,'Все игры'!A$3:A1000,A38,'Все игры'!B$3:B1000,"Мафия")</f>
        <v>7.75</v>
      </c>
      <c r="AD38" s="367">
        <f>SUMIFS('Все игры'!D$3:D1000,'Все игры'!A$3:A1000,A38,'Все игры'!B$3:B1000,"Шериф")</f>
        <v>4.25</v>
      </c>
      <c r="AE38" s="356">
        <f>SUMIFS('Все игры'!D$3:D1000,'Все игры'!A$3:A1000,A38,'Все игры'!B$3:B1000,"Дон")</f>
        <v>2</v>
      </c>
      <c r="AF38" s="357">
        <f>SUMIFS('Все игры'!D$3:D1000,'Все игры'!A$3:A1000,A38,'Все игры'!B$3:B1000,"Мирный")</f>
        <v>11.25</v>
      </c>
      <c r="AG38" s="356">
        <f t="shared" si="11"/>
        <v>2.525</v>
      </c>
      <c r="AH38" s="356">
        <f t="shared" si="12"/>
        <v>2.583333333</v>
      </c>
      <c r="AI38" s="356">
        <f t="shared" si="13"/>
        <v>2.125</v>
      </c>
      <c r="AJ38" s="356">
        <f t="shared" si="14"/>
        <v>2</v>
      </c>
      <c r="AK38" s="356">
        <f t="shared" si="15"/>
        <v>2.8125</v>
      </c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/>
      <c r="BH38" s="356"/>
      <c r="BI38" s="356"/>
      <c r="BJ38" s="356"/>
      <c r="BK38" s="356"/>
      <c r="BL38" s="356"/>
      <c r="BM38" s="356"/>
    </row>
    <row r="39">
      <c r="A39" s="368" t="s">
        <v>113</v>
      </c>
      <c r="B39" s="369">
        <f t="shared" si="1"/>
        <v>0</v>
      </c>
      <c r="C39" s="370">
        <f>'Турнирная таблица по Алфавиту'!E41</f>
        <v>0</v>
      </c>
      <c r="D39" s="371" t="str">
        <f>'Турнирная таблица по Алфавиту'!F41</f>
        <v/>
      </c>
      <c r="E39" s="372">
        <f>COUNTIFS('Все игры'!A$3:A1000,A39,'Все игры'!F$3:F1000,"=1")</f>
        <v>0</v>
      </c>
      <c r="F39" s="372">
        <f>COUNTIFS('Все игры'!A$3:A1000,A39,'Все игры'!F$3:F1000,"=0,50")</f>
        <v>0</v>
      </c>
      <c r="G39" s="372">
        <f>COUNTIFS('Все игры'!A$3:A1000,A39,'Все игры'!G$3:G1000,"&gt;0")</f>
        <v>0</v>
      </c>
      <c r="H39" s="373">
        <f t="shared" si="2"/>
        <v>0</v>
      </c>
      <c r="I39" s="374">
        <f>COUNTIFS('Все игры'!A$3:A1000,A39,'Все игры'!E$3:E1000,"У/Победа")</f>
        <v>0</v>
      </c>
      <c r="J39" s="374">
        <f>COUNTIFS('Все игры'!A$3:A1000,A39,'Все игры'!E$3:E1000,"У/Проигрыш")</f>
        <v>0</v>
      </c>
      <c r="K39" s="375">
        <f t="shared" si="3"/>
        <v>0</v>
      </c>
      <c r="L39" s="369">
        <f t="shared" si="4"/>
        <v>0</v>
      </c>
      <c r="M39" s="369">
        <f>COUNTIFS('Все игры'!A$3:A1000,A39,'Все игры'!C$3:C1000,"&gt;0",'Все игры'!B$3:B1000,"Мафия")</f>
        <v>0</v>
      </c>
      <c r="N39" s="369">
        <f>IFERROR(__xludf.DUMMYFUNCTION("COUNTBLANK(FILTER('Все игры'!A$3:C1000,'Все игры'!A$3:A1000=A39,'Все игры'!C$3:C1000 &lt; 1,'Все игры'!B$3:B1000=""Мафия""))"),0.0)</f>
        <v>0</v>
      </c>
      <c r="O39" s="369">
        <f>COUNTIFS('Все игры'!A$3:A1000,A39,'Все игры'!C$3:C1000,"&gt;0",'Все игры'!B$3:B1000,"Шериф")</f>
        <v>0</v>
      </c>
      <c r="P39" s="376">
        <f>IFERROR(__xludf.DUMMYFUNCTION("COUNTBLANK(FILTER('Все игры'!A$3:C1000,'Все игры'!A$3:A1000=A39,'Все игры'!C$3:C1000 &lt; 1,'Все игры'!B$3:B1000=""Шериф""))"),0.0)</f>
        <v>0</v>
      </c>
      <c r="Q39" s="369">
        <f>COUNTIFS('Все игры'!A$3:A1000,A39,'Все игры'!C$3:C1000,"&gt;0",'Все игры'!B$3:B1000,"Дон")</f>
        <v>0</v>
      </c>
      <c r="R39" s="369">
        <f>IFERROR(__xludf.DUMMYFUNCTION("COUNTBLANK(FILTER('Все игры'!A$3:C1000,'Все игры'!A$3:A1000=A39,'Все игры'!C$3:C1000 &lt; 1,'Все игры'!B$3:B1000=""Дон""))"),0.0)</f>
        <v>0</v>
      </c>
      <c r="S39" s="369">
        <f>COUNTIFS('Все игры'!A$3:A1000,A39,'Все игры'!C$3:C1000,"&gt;0",'Все игры'!B$3:B1000,"Мирный")</f>
        <v>0</v>
      </c>
      <c r="T39" s="377">
        <f>IFERROR(__xludf.DUMMYFUNCTION("COUNTBLANK(FILTER('Все игры'!A$3:C1000,'Все игры'!A$3:A1000=A39,'Все игры'!C$3:C1000 &lt; 1,'Все игры'!B$3:B1000=""Мирный""))"),0.0)</f>
        <v>0</v>
      </c>
      <c r="U39" s="378">
        <f t="shared" si="16"/>
        <v>0</v>
      </c>
      <c r="V39" s="379">
        <f t="shared" si="5"/>
        <v>0</v>
      </c>
      <c r="W39" s="379">
        <f t="shared" si="6"/>
        <v>0</v>
      </c>
      <c r="X39" s="379">
        <f t="shared" si="7"/>
        <v>0</v>
      </c>
      <c r="Y39" s="379">
        <f t="shared" si="8"/>
        <v>0</v>
      </c>
      <c r="Z39" s="379">
        <f t="shared" si="9"/>
        <v>0</v>
      </c>
      <c r="AA39" s="380">
        <f t="shared" si="10"/>
        <v>0</v>
      </c>
      <c r="AB39" s="370">
        <f>SUMIFS('Все игры'!D$3:D1000,'Все игры'!A$3:A1000,A39)</f>
        <v>0</v>
      </c>
      <c r="AC39" s="370">
        <f>SUMIFS('Все игры'!D$3:D1000,'Все игры'!A$3:A1000,A39,'Все игры'!B$3:B1000,"Мафия")</f>
        <v>0</v>
      </c>
      <c r="AD39" s="381">
        <f>SUMIFS('Все игры'!D$3:D1000,'Все игры'!A$3:A1000,A39,'Все игры'!B$3:B1000,"Шериф")</f>
        <v>0</v>
      </c>
      <c r="AE39" s="370">
        <f>SUMIFS('Все игры'!D$3:D1000,'Все игры'!A$3:A1000,A39,'Все игры'!B$3:B1000,"Дон")</f>
        <v>0</v>
      </c>
      <c r="AF39" s="371">
        <f>SUMIFS('Все игры'!D$3:D1000,'Все игры'!A$3:A1000,A39,'Все игры'!B$3:B1000,"Мирный")</f>
        <v>0</v>
      </c>
      <c r="AG39" s="370">
        <f t="shared" si="11"/>
        <v>0</v>
      </c>
      <c r="AH39" s="370">
        <f t="shared" si="12"/>
        <v>0</v>
      </c>
      <c r="AI39" s="370">
        <f t="shared" si="13"/>
        <v>0</v>
      </c>
      <c r="AJ39" s="370">
        <f t="shared" si="14"/>
        <v>0</v>
      </c>
      <c r="AK39" s="370">
        <f t="shared" si="15"/>
        <v>0</v>
      </c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/>
      <c r="BC39" s="356"/>
      <c r="BD39" s="356"/>
      <c r="BE39" s="356"/>
      <c r="BF39" s="356"/>
      <c r="BG39" s="356"/>
      <c r="BH39" s="356"/>
      <c r="BI39" s="356"/>
      <c r="BJ39" s="356"/>
      <c r="BK39" s="356"/>
      <c r="BL39" s="356"/>
      <c r="BM39" s="356"/>
    </row>
    <row r="40">
      <c r="A40" s="382" t="s">
        <v>114</v>
      </c>
      <c r="B40" s="355">
        <f t="shared" si="1"/>
        <v>0</v>
      </c>
      <c r="C40" s="356">
        <f>'Турнирная таблица по Алфавиту'!E42</f>
        <v>0</v>
      </c>
      <c r="D40" s="357" t="str">
        <f>'Турнирная таблица по Алфавиту'!F42</f>
        <v/>
      </c>
      <c r="E40" s="358">
        <f>COUNTIFS('Все игры'!A$3:A1000,A40,'Все игры'!F$3:F1000,"=1")</f>
        <v>0</v>
      </c>
      <c r="F40" s="358">
        <f>COUNTIFS('Все игры'!A$3:A1000,A40,'Все игры'!F$3:F1000,"=0,50")</f>
        <v>0</v>
      </c>
      <c r="G40" s="358">
        <f>COUNTIFS('Все игры'!A$3:A1000,A40,'Все игры'!G$3:G1000,"&gt;0")</f>
        <v>0</v>
      </c>
      <c r="H40" s="359">
        <f t="shared" si="2"/>
        <v>0</v>
      </c>
      <c r="I40" s="360">
        <f>COUNTIFS('Все игры'!A$3:A1000,A40,'Все игры'!E$3:E1000,"У/Победа")</f>
        <v>0</v>
      </c>
      <c r="J40" s="360">
        <f>COUNTIFS('Все игры'!A$3:A1000,A40,'Все игры'!E$3:E1000,"У/Проигрыш")</f>
        <v>0</v>
      </c>
      <c r="K40" s="361">
        <f t="shared" si="3"/>
        <v>0</v>
      </c>
      <c r="L40" s="355">
        <f t="shared" si="4"/>
        <v>0</v>
      </c>
      <c r="M40" s="355">
        <f>COUNTIFS('Все игры'!A$3:A1000,A40,'Все игры'!C$3:C1000,"&gt;0",'Все игры'!B$3:B1000,"Мафия")</f>
        <v>0</v>
      </c>
      <c r="N40" s="355">
        <f>IFERROR(__xludf.DUMMYFUNCTION("COUNTBLANK(FILTER('Все игры'!A$3:C1000,'Все игры'!A$3:A1000=A40,'Все игры'!C$3:C1000 &lt; 1,'Все игры'!B$3:B1000=""Мафия""))"),0.0)</f>
        <v>0</v>
      </c>
      <c r="O40" s="355">
        <f>COUNTIFS('Все игры'!A$3:A1000,A40,'Все игры'!C$3:C1000,"&gt;0",'Все игры'!B$3:B1000,"Шериф")</f>
        <v>0</v>
      </c>
      <c r="P40" s="362">
        <f>IFERROR(__xludf.DUMMYFUNCTION("COUNTBLANK(FILTER('Все игры'!A$3:C1000,'Все игры'!A$3:A1000=A40,'Все игры'!C$3:C1000 &lt; 1,'Все игры'!B$3:B1000=""Шериф""))"),0.0)</f>
        <v>0</v>
      </c>
      <c r="Q40" s="355">
        <f>COUNTIFS('Все игры'!A$3:A1000,A40,'Все игры'!C$3:C1000,"&gt;0",'Все игры'!B$3:B1000,"Дон")</f>
        <v>0</v>
      </c>
      <c r="R40" s="355">
        <f>IFERROR(__xludf.DUMMYFUNCTION("COUNTBLANK(FILTER('Все игры'!A$3:C1000,'Все игры'!A$3:A1000=A40,'Все игры'!C$3:C1000 &lt; 1,'Все игры'!B$3:B1000=""Дон""))"),0.0)</f>
        <v>0</v>
      </c>
      <c r="S40" s="355">
        <f>COUNTIFS('Все игры'!A$3:A1000,A40,'Все игры'!C$3:C1000,"&gt;0",'Все игры'!B$3:B1000,"Мирный")</f>
        <v>0</v>
      </c>
      <c r="T40" s="363">
        <f>IFERROR(__xludf.DUMMYFUNCTION("COUNTBLANK(FILTER('Все игры'!A$3:C1000,'Все игры'!A$3:A1000=A40,'Все игры'!C$3:C1000 &lt; 1,'Все игры'!B$3:B1000=""Мирный""))"),0.0)</f>
        <v>0</v>
      </c>
      <c r="U40" s="364">
        <f t="shared" si="16"/>
        <v>0</v>
      </c>
      <c r="V40" s="365">
        <f t="shared" si="5"/>
        <v>0</v>
      </c>
      <c r="W40" s="365">
        <f t="shared" si="6"/>
        <v>0</v>
      </c>
      <c r="X40" s="365">
        <f t="shared" si="7"/>
        <v>0</v>
      </c>
      <c r="Y40" s="365">
        <f t="shared" si="8"/>
        <v>0</v>
      </c>
      <c r="Z40" s="365">
        <f t="shared" si="9"/>
        <v>0</v>
      </c>
      <c r="AA40" s="366">
        <f t="shared" si="10"/>
        <v>0</v>
      </c>
      <c r="AB40" s="356">
        <f>SUMIFS('Все игры'!D$3:D1000,'Все игры'!A$3:A1000,A40)</f>
        <v>0</v>
      </c>
      <c r="AC40" s="356">
        <f>SUMIFS('Все игры'!D$3:D1000,'Все игры'!A$3:A1000,A40,'Все игры'!B$3:B1000,"Мафия")</f>
        <v>0</v>
      </c>
      <c r="AD40" s="367">
        <f>SUMIFS('Все игры'!D$3:D1000,'Все игры'!A$3:A1000,A40,'Все игры'!B$3:B1000,"Шериф")</f>
        <v>0</v>
      </c>
      <c r="AE40" s="356">
        <f>SUMIFS('Все игры'!D$3:D1000,'Все игры'!A$3:A1000,A40,'Все игры'!B$3:B1000,"Дон")</f>
        <v>0</v>
      </c>
      <c r="AF40" s="357">
        <f>SUMIFS('Все игры'!D$3:D1000,'Все игры'!A$3:A1000,A40,'Все игры'!B$3:B1000,"Мирный")</f>
        <v>0</v>
      </c>
      <c r="AG40" s="356">
        <f t="shared" si="11"/>
        <v>0</v>
      </c>
      <c r="AH40" s="356">
        <f t="shared" si="12"/>
        <v>0</v>
      </c>
      <c r="AI40" s="356">
        <f t="shared" si="13"/>
        <v>0</v>
      </c>
      <c r="AJ40" s="356">
        <f t="shared" si="14"/>
        <v>0</v>
      </c>
      <c r="AK40" s="356">
        <f t="shared" si="15"/>
        <v>0</v>
      </c>
      <c r="AL40" s="356"/>
      <c r="AM40" s="356"/>
      <c r="AN40" s="356"/>
      <c r="AO40" s="356"/>
      <c r="AP40" s="356"/>
      <c r="AQ40" s="356"/>
      <c r="AR40" s="356"/>
      <c r="AS40" s="356"/>
      <c r="AT40" s="356"/>
      <c r="AU40" s="356"/>
      <c r="AV40" s="356"/>
      <c r="AW40" s="356"/>
      <c r="AX40" s="356"/>
      <c r="AY40" s="356"/>
      <c r="AZ40" s="356"/>
      <c r="BA40" s="356"/>
      <c r="BB40" s="356"/>
      <c r="BC40" s="356"/>
      <c r="BD40" s="356"/>
      <c r="BE40" s="356"/>
      <c r="BF40" s="356"/>
      <c r="BG40" s="356"/>
      <c r="BH40" s="356"/>
      <c r="BI40" s="356"/>
      <c r="BJ40" s="356"/>
      <c r="BK40" s="356"/>
      <c r="BL40" s="356"/>
      <c r="BM40" s="356"/>
    </row>
    <row r="41">
      <c r="A41" s="368" t="s">
        <v>115</v>
      </c>
      <c r="B41" s="369">
        <f t="shared" si="1"/>
        <v>0</v>
      </c>
      <c r="C41" s="370">
        <f>'Турнирная таблица по Алфавиту'!E43</f>
        <v>0</v>
      </c>
      <c r="D41" s="371" t="str">
        <f>'Турнирная таблица по Алфавиту'!F43</f>
        <v/>
      </c>
      <c r="E41" s="372">
        <f>COUNTIFS('Все игры'!A$3:A1000,A41,'Все игры'!F$3:F1000,"=1")</f>
        <v>0</v>
      </c>
      <c r="F41" s="372">
        <f>COUNTIFS('Все игры'!A$3:A1000,A41,'Все игры'!F$3:F1000,"=0,50")</f>
        <v>0</v>
      </c>
      <c r="G41" s="372">
        <f>COUNTIFS('Все игры'!A$3:A1000,A41,'Все игры'!G$3:G1000,"&gt;0")</f>
        <v>0</v>
      </c>
      <c r="H41" s="373">
        <f t="shared" si="2"/>
        <v>0</v>
      </c>
      <c r="I41" s="374">
        <f>COUNTIFS('Все игры'!A$3:A1000,A41,'Все игры'!E$3:E1000,"У/Победа")</f>
        <v>0</v>
      </c>
      <c r="J41" s="374">
        <f>COUNTIFS('Все игры'!A$3:A1000,A41,'Все игры'!E$3:E1000,"У/Проигрыш")</f>
        <v>0</v>
      </c>
      <c r="K41" s="375">
        <f t="shared" si="3"/>
        <v>0</v>
      </c>
      <c r="L41" s="369">
        <f t="shared" si="4"/>
        <v>0</v>
      </c>
      <c r="M41" s="369">
        <f>COUNTIFS('Все игры'!A$3:A1000,A41,'Все игры'!C$3:C1000,"&gt;0",'Все игры'!B$3:B1000,"Мафия")</f>
        <v>0</v>
      </c>
      <c r="N41" s="369">
        <f>IFERROR(__xludf.DUMMYFUNCTION("COUNTBLANK(FILTER('Все игры'!A$3:C1000,'Все игры'!A$3:A1000=A41,'Все игры'!C$3:C1000 &lt; 1,'Все игры'!B$3:B1000=""Мафия""))"),0.0)</f>
        <v>0</v>
      </c>
      <c r="O41" s="369">
        <f>COUNTIFS('Все игры'!A$3:A1000,A41,'Все игры'!C$3:C1000,"&gt;0",'Все игры'!B$3:B1000,"Шериф")</f>
        <v>0</v>
      </c>
      <c r="P41" s="376">
        <f>IFERROR(__xludf.DUMMYFUNCTION("COUNTBLANK(FILTER('Все игры'!A$3:C1000,'Все игры'!A$3:A1000=A41,'Все игры'!C$3:C1000 &lt; 1,'Все игры'!B$3:B1000=""Шериф""))"),0.0)</f>
        <v>0</v>
      </c>
      <c r="Q41" s="369">
        <f>COUNTIFS('Все игры'!A$3:A1000,A41,'Все игры'!C$3:C1000,"&gt;0",'Все игры'!B$3:B1000,"Дон")</f>
        <v>0</v>
      </c>
      <c r="R41" s="369">
        <f>IFERROR(__xludf.DUMMYFUNCTION("COUNTBLANK(FILTER('Все игры'!A$3:C1000,'Все игры'!A$3:A1000=A41,'Все игры'!C$3:C1000 &lt; 1,'Все игры'!B$3:B1000=""Дон""))"),0.0)</f>
        <v>0</v>
      </c>
      <c r="S41" s="369">
        <f>COUNTIFS('Все игры'!A$3:A1000,A41,'Все игры'!C$3:C1000,"&gt;0",'Все игры'!B$3:B1000,"Мирный")</f>
        <v>0</v>
      </c>
      <c r="T41" s="377">
        <f>IFERROR(__xludf.DUMMYFUNCTION("COUNTBLANK(FILTER('Все игры'!A$3:C1000,'Все игры'!A$3:A1000=A41,'Все игры'!C$3:C1000 &lt; 1,'Все игры'!B$3:B1000=""Мирный""))"),0.0)</f>
        <v>0</v>
      </c>
      <c r="U41" s="378">
        <f t="shared" si="16"/>
        <v>0</v>
      </c>
      <c r="V41" s="379">
        <f t="shared" si="5"/>
        <v>0</v>
      </c>
      <c r="W41" s="379">
        <f t="shared" si="6"/>
        <v>0</v>
      </c>
      <c r="X41" s="379">
        <f t="shared" si="7"/>
        <v>0</v>
      </c>
      <c r="Y41" s="379">
        <f t="shared" si="8"/>
        <v>0</v>
      </c>
      <c r="Z41" s="379">
        <f t="shared" si="9"/>
        <v>0</v>
      </c>
      <c r="AA41" s="380">
        <f t="shared" si="10"/>
        <v>0</v>
      </c>
      <c r="AB41" s="370">
        <f>SUMIFS('Все игры'!D$3:D1000,'Все игры'!A$3:A1000,A41)</f>
        <v>0</v>
      </c>
      <c r="AC41" s="370">
        <f>SUMIFS('Все игры'!D$3:D1000,'Все игры'!A$3:A1000,A41,'Все игры'!B$3:B1000,"Мафия")</f>
        <v>0</v>
      </c>
      <c r="AD41" s="381">
        <f>SUMIFS('Все игры'!D$3:D1000,'Все игры'!A$3:A1000,A41,'Все игры'!B$3:B1000,"Шериф")</f>
        <v>0</v>
      </c>
      <c r="AE41" s="370">
        <f>SUMIFS('Все игры'!D$3:D1000,'Все игры'!A$3:A1000,A41,'Все игры'!B$3:B1000,"Дон")</f>
        <v>0</v>
      </c>
      <c r="AF41" s="371">
        <f>SUMIFS('Все игры'!D$3:D1000,'Все игры'!A$3:A1000,A41,'Все игры'!B$3:B1000,"Мирный")</f>
        <v>0</v>
      </c>
      <c r="AG41" s="370">
        <f t="shared" si="11"/>
        <v>0</v>
      </c>
      <c r="AH41" s="370">
        <f t="shared" si="12"/>
        <v>0</v>
      </c>
      <c r="AI41" s="370">
        <f t="shared" si="13"/>
        <v>0</v>
      </c>
      <c r="AJ41" s="370">
        <f t="shared" si="14"/>
        <v>0</v>
      </c>
      <c r="AK41" s="370">
        <f t="shared" si="15"/>
        <v>0</v>
      </c>
      <c r="AL41" s="356"/>
      <c r="AM41" s="356"/>
      <c r="AN41" s="356"/>
      <c r="AO41" s="356"/>
      <c r="AP41" s="356"/>
      <c r="AQ41" s="356"/>
      <c r="AR41" s="356"/>
      <c r="AS41" s="356"/>
      <c r="AT41" s="356"/>
      <c r="AU41" s="356"/>
      <c r="AV41" s="356"/>
      <c r="AW41" s="356"/>
      <c r="AX41" s="356"/>
      <c r="AY41" s="356"/>
      <c r="AZ41" s="356"/>
      <c r="BA41" s="356"/>
      <c r="BB41" s="356"/>
      <c r="BC41" s="356"/>
      <c r="BD41" s="356"/>
      <c r="BE41" s="356"/>
      <c r="BF41" s="356"/>
      <c r="BG41" s="356"/>
      <c r="BH41" s="356"/>
      <c r="BI41" s="356"/>
      <c r="BJ41" s="356"/>
      <c r="BK41" s="356"/>
      <c r="BL41" s="356"/>
      <c r="BM41" s="356"/>
    </row>
    <row r="42">
      <c r="A42" s="368" t="s">
        <v>116</v>
      </c>
      <c r="B42" s="355">
        <f t="shared" si="1"/>
        <v>10</v>
      </c>
      <c r="C42" s="356">
        <f>'Турнирная таблица по Алфавиту'!E44</f>
        <v>52.75</v>
      </c>
      <c r="D42" s="357">
        <f>'Турнирная таблица по Алфавиту'!F44</f>
        <v>26.375</v>
      </c>
      <c r="E42" s="358">
        <f>COUNTIFS('Все игры'!A$3:A1000,A42,'Все игры'!F$3:F1000,"=1")</f>
        <v>0</v>
      </c>
      <c r="F42" s="358">
        <f>COUNTIFS('Все игры'!A$3:A1000,A42,'Все игры'!F$3:F1000,"=0,50")</f>
        <v>1</v>
      </c>
      <c r="G42" s="358">
        <f>COUNTIFS('Все игры'!A$3:A1000,A42,'Все игры'!G$3:G1000,"&gt;0")</f>
        <v>1</v>
      </c>
      <c r="H42" s="359">
        <f t="shared" si="2"/>
        <v>0.1666666667</v>
      </c>
      <c r="I42" s="360">
        <f>COUNTIFS('Все игры'!A$3:A1000,A42,'Все игры'!E$3:E1000,"У/Победа")</f>
        <v>0</v>
      </c>
      <c r="J42" s="360">
        <f>COUNTIFS('Все игры'!A$3:A1000,A42,'Все игры'!E$3:E1000,"У/Проигрыш")</f>
        <v>1</v>
      </c>
      <c r="K42" s="361">
        <f t="shared" si="3"/>
        <v>6</v>
      </c>
      <c r="L42" s="355">
        <f t="shared" si="4"/>
        <v>4</v>
      </c>
      <c r="M42" s="355">
        <f>COUNTIFS('Все игры'!A$3:A1000,A42,'Все игры'!C$3:C1000,"&gt;0",'Все игры'!B$3:B1000,"Мафия")</f>
        <v>3</v>
      </c>
      <c r="N42" s="355">
        <f>IFERROR(__xludf.DUMMYFUNCTION("COUNTBLANK(FILTER('Все игры'!A$3:C1000,'Все игры'!A$3:A1000=A42,'Все игры'!C$3:C1000 &lt; 1,'Все игры'!B$3:B1000=""Мафия""))"),0.0)</f>
        <v>0</v>
      </c>
      <c r="O42" s="355">
        <f>COUNTIFS('Все игры'!A$3:A1000,A42,'Все игры'!C$3:C1000,"&gt;0",'Все игры'!B$3:B1000,"Шериф")</f>
        <v>0</v>
      </c>
      <c r="P42" s="362">
        <f>IFERROR(__xludf.DUMMYFUNCTION("COUNTBLANK(FILTER('Все игры'!A$3:C1000,'Все игры'!A$3:A1000=A42,'Все игры'!C$3:C1000 &lt; 1,'Все игры'!B$3:B1000=""Шериф""))"),0.0)</f>
        <v>0</v>
      </c>
      <c r="Q42" s="355">
        <f>COUNTIFS('Все игры'!A$3:A1000,A42,'Все игры'!C$3:C1000,"&gt;0",'Все игры'!B$3:B1000,"Дон")</f>
        <v>1</v>
      </c>
      <c r="R42" s="355">
        <f>IFERROR(__xludf.DUMMYFUNCTION("COUNTBLANK(FILTER('Все игры'!A$3:C1000,'Все игры'!A$3:A1000=A42,'Все игры'!C$3:C1000 &lt; 1,'Все игры'!B$3:B1000=""Дон""))"),0.0)</f>
        <v>0</v>
      </c>
      <c r="S42" s="355">
        <f>COUNTIFS('Все игры'!A$3:A1000,A42,'Все игры'!C$3:C1000,"&gt;0",'Все игры'!B$3:B1000,"Мирный")</f>
        <v>4</v>
      </c>
      <c r="T42" s="363">
        <f>IFERROR(__xludf.DUMMYFUNCTION("COUNTBLANK(FILTER('Все игры'!A$3:C1000,'Все игры'!A$3:A1000=A42,'Все игры'!C$3:C1000 &lt; 1,'Все игры'!B$3:B1000=""Мирный""))"),2.0)</f>
        <v>2</v>
      </c>
      <c r="U42" s="364">
        <f t="shared" si="16"/>
        <v>0.8</v>
      </c>
      <c r="V42" s="365">
        <f t="shared" si="5"/>
        <v>0.6666666667</v>
      </c>
      <c r="W42" s="365">
        <f t="shared" si="6"/>
        <v>1</v>
      </c>
      <c r="X42" s="365">
        <f t="shared" si="7"/>
        <v>1</v>
      </c>
      <c r="Y42" s="365">
        <f t="shared" si="8"/>
        <v>0</v>
      </c>
      <c r="Z42" s="365">
        <f t="shared" si="9"/>
        <v>1</v>
      </c>
      <c r="AA42" s="366">
        <f t="shared" si="10"/>
        <v>0.6666666667</v>
      </c>
      <c r="AB42" s="356">
        <f>SUMIFS('Все игры'!D$3:D1000,'Все игры'!A$3:A1000,A42)</f>
        <v>31.75</v>
      </c>
      <c r="AC42" s="356">
        <f>SUMIFS('Все игры'!D$3:D1000,'Все игры'!A$3:A1000,A42,'Все игры'!B$3:B1000,"Мафия")</f>
        <v>10.5</v>
      </c>
      <c r="AD42" s="367">
        <f>SUMIFS('Все игры'!D$3:D1000,'Все игры'!A$3:A1000,A42,'Все игры'!B$3:B1000,"Шериф")</f>
        <v>0</v>
      </c>
      <c r="AE42" s="356">
        <f>SUMIFS('Все игры'!D$3:D1000,'Все игры'!A$3:A1000,A42,'Все игры'!B$3:B1000,"Дон")</f>
        <v>3.25</v>
      </c>
      <c r="AF42" s="357">
        <f>SUMIFS('Все игры'!D$3:D1000,'Все игры'!A$3:A1000,A42,'Все игры'!B$3:B1000,"Мирный")</f>
        <v>18</v>
      </c>
      <c r="AG42" s="356">
        <f t="shared" si="11"/>
        <v>3.175</v>
      </c>
      <c r="AH42" s="356">
        <f t="shared" si="12"/>
        <v>3.5</v>
      </c>
      <c r="AI42" s="356">
        <f t="shared" si="13"/>
        <v>0</v>
      </c>
      <c r="AJ42" s="356">
        <f t="shared" si="14"/>
        <v>3.25</v>
      </c>
      <c r="AK42" s="356">
        <f t="shared" si="15"/>
        <v>3</v>
      </c>
      <c r="AL42" s="356"/>
      <c r="AM42" s="356"/>
      <c r="AN42" s="356"/>
      <c r="AO42" s="356"/>
      <c r="AP42" s="356"/>
      <c r="AQ42" s="356"/>
      <c r="AR42" s="356"/>
      <c r="AS42" s="356"/>
      <c r="AT42" s="356"/>
      <c r="AU42" s="356"/>
      <c r="AV42" s="356"/>
      <c r="AW42" s="356"/>
      <c r="AX42" s="356"/>
      <c r="AY42" s="356"/>
      <c r="AZ42" s="356"/>
      <c r="BA42" s="356"/>
      <c r="BB42" s="356"/>
      <c r="BC42" s="356"/>
      <c r="BD42" s="356"/>
      <c r="BE42" s="356"/>
      <c r="BF42" s="356"/>
      <c r="BG42" s="356"/>
      <c r="BH42" s="356"/>
      <c r="BI42" s="356"/>
      <c r="BJ42" s="356"/>
      <c r="BK42" s="356"/>
      <c r="BL42" s="356"/>
      <c r="BM42" s="356"/>
    </row>
    <row r="43">
      <c r="A43" s="368" t="s">
        <v>117</v>
      </c>
      <c r="B43" s="369">
        <f t="shared" si="1"/>
        <v>5</v>
      </c>
      <c r="C43" s="370">
        <f>'Турнирная таблица по Алфавиту'!E45</f>
        <v>14.5</v>
      </c>
      <c r="D43" s="371">
        <f>'Турнирная таблица по Алфавиту'!F45</f>
        <v>14.5</v>
      </c>
      <c r="E43" s="372">
        <f>COUNTIFS('Все игры'!A$3:A1000,A43,'Все игры'!F$3:F1000,"=1")</f>
        <v>0</v>
      </c>
      <c r="F43" s="372">
        <f>COUNTIFS('Все игры'!A$3:A1000,A43,'Все игры'!F$3:F1000,"=0,50")</f>
        <v>1</v>
      </c>
      <c r="G43" s="372">
        <f>COUNTIFS('Все игры'!A$3:A1000,A43,'Все игры'!G$3:G1000,"&gt;0")</f>
        <v>1</v>
      </c>
      <c r="H43" s="373">
        <f t="shared" si="2"/>
        <v>0.2</v>
      </c>
      <c r="I43" s="374">
        <f>COUNTIFS('Все игры'!A$3:A1000,A43,'Все игры'!E$3:E1000,"У/Победа")</f>
        <v>0</v>
      </c>
      <c r="J43" s="374">
        <f>COUNTIFS('Все игры'!A$3:A1000,A43,'Все игры'!E$3:E1000,"У/Проигрыш")</f>
        <v>0</v>
      </c>
      <c r="K43" s="375">
        <f t="shared" si="3"/>
        <v>5</v>
      </c>
      <c r="L43" s="369">
        <f t="shared" si="4"/>
        <v>0</v>
      </c>
      <c r="M43" s="369">
        <f>COUNTIFS('Все игры'!A$3:A1000,A43,'Все игры'!C$3:C1000,"&gt;0",'Все игры'!B$3:B1000,"Мафия")</f>
        <v>0</v>
      </c>
      <c r="N43" s="369">
        <f>IFERROR(__xludf.DUMMYFUNCTION("COUNTBLANK(FILTER('Все игры'!A$3:C1000,'Все игры'!A$3:A1000=A43,'Все игры'!C$3:C1000 &lt; 1,'Все игры'!B$3:B1000=""Мафия""))"),0.0)</f>
        <v>0</v>
      </c>
      <c r="O43" s="369">
        <f>COUNTIFS('Все игры'!A$3:A1000,A43,'Все игры'!C$3:C1000,"&gt;0",'Все игры'!B$3:B1000,"Шериф")</f>
        <v>0</v>
      </c>
      <c r="P43" s="376">
        <f>IFERROR(__xludf.DUMMYFUNCTION("COUNTBLANK(FILTER('Все игры'!A$3:C1000,'Все игры'!A$3:A1000=A43,'Все игры'!C$3:C1000 &lt; 1,'Все игры'!B$3:B1000=""Шериф""))"),0.0)</f>
        <v>0</v>
      </c>
      <c r="Q43" s="369">
        <f>COUNTIFS('Все игры'!A$3:A1000,A43,'Все игры'!C$3:C1000,"&gt;0",'Все игры'!B$3:B1000,"Дон")</f>
        <v>0</v>
      </c>
      <c r="R43" s="369">
        <f>IFERROR(__xludf.DUMMYFUNCTION("COUNTBLANK(FILTER('Все игры'!A$3:C1000,'Все игры'!A$3:A1000=A43,'Все игры'!C$3:C1000 &lt; 1,'Все игры'!B$3:B1000=""Дон""))"),0.0)</f>
        <v>0</v>
      </c>
      <c r="S43" s="369">
        <f>COUNTIFS('Все игры'!A$3:A1000,A43,'Все игры'!C$3:C1000,"&gt;0",'Все игры'!B$3:B1000,"Мирный")</f>
        <v>1</v>
      </c>
      <c r="T43" s="377">
        <f>IFERROR(__xludf.DUMMYFUNCTION("COUNTBLANK(FILTER('Все игры'!A$3:C1000,'Все игры'!A$3:A1000=A43,'Все игры'!C$3:C1000 &lt; 1,'Все игры'!B$3:B1000=""Мирный""))"),4.0)</f>
        <v>4</v>
      </c>
      <c r="U43" s="378">
        <f t="shared" si="16"/>
        <v>0.2</v>
      </c>
      <c r="V43" s="379">
        <f t="shared" si="5"/>
        <v>0.2</v>
      </c>
      <c r="W43" s="379">
        <f t="shared" si="6"/>
        <v>0</v>
      </c>
      <c r="X43" s="379">
        <f t="shared" si="7"/>
        <v>0</v>
      </c>
      <c r="Y43" s="379">
        <f t="shared" si="8"/>
        <v>0</v>
      </c>
      <c r="Z43" s="379">
        <f t="shared" si="9"/>
        <v>0</v>
      </c>
      <c r="AA43" s="380">
        <f t="shared" si="10"/>
        <v>0.2</v>
      </c>
      <c r="AB43" s="370">
        <f>SUMIFS('Все игры'!D$3:D1000,'Все игры'!A$3:A1000,A43)</f>
        <v>11</v>
      </c>
      <c r="AC43" s="370">
        <f>SUMIFS('Все игры'!D$3:D1000,'Все игры'!A$3:A1000,A43,'Все игры'!B$3:B1000,"Мафия")</f>
        <v>0</v>
      </c>
      <c r="AD43" s="381">
        <f>SUMIFS('Все игры'!D$3:D1000,'Все игры'!A$3:A1000,A43,'Все игры'!B$3:B1000,"Шериф")</f>
        <v>0</v>
      </c>
      <c r="AE43" s="370">
        <f>SUMIFS('Все игры'!D$3:D1000,'Все игры'!A$3:A1000,A43,'Все игры'!B$3:B1000,"Дон")</f>
        <v>0</v>
      </c>
      <c r="AF43" s="371">
        <f>SUMIFS('Все игры'!D$3:D1000,'Все игры'!A$3:A1000,A43,'Все игры'!B$3:B1000,"Мирный")</f>
        <v>11</v>
      </c>
      <c r="AG43" s="370">
        <f t="shared" si="11"/>
        <v>2.2</v>
      </c>
      <c r="AH43" s="370">
        <f t="shared" si="12"/>
        <v>0</v>
      </c>
      <c r="AI43" s="370">
        <f t="shared" si="13"/>
        <v>0</v>
      </c>
      <c r="AJ43" s="370">
        <f t="shared" si="14"/>
        <v>0</v>
      </c>
      <c r="AK43" s="370">
        <f t="shared" si="15"/>
        <v>2.2</v>
      </c>
      <c r="AL43" s="356"/>
      <c r="AM43" s="356"/>
      <c r="AN43" s="356"/>
      <c r="AO43" s="356"/>
      <c r="AP43" s="356"/>
      <c r="AQ43" s="356"/>
      <c r="AR43" s="356"/>
      <c r="AS43" s="356"/>
      <c r="AT43" s="356"/>
      <c r="AU43" s="356"/>
      <c r="AV43" s="356"/>
      <c r="AW43" s="356"/>
      <c r="AX43" s="356"/>
      <c r="AY43" s="356"/>
      <c r="AZ43" s="356"/>
      <c r="BA43" s="356"/>
      <c r="BB43" s="356"/>
      <c r="BC43" s="356"/>
      <c r="BD43" s="356"/>
      <c r="BE43" s="356"/>
      <c r="BF43" s="356"/>
      <c r="BG43" s="356"/>
      <c r="BH43" s="356"/>
      <c r="BI43" s="356"/>
      <c r="BJ43" s="356"/>
      <c r="BK43" s="356"/>
      <c r="BL43" s="356"/>
      <c r="BM43" s="356"/>
    </row>
    <row r="44">
      <c r="A44" s="354" t="s">
        <v>118</v>
      </c>
      <c r="B44" s="355">
        <f t="shared" si="1"/>
        <v>10</v>
      </c>
      <c r="C44" s="356">
        <f>'Турнирная таблица по Алфавиту'!E46</f>
        <v>33.25</v>
      </c>
      <c r="D44" s="357">
        <f>'Турнирная таблица по Алфавиту'!F46</f>
        <v>16.625</v>
      </c>
      <c r="E44" s="358">
        <f>COUNTIFS('Все игры'!A$3:A1000,A44,'Все игры'!F$3:F1000,"=1")</f>
        <v>0</v>
      </c>
      <c r="F44" s="358">
        <f>COUNTIFS('Все игры'!A$3:A1000,A44,'Все игры'!F$3:F1000,"=0,50")</f>
        <v>0</v>
      </c>
      <c r="G44" s="358">
        <f>COUNTIFS('Все игры'!A$3:A1000,A44,'Все игры'!G$3:G1000,"&gt;0")</f>
        <v>1</v>
      </c>
      <c r="H44" s="359">
        <f t="shared" si="2"/>
        <v>0.1428571429</v>
      </c>
      <c r="I44" s="360">
        <f>COUNTIFS('Все игры'!A$3:A1000,A44,'Все игры'!E$3:E1000,"У/Победа")</f>
        <v>0</v>
      </c>
      <c r="J44" s="360">
        <f>COUNTIFS('Все игры'!A$3:A1000,A44,'Все игры'!E$3:E1000,"У/Проигрыш")</f>
        <v>0</v>
      </c>
      <c r="K44" s="361">
        <f t="shared" si="3"/>
        <v>7</v>
      </c>
      <c r="L44" s="355">
        <f t="shared" si="4"/>
        <v>3</v>
      </c>
      <c r="M44" s="355">
        <f>COUNTIFS('Все игры'!A$3:A1000,A44,'Все игры'!C$3:C1000,"&gt;0",'Все игры'!B$3:B1000,"Мафия")</f>
        <v>1</v>
      </c>
      <c r="N44" s="355">
        <f>IFERROR(__xludf.DUMMYFUNCTION("COUNTBLANK(FILTER('Все игры'!A$3:C1000,'Все игры'!A$3:A1000=A44,'Все игры'!C$3:C1000 &lt; 1,'Все игры'!B$3:B1000=""Мафия""))"),2.0)</f>
        <v>2</v>
      </c>
      <c r="O44" s="355">
        <f>COUNTIFS('Все игры'!A$3:A1000,A44,'Все игры'!C$3:C1000,"&gt;0",'Все игры'!B$3:B1000,"Шериф")</f>
        <v>0</v>
      </c>
      <c r="P44" s="362">
        <f>IFERROR(__xludf.DUMMYFUNCTION("COUNTBLANK(FILTER('Все игры'!A$3:C1000,'Все игры'!A$3:A1000=A44,'Все игры'!C$3:C1000 &lt; 1,'Все игры'!B$3:B1000=""Шериф""))"),1.0)</f>
        <v>1</v>
      </c>
      <c r="Q44" s="355">
        <f>COUNTIFS('Все игры'!A$3:A1000,A44,'Все игры'!C$3:C1000,"&gt;0",'Все игры'!B$3:B1000,"Дон")</f>
        <v>0</v>
      </c>
      <c r="R44" s="355">
        <f>IFERROR(__xludf.DUMMYFUNCTION("COUNTBLANK(FILTER('Все игры'!A$3:C1000,'Все игры'!A$3:A1000=A44,'Все игры'!C$3:C1000 &lt; 1,'Все игры'!B$3:B1000=""Дон""))"),0.0)</f>
        <v>0</v>
      </c>
      <c r="S44" s="355">
        <f>COUNTIFS('Все игры'!A$3:A1000,A44,'Все игры'!C$3:C1000,"&gt;0",'Все игры'!B$3:B1000,"Мирный")</f>
        <v>2</v>
      </c>
      <c r="T44" s="363">
        <f>IFERROR(__xludf.DUMMYFUNCTION("COUNTBLANK(FILTER('Все игры'!A$3:C1000,'Все игры'!A$3:A1000=A44,'Все игры'!C$3:C1000 &lt; 1,'Все игры'!B$3:B1000=""Мирный""))"),4.0)</f>
        <v>4</v>
      </c>
      <c r="U44" s="364">
        <f t="shared" si="16"/>
        <v>0.3</v>
      </c>
      <c r="V44" s="365">
        <f t="shared" si="5"/>
        <v>0.2857142857</v>
      </c>
      <c r="W44" s="365">
        <f t="shared" si="6"/>
        <v>0.3333333333</v>
      </c>
      <c r="X44" s="365">
        <f t="shared" si="7"/>
        <v>0.3333333333</v>
      </c>
      <c r="Y44" s="365">
        <f t="shared" si="8"/>
        <v>0</v>
      </c>
      <c r="Z44" s="365">
        <f t="shared" si="9"/>
        <v>0</v>
      </c>
      <c r="AA44" s="366">
        <f t="shared" si="10"/>
        <v>0.3333333333</v>
      </c>
      <c r="AB44" s="356">
        <f>SUMIFS('Все игры'!D$3:D1000,'Все игры'!A$3:A1000,A44)</f>
        <v>25.25</v>
      </c>
      <c r="AC44" s="356">
        <f>SUMIFS('Все игры'!D$3:D1000,'Все игры'!A$3:A1000,A44,'Все игры'!B$3:B1000,"Мафия")</f>
        <v>7.25</v>
      </c>
      <c r="AD44" s="367">
        <f>SUMIFS('Все игры'!D$3:D1000,'Все игры'!A$3:A1000,A44,'Все игры'!B$3:B1000,"Шериф")</f>
        <v>2.5</v>
      </c>
      <c r="AE44" s="356">
        <f>SUMIFS('Все игры'!D$3:D1000,'Все игры'!A$3:A1000,A44,'Все игры'!B$3:B1000,"Дон")</f>
        <v>0</v>
      </c>
      <c r="AF44" s="357">
        <f>SUMIFS('Все игры'!D$3:D1000,'Все игры'!A$3:A1000,A44,'Все игры'!B$3:B1000,"Мирный")</f>
        <v>15.5</v>
      </c>
      <c r="AG44" s="356">
        <f t="shared" si="11"/>
        <v>2.525</v>
      </c>
      <c r="AH44" s="356">
        <f t="shared" si="12"/>
        <v>2.416666667</v>
      </c>
      <c r="AI44" s="356">
        <f t="shared" si="13"/>
        <v>2.5</v>
      </c>
      <c r="AJ44" s="356">
        <f t="shared" si="14"/>
        <v>0</v>
      </c>
      <c r="AK44" s="356">
        <f t="shared" si="15"/>
        <v>2.583333333</v>
      </c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/>
      <c r="BG44" s="356"/>
      <c r="BH44" s="356"/>
      <c r="BI44" s="356"/>
      <c r="BJ44" s="356"/>
      <c r="BK44" s="356"/>
      <c r="BL44" s="356"/>
      <c r="BM44" s="356"/>
    </row>
    <row r="45">
      <c r="A45" s="368" t="s">
        <v>119</v>
      </c>
      <c r="B45" s="369">
        <f t="shared" si="1"/>
        <v>10</v>
      </c>
      <c r="C45" s="370">
        <f>'Турнирная таблица по Алфавиту'!E47</f>
        <v>36</v>
      </c>
      <c r="D45" s="371">
        <f>'Турнирная таблица по Алфавиту'!F47</f>
        <v>18</v>
      </c>
      <c r="E45" s="372">
        <f>COUNTIFS('Все игры'!A$3:A1000,A45,'Все игры'!F$3:F1000,"=1")</f>
        <v>1</v>
      </c>
      <c r="F45" s="372">
        <f>COUNTIFS('Все игры'!A$3:A1000,A45,'Все игры'!F$3:F1000,"=0,50")</f>
        <v>1</v>
      </c>
      <c r="G45" s="372">
        <f>COUNTIFS('Все игры'!A$3:A1000,A45,'Все игры'!G$3:G1000,"&gt;0")</f>
        <v>2</v>
      </c>
      <c r="H45" s="373">
        <f t="shared" si="2"/>
        <v>0.2222222222</v>
      </c>
      <c r="I45" s="374">
        <f>COUNTIFS('Все игры'!A$3:A1000,A45,'Все игры'!E$3:E1000,"У/Победа")</f>
        <v>0</v>
      </c>
      <c r="J45" s="374">
        <f>COUNTIFS('Все игры'!A$3:A1000,A45,'Все игры'!E$3:E1000,"У/Проигрыш")</f>
        <v>1</v>
      </c>
      <c r="K45" s="375">
        <f t="shared" si="3"/>
        <v>9</v>
      </c>
      <c r="L45" s="369">
        <f t="shared" si="4"/>
        <v>1</v>
      </c>
      <c r="M45" s="369">
        <f>COUNTIFS('Все игры'!A$3:A1000,A45,'Все игры'!C$3:C1000,"&gt;0",'Все игры'!B$3:B1000,"Мафия")</f>
        <v>0</v>
      </c>
      <c r="N45" s="369">
        <f>IFERROR(__xludf.DUMMYFUNCTION("COUNTBLANK(FILTER('Все игры'!A$3:C1000,'Все игры'!A$3:A1000=A45,'Все игры'!C$3:C1000 &lt; 1,'Все игры'!B$3:B1000=""Мафия""))"),1.0)</f>
        <v>1</v>
      </c>
      <c r="O45" s="369">
        <f>COUNTIFS('Все игры'!A$3:A1000,A45,'Все игры'!C$3:C1000,"&gt;0",'Все игры'!B$3:B1000,"Шериф")</f>
        <v>0</v>
      </c>
      <c r="P45" s="376">
        <f>IFERROR(__xludf.DUMMYFUNCTION("COUNTBLANK(FILTER('Все игры'!A$3:C1000,'Все игры'!A$3:A1000=A45,'Все игры'!C$3:C1000 &lt; 1,'Все игры'!B$3:B1000=""Шериф""))"),0.0)</f>
        <v>0</v>
      </c>
      <c r="Q45" s="369">
        <f>COUNTIFS('Все игры'!A$3:A1000,A45,'Все игры'!C$3:C1000,"&gt;0",'Все игры'!B$3:B1000,"Дон")</f>
        <v>0</v>
      </c>
      <c r="R45" s="369">
        <f>IFERROR(__xludf.DUMMYFUNCTION("COUNTBLANK(FILTER('Все игры'!A$3:C1000,'Все игры'!A$3:A1000=A45,'Все игры'!C$3:C1000 &lt; 1,'Все игры'!B$3:B1000=""Дон""))"),0.0)</f>
        <v>0</v>
      </c>
      <c r="S45" s="369">
        <f>COUNTIFS('Все игры'!A$3:A1000,A45,'Все игры'!C$3:C1000,"&gt;0",'Все игры'!B$3:B1000,"Мирный")</f>
        <v>3</v>
      </c>
      <c r="T45" s="377">
        <f>IFERROR(__xludf.DUMMYFUNCTION("COUNTBLANK(FILTER('Все игры'!A$3:C1000,'Все игры'!A$3:A1000=A45,'Все игры'!C$3:C1000 &lt; 1,'Все игры'!B$3:B1000=""Мирный""))"),6.0)</f>
        <v>6</v>
      </c>
      <c r="U45" s="378">
        <f t="shared" si="16"/>
        <v>0.3</v>
      </c>
      <c r="V45" s="379">
        <f t="shared" si="5"/>
        <v>0.3333333333</v>
      </c>
      <c r="W45" s="379">
        <f t="shared" si="6"/>
        <v>0</v>
      </c>
      <c r="X45" s="379">
        <f t="shared" si="7"/>
        <v>0</v>
      </c>
      <c r="Y45" s="379">
        <f t="shared" si="8"/>
        <v>0</v>
      </c>
      <c r="Z45" s="379">
        <f t="shared" si="9"/>
        <v>0</v>
      </c>
      <c r="AA45" s="380">
        <f t="shared" si="10"/>
        <v>0.3333333333</v>
      </c>
      <c r="AB45" s="370">
        <f>SUMIFS('Все игры'!D$3:D1000,'Все игры'!A$3:A1000,A45)</f>
        <v>26</v>
      </c>
      <c r="AC45" s="370">
        <f>SUMIFS('Все игры'!D$3:D1000,'Все игры'!A$3:A1000,A45,'Все игры'!B$3:B1000,"Мафия")</f>
        <v>2.25</v>
      </c>
      <c r="AD45" s="381">
        <f>SUMIFS('Все игры'!D$3:D1000,'Все игры'!A$3:A1000,A45,'Все игры'!B$3:B1000,"Шериф")</f>
        <v>0</v>
      </c>
      <c r="AE45" s="370">
        <f>SUMIFS('Все игры'!D$3:D1000,'Все игры'!A$3:A1000,A45,'Все игры'!B$3:B1000,"Дон")</f>
        <v>0</v>
      </c>
      <c r="AF45" s="371">
        <f>SUMIFS('Все игры'!D$3:D1000,'Все игры'!A$3:A1000,A45,'Все игры'!B$3:B1000,"Мирный")</f>
        <v>23.75</v>
      </c>
      <c r="AG45" s="370">
        <f t="shared" si="11"/>
        <v>2.6</v>
      </c>
      <c r="AH45" s="370">
        <f t="shared" si="12"/>
        <v>2.25</v>
      </c>
      <c r="AI45" s="370">
        <f t="shared" si="13"/>
        <v>0</v>
      </c>
      <c r="AJ45" s="370">
        <f t="shared" si="14"/>
        <v>0</v>
      </c>
      <c r="AK45" s="370">
        <f t="shared" si="15"/>
        <v>2.638888889</v>
      </c>
      <c r="AL45" s="356"/>
      <c r="AM45" s="356"/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/>
      <c r="BB45" s="356"/>
      <c r="BC45" s="356"/>
      <c r="BD45" s="356"/>
      <c r="BE45" s="356"/>
      <c r="BF45" s="356"/>
      <c r="BG45" s="356"/>
      <c r="BH45" s="356"/>
      <c r="BI45" s="356"/>
      <c r="BJ45" s="356"/>
      <c r="BK45" s="356"/>
      <c r="BL45" s="356"/>
      <c r="BM45" s="356"/>
    </row>
    <row r="46">
      <c r="A46" s="368" t="s">
        <v>120</v>
      </c>
      <c r="B46" s="355">
        <f t="shared" si="1"/>
        <v>0</v>
      </c>
      <c r="C46" s="356">
        <f>'Турнирная таблица по Алфавиту'!E48</f>
        <v>0</v>
      </c>
      <c r="D46" s="357" t="str">
        <f>'Турнирная таблица по Алфавиту'!F48</f>
        <v/>
      </c>
      <c r="E46" s="358">
        <f>COUNTIFS('Все игры'!A$3:A1000,A46,'Все игры'!F$3:F1000,"=1")</f>
        <v>0</v>
      </c>
      <c r="F46" s="358">
        <f>COUNTIFS('Все игры'!A$3:A1000,A46,'Все игры'!F$3:F1000,"=0,50")</f>
        <v>0</v>
      </c>
      <c r="G46" s="358">
        <f>COUNTIFS('Все игры'!A$3:A1000,A46,'Все игры'!G$3:G1000,"&gt;0")</f>
        <v>0</v>
      </c>
      <c r="H46" s="359">
        <f t="shared" si="2"/>
        <v>0</v>
      </c>
      <c r="I46" s="360">
        <f>COUNTIFS('Все игры'!A$3:A1000,A46,'Все игры'!E$3:E1000,"У/Победа")</f>
        <v>0</v>
      </c>
      <c r="J46" s="360">
        <f>COUNTIFS('Все игры'!A$3:A1000,A46,'Все игры'!E$3:E1000,"У/Проигрыш")</f>
        <v>0</v>
      </c>
      <c r="K46" s="361">
        <f t="shared" si="3"/>
        <v>0</v>
      </c>
      <c r="L46" s="355">
        <f t="shared" si="4"/>
        <v>0</v>
      </c>
      <c r="M46" s="355">
        <f>COUNTIFS('Все игры'!A$3:A1000,A46,'Все игры'!C$3:C1000,"&gt;0",'Все игры'!B$3:B1000,"Мафия")</f>
        <v>0</v>
      </c>
      <c r="N46" s="355">
        <f>IFERROR(__xludf.DUMMYFUNCTION("COUNTBLANK(FILTER('Все игры'!A$3:C1000,'Все игры'!A$3:A1000=A46,'Все игры'!C$3:C1000 &lt; 1,'Все игры'!B$3:B1000=""Мафия""))"),0.0)</f>
        <v>0</v>
      </c>
      <c r="O46" s="355">
        <f>COUNTIFS('Все игры'!A$3:A1000,A46,'Все игры'!C$3:C1000,"&gt;0",'Все игры'!B$3:B1000,"Шериф")</f>
        <v>0</v>
      </c>
      <c r="P46" s="362">
        <f>IFERROR(__xludf.DUMMYFUNCTION("COUNTBLANK(FILTER('Все игры'!A$3:C1000,'Все игры'!A$3:A1000=A46,'Все игры'!C$3:C1000 &lt; 1,'Все игры'!B$3:B1000=""Шериф""))"),0.0)</f>
        <v>0</v>
      </c>
      <c r="Q46" s="355">
        <f>COUNTIFS('Все игры'!A$3:A1000,A46,'Все игры'!C$3:C1000,"&gt;0",'Все игры'!B$3:B1000,"Дон")</f>
        <v>0</v>
      </c>
      <c r="R46" s="355">
        <f>IFERROR(__xludf.DUMMYFUNCTION("COUNTBLANK(FILTER('Все игры'!A$3:C1000,'Все игры'!A$3:A1000=A46,'Все игры'!C$3:C1000 &lt; 1,'Все игры'!B$3:B1000=""Дон""))"),0.0)</f>
        <v>0</v>
      </c>
      <c r="S46" s="355">
        <f>COUNTIFS('Все игры'!A$3:A1000,A46,'Все игры'!C$3:C1000,"&gt;0",'Все игры'!B$3:B1000,"Мирный")</f>
        <v>0</v>
      </c>
      <c r="T46" s="363">
        <f>IFERROR(__xludf.DUMMYFUNCTION("COUNTBLANK(FILTER('Все игры'!A$3:C1000,'Все игры'!A$3:A1000=A46,'Все игры'!C$3:C1000 &lt; 1,'Все игры'!B$3:B1000=""Мирный""))"),0.0)</f>
        <v>0</v>
      </c>
      <c r="U46" s="364">
        <f t="shared" si="16"/>
        <v>0</v>
      </c>
      <c r="V46" s="365">
        <f t="shared" si="5"/>
        <v>0</v>
      </c>
      <c r="W46" s="365">
        <f t="shared" si="6"/>
        <v>0</v>
      </c>
      <c r="X46" s="365">
        <f t="shared" si="7"/>
        <v>0</v>
      </c>
      <c r="Y46" s="365">
        <f t="shared" si="8"/>
        <v>0</v>
      </c>
      <c r="Z46" s="365">
        <f t="shared" si="9"/>
        <v>0</v>
      </c>
      <c r="AA46" s="366">
        <f t="shared" si="10"/>
        <v>0</v>
      </c>
      <c r="AB46" s="356">
        <f>SUMIFS('Все игры'!D$3:D1000,'Все игры'!A$3:A1000,A46)</f>
        <v>0</v>
      </c>
      <c r="AC46" s="356">
        <f>SUMIFS('Все игры'!D$3:D1000,'Все игры'!A$3:A1000,A46,'Все игры'!B$3:B1000,"Мафия")</f>
        <v>0</v>
      </c>
      <c r="AD46" s="367">
        <f>SUMIFS('Все игры'!D$3:D1000,'Все игры'!A$3:A1000,A46,'Все игры'!B$3:B1000,"Шериф")</f>
        <v>0</v>
      </c>
      <c r="AE46" s="356">
        <f>SUMIFS('Все игры'!D$3:D1000,'Все игры'!A$3:A1000,A46,'Все игры'!B$3:B1000,"Дон")</f>
        <v>0</v>
      </c>
      <c r="AF46" s="357">
        <f>SUMIFS('Все игры'!D$3:D1000,'Все игры'!A$3:A1000,A46,'Все игры'!B$3:B1000,"Мирный")</f>
        <v>0</v>
      </c>
      <c r="AG46" s="356">
        <f t="shared" si="11"/>
        <v>0</v>
      </c>
      <c r="AH46" s="356">
        <f t="shared" si="12"/>
        <v>0</v>
      </c>
      <c r="AI46" s="356">
        <f t="shared" si="13"/>
        <v>0</v>
      </c>
      <c r="AJ46" s="356">
        <f t="shared" si="14"/>
        <v>0</v>
      </c>
      <c r="AK46" s="356">
        <f t="shared" si="15"/>
        <v>0</v>
      </c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/>
      <c r="BM46" s="356"/>
    </row>
    <row r="47">
      <c r="A47" s="368" t="s">
        <v>121</v>
      </c>
      <c r="B47" s="369">
        <f t="shared" si="1"/>
        <v>0</v>
      </c>
      <c r="C47" s="370">
        <f>'Турнирная таблица по Алфавиту'!E49</f>
        <v>0</v>
      </c>
      <c r="D47" s="371" t="str">
        <f>'Турнирная таблица по Алфавиту'!F49</f>
        <v/>
      </c>
      <c r="E47" s="372">
        <f>COUNTIFS('Все игры'!A$3:A1000,A47,'Все игры'!F$3:F1000,"=1")</f>
        <v>0</v>
      </c>
      <c r="F47" s="372">
        <f>COUNTIFS('Все игры'!A$3:A1000,A47,'Все игры'!F$3:F1000,"=0,50")</f>
        <v>0</v>
      </c>
      <c r="G47" s="372">
        <f>COUNTIFS('Все игры'!A$3:A1000,A47,'Все игры'!G$3:G1000,"&gt;0")</f>
        <v>0</v>
      </c>
      <c r="H47" s="373">
        <f t="shared" si="2"/>
        <v>0</v>
      </c>
      <c r="I47" s="374">
        <f>COUNTIFS('Все игры'!A$3:A1000,A47,'Все игры'!E$3:E1000,"У/Победа")</f>
        <v>0</v>
      </c>
      <c r="J47" s="374">
        <f>COUNTIFS('Все игры'!A$3:A1000,A47,'Все игры'!E$3:E1000,"У/Проигрыш")</f>
        <v>0</v>
      </c>
      <c r="K47" s="375">
        <f t="shared" si="3"/>
        <v>0</v>
      </c>
      <c r="L47" s="369">
        <f t="shared" si="4"/>
        <v>0</v>
      </c>
      <c r="M47" s="369">
        <f>COUNTIFS('Все игры'!A$3:A1000,A47,'Все игры'!C$3:C1000,"&gt;0",'Все игры'!B$3:B1000,"Мафия")</f>
        <v>0</v>
      </c>
      <c r="N47" s="369">
        <f>IFERROR(__xludf.DUMMYFUNCTION("COUNTBLANK(FILTER('Все игры'!A$3:C1000,'Все игры'!A$3:A1000=A47,'Все игры'!C$3:C1000 &lt; 1,'Все игры'!B$3:B1000=""Мафия""))"),0.0)</f>
        <v>0</v>
      </c>
      <c r="O47" s="369">
        <f>COUNTIFS('Все игры'!A$3:A1000,A47,'Все игры'!C$3:C1000,"&gt;0",'Все игры'!B$3:B1000,"Шериф")</f>
        <v>0</v>
      </c>
      <c r="P47" s="376">
        <f>IFERROR(__xludf.DUMMYFUNCTION("COUNTBLANK(FILTER('Все игры'!A$3:C1000,'Все игры'!A$3:A1000=A47,'Все игры'!C$3:C1000 &lt; 1,'Все игры'!B$3:B1000=""Шериф""))"),0.0)</f>
        <v>0</v>
      </c>
      <c r="Q47" s="369">
        <f>COUNTIFS('Все игры'!A$3:A1000,A47,'Все игры'!C$3:C1000,"&gt;0",'Все игры'!B$3:B1000,"Дон")</f>
        <v>0</v>
      </c>
      <c r="R47" s="369">
        <f>IFERROR(__xludf.DUMMYFUNCTION("COUNTBLANK(FILTER('Все игры'!A$3:C1000,'Все игры'!A$3:A1000=A47,'Все игры'!C$3:C1000 &lt; 1,'Все игры'!B$3:B1000=""Дон""))"),0.0)</f>
        <v>0</v>
      </c>
      <c r="S47" s="369">
        <f>COUNTIFS('Все игры'!A$3:A1000,A47,'Все игры'!C$3:C1000,"&gt;0",'Все игры'!B$3:B1000,"Мирный")</f>
        <v>0</v>
      </c>
      <c r="T47" s="377">
        <f>IFERROR(__xludf.DUMMYFUNCTION("COUNTBLANK(FILTER('Все игры'!A$3:C1000,'Все игры'!A$3:A1000=A47,'Все игры'!C$3:C1000 &lt; 1,'Все игры'!B$3:B1000=""Мирный""))"),0.0)</f>
        <v>0</v>
      </c>
      <c r="U47" s="378">
        <f t="shared" si="16"/>
        <v>0</v>
      </c>
      <c r="V47" s="379">
        <f t="shared" si="5"/>
        <v>0</v>
      </c>
      <c r="W47" s="379">
        <f t="shared" si="6"/>
        <v>0</v>
      </c>
      <c r="X47" s="379">
        <f t="shared" si="7"/>
        <v>0</v>
      </c>
      <c r="Y47" s="379">
        <f t="shared" si="8"/>
        <v>0</v>
      </c>
      <c r="Z47" s="379">
        <f t="shared" si="9"/>
        <v>0</v>
      </c>
      <c r="AA47" s="380">
        <f t="shared" si="10"/>
        <v>0</v>
      </c>
      <c r="AB47" s="370">
        <f>SUMIFS('Все игры'!D$3:D1000,'Все игры'!A$3:A1000,A47)</f>
        <v>0</v>
      </c>
      <c r="AC47" s="370">
        <f>SUMIFS('Все игры'!D$3:D1000,'Все игры'!A$3:A1000,A47,'Все игры'!B$3:B1000,"Мафия")</f>
        <v>0</v>
      </c>
      <c r="AD47" s="381">
        <f>SUMIFS('Все игры'!D$3:D1000,'Все игры'!A$3:A1000,A47,'Все игры'!B$3:B1000,"Шериф")</f>
        <v>0</v>
      </c>
      <c r="AE47" s="370">
        <f>SUMIFS('Все игры'!D$3:D1000,'Все игры'!A$3:A1000,A47,'Все игры'!B$3:B1000,"Дон")</f>
        <v>0</v>
      </c>
      <c r="AF47" s="371">
        <f>SUMIFS('Все игры'!D$3:D1000,'Все игры'!A$3:A1000,A47,'Все игры'!B$3:B1000,"Мирный")</f>
        <v>0</v>
      </c>
      <c r="AG47" s="370">
        <f t="shared" si="11"/>
        <v>0</v>
      </c>
      <c r="AH47" s="370">
        <f t="shared" si="12"/>
        <v>0</v>
      </c>
      <c r="AI47" s="370">
        <f t="shared" si="13"/>
        <v>0</v>
      </c>
      <c r="AJ47" s="370">
        <f t="shared" si="14"/>
        <v>0</v>
      </c>
      <c r="AK47" s="370">
        <f t="shared" si="15"/>
        <v>0</v>
      </c>
      <c r="AL47" s="356"/>
      <c r="AM47" s="356"/>
      <c r="AN47" s="356"/>
      <c r="AO47" s="356"/>
      <c r="AP47" s="356"/>
      <c r="AQ47" s="356"/>
      <c r="AR47" s="356"/>
      <c r="AS47" s="356"/>
      <c r="AT47" s="356"/>
      <c r="AU47" s="356"/>
      <c r="AV47" s="356"/>
      <c r="AW47" s="356"/>
      <c r="AX47" s="356"/>
      <c r="AY47" s="356"/>
      <c r="AZ47" s="356"/>
      <c r="BA47" s="356"/>
      <c r="BB47" s="356"/>
      <c r="BC47" s="356"/>
      <c r="BD47" s="356"/>
      <c r="BE47" s="356"/>
      <c r="BF47" s="356"/>
      <c r="BG47" s="356"/>
      <c r="BH47" s="356"/>
      <c r="BI47" s="356"/>
      <c r="BJ47" s="356"/>
      <c r="BK47" s="356"/>
      <c r="BL47" s="356"/>
      <c r="BM47" s="356"/>
    </row>
    <row r="48">
      <c r="A48" s="368" t="s">
        <v>122</v>
      </c>
      <c r="B48" s="355">
        <f t="shared" si="1"/>
        <v>5</v>
      </c>
      <c r="C48" s="356">
        <f>'Турнирная таблица по Алфавиту'!E50</f>
        <v>20.75</v>
      </c>
      <c r="D48" s="357">
        <f>'Турнирная таблица по Алфавиту'!F50</f>
        <v>20.75</v>
      </c>
      <c r="E48" s="358">
        <f>COUNTIFS('Все игры'!A$3:A1000,A48,'Все игры'!F$3:F1000,"=1")</f>
        <v>0</v>
      </c>
      <c r="F48" s="358">
        <f>COUNTIFS('Все игры'!A$3:A1000,A48,'Все игры'!F$3:F1000,"=0,50")</f>
        <v>0</v>
      </c>
      <c r="G48" s="358">
        <f>COUNTIFS('Все игры'!A$3:A1000,A48,'Все игры'!G$3:G1000,"&gt;0")</f>
        <v>1</v>
      </c>
      <c r="H48" s="359">
        <f t="shared" si="2"/>
        <v>0.2</v>
      </c>
      <c r="I48" s="360">
        <f>COUNTIFS('Все игры'!A$3:A1000,A48,'Все игры'!E$3:E1000,"У/Победа")</f>
        <v>0</v>
      </c>
      <c r="J48" s="360">
        <f>COUNTIFS('Все игры'!A$3:A1000,A48,'Все игры'!E$3:E1000,"У/Проигрыш")</f>
        <v>0</v>
      </c>
      <c r="K48" s="361">
        <f t="shared" si="3"/>
        <v>5</v>
      </c>
      <c r="L48" s="355">
        <f t="shared" si="4"/>
        <v>0</v>
      </c>
      <c r="M48" s="355">
        <f>COUNTIFS('Все игры'!A$3:A1000,A48,'Все игры'!C$3:C1000,"&gt;0",'Все игры'!B$3:B1000,"Мафия")</f>
        <v>0</v>
      </c>
      <c r="N48" s="355">
        <f>IFERROR(__xludf.DUMMYFUNCTION("COUNTBLANK(FILTER('Все игры'!A$3:C1000,'Все игры'!A$3:A1000=A48,'Все игры'!C$3:C1000 &lt; 1,'Все игры'!B$3:B1000=""Мафия""))"),0.0)</f>
        <v>0</v>
      </c>
      <c r="O48" s="355">
        <f>COUNTIFS('Все игры'!A$3:A1000,A48,'Все игры'!C$3:C1000,"&gt;0",'Все игры'!B$3:B1000,"Шериф")</f>
        <v>0</v>
      </c>
      <c r="P48" s="362">
        <f>IFERROR(__xludf.DUMMYFUNCTION("COUNTBLANK(FILTER('Все игры'!A$3:C1000,'Все игры'!A$3:A1000=A48,'Все игры'!C$3:C1000 &lt; 1,'Все игры'!B$3:B1000=""Шериф""))"),0.0)</f>
        <v>0</v>
      </c>
      <c r="Q48" s="355">
        <f>COUNTIFS('Все игры'!A$3:A1000,A48,'Все игры'!C$3:C1000,"&gt;0",'Все игры'!B$3:B1000,"Дон")</f>
        <v>0</v>
      </c>
      <c r="R48" s="355">
        <f>IFERROR(__xludf.DUMMYFUNCTION("COUNTBLANK(FILTER('Все игры'!A$3:C1000,'Все игры'!A$3:A1000=A48,'Все игры'!C$3:C1000 &lt; 1,'Все игры'!B$3:B1000=""Дон""))"),0.0)</f>
        <v>0</v>
      </c>
      <c r="S48" s="355">
        <f>COUNTIFS('Все игры'!A$3:A1000,A48,'Все игры'!C$3:C1000,"&gt;0",'Все игры'!B$3:B1000,"Мирный")</f>
        <v>3</v>
      </c>
      <c r="T48" s="363">
        <f>IFERROR(__xludf.DUMMYFUNCTION("COUNTBLANK(FILTER('Все игры'!A$3:C1000,'Все игры'!A$3:A1000=A48,'Все игры'!C$3:C1000 &lt; 1,'Все игры'!B$3:B1000=""Мирный""))"),2.0)</f>
        <v>2</v>
      </c>
      <c r="U48" s="364">
        <f t="shared" si="16"/>
        <v>0.6</v>
      </c>
      <c r="V48" s="365">
        <f t="shared" si="5"/>
        <v>0.6</v>
      </c>
      <c r="W48" s="365">
        <f t="shared" si="6"/>
        <v>0</v>
      </c>
      <c r="X48" s="365">
        <f t="shared" si="7"/>
        <v>0</v>
      </c>
      <c r="Y48" s="365">
        <f t="shared" si="8"/>
        <v>0</v>
      </c>
      <c r="Z48" s="365">
        <f t="shared" si="9"/>
        <v>0</v>
      </c>
      <c r="AA48" s="366">
        <f t="shared" si="10"/>
        <v>0.6</v>
      </c>
      <c r="AB48" s="356">
        <f>SUMIFS('Все игры'!D$3:D1000,'Все игры'!A$3:A1000,A48)</f>
        <v>12.75</v>
      </c>
      <c r="AC48" s="356">
        <f>SUMIFS('Все игры'!D$3:D1000,'Все игры'!A$3:A1000,A48,'Все игры'!B$3:B1000,"Мафия")</f>
        <v>0</v>
      </c>
      <c r="AD48" s="367">
        <f>SUMIFS('Все игры'!D$3:D1000,'Все игры'!A$3:A1000,A48,'Все игры'!B$3:B1000,"Шериф")</f>
        <v>0</v>
      </c>
      <c r="AE48" s="356">
        <f>SUMIFS('Все игры'!D$3:D1000,'Все игры'!A$3:A1000,A48,'Все игры'!B$3:B1000,"Дон")</f>
        <v>0</v>
      </c>
      <c r="AF48" s="357">
        <f>SUMIFS('Все игры'!D$3:D1000,'Все игры'!A$3:A1000,A48,'Все игры'!B$3:B1000,"Мирный")</f>
        <v>12.75</v>
      </c>
      <c r="AG48" s="356">
        <f t="shared" si="11"/>
        <v>2.55</v>
      </c>
      <c r="AH48" s="356">
        <f t="shared" si="12"/>
        <v>0</v>
      </c>
      <c r="AI48" s="356">
        <f t="shared" si="13"/>
        <v>0</v>
      </c>
      <c r="AJ48" s="356">
        <f t="shared" si="14"/>
        <v>0</v>
      </c>
      <c r="AK48" s="356">
        <f t="shared" si="15"/>
        <v>2.55</v>
      </c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/>
      <c r="BB48" s="356"/>
      <c r="BC48" s="356"/>
      <c r="BD48" s="356"/>
      <c r="BE48" s="356"/>
      <c r="BF48" s="356"/>
      <c r="BG48" s="356"/>
      <c r="BH48" s="356"/>
      <c r="BI48" s="356"/>
      <c r="BJ48" s="356"/>
      <c r="BK48" s="356"/>
      <c r="BL48" s="356"/>
      <c r="BM48" s="356"/>
    </row>
    <row r="49">
      <c r="A49" s="382" t="s">
        <v>123</v>
      </c>
      <c r="B49" s="369">
        <f t="shared" si="1"/>
        <v>10</v>
      </c>
      <c r="C49" s="370">
        <f>'Турнирная таблица по Алфавиту'!E51</f>
        <v>49.25</v>
      </c>
      <c r="D49" s="371">
        <f>'Турнирная таблица по Алфавиту'!F51</f>
        <v>24.625</v>
      </c>
      <c r="E49" s="372">
        <f>COUNTIFS('Все игры'!A$3:A1000,A49,'Все игры'!F$3:F1000,"=1")</f>
        <v>0</v>
      </c>
      <c r="F49" s="372">
        <f>COUNTIFS('Все игры'!A$3:A1000,A49,'Все игры'!F$3:F1000,"=0,50")</f>
        <v>0</v>
      </c>
      <c r="G49" s="372">
        <f>COUNTIFS('Все игры'!A$3:A1000,A49,'Все игры'!G$3:G1000,"&gt;0")</f>
        <v>1</v>
      </c>
      <c r="H49" s="373">
        <f t="shared" si="2"/>
        <v>0.2</v>
      </c>
      <c r="I49" s="374">
        <f>COUNTIFS('Все игры'!A$3:A1000,A49,'Все игры'!E$3:E1000,"У/Победа")</f>
        <v>1</v>
      </c>
      <c r="J49" s="374">
        <f>COUNTIFS('Все игры'!A$3:A1000,A49,'Все игры'!E$3:E1000,"У/Проигрыш")</f>
        <v>0</v>
      </c>
      <c r="K49" s="375">
        <f t="shared" si="3"/>
        <v>5</v>
      </c>
      <c r="L49" s="369">
        <f t="shared" si="4"/>
        <v>5</v>
      </c>
      <c r="M49" s="369">
        <f>COUNTIFS('Все игры'!A$3:A1000,A49,'Все игры'!C$3:C1000,"&gt;0",'Все игры'!B$3:B1000,"Мафия")</f>
        <v>2</v>
      </c>
      <c r="N49" s="369">
        <f>IFERROR(__xludf.DUMMYFUNCTION("COUNTBLANK(FILTER('Все игры'!A$3:C1000,'Все игры'!A$3:A1000=A49,'Все игры'!C$3:C1000 &lt; 1,'Все игры'!B$3:B1000=""Мафия""))"),1.0)</f>
        <v>1</v>
      </c>
      <c r="O49" s="369">
        <f>COUNTIFS('Все игры'!A$3:A1000,A49,'Все игры'!C$3:C1000,"&gt;0",'Все игры'!B$3:B1000,"Шериф")</f>
        <v>1</v>
      </c>
      <c r="P49" s="376">
        <f>IFERROR(__xludf.DUMMYFUNCTION("COUNTBLANK(FILTER('Все игры'!A$3:C1000,'Все игры'!A$3:A1000=A49,'Все игры'!C$3:C1000 &lt; 1,'Все игры'!B$3:B1000=""Шериф""))"),0.0)</f>
        <v>0</v>
      </c>
      <c r="Q49" s="369">
        <f>COUNTIFS('Все игры'!A$3:A1000,A49,'Все игры'!C$3:C1000,"&gt;0",'Все игры'!B$3:B1000,"Дон")</f>
        <v>2</v>
      </c>
      <c r="R49" s="369">
        <f>IFERROR(__xludf.DUMMYFUNCTION("COUNTBLANK(FILTER('Все игры'!A$3:C1000,'Все игры'!A$3:A1000=A49,'Все игры'!C$3:C1000 &lt; 1,'Все игры'!B$3:B1000=""Дон""))"),0.0)</f>
        <v>0</v>
      </c>
      <c r="S49" s="369">
        <f>COUNTIFS('Все игры'!A$3:A1000,A49,'Все игры'!C$3:C1000,"&gt;0",'Все игры'!B$3:B1000,"Мирный")</f>
        <v>2</v>
      </c>
      <c r="T49" s="377">
        <f>IFERROR(__xludf.DUMMYFUNCTION("COUNTBLANK(FILTER('Все игры'!A$3:C1000,'Все игры'!A$3:A1000=A49,'Все игры'!C$3:C1000 &lt; 1,'Все игры'!B$3:B1000=""Мирный""))"),2.0)</f>
        <v>2</v>
      </c>
      <c r="U49" s="378">
        <f t="shared" si="16"/>
        <v>0.7</v>
      </c>
      <c r="V49" s="379">
        <f t="shared" si="5"/>
        <v>0.6</v>
      </c>
      <c r="W49" s="379">
        <f t="shared" si="6"/>
        <v>0.8</v>
      </c>
      <c r="X49" s="379">
        <f t="shared" si="7"/>
        <v>0.6666666667</v>
      </c>
      <c r="Y49" s="379">
        <f t="shared" si="8"/>
        <v>1</v>
      </c>
      <c r="Z49" s="379">
        <f t="shared" si="9"/>
        <v>1</v>
      </c>
      <c r="AA49" s="380">
        <f t="shared" si="10"/>
        <v>0.5</v>
      </c>
      <c r="AB49" s="370">
        <f>SUMIFS('Все игры'!D$3:D1000,'Все игры'!A$3:A1000,A49)</f>
        <v>31.25</v>
      </c>
      <c r="AC49" s="370">
        <f>SUMIFS('Все игры'!D$3:D1000,'Все игры'!A$3:A1000,A49,'Все игры'!B$3:B1000,"Мафия")</f>
        <v>9.75</v>
      </c>
      <c r="AD49" s="381">
        <f>SUMIFS('Все игры'!D$3:D1000,'Все игры'!A$3:A1000,A49,'Все игры'!B$3:B1000,"Шериф")</f>
        <v>2.5</v>
      </c>
      <c r="AE49" s="370">
        <f>SUMIFS('Все игры'!D$3:D1000,'Все игры'!A$3:A1000,A49,'Все игры'!B$3:B1000,"Дон")</f>
        <v>7</v>
      </c>
      <c r="AF49" s="371">
        <f>SUMIFS('Все игры'!D$3:D1000,'Все игры'!A$3:A1000,A49,'Все игры'!B$3:B1000,"Мирный")</f>
        <v>12</v>
      </c>
      <c r="AG49" s="370">
        <f t="shared" si="11"/>
        <v>3.125</v>
      </c>
      <c r="AH49" s="370">
        <f t="shared" si="12"/>
        <v>3.25</v>
      </c>
      <c r="AI49" s="370">
        <f t="shared" si="13"/>
        <v>2.5</v>
      </c>
      <c r="AJ49" s="370">
        <f t="shared" si="14"/>
        <v>3.5</v>
      </c>
      <c r="AK49" s="370">
        <f t="shared" si="15"/>
        <v>3</v>
      </c>
      <c r="AL49" s="356"/>
      <c r="AM49" s="356"/>
      <c r="AN49" s="356"/>
      <c r="AO49" s="356"/>
      <c r="AP49" s="356"/>
      <c r="AQ49" s="356"/>
      <c r="AR49" s="356"/>
      <c r="AS49" s="356"/>
      <c r="AT49" s="356"/>
      <c r="AU49" s="356"/>
      <c r="AV49" s="356"/>
      <c r="AW49" s="356"/>
      <c r="AX49" s="356"/>
      <c r="AY49" s="356"/>
      <c r="AZ49" s="356"/>
      <c r="BA49" s="356"/>
      <c r="BB49" s="356"/>
      <c r="BC49" s="356"/>
      <c r="BD49" s="356"/>
      <c r="BE49" s="356"/>
      <c r="BF49" s="356"/>
      <c r="BG49" s="356"/>
      <c r="BH49" s="356"/>
      <c r="BI49" s="356"/>
      <c r="BJ49" s="356"/>
      <c r="BK49" s="356"/>
      <c r="BL49" s="356"/>
      <c r="BM49" s="356"/>
    </row>
    <row r="50">
      <c r="A50" s="368" t="s">
        <v>124</v>
      </c>
      <c r="B50" s="355">
        <f t="shared" si="1"/>
        <v>10</v>
      </c>
      <c r="C50" s="356">
        <f>'Турнирная таблица по Алфавиту'!E52</f>
        <v>46.25</v>
      </c>
      <c r="D50" s="357">
        <f>'Турнирная таблица по Алфавиту'!F52</f>
        <v>23.125</v>
      </c>
      <c r="E50" s="358">
        <f>COUNTIFS('Все игры'!A$3:A1000,A50,'Все игры'!F$3:F1000,"=1")</f>
        <v>0</v>
      </c>
      <c r="F50" s="358">
        <f>COUNTIFS('Все игры'!A$3:A1000,A50,'Все игры'!F$3:F1000,"=0,50")</f>
        <v>0</v>
      </c>
      <c r="G50" s="358">
        <f>COUNTIFS('Все игры'!A$3:A1000,A50,'Все игры'!G$3:G1000,"&gt;0")</f>
        <v>0</v>
      </c>
      <c r="H50" s="359">
        <f t="shared" si="2"/>
        <v>0</v>
      </c>
      <c r="I50" s="360">
        <f>COUNTIFS('Все игры'!A$3:A1000,A50,'Все игры'!E$3:E1000,"У/Победа")</f>
        <v>0</v>
      </c>
      <c r="J50" s="360">
        <f>COUNTIFS('Все игры'!A$3:A1000,A50,'Все игры'!E$3:E1000,"У/Проигрыш")</f>
        <v>1</v>
      </c>
      <c r="K50" s="361">
        <f t="shared" si="3"/>
        <v>7</v>
      </c>
      <c r="L50" s="355">
        <f t="shared" si="4"/>
        <v>3</v>
      </c>
      <c r="M50" s="355">
        <f>COUNTIFS('Все игры'!A$3:A1000,A50,'Все игры'!C$3:C1000,"&gt;0",'Все игры'!B$3:B1000,"Мафия")</f>
        <v>1</v>
      </c>
      <c r="N50" s="355">
        <f>IFERROR(__xludf.DUMMYFUNCTION("COUNTBLANK(FILTER('Все игры'!A$3:C1000,'Все игры'!A$3:A1000=A50,'Все игры'!C$3:C1000 &lt; 1,'Все игры'!B$3:B1000=""Мафия""))"),0.0)</f>
        <v>0</v>
      </c>
      <c r="O50" s="355">
        <f>COUNTIFS('Все игры'!A$3:A1000,A50,'Все игры'!C$3:C1000,"&gt;0",'Все игры'!B$3:B1000,"Шериф")</f>
        <v>1</v>
      </c>
      <c r="P50" s="362">
        <f>IFERROR(__xludf.DUMMYFUNCTION("COUNTBLANK(FILTER('Все игры'!A$3:C1000,'Все игры'!A$3:A1000=A50,'Все игры'!C$3:C1000 &lt; 1,'Все игры'!B$3:B1000=""Шериф""))"),0.0)</f>
        <v>0</v>
      </c>
      <c r="Q50" s="355">
        <f>COUNTIFS('Все игры'!A$3:A1000,A50,'Все игры'!C$3:C1000,"&gt;0",'Все игры'!B$3:B1000,"Дон")</f>
        <v>2</v>
      </c>
      <c r="R50" s="355">
        <f>IFERROR(__xludf.DUMMYFUNCTION("COUNTBLANK(FILTER('Все игры'!A$3:C1000,'Все игры'!A$3:A1000=A50,'Все игры'!C$3:C1000 &lt; 1,'Все игры'!B$3:B1000=""Дон""))"),0.0)</f>
        <v>0</v>
      </c>
      <c r="S50" s="355">
        <f>COUNTIFS('Все игры'!A$3:A1000,A50,'Все игры'!C$3:C1000,"&gt;0",'Все игры'!B$3:B1000,"Мирный")</f>
        <v>3</v>
      </c>
      <c r="T50" s="363">
        <f>IFERROR(__xludf.DUMMYFUNCTION("COUNTBLANK(FILTER('Все игры'!A$3:C1000,'Все игры'!A$3:A1000=A50,'Все игры'!C$3:C1000 &lt; 1,'Все игры'!B$3:B1000=""Мирный""))"),3.0)</f>
        <v>3</v>
      </c>
      <c r="U50" s="364">
        <f t="shared" si="16"/>
        <v>0.7</v>
      </c>
      <c r="V50" s="365">
        <f t="shared" si="5"/>
        <v>0.5714285714</v>
      </c>
      <c r="W50" s="365">
        <f t="shared" si="6"/>
        <v>1</v>
      </c>
      <c r="X50" s="365">
        <f t="shared" si="7"/>
        <v>1</v>
      </c>
      <c r="Y50" s="365">
        <f t="shared" si="8"/>
        <v>1</v>
      </c>
      <c r="Z50" s="365">
        <f t="shared" si="9"/>
        <v>1</v>
      </c>
      <c r="AA50" s="366">
        <f t="shared" si="10"/>
        <v>0.5</v>
      </c>
      <c r="AB50" s="356">
        <f>SUMIFS('Все игры'!D$3:D1000,'Все игры'!A$3:A1000,A50)</f>
        <v>28.75</v>
      </c>
      <c r="AC50" s="356">
        <f>SUMIFS('Все игры'!D$3:D1000,'Все игры'!A$3:A1000,A50,'Все игры'!B$3:B1000,"Мафия")</f>
        <v>3.75</v>
      </c>
      <c r="AD50" s="367">
        <f>SUMIFS('Все игры'!D$3:D1000,'Все игры'!A$3:A1000,A50,'Все игры'!B$3:B1000,"Шериф")</f>
        <v>3.75</v>
      </c>
      <c r="AE50" s="356">
        <f>SUMIFS('Все игры'!D$3:D1000,'Все игры'!A$3:A1000,A50,'Все игры'!B$3:B1000,"Дон")</f>
        <v>7.75</v>
      </c>
      <c r="AF50" s="357">
        <f>SUMIFS('Все игры'!D$3:D1000,'Все игры'!A$3:A1000,A50,'Все игры'!B$3:B1000,"Мирный")</f>
        <v>13.5</v>
      </c>
      <c r="AG50" s="356">
        <f t="shared" si="11"/>
        <v>2.875</v>
      </c>
      <c r="AH50" s="356">
        <f t="shared" si="12"/>
        <v>3.75</v>
      </c>
      <c r="AI50" s="356">
        <f t="shared" si="13"/>
        <v>3.75</v>
      </c>
      <c r="AJ50" s="356">
        <f t="shared" si="14"/>
        <v>3.875</v>
      </c>
      <c r="AK50" s="356">
        <f t="shared" si="15"/>
        <v>2.25</v>
      </c>
      <c r="AL50" s="356"/>
      <c r="AM50" s="356"/>
      <c r="AN50" s="356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56"/>
      <c r="AZ50" s="356"/>
      <c r="BA50" s="356"/>
      <c r="BB50" s="356"/>
      <c r="BC50" s="356"/>
      <c r="BD50" s="356"/>
      <c r="BE50" s="356"/>
      <c r="BF50" s="356"/>
      <c r="BG50" s="356"/>
      <c r="BH50" s="356"/>
      <c r="BI50" s="356"/>
      <c r="BJ50" s="356"/>
      <c r="BK50" s="356"/>
      <c r="BL50" s="356"/>
      <c r="BM50" s="356"/>
    </row>
    <row r="51">
      <c r="A51" s="368" t="s">
        <v>125</v>
      </c>
      <c r="B51" s="369">
        <f t="shared" si="1"/>
        <v>0</v>
      </c>
      <c r="C51" s="370">
        <f>'Турнирная таблица по Алфавиту'!E53</f>
        <v>0</v>
      </c>
      <c r="D51" s="371" t="str">
        <f>'Турнирная таблица по Алфавиту'!F53</f>
        <v/>
      </c>
      <c r="E51" s="372">
        <f>COUNTIFS('Все игры'!A$3:A1000,A51,'Все игры'!F$3:F1000,"=1")</f>
        <v>0</v>
      </c>
      <c r="F51" s="372">
        <f>COUNTIFS('Все игры'!A$3:A1000,A51,'Все игры'!F$3:F1000,"=0,50")</f>
        <v>0</v>
      </c>
      <c r="G51" s="372">
        <f>COUNTIFS('Все игры'!A$3:A1000,A51,'Все игры'!G$3:G1000,"&gt;0")</f>
        <v>0</v>
      </c>
      <c r="H51" s="373">
        <f t="shared" si="2"/>
        <v>0</v>
      </c>
      <c r="I51" s="374">
        <f>COUNTIFS('Все игры'!A$3:A1000,A51,'Все игры'!E$3:E1000,"У/Победа")</f>
        <v>0</v>
      </c>
      <c r="J51" s="374">
        <f>COUNTIFS('Все игры'!A$3:A1000,A51,'Все игры'!E$3:E1000,"У/Проигрыш")</f>
        <v>0</v>
      </c>
      <c r="K51" s="375">
        <f t="shared" si="3"/>
        <v>0</v>
      </c>
      <c r="L51" s="369">
        <f t="shared" si="4"/>
        <v>0</v>
      </c>
      <c r="M51" s="369">
        <f>COUNTIFS('Все игры'!A$3:A1000,A51,'Все игры'!C$3:C1000,"&gt;0",'Все игры'!B$3:B1000,"Мафия")</f>
        <v>0</v>
      </c>
      <c r="N51" s="369">
        <f>IFERROR(__xludf.DUMMYFUNCTION("COUNTBLANK(FILTER('Все игры'!A$3:C1000,'Все игры'!A$3:A1000=A51,'Все игры'!C$3:C1000 &lt; 1,'Все игры'!B$3:B1000=""Мафия""))"),0.0)</f>
        <v>0</v>
      </c>
      <c r="O51" s="369">
        <f>COUNTIFS('Все игры'!A$3:A1000,A51,'Все игры'!C$3:C1000,"&gt;0",'Все игры'!B$3:B1000,"Шериф")</f>
        <v>0</v>
      </c>
      <c r="P51" s="376">
        <f>IFERROR(__xludf.DUMMYFUNCTION("COUNTBLANK(FILTER('Все игры'!A$3:C1000,'Все игры'!A$3:A1000=A51,'Все игры'!C$3:C1000 &lt; 1,'Все игры'!B$3:B1000=""Шериф""))"),0.0)</f>
        <v>0</v>
      </c>
      <c r="Q51" s="369">
        <f>COUNTIFS('Все игры'!A$3:A1000,A51,'Все игры'!C$3:C1000,"&gt;0",'Все игры'!B$3:B1000,"Дон")</f>
        <v>0</v>
      </c>
      <c r="R51" s="369">
        <f>IFERROR(__xludf.DUMMYFUNCTION("COUNTBLANK(FILTER('Все игры'!A$3:C1000,'Все игры'!A$3:A1000=A51,'Все игры'!C$3:C1000 &lt; 1,'Все игры'!B$3:B1000=""Дон""))"),0.0)</f>
        <v>0</v>
      </c>
      <c r="S51" s="369">
        <f>COUNTIFS('Все игры'!A$3:A1000,A51,'Все игры'!C$3:C1000,"&gt;0",'Все игры'!B$3:B1000,"Мирный")</f>
        <v>0</v>
      </c>
      <c r="T51" s="377">
        <f>IFERROR(__xludf.DUMMYFUNCTION("COUNTBLANK(FILTER('Все игры'!A$3:C1000,'Все игры'!A$3:A1000=A51,'Все игры'!C$3:C1000 &lt; 1,'Все игры'!B$3:B1000=""Мирный""))"),0.0)</f>
        <v>0</v>
      </c>
      <c r="U51" s="378">
        <f t="shared" si="16"/>
        <v>0</v>
      </c>
      <c r="V51" s="379">
        <f t="shared" si="5"/>
        <v>0</v>
      </c>
      <c r="W51" s="379">
        <f t="shared" si="6"/>
        <v>0</v>
      </c>
      <c r="X51" s="379">
        <f t="shared" si="7"/>
        <v>0</v>
      </c>
      <c r="Y51" s="379">
        <f t="shared" si="8"/>
        <v>0</v>
      </c>
      <c r="Z51" s="379">
        <f t="shared" si="9"/>
        <v>0</v>
      </c>
      <c r="AA51" s="380">
        <f t="shared" si="10"/>
        <v>0</v>
      </c>
      <c r="AB51" s="370">
        <f>SUMIFS('Все игры'!D$3:D1000,'Все игры'!A$3:A1000,A51)</f>
        <v>0</v>
      </c>
      <c r="AC51" s="370">
        <f>SUMIFS('Все игры'!D$3:D1000,'Все игры'!A$3:A1000,A51,'Все игры'!B$3:B1000,"Мафия")</f>
        <v>0</v>
      </c>
      <c r="AD51" s="381">
        <f>SUMIFS('Все игры'!D$3:D1000,'Все игры'!A$3:A1000,A51,'Все игры'!B$3:B1000,"Шериф")</f>
        <v>0</v>
      </c>
      <c r="AE51" s="370">
        <f>SUMIFS('Все игры'!D$3:D1000,'Все игры'!A$3:A1000,A51,'Все игры'!B$3:B1000,"Дон")</f>
        <v>0</v>
      </c>
      <c r="AF51" s="371">
        <f>SUMIFS('Все игры'!D$3:D1000,'Все игры'!A$3:A1000,A51,'Все игры'!B$3:B1000,"Мирный")</f>
        <v>0</v>
      </c>
      <c r="AG51" s="370">
        <f t="shared" si="11"/>
        <v>0</v>
      </c>
      <c r="AH51" s="370">
        <f t="shared" si="12"/>
        <v>0</v>
      </c>
      <c r="AI51" s="370">
        <f t="shared" si="13"/>
        <v>0</v>
      </c>
      <c r="AJ51" s="370">
        <f t="shared" si="14"/>
        <v>0</v>
      </c>
      <c r="AK51" s="370">
        <f t="shared" si="15"/>
        <v>0</v>
      </c>
      <c r="AL51" s="356"/>
      <c r="AM51" s="356"/>
      <c r="AN51" s="356"/>
      <c r="AO51" s="356"/>
      <c r="AP51" s="356"/>
      <c r="AQ51" s="356"/>
      <c r="AR51" s="356"/>
      <c r="AS51" s="356"/>
      <c r="AT51" s="356"/>
      <c r="AU51" s="356"/>
      <c r="AV51" s="356"/>
      <c r="AW51" s="356"/>
      <c r="AX51" s="356"/>
      <c r="AY51" s="356"/>
      <c r="AZ51" s="356"/>
      <c r="BA51" s="356"/>
      <c r="BB51" s="356"/>
      <c r="BC51" s="356"/>
      <c r="BD51" s="356"/>
      <c r="BE51" s="356"/>
      <c r="BF51" s="356"/>
      <c r="BG51" s="356"/>
      <c r="BH51" s="356"/>
      <c r="BI51" s="356"/>
      <c r="BJ51" s="356"/>
      <c r="BK51" s="356"/>
      <c r="BL51" s="356"/>
      <c r="BM51" s="356"/>
    </row>
    <row r="52">
      <c r="A52" s="368" t="s">
        <v>126</v>
      </c>
      <c r="B52" s="355">
        <f t="shared" si="1"/>
        <v>5</v>
      </c>
      <c r="C52" s="356">
        <f>'Турнирная таблица по Алфавиту'!E54</f>
        <v>18.5</v>
      </c>
      <c r="D52" s="357">
        <f>'Турнирная таблица по Алфавиту'!F54</f>
        <v>18.5</v>
      </c>
      <c r="E52" s="358">
        <f>COUNTIFS('Все игры'!A$3:A1000,A52,'Все игры'!F$3:F1000,"=1")</f>
        <v>0</v>
      </c>
      <c r="F52" s="358">
        <f>COUNTIFS('Все игры'!A$3:A1000,A52,'Все игры'!F$3:F1000,"=0,50")</f>
        <v>0</v>
      </c>
      <c r="G52" s="358">
        <f>COUNTIFS('Все игры'!A$3:A1000,A52,'Все игры'!G$3:G1000,"&gt;0")</f>
        <v>0</v>
      </c>
      <c r="H52" s="359">
        <f t="shared" si="2"/>
        <v>0</v>
      </c>
      <c r="I52" s="360">
        <f>COUNTIFS('Все игры'!A$3:A1000,A52,'Все игры'!E$3:E1000,"У/Победа")</f>
        <v>0</v>
      </c>
      <c r="J52" s="360">
        <f>COUNTIFS('Все игры'!A$3:A1000,A52,'Все игры'!E$3:E1000,"У/Проигрыш")</f>
        <v>0</v>
      </c>
      <c r="K52" s="361">
        <f t="shared" si="3"/>
        <v>2</v>
      </c>
      <c r="L52" s="355">
        <f t="shared" si="4"/>
        <v>3</v>
      </c>
      <c r="M52" s="355">
        <f>COUNTIFS('Все игры'!A$3:A1000,A52,'Все игры'!C$3:C1000,"&gt;0",'Все игры'!B$3:B1000,"Мафия")</f>
        <v>1</v>
      </c>
      <c r="N52" s="355">
        <f>IFERROR(__xludf.DUMMYFUNCTION("COUNTBLANK(FILTER('Все игры'!A$3:C1000,'Все игры'!A$3:A1000=A52,'Все игры'!C$3:C1000 &lt; 1,'Все игры'!B$3:B1000=""Мафия""))"),0.0)</f>
        <v>0</v>
      </c>
      <c r="O52" s="355">
        <f>COUNTIFS('Все игры'!A$3:A1000,A52,'Все игры'!C$3:C1000,"&gt;0",'Все игры'!B$3:B1000,"Шериф")</f>
        <v>0</v>
      </c>
      <c r="P52" s="362">
        <f>IFERROR(__xludf.DUMMYFUNCTION("COUNTBLANK(FILTER('Все игры'!A$3:C1000,'Все игры'!A$3:A1000=A52,'Все игры'!C$3:C1000 &lt; 1,'Все игры'!B$3:B1000=""Шериф""))"),0.0)</f>
        <v>0</v>
      </c>
      <c r="Q52" s="355">
        <f>COUNTIFS('Все игры'!A$3:A1000,A52,'Все игры'!C$3:C1000,"&gt;0",'Все игры'!B$3:B1000,"Дон")</f>
        <v>1</v>
      </c>
      <c r="R52" s="355">
        <f>IFERROR(__xludf.DUMMYFUNCTION("COUNTBLANK(FILTER('Все игры'!A$3:C1000,'Все игры'!A$3:A1000=A52,'Все игры'!C$3:C1000 &lt; 1,'Все игры'!B$3:B1000=""Дон""))"),1.0)</f>
        <v>1</v>
      </c>
      <c r="S52" s="355">
        <f>COUNTIFS('Все игры'!A$3:A1000,A52,'Все игры'!C$3:C1000,"&gt;0",'Все игры'!B$3:B1000,"Мирный")</f>
        <v>0</v>
      </c>
      <c r="T52" s="363">
        <f>IFERROR(__xludf.DUMMYFUNCTION("COUNTBLANK(FILTER('Все игры'!A$3:C1000,'Все игры'!A$3:A1000=A52,'Все игры'!C$3:C1000 &lt; 1,'Все игры'!B$3:B1000=""Мирный""))"),2.0)</f>
        <v>2</v>
      </c>
      <c r="U52" s="364">
        <f t="shared" si="16"/>
        <v>0.4</v>
      </c>
      <c r="V52" s="365">
        <f t="shared" si="5"/>
        <v>0</v>
      </c>
      <c r="W52" s="365">
        <f t="shared" si="6"/>
        <v>0.6666666667</v>
      </c>
      <c r="X52" s="365">
        <f t="shared" si="7"/>
        <v>1</v>
      </c>
      <c r="Y52" s="365">
        <f t="shared" si="8"/>
        <v>0</v>
      </c>
      <c r="Z52" s="365">
        <f t="shared" si="9"/>
        <v>0.5</v>
      </c>
      <c r="AA52" s="366">
        <f t="shared" si="10"/>
        <v>0</v>
      </c>
      <c r="AB52" s="356">
        <f>SUMIFS('Все игры'!D$3:D1000,'Все игры'!A$3:A1000,A52)</f>
        <v>13.5</v>
      </c>
      <c r="AC52" s="356">
        <f>SUMIFS('Все игры'!D$3:D1000,'Все игры'!A$3:A1000,A52,'Все игры'!B$3:B1000,"Мафия")</f>
        <v>3</v>
      </c>
      <c r="AD52" s="367">
        <f>SUMIFS('Все игры'!D$3:D1000,'Все игры'!A$3:A1000,A52,'Все игры'!B$3:B1000,"Шериф")</f>
        <v>0</v>
      </c>
      <c r="AE52" s="356">
        <f>SUMIFS('Все игры'!D$3:D1000,'Все игры'!A$3:A1000,A52,'Все игры'!B$3:B1000,"Дон")</f>
        <v>6.75</v>
      </c>
      <c r="AF52" s="357">
        <f>SUMIFS('Все игры'!D$3:D1000,'Все игры'!A$3:A1000,A52,'Все игры'!B$3:B1000,"Мирный")</f>
        <v>3.75</v>
      </c>
      <c r="AG52" s="356">
        <f t="shared" si="11"/>
        <v>2.7</v>
      </c>
      <c r="AH52" s="356">
        <f t="shared" si="12"/>
        <v>3</v>
      </c>
      <c r="AI52" s="356">
        <f t="shared" si="13"/>
        <v>0</v>
      </c>
      <c r="AJ52" s="356">
        <f t="shared" si="14"/>
        <v>3.375</v>
      </c>
      <c r="AK52" s="356">
        <f t="shared" si="15"/>
        <v>1.875</v>
      </c>
      <c r="AL52" s="356"/>
      <c r="AM52" s="356"/>
      <c r="AN52" s="356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  <c r="BL52" s="356"/>
      <c r="BM52" s="356"/>
    </row>
    <row r="53">
      <c r="A53" s="368" t="s">
        <v>127</v>
      </c>
      <c r="B53" s="369">
        <f t="shared" si="1"/>
        <v>5</v>
      </c>
      <c r="C53" s="370">
        <f>'Турнирная таблица по Алфавиту'!E55</f>
        <v>21</v>
      </c>
      <c r="D53" s="371">
        <f>'Турнирная таблица по Алфавиту'!F55</f>
        <v>21</v>
      </c>
      <c r="E53" s="372">
        <f>COUNTIFS('Все игры'!A$3:A1000,A53,'Все игры'!F$3:F1000,"=1")</f>
        <v>0</v>
      </c>
      <c r="F53" s="372">
        <f>COUNTIFS('Все игры'!A$3:A1000,A53,'Все игры'!F$3:F1000,"=0,50")</f>
        <v>0</v>
      </c>
      <c r="G53" s="372">
        <f>COUNTIFS('Все игры'!A$3:A1000,A53,'Все игры'!G$3:G1000,"&gt;0")</f>
        <v>1</v>
      </c>
      <c r="H53" s="373">
        <f t="shared" si="2"/>
        <v>0.3333333333</v>
      </c>
      <c r="I53" s="374">
        <f>COUNTIFS('Все игры'!A$3:A1000,A53,'Все игры'!E$3:E1000,"У/Победа")</f>
        <v>1</v>
      </c>
      <c r="J53" s="374">
        <f>COUNTIFS('Все игры'!A$3:A1000,A53,'Все игры'!E$3:E1000,"У/Проигрыш")</f>
        <v>0</v>
      </c>
      <c r="K53" s="375">
        <f t="shared" si="3"/>
        <v>3</v>
      </c>
      <c r="L53" s="369">
        <f t="shared" si="4"/>
        <v>2</v>
      </c>
      <c r="M53" s="369">
        <f>COUNTIFS('Все игры'!A$3:A1000,A53,'Все игры'!C$3:C1000,"&gt;0",'Все игры'!B$3:B1000,"Мафия")</f>
        <v>1</v>
      </c>
      <c r="N53" s="369">
        <f>IFERROR(__xludf.DUMMYFUNCTION("COUNTBLANK(FILTER('Все игры'!A$3:C1000,'Все игры'!A$3:A1000=A53,'Все игры'!C$3:C1000 &lt; 1,'Все игры'!B$3:B1000=""Мафия""))"),0.0)</f>
        <v>0</v>
      </c>
      <c r="O53" s="369">
        <f>COUNTIFS('Все игры'!A$3:A1000,A53,'Все игры'!C$3:C1000,"&gt;0",'Все игры'!B$3:B1000,"Шериф")</f>
        <v>0</v>
      </c>
      <c r="P53" s="376">
        <f>IFERROR(__xludf.DUMMYFUNCTION("COUNTBLANK(FILTER('Все игры'!A$3:C1000,'Все игры'!A$3:A1000=A53,'Все игры'!C$3:C1000 &lt; 1,'Все игры'!B$3:B1000=""Шериф""))"),0.0)</f>
        <v>0</v>
      </c>
      <c r="Q53" s="369">
        <f>COUNTIFS('Все игры'!A$3:A1000,A53,'Все игры'!C$3:C1000,"&gt;0",'Все игры'!B$3:B1000,"Дон")</f>
        <v>0</v>
      </c>
      <c r="R53" s="369">
        <f>IFERROR(__xludf.DUMMYFUNCTION("COUNTBLANK(FILTER('Все игры'!A$3:C1000,'Все игры'!A$3:A1000=A53,'Все игры'!C$3:C1000 &lt; 1,'Все игры'!B$3:B1000=""Дон""))"),1.0)</f>
        <v>1</v>
      </c>
      <c r="S53" s="369">
        <f>COUNTIFS('Все игры'!A$3:A1000,A53,'Все игры'!C$3:C1000,"&gt;0",'Все игры'!B$3:B1000,"Мирный")</f>
        <v>2</v>
      </c>
      <c r="T53" s="377">
        <f>IFERROR(__xludf.DUMMYFUNCTION("COUNTBLANK(FILTER('Все игры'!A$3:C1000,'Все игры'!A$3:A1000=A53,'Все игры'!C$3:C1000 &lt; 1,'Все игры'!B$3:B1000=""Мирный""))"),1.0)</f>
        <v>1</v>
      </c>
      <c r="U53" s="378">
        <f t="shared" si="16"/>
        <v>0.6</v>
      </c>
      <c r="V53" s="379">
        <f t="shared" si="5"/>
        <v>0.6666666667</v>
      </c>
      <c r="W53" s="379">
        <f t="shared" si="6"/>
        <v>0.5</v>
      </c>
      <c r="X53" s="379">
        <f t="shared" si="7"/>
        <v>1</v>
      </c>
      <c r="Y53" s="379">
        <f t="shared" si="8"/>
        <v>0</v>
      </c>
      <c r="Z53" s="379">
        <f t="shared" si="9"/>
        <v>0</v>
      </c>
      <c r="AA53" s="380">
        <f t="shared" si="10"/>
        <v>0.6666666667</v>
      </c>
      <c r="AB53" s="370">
        <f>SUMIFS('Все игры'!D$3:D1000,'Все игры'!A$3:A1000,A53)</f>
        <v>13</v>
      </c>
      <c r="AC53" s="370">
        <f>SUMIFS('Все игры'!D$3:D1000,'Все игры'!A$3:A1000,A53,'Все игры'!B$3:B1000,"Мафия")</f>
        <v>3.75</v>
      </c>
      <c r="AD53" s="381">
        <f>SUMIFS('Все игры'!D$3:D1000,'Все игры'!A$3:A1000,A53,'Все игры'!B$3:B1000,"Шериф")</f>
        <v>0</v>
      </c>
      <c r="AE53" s="370">
        <f>SUMIFS('Все игры'!D$3:D1000,'Все игры'!A$3:A1000,A53,'Все игры'!B$3:B1000,"Дон")</f>
        <v>2.25</v>
      </c>
      <c r="AF53" s="371">
        <f>SUMIFS('Все игры'!D$3:D1000,'Все игры'!A$3:A1000,A53,'Все игры'!B$3:B1000,"Мирный")</f>
        <v>7</v>
      </c>
      <c r="AG53" s="370">
        <f t="shared" si="11"/>
        <v>2.6</v>
      </c>
      <c r="AH53" s="370">
        <f t="shared" si="12"/>
        <v>3.75</v>
      </c>
      <c r="AI53" s="370">
        <f t="shared" si="13"/>
        <v>0</v>
      </c>
      <c r="AJ53" s="370">
        <f t="shared" si="14"/>
        <v>2.25</v>
      </c>
      <c r="AK53" s="370">
        <f t="shared" si="15"/>
        <v>2.333333333</v>
      </c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/>
      <c r="BH53" s="356"/>
      <c r="BI53" s="356"/>
      <c r="BJ53" s="356"/>
      <c r="BK53" s="356"/>
      <c r="BL53" s="356"/>
      <c r="BM53" s="356"/>
    </row>
    <row r="54">
      <c r="A54" s="368" t="s">
        <v>128</v>
      </c>
      <c r="B54" s="355">
        <f t="shared" si="1"/>
        <v>0</v>
      </c>
      <c r="C54" s="356">
        <f>'Турнирная таблица по Алфавиту'!E56</f>
        <v>0</v>
      </c>
      <c r="D54" s="357" t="str">
        <f>'Турнирная таблица по Алфавиту'!F56</f>
        <v/>
      </c>
      <c r="E54" s="358">
        <f>COUNTIFS('Все игры'!A$3:A1000,A54,'Все игры'!F$3:F1000,"=1")</f>
        <v>0</v>
      </c>
      <c r="F54" s="358">
        <f>COUNTIFS('Все игры'!A$3:A1000,A54,'Все игры'!F$3:F1000,"=0,50")</f>
        <v>0</v>
      </c>
      <c r="G54" s="358">
        <f>COUNTIFS('Все игры'!A$3:A1000,A54,'Все игры'!G$3:G1000,"&gt;0")</f>
        <v>0</v>
      </c>
      <c r="H54" s="359">
        <f t="shared" si="2"/>
        <v>0</v>
      </c>
      <c r="I54" s="360">
        <f>COUNTIFS('Все игры'!A$3:A1000,A54,'Все игры'!E$3:E1000,"У/Победа")</f>
        <v>0</v>
      </c>
      <c r="J54" s="360">
        <f>COUNTIFS('Все игры'!A$3:A1000,A54,'Все игры'!E$3:E1000,"У/Проигрыш")</f>
        <v>0</v>
      </c>
      <c r="K54" s="361">
        <f t="shared" si="3"/>
        <v>0</v>
      </c>
      <c r="L54" s="355">
        <f t="shared" si="4"/>
        <v>0</v>
      </c>
      <c r="M54" s="355">
        <f>COUNTIFS('Все игры'!A$3:A1000,A54,'Все игры'!C$3:C1000,"&gt;0",'Все игры'!B$3:B1000,"Мафия")</f>
        <v>0</v>
      </c>
      <c r="N54" s="355">
        <f>IFERROR(__xludf.DUMMYFUNCTION("COUNTBLANK(FILTER('Все игры'!A$3:C1000,'Все игры'!A$3:A1000=A54,'Все игры'!C$3:C1000 &lt; 1,'Все игры'!B$3:B1000=""Мафия""))"),0.0)</f>
        <v>0</v>
      </c>
      <c r="O54" s="355">
        <f>COUNTIFS('Все игры'!A$3:A1000,A54,'Все игры'!C$3:C1000,"&gt;0",'Все игры'!B$3:B1000,"Шериф")</f>
        <v>0</v>
      </c>
      <c r="P54" s="362">
        <f>IFERROR(__xludf.DUMMYFUNCTION("COUNTBLANK(FILTER('Все игры'!A$3:C1000,'Все игры'!A$3:A1000=A54,'Все игры'!C$3:C1000 &lt; 1,'Все игры'!B$3:B1000=""Шериф""))"),0.0)</f>
        <v>0</v>
      </c>
      <c r="Q54" s="355">
        <f>COUNTIFS('Все игры'!A$3:A1000,A54,'Все игры'!C$3:C1000,"&gt;0",'Все игры'!B$3:B1000,"Дон")</f>
        <v>0</v>
      </c>
      <c r="R54" s="355">
        <f>IFERROR(__xludf.DUMMYFUNCTION("COUNTBLANK(FILTER('Все игры'!A$3:C1000,'Все игры'!A$3:A1000=A54,'Все игры'!C$3:C1000 &lt; 1,'Все игры'!B$3:B1000=""Дон""))"),0.0)</f>
        <v>0</v>
      </c>
      <c r="S54" s="355">
        <f>COUNTIFS('Все игры'!A$3:A1000,A54,'Все игры'!C$3:C1000,"&gt;0",'Все игры'!B$3:B1000,"Мирный")</f>
        <v>0</v>
      </c>
      <c r="T54" s="363">
        <f>IFERROR(__xludf.DUMMYFUNCTION("COUNTBLANK(FILTER('Все игры'!A$3:C1000,'Все игры'!A$3:A1000=A54,'Все игры'!C$3:C1000 &lt; 1,'Все игры'!B$3:B1000=""Мирный""))"),0.0)</f>
        <v>0</v>
      </c>
      <c r="U54" s="364">
        <f t="shared" si="16"/>
        <v>0</v>
      </c>
      <c r="V54" s="365">
        <f t="shared" si="5"/>
        <v>0</v>
      </c>
      <c r="W54" s="365">
        <f t="shared" si="6"/>
        <v>0</v>
      </c>
      <c r="X54" s="365">
        <f t="shared" si="7"/>
        <v>0</v>
      </c>
      <c r="Y54" s="365">
        <f t="shared" si="8"/>
        <v>0</v>
      </c>
      <c r="Z54" s="365">
        <f t="shared" si="9"/>
        <v>0</v>
      </c>
      <c r="AA54" s="366">
        <f t="shared" si="10"/>
        <v>0</v>
      </c>
      <c r="AB54" s="356">
        <f>SUMIFS('Все игры'!D$3:D1000,'Все игры'!A$3:A1000,A54)</f>
        <v>0</v>
      </c>
      <c r="AC54" s="356">
        <f>SUMIFS('Все игры'!D$3:D1000,'Все игры'!A$3:A1000,A54,'Все игры'!B$3:B1000,"Мафия")</f>
        <v>0</v>
      </c>
      <c r="AD54" s="367">
        <f>SUMIFS('Все игры'!D$3:D1000,'Все игры'!A$3:A1000,A54,'Все игры'!B$3:B1000,"Шериф")</f>
        <v>0</v>
      </c>
      <c r="AE54" s="356">
        <f>SUMIFS('Все игры'!D$3:D1000,'Все игры'!A$3:A1000,A54,'Все игры'!B$3:B1000,"Дон")</f>
        <v>0</v>
      </c>
      <c r="AF54" s="357">
        <f>SUMIFS('Все игры'!D$3:D1000,'Все игры'!A$3:A1000,A54,'Все игры'!B$3:B1000,"Мирный")</f>
        <v>0</v>
      </c>
      <c r="AG54" s="356">
        <f t="shared" si="11"/>
        <v>0</v>
      </c>
      <c r="AH54" s="356">
        <f t="shared" si="12"/>
        <v>0</v>
      </c>
      <c r="AI54" s="356">
        <f t="shared" si="13"/>
        <v>0</v>
      </c>
      <c r="AJ54" s="356">
        <f t="shared" si="14"/>
        <v>0</v>
      </c>
      <c r="AK54" s="356">
        <f t="shared" si="15"/>
        <v>0</v>
      </c>
      <c r="AL54" s="356"/>
      <c r="AM54" s="356"/>
      <c r="AN54" s="356"/>
      <c r="AO54" s="356"/>
      <c r="AP54" s="356"/>
      <c r="AQ54" s="356"/>
      <c r="AR54" s="356"/>
      <c r="AS54" s="356"/>
      <c r="AT54" s="356"/>
      <c r="AU54" s="356"/>
      <c r="AV54" s="356"/>
      <c r="AW54" s="356"/>
      <c r="AX54" s="356"/>
      <c r="AY54" s="356"/>
      <c r="AZ54" s="356"/>
      <c r="BA54" s="356"/>
      <c r="BB54" s="356"/>
      <c r="BC54" s="356"/>
      <c r="BD54" s="356"/>
      <c r="BE54" s="356"/>
      <c r="BF54" s="356"/>
      <c r="BG54" s="356"/>
      <c r="BH54" s="356"/>
      <c r="BI54" s="356"/>
      <c r="BJ54" s="356"/>
      <c r="BK54" s="356"/>
      <c r="BL54" s="356"/>
      <c r="BM54" s="356"/>
    </row>
    <row r="55">
      <c r="A55" s="368" t="s">
        <v>129</v>
      </c>
      <c r="B55" s="369">
        <f t="shared" si="1"/>
        <v>0</v>
      </c>
      <c r="C55" s="370">
        <f>'Турнирная таблица по Алфавиту'!E57</f>
        <v>0</v>
      </c>
      <c r="D55" s="371" t="str">
        <f>'Турнирная таблица по Алфавиту'!F57</f>
        <v/>
      </c>
      <c r="E55" s="372">
        <f>COUNTIFS('Все игры'!A$3:A1000,A55,'Все игры'!F$3:F1000,"=1")</f>
        <v>0</v>
      </c>
      <c r="F55" s="372">
        <f>COUNTIFS('Все игры'!A$3:A1000,A55,'Все игры'!F$3:F1000,"=0,50")</f>
        <v>0</v>
      </c>
      <c r="G55" s="372">
        <f>COUNTIFS('Все игры'!A$3:A1000,A55,'Все игры'!G$3:G1000,"&gt;0")</f>
        <v>0</v>
      </c>
      <c r="H55" s="373">
        <f t="shared" si="2"/>
        <v>0</v>
      </c>
      <c r="I55" s="374">
        <f>COUNTIFS('Все игры'!A$3:A1000,A55,'Все игры'!E$3:E1000,"У/Победа")</f>
        <v>0</v>
      </c>
      <c r="J55" s="374">
        <f>COUNTIFS('Все игры'!A$3:A1000,A55,'Все игры'!E$3:E1000,"У/Проигрыш")</f>
        <v>0</v>
      </c>
      <c r="K55" s="375">
        <f t="shared" si="3"/>
        <v>0</v>
      </c>
      <c r="L55" s="369">
        <f t="shared" si="4"/>
        <v>0</v>
      </c>
      <c r="M55" s="369">
        <f>COUNTIFS('Все игры'!A$3:A1000,A55,'Все игры'!C$3:C1000,"&gt;0",'Все игры'!B$3:B1000,"Мафия")</f>
        <v>0</v>
      </c>
      <c r="N55" s="369">
        <f>IFERROR(__xludf.DUMMYFUNCTION("COUNTBLANK(FILTER('Все игры'!A$3:C1000,'Все игры'!A$3:A1000=A55,'Все игры'!C$3:C1000 &lt; 1,'Все игры'!B$3:B1000=""Мафия""))"),0.0)</f>
        <v>0</v>
      </c>
      <c r="O55" s="369">
        <f>COUNTIFS('Все игры'!A$3:A1000,A55,'Все игры'!C$3:C1000,"&gt;0",'Все игры'!B$3:B1000,"Шериф")</f>
        <v>0</v>
      </c>
      <c r="P55" s="376">
        <f>IFERROR(__xludf.DUMMYFUNCTION("COUNTBLANK(FILTER('Все игры'!A$3:C1000,'Все игры'!A$3:A1000=A55,'Все игры'!C$3:C1000 &lt; 1,'Все игры'!B$3:B1000=""Шериф""))"),0.0)</f>
        <v>0</v>
      </c>
      <c r="Q55" s="369">
        <f>COUNTIFS('Все игры'!A$3:A1000,A55,'Все игры'!C$3:C1000,"&gt;0",'Все игры'!B$3:B1000,"Дон")</f>
        <v>0</v>
      </c>
      <c r="R55" s="369">
        <f>IFERROR(__xludf.DUMMYFUNCTION("COUNTBLANK(FILTER('Все игры'!A$3:C1000,'Все игры'!A$3:A1000=A55,'Все игры'!C$3:C1000 &lt; 1,'Все игры'!B$3:B1000=""Дон""))"),0.0)</f>
        <v>0</v>
      </c>
      <c r="S55" s="369">
        <f>COUNTIFS('Все игры'!A$3:A1000,A55,'Все игры'!C$3:C1000,"&gt;0",'Все игры'!B$3:B1000,"Мирный")</f>
        <v>0</v>
      </c>
      <c r="T55" s="377">
        <f>IFERROR(__xludf.DUMMYFUNCTION("COUNTBLANK(FILTER('Все игры'!A$3:C1000,'Все игры'!A$3:A1000=A55,'Все игры'!C$3:C1000 &lt; 1,'Все игры'!B$3:B1000=""Мирный""))"),0.0)</f>
        <v>0</v>
      </c>
      <c r="U55" s="378">
        <f t="shared" si="16"/>
        <v>0</v>
      </c>
      <c r="V55" s="379">
        <f t="shared" si="5"/>
        <v>0</v>
      </c>
      <c r="W55" s="379">
        <f t="shared" si="6"/>
        <v>0</v>
      </c>
      <c r="X55" s="379">
        <f t="shared" si="7"/>
        <v>0</v>
      </c>
      <c r="Y55" s="379">
        <f t="shared" si="8"/>
        <v>0</v>
      </c>
      <c r="Z55" s="379">
        <f t="shared" si="9"/>
        <v>0</v>
      </c>
      <c r="AA55" s="380">
        <f t="shared" si="10"/>
        <v>0</v>
      </c>
      <c r="AB55" s="370">
        <f>SUMIFS('Все игры'!D$3:D1000,'Все игры'!A$3:A1000,A55)</f>
        <v>0</v>
      </c>
      <c r="AC55" s="370">
        <f>SUMIFS('Все игры'!D$3:D1000,'Все игры'!A$3:A1000,A55,'Все игры'!B$3:B1000,"Мафия")</f>
        <v>0</v>
      </c>
      <c r="AD55" s="381">
        <f>SUMIFS('Все игры'!D$3:D1000,'Все игры'!A$3:A1000,A55,'Все игры'!B$3:B1000,"Шериф")</f>
        <v>0</v>
      </c>
      <c r="AE55" s="370">
        <f>SUMIFS('Все игры'!D$3:D1000,'Все игры'!A$3:A1000,A55,'Все игры'!B$3:B1000,"Дон")</f>
        <v>0</v>
      </c>
      <c r="AF55" s="371">
        <f>SUMIFS('Все игры'!D$3:D1000,'Все игры'!A$3:A1000,A55,'Все игры'!B$3:B1000,"Мирный")</f>
        <v>0</v>
      </c>
      <c r="AG55" s="370">
        <f t="shared" si="11"/>
        <v>0</v>
      </c>
      <c r="AH55" s="370">
        <f t="shared" si="12"/>
        <v>0</v>
      </c>
      <c r="AI55" s="370">
        <f t="shared" si="13"/>
        <v>0</v>
      </c>
      <c r="AJ55" s="370">
        <f t="shared" si="14"/>
        <v>0</v>
      </c>
      <c r="AK55" s="370">
        <f t="shared" si="15"/>
        <v>0</v>
      </c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/>
      <c r="BD55" s="356"/>
      <c r="BE55" s="356"/>
      <c r="BF55" s="356"/>
      <c r="BG55" s="356"/>
      <c r="BH55" s="356"/>
      <c r="BI55" s="356"/>
      <c r="BJ55" s="356"/>
      <c r="BK55" s="356"/>
      <c r="BL55" s="356"/>
      <c r="BM55" s="356"/>
    </row>
    <row r="56">
      <c r="A56" s="368" t="s">
        <v>130</v>
      </c>
      <c r="B56" s="355">
        <f t="shared" si="1"/>
        <v>0</v>
      </c>
      <c r="C56" s="356">
        <f>'Турнирная таблица по Алфавиту'!E58</f>
        <v>0</v>
      </c>
      <c r="D56" s="357" t="str">
        <f>'Турнирная таблица по Алфавиту'!F58</f>
        <v/>
      </c>
      <c r="E56" s="358">
        <f>COUNTIFS('Все игры'!A$3:A1000,A56,'Все игры'!F$3:F1000,"=1")</f>
        <v>0</v>
      </c>
      <c r="F56" s="358">
        <f>COUNTIFS('Все игры'!A$3:A1000,A56,'Все игры'!F$3:F1000,"=0,50")</f>
        <v>0</v>
      </c>
      <c r="G56" s="358">
        <f>COUNTIFS('Все игры'!A$3:A1000,A56,'Все игры'!G$3:G1000,"&gt;0")</f>
        <v>0</v>
      </c>
      <c r="H56" s="359">
        <f t="shared" si="2"/>
        <v>0</v>
      </c>
      <c r="I56" s="360">
        <f>COUNTIFS('Все игры'!A$3:A1000,A56,'Все игры'!E$3:E1000,"У/Победа")</f>
        <v>0</v>
      </c>
      <c r="J56" s="360">
        <f>COUNTIFS('Все игры'!A$3:A1000,A56,'Все игры'!E$3:E1000,"У/Проигрыш")</f>
        <v>0</v>
      </c>
      <c r="K56" s="361">
        <f t="shared" si="3"/>
        <v>0</v>
      </c>
      <c r="L56" s="355">
        <f t="shared" si="4"/>
        <v>0</v>
      </c>
      <c r="M56" s="355">
        <f>COUNTIFS('Все игры'!A$3:A1000,A56,'Все игры'!C$3:C1000,"&gt;0",'Все игры'!B$3:B1000,"Мафия")</f>
        <v>0</v>
      </c>
      <c r="N56" s="355">
        <f>IFERROR(__xludf.DUMMYFUNCTION("COUNTBLANK(FILTER('Все игры'!A$3:C1000,'Все игры'!A$3:A1000=A56,'Все игры'!C$3:C1000 &lt; 1,'Все игры'!B$3:B1000=""Мафия""))"),0.0)</f>
        <v>0</v>
      </c>
      <c r="O56" s="355">
        <f>COUNTIFS('Все игры'!A$3:A1000,A56,'Все игры'!C$3:C1000,"&gt;0",'Все игры'!B$3:B1000,"Шериф")</f>
        <v>0</v>
      </c>
      <c r="P56" s="362">
        <f>IFERROR(__xludf.DUMMYFUNCTION("COUNTBLANK(FILTER('Все игры'!A$3:C1000,'Все игры'!A$3:A1000=A56,'Все игры'!C$3:C1000 &lt; 1,'Все игры'!B$3:B1000=""Шериф""))"),0.0)</f>
        <v>0</v>
      </c>
      <c r="Q56" s="355">
        <f>COUNTIFS('Все игры'!A$3:A1000,A56,'Все игры'!C$3:C1000,"&gt;0",'Все игры'!B$3:B1000,"Дон")</f>
        <v>0</v>
      </c>
      <c r="R56" s="355">
        <f>IFERROR(__xludf.DUMMYFUNCTION("COUNTBLANK(FILTER('Все игры'!A$3:C1000,'Все игры'!A$3:A1000=A56,'Все игры'!C$3:C1000 &lt; 1,'Все игры'!B$3:B1000=""Дон""))"),0.0)</f>
        <v>0</v>
      </c>
      <c r="S56" s="355">
        <f>COUNTIFS('Все игры'!A$3:A1000,A56,'Все игры'!C$3:C1000,"&gt;0",'Все игры'!B$3:B1000,"Мирный")</f>
        <v>0</v>
      </c>
      <c r="T56" s="363">
        <f>IFERROR(__xludf.DUMMYFUNCTION("COUNTBLANK(FILTER('Все игры'!A$3:C1000,'Все игры'!A$3:A1000=A56,'Все игры'!C$3:C1000 &lt; 1,'Все игры'!B$3:B1000=""Мирный""))"),0.0)</f>
        <v>0</v>
      </c>
      <c r="U56" s="364">
        <f t="shared" si="16"/>
        <v>0</v>
      </c>
      <c r="V56" s="365">
        <f t="shared" si="5"/>
        <v>0</v>
      </c>
      <c r="W56" s="365">
        <f t="shared" si="6"/>
        <v>0</v>
      </c>
      <c r="X56" s="365">
        <f t="shared" si="7"/>
        <v>0</v>
      </c>
      <c r="Y56" s="365">
        <f t="shared" si="8"/>
        <v>0</v>
      </c>
      <c r="Z56" s="365">
        <f t="shared" si="9"/>
        <v>0</v>
      </c>
      <c r="AA56" s="366">
        <f t="shared" si="10"/>
        <v>0</v>
      </c>
      <c r="AB56" s="356">
        <f>SUMIFS('Все игры'!D$3:D1000,'Все игры'!A$3:A1000,A56)</f>
        <v>0</v>
      </c>
      <c r="AC56" s="356">
        <f>SUMIFS('Все игры'!D$3:D1000,'Все игры'!A$3:A1000,A56,'Все игры'!B$3:B1000,"Мафия")</f>
        <v>0</v>
      </c>
      <c r="AD56" s="367">
        <f>SUMIFS('Все игры'!D$3:D1000,'Все игры'!A$3:A1000,A56,'Все игры'!B$3:B1000,"Шериф")</f>
        <v>0</v>
      </c>
      <c r="AE56" s="356">
        <f>SUMIFS('Все игры'!D$3:D1000,'Все игры'!A$3:A1000,A56,'Все игры'!B$3:B1000,"Дон")</f>
        <v>0</v>
      </c>
      <c r="AF56" s="357">
        <f>SUMIFS('Все игры'!D$3:D1000,'Все игры'!A$3:A1000,A56,'Все игры'!B$3:B1000,"Мирный")</f>
        <v>0</v>
      </c>
      <c r="AG56" s="356">
        <f t="shared" si="11"/>
        <v>0</v>
      </c>
      <c r="AH56" s="356">
        <f t="shared" si="12"/>
        <v>0</v>
      </c>
      <c r="AI56" s="356">
        <f t="shared" si="13"/>
        <v>0</v>
      </c>
      <c r="AJ56" s="356">
        <f t="shared" si="14"/>
        <v>0</v>
      </c>
      <c r="AK56" s="356">
        <f t="shared" si="15"/>
        <v>0</v>
      </c>
      <c r="AL56" s="356"/>
      <c r="AM56" s="356"/>
      <c r="AN56" s="356"/>
      <c r="AO56" s="356"/>
      <c r="AP56" s="356"/>
      <c r="AQ56" s="356"/>
      <c r="AR56" s="356"/>
      <c r="AS56" s="356"/>
      <c r="AT56" s="356"/>
      <c r="AU56" s="356"/>
      <c r="AV56" s="356"/>
      <c r="AW56" s="356"/>
      <c r="AX56" s="356"/>
      <c r="AY56" s="356"/>
      <c r="AZ56" s="356"/>
      <c r="BA56" s="356"/>
      <c r="BB56" s="356"/>
      <c r="BC56" s="356"/>
      <c r="BD56" s="356"/>
      <c r="BE56" s="356"/>
      <c r="BF56" s="356"/>
      <c r="BG56" s="356"/>
      <c r="BH56" s="356"/>
      <c r="BI56" s="356"/>
      <c r="BJ56" s="356"/>
      <c r="BK56" s="356"/>
      <c r="BL56" s="356"/>
      <c r="BM56" s="356"/>
    </row>
    <row r="57">
      <c r="A57" s="368" t="s">
        <v>131</v>
      </c>
      <c r="B57" s="369">
        <f t="shared" si="1"/>
        <v>20</v>
      </c>
      <c r="C57" s="370">
        <f>'Турнирная таблица по Алфавиту'!E59</f>
        <v>72.25</v>
      </c>
      <c r="D57" s="371">
        <f>'Турнирная таблица по Алфавиту'!F59</f>
        <v>18.0625</v>
      </c>
      <c r="E57" s="372">
        <f>COUNTIFS('Все игры'!A$3:A1000,A57,'Все игры'!F$3:F1000,"=1")</f>
        <v>0</v>
      </c>
      <c r="F57" s="372">
        <f>COUNTIFS('Все игры'!A$3:A1000,A57,'Все игры'!F$3:F1000,"=0,50")</f>
        <v>1</v>
      </c>
      <c r="G57" s="372">
        <f>COUNTIFS('Все игры'!A$3:A1000,A57,'Все игры'!G$3:G1000,"&gt;0")</f>
        <v>2</v>
      </c>
      <c r="H57" s="373">
        <f t="shared" si="2"/>
        <v>0.1176470588</v>
      </c>
      <c r="I57" s="374">
        <f>COUNTIFS('Все игры'!A$3:A1000,A57,'Все игры'!E$3:E1000,"У/Победа")</f>
        <v>2</v>
      </c>
      <c r="J57" s="374">
        <f>COUNTIFS('Все игры'!A$3:A1000,A57,'Все игры'!E$3:E1000,"У/Проигрыш")</f>
        <v>2</v>
      </c>
      <c r="K57" s="375">
        <f t="shared" si="3"/>
        <v>17</v>
      </c>
      <c r="L57" s="369">
        <f t="shared" si="4"/>
        <v>3</v>
      </c>
      <c r="M57" s="369">
        <f>COUNTIFS('Все игры'!A$3:A1000,A57,'Все игры'!C$3:C1000,"&gt;0",'Все игры'!B$3:B1000,"Мафия")</f>
        <v>2</v>
      </c>
      <c r="N57" s="369">
        <f>IFERROR(__xludf.DUMMYFUNCTION("COUNTBLANK(FILTER('Все игры'!A$3:C1000,'Все игры'!A$3:A1000=A57,'Все игры'!C$3:C1000 &lt; 1,'Все игры'!B$3:B1000=""Мафия""))"),1.0)</f>
        <v>1</v>
      </c>
      <c r="O57" s="369">
        <f>COUNTIFS('Все игры'!A$3:A1000,A57,'Все игры'!C$3:C1000,"&gt;0",'Все игры'!B$3:B1000,"Шериф")</f>
        <v>0</v>
      </c>
      <c r="P57" s="376">
        <f>IFERROR(__xludf.DUMMYFUNCTION("COUNTBLANK(FILTER('Все игры'!A$3:C1000,'Все игры'!A$3:A1000=A57,'Все игры'!C$3:C1000 &lt; 1,'Все игры'!B$3:B1000=""Шериф""))"),1.0)</f>
        <v>1</v>
      </c>
      <c r="Q57" s="369">
        <f>COUNTIFS('Все игры'!A$3:A1000,A57,'Все игры'!C$3:C1000,"&gt;0",'Все игры'!B$3:B1000,"Дон")</f>
        <v>0</v>
      </c>
      <c r="R57" s="369">
        <f>IFERROR(__xludf.DUMMYFUNCTION("COUNTBLANK(FILTER('Все игры'!A$3:C1000,'Все игры'!A$3:A1000=A57,'Все игры'!C$3:C1000 &lt; 1,'Все игры'!B$3:B1000=""Дон""))"),0.0)</f>
        <v>0</v>
      </c>
      <c r="S57" s="369">
        <f>COUNTIFS('Все игры'!A$3:A1000,A57,'Все игры'!C$3:C1000,"&gt;0",'Все игры'!B$3:B1000,"Мирный")</f>
        <v>5</v>
      </c>
      <c r="T57" s="377">
        <f>IFERROR(__xludf.DUMMYFUNCTION("COUNTBLANK(FILTER('Все игры'!A$3:C1000,'Все игры'!A$3:A1000=A57,'Все игры'!C$3:C1000 &lt; 1,'Все игры'!B$3:B1000=""Мирный""))"),11.0)</f>
        <v>11</v>
      </c>
      <c r="U57" s="378">
        <f t="shared" si="16"/>
        <v>0.35</v>
      </c>
      <c r="V57" s="379">
        <f t="shared" si="5"/>
        <v>0.2941176471</v>
      </c>
      <c r="W57" s="379">
        <f t="shared" si="6"/>
        <v>0.6666666667</v>
      </c>
      <c r="X57" s="379">
        <f t="shared" si="7"/>
        <v>0.6666666667</v>
      </c>
      <c r="Y57" s="379">
        <f t="shared" si="8"/>
        <v>0</v>
      </c>
      <c r="Z57" s="379">
        <f t="shared" si="9"/>
        <v>0</v>
      </c>
      <c r="AA57" s="380">
        <f t="shared" si="10"/>
        <v>0.3125</v>
      </c>
      <c r="AB57" s="370">
        <f>SUMIFS('Все игры'!D$3:D1000,'Все игры'!A$3:A1000,A57)</f>
        <v>53.25</v>
      </c>
      <c r="AC57" s="370">
        <f>SUMIFS('Все игры'!D$3:D1000,'Все игры'!A$3:A1000,A57,'Все игры'!B$3:B1000,"Мафия")</f>
        <v>8.5</v>
      </c>
      <c r="AD57" s="381">
        <f>SUMIFS('Все игры'!D$3:D1000,'Все игры'!A$3:A1000,A57,'Все игры'!B$3:B1000,"Шериф")</f>
        <v>2</v>
      </c>
      <c r="AE57" s="370">
        <f>SUMIFS('Все игры'!D$3:D1000,'Все игры'!A$3:A1000,A57,'Все игры'!B$3:B1000,"Дон")</f>
        <v>0</v>
      </c>
      <c r="AF57" s="371">
        <f>SUMIFS('Все игры'!D$3:D1000,'Все игры'!A$3:A1000,A57,'Все игры'!B$3:B1000,"Мирный")</f>
        <v>42.75</v>
      </c>
      <c r="AG57" s="370">
        <f t="shared" si="11"/>
        <v>2.6625</v>
      </c>
      <c r="AH57" s="370">
        <f t="shared" si="12"/>
        <v>2.833333333</v>
      </c>
      <c r="AI57" s="370">
        <f t="shared" si="13"/>
        <v>2</v>
      </c>
      <c r="AJ57" s="370">
        <f t="shared" si="14"/>
        <v>0</v>
      </c>
      <c r="AK57" s="370">
        <f t="shared" si="15"/>
        <v>2.671875</v>
      </c>
      <c r="AL57" s="356"/>
      <c r="AM57" s="356"/>
      <c r="AN57" s="356"/>
      <c r="AO57" s="356"/>
      <c r="AP57" s="356"/>
      <c r="AQ57" s="356"/>
      <c r="AR57" s="356"/>
      <c r="AS57" s="356"/>
      <c r="AT57" s="356"/>
      <c r="AU57" s="356"/>
      <c r="AV57" s="356"/>
      <c r="AW57" s="356"/>
      <c r="AX57" s="356"/>
      <c r="AY57" s="356"/>
      <c r="AZ57" s="356"/>
      <c r="BA57" s="356"/>
      <c r="BB57" s="356"/>
      <c r="BC57" s="356"/>
      <c r="BD57" s="356"/>
      <c r="BE57" s="356"/>
      <c r="BF57" s="356"/>
      <c r="BG57" s="356"/>
      <c r="BH57" s="356"/>
      <c r="BI57" s="356"/>
      <c r="BJ57" s="356"/>
      <c r="BK57" s="356"/>
      <c r="BL57" s="356"/>
      <c r="BM57" s="356"/>
    </row>
    <row r="58">
      <c r="A58" s="368" t="s">
        <v>132</v>
      </c>
      <c r="B58" s="355">
        <f t="shared" si="1"/>
        <v>5</v>
      </c>
      <c r="C58" s="356">
        <f>'Турнирная таблица по Алфавиту'!E60</f>
        <v>22.25</v>
      </c>
      <c r="D58" s="357">
        <f>'Турнирная таблица по Алфавиту'!F60</f>
        <v>22.25</v>
      </c>
      <c r="E58" s="358">
        <f>COUNTIFS('Все игры'!A$3:A1000,A58,'Все игры'!F$3:F1000,"=1")</f>
        <v>0</v>
      </c>
      <c r="F58" s="358">
        <f>COUNTIFS('Все игры'!A$3:A1000,A58,'Все игры'!F$3:F1000,"=0,50")</f>
        <v>0</v>
      </c>
      <c r="G58" s="358">
        <f>COUNTIFS('Все игры'!A$3:A1000,A58,'Все игры'!G$3:G1000,"&gt;0")</f>
        <v>0</v>
      </c>
      <c r="H58" s="359">
        <f t="shared" si="2"/>
        <v>0</v>
      </c>
      <c r="I58" s="360">
        <f>COUNTIFS('Все игры'!A$3:A1000,A58,'Все игры'!E$3:E1000,"У/Победа")</f>
        <v>1</v>
      </c>
      <c r="J58" s="360">
        <f>COUNTIFS('Все игры'!A$3:A1000,A58,'Все игры'!E$3:E1000,"У/Проигрыш")</f>
        <v>0</v>
      </c>
      <c r="K58" s="361">
        <f t="shared" si="3"/>
        <v>3</v>
      </c>
      <c r="L58" s="355">
        <f t="shared" si="4"/>
        <v>2</v>
      </c>
      <c r="M58" s="355">
        <f>COUNTIFS('Все игры'!A$3:A1000,A58,'Все игры'!C$3:C1000,"&gt;0",'Все игры'!B$3:B1000,"Мафия")</f>
        <v>1</v>
      </c>
      <c r="N58" s="355">
        <f>IFERROR(__xludf.DUMMYFUNCTION("COUNTBLANK(FILTER('Все игры'!A$3:C1000,'Все игры'!A$3:A1000=A58,'Все игры'!C$3:C1000 &lt; 1,'Все игры'!B$3:B1000=""Мафия""))"),0.0)</f>
        <v>0</v>
      </c>
      <c r="O58" s="355">
        <f>COUNTIFS('Все игры'!A$3:A1000,A58,'Все игры'!C$3:C1000,"&gt;0",'Все игры'!B$3:B1000,"Шериф")</f>
        <v>0</v>
      </c>
      <c r="P58" s="362">
        <f>IFERROR(__xludf.DUMMYFUNCTION("COUNTBLANK(FILTER('Все игры'!A$3:C1000,'Все игры'!A$3:A1000=A58,'Все игры'!C$3:C1000 &lt; 1,'Все игры'!B$3:B1000=""Шериф""))"),1.0)</f>
        <v>1</v>
      </c>
      <c r="Q58" s="355">
        <f>COUNTIFS('Все игры'!A$3:A1000,A58,'Все игры'!C$3:C1000,"&gt;0",'Все игры'!B$3:B1000,"Дон")</f>
        <v>1</v>
      </c>
      <c r="R58" s="355">
        <f>IFERROR(__xludf.DUMMYFUNCTION("COUNTBLANK(FILTER('Все игры'!A$3:C1000,'Все игры'!A$3:A1000=A58,'Все игры'!C$3:C1000 &lt; 1,'Все игры'!B$3:B1000=""Дон""))"),0.0)</f>
        <v>0</v>
      </c>
      <c r="S58" s="355">
        <f>COUNTIFS('Все игры'!A$3:A1000,A58,'Все игры'!C$3:C1000,"&gt;0",'Все игры'!B$3:B1000,"Мирный")</f>
        <v>1</v>
      </c>
      <c r="T58" s="363">
        <f>IFERROR(__xludf.DUMMYFUNCTION("COUNTBLANK(FILTER('Все игры'!A$3:C1000,'Все игры'!A$3:A1000=A58,'Все игры'!C$3:C1000 &lt; 1,'Все игры'!B$3:B1000=""Мирный""))"),1.0)</f>
        <v>1</v>
      </c>
      <c r="U58" s="364">
        <f t="shared" si="16"/>
        <v>0.6</v>
      </c>
      <c r="V58" s="365">
        <f t="shared" si="5"/>
        <v>0.3333333333</v>
      </c>
      <c r="W58" s="365">
        <f t="shared" si="6"/>
        <v>1</v>
      </c>
      <c r="X58" s="365">
        <f t="shared" si="7"/>
        <v>1</v>
      </c>
      <c r="Y58" s="365">
        <f t="shared" si="8"/>
        <v>0</v>
      </c>
      <c r="Z58" s="365">
        <f t="shared" si="9"/>
        <v>1</v>
      </c>
      <c r="AA58" s="366">
        <f t="shared" si="10"/>
        <v>0.5</v>
      </c>
      <c r="AB58" s="356">
        <f>SUMIFS('Все игры'!D$3:D1000,'Все игры'!A$3:A1000,A58)</f>
        <v>14.75</v>
      </c>
      <c r="AC58" s="356">
        <f>SUMIFS('Все игры'!D$3:D1000,'Все игры'!A$3:A1000,A58,'Все игры'!B$3:B1000,"Мафия")</f>
        <v>4</v>
      </c>
      <c r="AD58" s="367">
        <f>SUMIFS('Все игры'!D$3:D1000,'Все игры'!A$3:A1000,A58,'Все игры'!B$3:B1000,"Шериф")</f>
        <v>2.25</v>
      </c>
      <c r="AE58" s="356">
        <f>SUMIFS('Все игры'!D$3:D1000,'Все игры'!A$3:A1000,A58,'Все игры'!B$3:B1000,"Дон")</f>
        <v>3.5</v>
      </c>
      <c r="AF58" s="357">
        <f>SUMIFS('Все игры'!D$3:D1000,'Все игры'!A$3:A1000,A58,'Все игры'!B$3:B1000,"Мирный")</f>
        <v>5</v>
      </c>
      <c r="AG58" s="356">
        <f t="shared" si="11"/>
        <v>2.95</v>
      </c>
      <c r="AH58" s="356">
        <f t="shared" si="12"/>
        <v>4</v>
      </c>
      <c r="AI58" s="356">
        <f t="shared" si="13"/>
        <v>2.25</v>
      </c>
      <c r="AJ58" s="356">
        <f t="shared" si="14"/>
        <v>3.5</v>
      </c>
      <c r="AK58" s="356">
        <f t="shared" si="15"/>
        <v>2.5</v>
      </c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/>
      <c r="AZ58" s="356"/>
      <c r="BA58" s="356"/>
      <c r="BB58" s="356"/>
      <c r="BC58" s="356"/>
      <c r="BD58" s="356"/>
      <c r="BE58" s="356"/>
      <c r="BF58" s="356"/>
      <c r="BG58" s="356"/>
      <c r="BH58" s="356"/>
      <c r="BI58" s="356"/>
      <c r="BJ58" s="356"/>
      <c r="BK58" s="356"/>
      <c r="BL58" s="356"/>
      <c r="BM58" s="356"/>
    </row>
    <row r="59" ht="19.5" customHeight="1">
      <c r="A59" s="368" t="s">
        <v>133</v>
      </c>
      <c r="B59" s="369">
        <f t="shared" si="1"/>
        <v>10</v>
      </c>
      <c r="C59" s="370">
        <f>'Турнирная таблица по Алфавиту'!E61</f>
        <v>32.5</v>
      </c>
      <c r="D59" s="371">
        <f>'Турнирная таблица по Алфавиту'!F61</f>
        <v>16.25</v>
      </c>
      <c r="E59" s="372">
        <f>COUNTIFS('Все игры'!A$3:A1000,A59,'Все игры'!F$3:F1000,"=1")</f>
        <v>0</v>
      </c>
      <c r="F59" s="372">
        <f>COUNTIFS('Все игры'!A$3:A1000,A59,'Все игры'!F$3:F1000,"=0,50")</f>
        <v>0</v>
      </c>
      <c r="G59" s="372">
        <f>COUNTIFS('Все игры'!A$3:A1000,A59,'Все игры'!G$3:G1000,"&gt;0")</f>
        <v>1</v>
      </c>
      <c r="H59" s="373">
        <f t="shared" si="2"/>
        <v>0.1666666667</v>
      </c>
      <c r="I59" s="374">
        <f>COUNTIFS('Все игры'!A$3:A1000,A59,'Все игры'!E$3:E1000,"У/Победа")</f>
        <v>0</v>
      </c>
      <c r="J59" s="374">
        <f>COUNTIFS('Все игры'!A$3:A1000,A59,'Все игры'!E$3:E1000,"У/Проигрыш")</f>
        <v>1</v>
      </c>
      <c r="K59" s="375">
        <f t="shared" si="3"/>
        <v>6</v>
      </c>
      <c r="L59" s="369">
        <f t="shared" si="4"/>
        <v>4</v>
      </c>
      <c r="M59" s="369">
        <f>COUNTIFS('Все игры'!A$3:A1000,A59,'Все игры'!C$3:C1000,"&gt;0",'Все игры'!B$3:B1000,"Мафия")</f>
        <v>1</v>
      </c>
      <c r="N59" s="369">
        <f>IFERROR(__xludf.DUMMYFUNCTION("COUNTBLANK(FILTER('Все игры'!A$3:C1000,'Все игры'!A$3:A1000=A59,'Все игры'!C$3:C1000 &lt; 1,'Все игры'!B$3:B1000=""Мафия""))"),2.0)</f>
        <v>2</v>
      </c>
      <c r="O59" s="369">
        <f>COUNTIFS('Все игры'!A$3:A1000,A59,'Все игры'!C$3:C1000,"&gt;0",'Все игры'!B$3:B1000,"Шериф")</f>
        <v>1</v>
      </c>
      <c r="P59" s="376">
        <f>IFERROR(__xludf.DUMMYFUNCTION("COUNTBLANK(FILTER('Все игры'!A$3:C1000,'Все игры'!A$3:A1000=A59,'Все игры'!C$3:C1000 &lt; 1,'Все игры'!B$3:B1000=""Шериф""))"),0.0)</f>
        <v>0</v>
      </c>
      <c r="Q59" s="369">
        <f>COUNTIFS('Все игры'!A$3:A1000,A59,'Все игры'!C$3:C1000,"&gt;0",'Все игры'!B$3:B1000,"Дон")</f>
        <v>0</v>
      </c>
      <c r="R59" s="369">
        <f>IFERROR(__xludf.DUMMYFUNCTION("COUNTBLANK(FILTER('Все игры'!A$3:C1000,'Все игры'!A$3:A1000=A59,'Все игры'!C$3:C1000 &lt; 1,'Все игры'!B$3:B1000=""Дон""))"),1.0)</f>
        <v>1</v>
      </c>
      <c r="S59" s="369">
        <f>COUNTIFS('Все игры'!A$3:A1000,A59,'Все игры'!C$3:C1000,"&gt;0",'Все игры'!B$3:B1000,"Мирный")</f>
        <v>0</v>
      </c>
      <c r="T59" s="377">
        <f>IFERROR(__xludf.DUMMYFUNCTION("COUNTBLANK(FILTER('Все игры'!A$3:C1000,'Все игры'!A$3:A1000=A59,'Все игры'!C$3:C1000 &lt; 1,'Все игры'!B$3:B1000=""Мирный""))"),5.0)</f>
        <v>5</v>
      </c>
      <c r="U59" s="378">
        <f t="shared" si="16"/>
        <v>0.2</v>
      </c>
      <c r="V59" s="379">
        <f t="shared" si="5"/>
        <v>0.1666666667</v>
      </c>
      <c r="W59" s="379">
        <f t="shared" si="6"/>
        <v>0.25</v>
      </c>
      <c r="X59" s="379">
        <f t="shared" si="7"/>
        <v>0.3333333333</v>
      </c>
      <c r="Y59" s="379">
        <f t="shared" si="8"/>
        <v>1</v>
      </c>
      <c r="Z59" s="379">
        <f t="shared" si="9"/>
        <v>0</v>
      </c>
      <c r="AA59" s="380">
        <f t="shared" si="10"/>
        <v>0</v>
      </c>
      <c r="AB59" s="370">
        <f>SUMIFS('Все игры'!D$3:D1000,'Все игры'!A$3:A1000,A59)</f>
        <v>27</v>
      </c>
      <c r="AC59" s="370">
        <f>SUMIFS('Все игры'!D$3:D1000,'Все игры'!A$3:A1000,A59,'Все игры'!B$3:B1000,"Мафия")</f>
        <v>8.75</v>
      </c>
      <c r="AD59" s="370">
        <f>SUMIFS('Все игры'!D$3:D1000,'Все игры'!A$3:A1000,A59,'Все игры'!B$3:B1000,"Шериф")</f>
        <v>4</v>
      </c>
      <c r="AE59" s="370">
        <f>SUMIFS('Все игры'!D$3:D1000,'Все игры'!A$3:A1000,A59,'Все игры'!B$3:B1000,"Дон")</f>
        <v>2.75</v>
      </c>
      <c r="AF59" s="370">
        <f>SUMIFS('Все игры'!D$3:D1000,'Все игры'!A$3:A1000,A59,'Все игры'!B$3:B1000,"Мирный")</f>
        <v>11.5</v>
      </c>
      <c r="AG59" s="370">
        <f t="shared" si="11"/>
        <v>2.7</v>
      </c>
      <c r="AH59" s="370">
        <f t="shared" si="12"/>
        <v>2.916666667</v>
      </c>
      <c r="AI59" s="370">
        <f t="shared" si="13"/>
        <v>4</v>
      </c>
      <c r="AJ59" s="370">
        <f t="shared" si="14"/>
        <v>2.75</v>
      </c>
      <c r="AK59" s="370">
        <f t="shared" si="15"/>
        <v>2.3</v>
      </c>
      <c r="AL59" s="383"/>
      <c r="AM59" s="355"/>
      <c r="AN59" s="355"/>
      <c r="AO59" s="355"/>
      <c r="AP59" s="355"/>
      <c r="AQ59" s="355"/>
      <c r="AR59" s="356"/>
      <c r="AS59" s="355"/>
      <c r="AT59" s="355"/>
      <c r="AU59" s="355"/>
      <c r="AV59" s="355"/>
      <c r="AW59" s="364"/>
      <c r="AX59" s="365"/>
      <c r="AY59" s="365"/>
      <c r="AZ59" s="365"/>
      <c r="BA59" s="365"/>
      <c r="BB59" s="365"/>
      <c r="BC59" s="365"/>
      <c r="BD59" s="356"/>
      <c r="BE59" s="356"/>
      <c r="BF59" s="367"/>
      <c r="BG59" s="356"/>
      <c r="BH59" s="356"/>
      <c r="BI59" s="356"/>
      <c r="BJ59" s="356"/>
      <c r="BK59" s="356"/>
      <c r="BL59" s="356"/>
      <c r="BM59" s="356"/>
    </row>
    <row r="60">
      <c r="A60" s="368" t="s">
        <v>134</v>
      </c>
      <c r="B60" s="355">
        <f t="shared" si="1"/>
        <v>0</v>
      </c>
      <c r="C60" s="356">
        <f>'Турнирная таблица по Алфавиту'!E62</f>
        <v>0</v>
      </c>
      <c r="D60" s="357" t="str">
        <f>'Турнирная таблица по Алфавиту'!F62</f>
        <v/>
      </c>
      <c r="E60" s="358">
        <f>COUNTIFS('Все игры'!A$3:A1000,A60,'Все игры'!F$3:F1000,"=1")</f>
        <v>0</v>
      </c>
      <c r="F60" s="358">
        <f>COUNTIFS('Все игры'!A$3:A1000,A60,'Все игры'!F$3:F1000,"=0,50")</f>
        <v>0</v>
      </c>
      <c r="G60" s="358">
        <f>COUNTIFS('Все игры'!A$3:A1000,A60,'Все игры'!G$3:G1000,"&gt;0")</f>
        <v>0</v>
      </c>
      <c r="H60" s="359">
        <f t="shared" si="2"/>
        <v>0</v>
      </c>
      <c r="I60" s="360">
        <f>COUNTIFS('Все игры'!A$3:A1000,A60,'Все игры'!E$3:E1000,"У/Победа")</f>
        <v>0</v>
      </c>
      <c r="J60" s="360">
        <f>COUNTIFS('Все игры'!A$3:A1000,A60,'Все игры'!E$3:E1000,"У/Проигрыш")</f>
        <v>0</v>
      </c>
      <c r="K60" s="361">
        <f t="shared" si="3"/>
        <v>0</v>
      </c>
      <c r="L60" s="355">
        <f t="shared" si="4"/>
        <v>0</v>
      </c>
      <c r="M60" s="355">
        <f>COUNTIFS('Все игры'!A$3:A1000,A60,'Все игры'!C$3:C1000,"&gt;0",'Все игры'!B$3:B1000,"Мафия")</f>
        <v>0</v>
      </c>
      <c r="N60" s="355">
        <f>IFERROR(__xludf.DUMMYFUNCTION("COUNTBLANK(FILTER('Все игры'!A$3:C1000,'Все игры'!A$3:A1000=A60,'Все игры'!C$3:C1000 &lt; 1,'Все игры'!B$3:B1000=""Мафия""))"),0.0)</f>
        <v>0</v>
      </c>
      <c r="O60" s="355">
        <f>COUNTIFS('Все игры'!A$3:A1000,A60,'Все игры'!C$3:C1000,"&gt;0",'Все игры'!B$3:B1000,"Шериф")</f>
        <v>0</v>
      </c>
      <c r="P60" s="362">
        <f>IFERROR(__xludf.DUMMYFUNCTION("COUNTBLANK(FILTER('Все игры'!A$3:C1000,'Все игры'!A$3:A1000=A60,'Все игры'!C$3:C1000 &lt; 1,'Все игры'!B$3:B1000=""Шериф""))"),0.0)</f>
        <v>0</v>
      </c>
      <c r="Q60" s="355">
        <f>COUNTIFS('Все игры'!A$3:A1000,A60,'Все игры'!C$3:C1000,"&gt;0",'Все игры'!B$3:B1000,"Дон")</f>
        <v>0</v>
      </c>
      <c r="R60" s="355">
        <f>IFERROR(__xludf.DUMMYFUNCTION("COUNTBLANK(FILTER('Все игры'!A$3:C1000,'Все игры'!A$3:A1000=A60,'Все игры'!C$3:C1000 &lt; 1,'Все игры'!B$3:B1000=""Дон""))"),0.0)</f>
        <v>0</v>
      </c>
      <c r="S60" s="355">
        <f>COUNTIFS('Все игры'!A$3:A1000,A60,'Все игры'!C$3:C1000,"&gt;0",'Все игры'!B$3:B1000,"Мирный")</f>
        <v>0</v>
      </c>
      <c r="T60" s="363">
        <f>IFERROR(__xludf.DUMMYFUNCTION("COUNTBLANK(FILTER('Все игры'!A$3:C1000,'Все игры'!A$3:A1000=A60,'Все игры'!C$3:C1000 &lt; 1,'Все игры'!B$3:B1000=""Мирный""))"),0.0)</f>
        <v>0</v>
      </c>
      <c r="U60" s="364">
        <f t="shared" si="16"/>
        <v>0</v>
      </c>
      <c r="V60" s="365">
        <f t="shared" si="5"/>
        <v>0</v>
      </c>
      <c r="W60" s="365">
        <f t="shared" si="6"/>
        <v>0</v>
      </c>
      <c r="X60" s="365">
        <f t="shared" si="7"/>
        <v>0</v>
      </c>
      <c r="Y60" s="365">
        <f t="shared" si="8"/>
        <v>0</v>
      </c>
      <c r="Z60" s="365">
        <f t="shared" si="9"/>
        <v>0</v>
      </c>
      <c r="AA60" s="366">
        <f t="shared" si="10"/>
        <v>0</v>
      </c>
      <c r="AB60" s="356">
        <f>SUMIFS('Все игры'!D$3:D1000,'Все игры'!A$3:A1000,A60)</f>
        <v>0</v>
      </c>
      <c r="AC60" s="356">
        <f>SUMIFS('Все игры'!D$3:D1000,'Все игры'!A$3:A1000,A60,'Все игры'!B$3:B1000,"Мафия")</f>
        <v>0</v>
      </c>
      <c r="AD60" s="367">
        <f>SUMIFS('Все игры'!D$3:D1000,'Все игры'!A$3:A1000,A60,'Все игры'!B$3:B1000,"Шериф")</f>
        <v>0</v>
      </c>
      <c r="AE60" s="356">
        <f>SUMIFS('Все игры'!D$3:D1000,'Все игры'!A$3:A1000,A60,'Все игры'!B$3:B1000,"Дон")</f>
        <v>0</v>
      </c>
      <c r="AF60" s="357">
        <f>SUMIFS('Все игры'!D$3:D1000,'Все игры'!A$3:A1000,A60,'Все игры'!B$3:B1000,"Мирный")</f>
        <v>0</v>
      </c>
      <c r="AG60" s="356">
        <f t="shared" si="11"/>
        <v>0</v>
      </c>
      <c r="AH60" s="356">
        <f t="shared" si="12"/>
        <v>0</v>
      </c>
      <c r="AI60" s="356">
        <f t="shared" si="13"/>
        <v>0</v>
      </c>
      <c r="AJ60" s="356">
        <f t="shared" si="14"/>
        <v>0</v>
      </c>
      <c r="AK60" s="356">
        <f t="shared" si="15"/>
        <v>0</v>
      </c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  <c r="BD60" s="356"/>
      <c r="BE60" s="356"/>
      <c r="BF60" s="356"/>
      <c r="BG60" s="356"/>
      <c r="BH60" s="356"/>
      <c r="BI60" s="356"/>
      <c r="BJ60" s="356"/>
      <c r="BK60" s="356"/>
      <c r="BL60" s="356"/>
      <c r="BM60" s="356"/>
    </row>
    <row r="61">
      <c r="A61" s="382" t="s">
        <v>135</v>
      </c>
      <c r="B61" s="369">
        <f t="shared" si="1"/>
        <v>10</v>
      </c>
      <c r="C61" s="370">
        <f>'Турнирная таблица по Алфавиту'!E63</f>
        <v>37</v>
      </c>
      <c r="D61" s="371">
        <f>'Турнирная таблица по Алфавиту'!F63</f>
        <v>18.5</v>
      </c>
      <c r="E61" s="372">
        <f>COUNTIFS('Все игры'!A$3:A1000,A61,'Все игры'!F$3:F1000,"=1")</f>
        <v>0</v>
      </c>
      <c r="F61" s="372">
        <f>COUNTIFS('Все игры'!A$3:A1000,A61,'Все игры'!F$3:F1000,"=0,50")</f>
        <v>0</v>
      </c>
      <c r="G61" s="372">
        <f>COUNTIFS('Все игры'!A$3:A1000,A61,'Все игры'!G$3:G1000,"&gt;0")</f>
        <v>0</v>
      </c>
      <c r="H61" s="373">
        <f t="shared" si="2"/>
        <v>0</v>
      </c>
      <c r="I61" s="374">
        <f>COUNTIFS('Все игры'!A$3:A1000,A61,'Все игры'!E$3:E1000,"У/Победа")</f>
        <v>2</v>
      </c>
      <c r="J61" s="374">
        <f>COUNTIFS('Все игры'!A$3:A1000,A61,'Все игры'!E$3:E1000,"У/Проигрыш")</f>
        <v>0</v>
      </c>
      <c r="K61" s="375">
        <f t="shared" si="3"/>
        <v>7</v>
      </c>
      <c r="L61" s="369">
        <f t="shared" si="4"/>
        <v>3</v>
      </c>
      <c r="M61" s="369">
        <f>COUNTIFS('Все игры'!A$3:A1000,A61,'Все игры'!C$3:C1000,"&gt;0",'Все игры'!B$3:B1000,"Мафия")</f>
        <v>1</v>
      </c>
      <c r="N61" s="369">
        <f>IFERROR(__xludf.DUMMYFUNCTION("COUNTBLANK(FILTER('Все игры'!A$3:C1000,'Все игры'!A$3:A1000=A61,'Все игры'!C$3:C1000 &lt; 1,'Все игры'!B$3:B1000=""Мафия""))"),2.0)</f>
        <v>2</v>
      </c>
      <c r="O61" s="369">
        <f>COUNTIFS('Все игры'!A$3:A1000,A61,'Все игры'!C$3:C1000,"&gt;0",'Все игры'!B$3:B1000,"Шериф")</f>
        <v>0</v>
      </c>
      <c r="P61" s="376">
        <f>IFERROR(__xludf.DUMMYFUNCTION("COUNTBLANK(FILTER('Все игры'!A$3:C1000,'Все игры'!A$3:A1000=A61,'Все игры'!C$3:C1000 &lt; 1,'Все игры'!B$3:B1000=""Шериф""))"),0.0)</f>
        <v>0</v>
      </c>
      <c r="Q61" s="369">
        <f>COUNTIFS('Все игры'!A$3:A1000,A61,'Все игры'!C$3:C1000,"&gt;0",'Все игры'!B$3:B1000,"Дон")</f>
        <v>0</v>
      </c>
      <c r="R61" s="369">
        <f>IFERROR(__xludf.DUMMYFUNCTION("COUNTBLANK(FILTER('Все игры'!A$3:C1000,'Все игры'!A$3:A1000=A61,'Все игры'!C$3:C1000 &lt; 1,'Все игры'!B$3:B1000=""Дон""))"),0.0)</f>
        <v>0</v>
      </c>
      <c r="S61" s="369">
        <f>COUNTIFS('Все игры'!A$3:A1000,A61,'Все игры'!C$3:C1000,"&gt;0",'Все игры'!B$3:B1000,"Мирный")</f>
        <v>4</v>
      </c>
      <c r="T61" s="377">
        <f>IFERROR(__xludf.DUMMYFUNCTION("COUNTBLANK(FILTER('Все игры'!A$3:C1000,'Все игры'!A$3:A1000=A61,'Все игры'!C$3:C1000 &lt; 1,'Все игры'!B$3:B1000=""Мирный""))"),3.0)</f>
        <v>3</v>
      </c>
      <c r="U61" s="378">
        <f t="shared" si="16"/>
        <v>0.5</v>
      </c>
      <c r="V61" s="379">
        <f t="shared" si="5"/>
        <v>0.5714285714</v>
      </c>
      <c r="W61" s="379">
        <f t="shared" si="6"/>
        <v>0.3333333333</v>
      </c>
      <c r="X61" s="379">
        <f t="shared" si="7"/>
        <v>0.3333333333</v>
      </c>
      <c r="Y61" s="379">
        <f t="shared" si="8"/>
        <v>0</v>
      </c>
      <c r="Z61" s="379">
        <f t="shared" si="9"/>
        <v>0</v>
      </c>
      <c r="AA61" s="380">
        <f t="shared" si="10"/>
        <v>0.5714285714</v>
      </c>
      <c r="AB61" s="370">
        <f>SUMIFS('Все игры'!D$3:D1000,'Все игры'!A$3:A1000,A61)</f>
        <v>24.5</v>
      </c>
      <c r="AC61" s="370">
        <f>SUMIFS('Все игры'!D$3:D1000,'Все игры'!A$3:A1000,A61,'Все игры'!B$3:B1000,"Мафия")</f>
        <v>8.25</v>
      </c>
      <c r="AD61" s="381">
        <f>SUMIFS('Все игры'!D$3:D1000,'Все игры'!A$3:A1000,A61,'Все игры'!B$3:B1000,"Шериф")</f>
        <v>0</v>
      </c>
      <c r="AE61" s="370">
        <f>SUMIFS('Все игры'!D$3:D1000,'Все игры'!A$3:A1000,A61,'Все игры'!B$3:B1000,"Дон")</f>
        <v>0</v>
      </c>
      <c r="AF61" s="371">
        <f>SUMIFS('Все игры'!D$3:D1000,'Все игры'!A$3:A1000,A61,'Все игры'!B$3:B1000,"Мирный")</f>
        <v>16.25</v>
      </c>
      <c r="AG61" s="370">
        <f t="shared" si="11"/>
        <v>2.45</v>
      </c>
      <c r="AH61" s="370">
        <f t="shared" si="12"/>
        <v>2.75</v>
      </c>
      <c r="AI61" s="370">
        <f t="shared" si="13"/>
        <v>0</v>
      </c>
      <c r="AJ61" s="370">
        <f t="shared" si="14"/>
        <v>0</v>
      </c>
      <c r="AK61" s="370">
        <f t="shared" si="15"/>
        <v>2.321428571</v>
      </c>
      <c r="AL61" s="356"/>
      <c r="AM61" s="356"/>
      <c r="AN61" s="356"/>
      <c r="AO61" s="356"/>
      <c r="AP61" s="356"/>
      <c r="AQ61" s="356"/>
      <c r="AR61" s="356"/>
      <c r="AS61" s="356"/>
      <c r="AT61" s="356"/>
      <c r="AU61" s="356"/>
      <c r="AV61" s="356"/>
      <c r="AW61" s="356"/>
      <c r="AX61" s="356"/>
      <c r="AY61" s="356"/>
      <c r="AZ61" s="356"/>
      <c r="BA61" s="356"/>
      <c r="BB61" s="356"/>
      <c r="BC61" s="356"/>
      <c r="BD61" s="356"/>
      <c r="BE61" s="356"/>
      <c r="BF61" s="356"/>
      <c r="BG61" s="356"/>
      <c r="BH61" s="356"/>
      <c r="BI61" s="356"/>
      <c r="BJ61" s="356"/>
      <c r="BK61" s="356"/>
      <c r="BL61" s="356"/>
      <c r="BM61" s="356"/>
    </row>
    <row r="62">
      <c r="A62" s="368" t="s">
        <v>136</v>
      </c>
      <c r="B62" s="355">
        <f t="shared" si="1"/>
        <v>5</v>
      </c>
      <c r="C62" s="356">
        <f>'Турнирная таблица по Алфавиту'!E64</f>
        <v>14.5</v>
      </c>
      <c r="D62" s="357">
        <f>'Турнирная таблица по Алфавиту'!F64</f>
        <v>14.5</v>
      </c>
      <c r="E62" s="358">
        <f>COUNTIFS('Все игры'!A$3:A1000,A62,'Все игры'!F$3:F1000,"=1")</f>
        <v>0</v>
      </c>
      <c r="F62" s="358">
        <f>COUNTIFS('Все игры'!A$3:A1000,A62,'Все игры'!F$3:F1000,"=0,50")</f>
        <v>0</v>
      </c>
      <c r="G62" s="358">
        <f>COUNTIFS('Все игры'!A$3:A1000,A62,'Все игры'!G$3:G1000,"&gt;0")</f>
        <v>0</v>
      </c>
      <c r="H62" s="359">
        <f t="shared" si="2"/>
        <v>0</v>
      </c>
      <c r="I62" s="360">
        <f>COUNTIFS('Все игры'!A$3:A1000,A62,'Все игры'!E$3:E1000,"У/Победа")</f>
        <v>0</v>
      </c>
      <c r="J62" s="360">
        <f>COUNTIFS('Все игры'!A$3:A1000,A62,'Все игры'!E$3:E1000,"У/Проигрыш")</f>
        <v>0</v>
      </c>
      <c r="K62" s="361">
        <f t="shared" si="3"/>
        <v>5</v>
      </c>
      <c r="L62" s="355">
        <f t="shared" si="4"/>
        <v>0</v>
      </c>
      <c r="M62" s="355">
        <f>COUNTIFS('Все игры'!A$3:A1000,A62,'Все игры'!C$3:C1000,"&gt;0",'Все игры'!B$3:B1000,"Мафия")</f>
        <v>0</v>
      </c>
      <c r="N62" s="355">
        <f>IFERROR(__xludf.DUMMYFUNCTION("COUNTBLANK(FILTER('Все игры'!A$3:C1000,'Все игры'!A$3:A1000=A62,'Все игры'!C$3:C1000 &lt; 1,'Все игры'!B$3:B1000=""Мафия""))"),0.0)</f>
        <v>0</v>
      </c>
      <c r="O62" s="355">
        <f>COUNTIFS('Все игры'!A$3:A1000,A62,'Все игры'!C$3:C1000,"&gt;0",'Все игры'!B$3:B1000,"Шериф")</f>
        <v>1</v>
      </c>
      <c r="P62" s="362">
        <f>IFERROR(__xludf.DUMMYFUNCTION("COUNTBLANK(FILTER('Все игры'!A$3:C1000,'Все игры'!A$3:A1000=A62,'Все игры'!C$3:C1000 &lt; 1,'Все игры'!B$3:B1000=""Шериф""))"),0.0)</f>
        <v>0</v>
      </c>
      <c r="Q62" s="355">
        <f>COUNTIFS('Все игры'!A$3:A1000,A62,'Все игры'!C$3:C1000,"&gt;0",'Все игры'!B$3:B1000,"Дон")</f>
        <v>0</v>
      </c>
      <c r="R62" s="355">
        <f>IFERROR(__xludf.DUMMYFUNCTION("COUNTBLANK(FILTER('Все игры'!A$3:C1000,'Все игры'!A$3:A1000=A62,'Все игры'!C$3:C1000 &lt; 1,'Все игры'!B$3:B1000=""Дон""))"),0.0)</f>
        <v>0</v>
      </c>
      <c r="S62" s="355">
        <f>COUNTIFS('Все игры'!A$3:A1000,A62,'Все игры'!C$3:C1000,"&gt;0",'Все игры'!B$3:B1000,"Мирный")</f>
        <v>0</v>
      </c>
      <c r="T62" s="363">
        <f>IFERROR(__xludf.DUMMYFUNCTION("COUNTBLANK(FILTER('Все игры'!A$3:C1000,'Все игры'!A$3:A1000=A62,'Все игры'!C$3:C1000 &lt; 1,'Все игры'!B$3:B1000=""Мирный""))"),4.0)</f>
        <v>4</v>
      </c>
      <c r="U62" s="364">
        <f t="shared" si="16"/>
        <v>0.2</v>
      </c>
      <c r="V62" s="365">
        <f t="shared" si="5"/>
        <v>0.2</v>
      </c>
      <c r="W62" s="365">
        <f t="shared" si="6"/>
        <v>0</v>
      </c>
      <c r="X62" s="365">
        <f t="shared" si="7"/>
        <v>0</v>
      </c>
      <c r="Y62" s="365">
        <f t="shared" si="8"/>
        <v>1</v>
      </c>
      <c r="Z62" s="365">
        <f t="shared" si="9"/>
        <v>0</v>
      </c>
      <c r="AA62" s="366">
        <f t="shared" si="10"/>
        <v>0</v>
      </c>
      <c r="AB62" s="356">
        <f>SUMIFS('Все игры'!D$3:D1000,'Все игры'!A$3:A1000,A62)</f>
        <v>12</v>
      </c>
      <c r="AC62" s="356">
        <f>SUMIFS('Все игры'!D$3:D1000,'Все игры'!A$3:A1000,A62,'Все игры'!B$3:B1000,"Мафия")</f>
        <v>0</v>
      </c>
      <c r="AD62" s="367">
        <f>SUMIFS('Все игры'!D$3:D1000,'Все игры'!A$3:A1000,A62,'Все игры'!B$3:B1000,"Шериф")</f>
        <v>2.5</v>
      </c>
      <c r="AE62" s="356">
        <f>SUMIFS('Все игры'!D$3:D1000,'Все игры'!A$3:A1000,A62,'Все игры'!B$3:B1000,"Дон")</f>
        <v>0</v>
      </c>
      <c r="AF62" s="357">
        <f>SUMIFS('Все игры'!D$3:D1000,'Все игры'!A$3:A1000,A62,'Все игры'!B$3:B1000,"Мирный")</f>
        <v>9.5</v>
      </c>
      <c r="AG62" s="356">
        <f t="shared" si="11"/>
        <v>2.4</v>
      </c>
      <c r="AH62" s="356">
        <f t="shared" si="12"/>
        <v>0</v>
      </c>
      <c r="AI62" s="356">
        <f t="shared" si="13"/>
        <v>2.5</v>
      </c>
      <c r="AJ62" s="356">
        <f t="shared" si="14"/>
        <v>0</v>
      </c>
      <c r="AK62" s="356">
        <f t="shared" si="15"/>
        <v>2.375</v>
      </c>
      <c r="AL62" s="356"/>
      <c r="AM62" s="356"/>
      <c r="AN62" s="356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</row>
    <row r="63">
      <c r="A63" s="382" t="s">
        <v>137</v>
      </c>
      <c r="B63" s="355">
        <f t="shared" si="1"/>
        <v>10</v>
      </c>
      <c r="C63" s="356">
        <f>'Турнирная таблица по Алфавиту'!E65</f>
        <v>33.5</v>
      </c>
      <c r="D63" s="357">
        <f>'Турнирная таблица по Алфавиту'!F65</f>
        <v>16.75</v>
      </c>
      <c r="E63" s="358">
        <f>COUNTIFS('Все игры'!A$3:A1000,A63,'Все игры'!F$3:F1000,"=1")</f>
        <v>0</v>
      </c>
      <c r="F63" s="358">
        <f>COUNTIFS('Все игры'!A$3:A1000,A63,'Все игры'!F$3:F1000,"=0,50")</f>
        <v>0</v>
      </c>
      <c r="G63" s="358">
        <f>COUNTIFS('Все игры'!A$3:A1000,A63,'Все игры'!G$3:G1000,"&gt;0")</f>
        <v>0</v>
      </c>
      <c r="H63" s="359">
        <f t="shared" si="2"/>
        <v>0</v>
      </c>
      <c r="I63" s="360">
        <f>COUNTIFS('Все игры'!A$3:A1000,A63,'Все игры'!E$3:E1000,"У/Победа")</f>
        <v>1</v>
      </c>
      <c r="J63" s="360">
        <f>COUNTIFS('Все игры'!A$3:A1000,A63,'Все игры'!E$3:E1000,"У/Проигрыш")</f>
        <v>0</v>
      </c>
      <c r="K63" s="361">
        <f t="shared" si="3"/>
        <v>7</v>
      </c>
      <c r="L63" s="355">
        <f t="shared" si="4"/>
        <v>3</v>
      </c>
      <c r="M63" s="355">
        <f>COUNTIFS('Все игры'!A$3:A1000,A63,'Все игры'!C$3:C1000,"&gt;0",'Все игры'!B$3:B1000,"Мафия")</f>
        <v>1</v>
      </c>
      <c r="N63" s="355">
        <f>IFERROR(__xludf.DUMMYFUNCTION("COUNTBLANK(FILTER('Все игры'!A$3:C1000,'Все игры'!A$3:A1000=A63,'Все игры'!C$3:C1000 &lt; 1,'Все игры'!B$3:B1000=""Мафия""))"),2.0)</f>
        <v>2</v>
      </c>
      <c r="O63" s="355">
        <f>COUNTIFS('Все игры'!A$3:A1000,A63,'Все игры'!C$3:C1000,"&gt;0",'Все игры'!B$3:B1000,"Шериф")</f>
        <v>1</v>
      </c>
      <c r="P63" s="362">
        <f>IFERROR(__xludf.DUMMYFUNCTION("COUNTBLANK(FILTER('Все игры'!A$3:C1000,'Все игры'!A$3:A1000=A63,'Все игры'!C$3:C1000 &lt; 1,'Все игры'!B$3:B1000=""Шериф""))"),2.0)</f>
        <v>2</v>
      </c>
      <c r="Q63" s="355">
        <f>COUNTIFS('Все игры'!A$3:A1000,A63,'Все игры'!C$3:C1000,"&gt;0",'Все игры'!B$3:B1000,"Дон")</f>
        <v>0</v>
      </c>
      <c r="R63" s="355">
        <f>IFERROR(__xludf.DUMMYFUNCTION("COUNTBLANK(FILTER('Все игры'!A$3:C1000,'Все игры'!A$3:A1000=A63,'Все игры'!C$3:C1000 &lt; 1,'Все игры'!B$3:B1000=""Дон""))"),0.0)</f>
        <v>0</v>
      </c>
      <c r="S63" s="355">
        <f>COUNTIFS('Все игры'!A$3:A1000,A63,'Все игры'!C$3:C1000,"&gt;0",'Все игры'!B$3:B1000,"Мирный")</f>
        <v>1</v>
      </c>
      <c r="T63" s="363">
        <f>IFERROR(__xludf.DUMMYFUNCTION("COUNTBLANK(FILTER('Все игры'!A$3:C1000,'Все игры'!A$3:A1000=A63,'Все игры'!C$3:C1000 &lt; 1,'Все игры'!B$3:B1000=""Мирный""))"),3.0)</f>
        <v>3</v>
      </c>
      <c r="U63" s="364">
        <f t="shared" si="16"/>
        <v>0.3</v>
      </c>
      <c r="V63" s="365">
        <f t="shared" si="5"/>
        <v>0.2857142857</v>
      </c>
      <c r="W63" s="365">
        <f t="shared" si="6"/>
        <v>0.3333333333</v>
      </c>
      <c r="X63" s="365">
        <f t="shared" si="7"/>
        <v>0.3333333333</v>
      </c>
      <c r="Y63" s="365">
        <f t="shared" si="8"/>
        <v>0.3333333333</v>
      </c>
      <c r="Z63" s="365">
        <f t="shared" si="9"/>
        <v>0</v>
      </c>
      <c r="AA63" s="366">
        <f t="shared" si="10"/>
        <v>0.25</v>
      </c>
      <c r="AB63" s="356">
        <f>SUMIFS('Все игры'!D$3:D1000,'Все игры'!A$3:A1000,A63)</f>
        <v>26</v>
      </c>
      <c r="AC63" s="356">
        <f>SUMIFS('Все игры'!D$3:D1000,'Все игры'!A$3:A1000,A63,'Все игры'!B$3:B1000,"Мафия")</f>
        <v>7.5</v>
      </c>
      <c r="AD63" s="367">
        <f>SUMIFS('Все игры'!D$3:D1000,'Все игры'!A$3:A1000,A63,'Все игры'!B$3:B1000,"Шериф")</f>
        <v>9.75</v>
      </c>
      <c r="AE63" s="356">
        <f>SUMIFS('Все игры'!D$3:D1000,'Все игры'!A$3:A1000,A63,'Все игры'!B$3:B1000,"Дон")</f>
        <v>0</v>
      </c>
      <c r="AF63" s="357">
        <f>SUMIFS('Все игры'!D$3:D1000,'Все игры'!A$3:A1000,A63,'Все игры'!B$3:B1000,"Мирный")</f>
        <v>8.75</v>
      </c>
      <c r="AG63" s="356">
        <f t="shared" si="11"/>
        <v>2.6</v>
      </c>
      <c r="AH63" s="356">
        <f t="shared" si="12"/>
        <v>2.5</v>
      </c>
      <c r="AI63" s="356">
        <f t="shared" si="13"/>
        <v>3.25</v>
      </c>
      <c r="AJ63" s="356">
        <f t="shared" si="14"/>
        <v>0</v>
      </c>
      <c r="AK63" s="356">
        <f t="shared" si="15"/>
        <v>2.1875</v>
      </c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56"/>
      <c r="AZ63" s="356"/>
      <c r="BA63" s="356"/>
      <c r="BB63" s="356"/>
      <c r="BC63" s="356"/>
      <c r="BD63" s="356"/>
      <c r="BE63" s="356"/>
      <c r="BF63" s="356"/>
      <c r="BG63" s="356"/>
      <c r="BH63" s="356"/>
      <c r="BI63" s="356"/>
      <c r="BJ63" s="356"/>
      <c r="BK63" s="356"/>
      <c r="BL63" s="356"/>
      <c r="BM63" s="356"/>
    </row>
    <row r="64">
      <c r="A64" s="368" t="s">
        <v>138</v>
      </c>
      <c r="B64" s="369">
        <f t="shared" si="1"/>
        <v>5</v>
      </c>
      <c r="C64" s="370">
        <f>'Турнирная таблица по Алфавиту'!E66</f>
        <v>26</v>
      </c>
      <c r="D64" s="371">
        <f>'Турнирная таблица по Алфавиту'!F66</f>
        <v>26</v>
      </c>
      <c r="E64" s="372">
        <f>COUNTIFS('Все игры'!A$3:A1000,A64,'Все игры'!F$3:F1000,"=1")</f>
        <v>0</v>
      </c>
      <c r="F64" s="372">
        <f>COUNTIFS('Все игры'!A$3:A1000,A64,'Все игры'!F$3:F1000,"=0,50")</f>
        <v>0</v>
      </c>
      <c r="G64" s="372">
        <f>COUNTIFS('Все игры'!A$3:A1000,A64,'Все игры'!G$3:G1000,"&gt;0")</f>
        <v>0</v>
      </c>
      <c r="H64" s="373">
        <f t="shared" si="2"/>
        <v>0</v>
      </c>
      <c r="I64" s="374">
        <f>COUNTIFS('Все игры'!A$3:A1000,A64,'Все игры'!E$3:E1000,"У/Победа")</f>
        <v>0</v>
      </c>
      <c r="J64" s="374">
        <f>COUNTIFS('Все игры'!A$3:A1000,A64,'Все игры'!E$3:E1000,"У/Проигрыш")</f>
        <v>0</v>
      </c>
      <c r="K64" s="375">
        <f t="shared" si="3"/>
        <v>2</v>
      </c>
      <c r="L64" s="369">
        <f t="shared" si="4"/>
        <v>3</v>
      </c>
      <c r="M64" s="369">
        <f>COUNTIFS('Все игры'!A$3:A1000,A64,'Все игры'!C$3:C1000,"&gt;0",'Все игры'!B$3:B1000,"Мафия")</f>
        <v>2</v>
      </c>
      <c r="N64" s="369">
        <f>IFERROR(__xludf.DUMMYFUNCTION("COUNTBLANK(FILTER('Все игры'!A$3:C1000,'Все игры'!A$3:A1000=A64,'Все игры'!C$3:C1000 &lt; 1,'Все игры'!B$3:B1000=""Мафия""))"),1.0)</f>
        <v>1</v>
      </c>
      <c r="O64" s="369">
        <f>COUNTIFS('Все игры'!A$3:A1000,A64,'Все игры'!C$3:C1000,"&gt;0",'Все игры'!B$3:B1000,"Шериф")</f>
        <v>0</v>
      </c>
      <c r="P64" s="376">
        <f>IFERROR(__xludf.DUMMYFUNCTION("COUNTBLANK(FILTER('Все игры'!A$3:C1000,'Все игры'!A$3:A1000=A64,'Все игры'!C$3:C1000 &lt; 1,'Все игры'!B$3:B1000=""Шериф""))"),0.0)</f>
        <v>0</v>
      </c>
      <c r="Q64" s="369">
        <f>COUNTIFS('Все игры'!A$3:A1000,A64,'Все игры'!C$3:C1000,"&gt;0",'Все игры'!B$3:B1000,"Дон")</f>
        <v>0</v>
      </c>
      <c r="R64" s="369">
        <f>IFERROR(__xludf.DUMMYFUNCTION("COUNTBLANK(FILTER('Все игры'!A$3:C1000,'Все игры'!A$3:A1000=A64,'Все игры'!C$3:C1000 &lt; 1,'Все игры'!B$3:B1000=""Дон""))"),0.0)</f>
        <v>0</v>
      </c>
      <c r="S64" s="369">
        <f>COUNTIFS('Все игры'!A$3:A1000,A64,'Все игры'!C$3:C1000,"&gt;0",'Все игры'!B$3:B1000,"Мирный")</f>
        <v>2</v>
      </c>
      <c r="T64" s="377">
        <f>IFERROR(__xludf.DUMMYFUNCTION("COUNTBLANK(FILTER('Все игры'!A$3:C1000,'Все игры'!A$3:A1000=A64,'Все игры'!C$3:C1000 &lt; 1,'Все игры'!B$3:B1000=""Мирный""))"),0.0)</f>
        <v>0</v>
      </c>
      <c r="U64" s="378">
        <f t="shared" si="16"/>
        <v>0.8</v>
      </c>
      <c r="V64" s="379">
        <f t="shared" si="5"/>
        <v>1</v>
      </c>
      <c r="W64" s="379">
        <f t="shared" si="6"/>
        <v>0.6666666667</v>
      </c>
      <c r="X64" s="379">
        <f t="shared" si="7"/>
        <v>0.6666666667</v>
      </c>
      <c r="Y64" s="379">
        <f t="shared" si="8"/>
        <v>0</v>
      </c>
      <c r="Z64" s="379">
        <f t="shared" si="9"/>
        <v>0</v>
      </c>
      <c r="AA64" s="380">
        <f t="shared" si="10"/>
        <v>1</v>
      </c>
      <c r="AB64" s="370">
        <f>SUMIFS('Все игры'!D$3:D1000,'Все игры'!A$3:A1000,A64)</f>
        <v>16</v>
      </c>
      <c r="AC64" s="370">
        <f>SUMIFS('Все игры'!D$3:D1000,'Все игры'!A$3:A1000,A64,'Все игры'!B$3:B1000,"Мафия")</f>
        <v>9.25</v>
      </c>
      <c r="AD64" s="381">
        <f>SUMIFS('Все игры'!D$3:D1000,'Все игры'!A$3:A1000,A64,'Все игры'!B$3:B1000,"Шериф")</f>
        <v>0</v>
      </c>
      <c r="AE64" s="370">
        <f>SUMIFS('Все игры'!D$3:D1000,'Все игры'!A$3:A1000,A64,'Все игры'!B$3:B1000,"Дон")</f>
        <v>0</v>
      </c>
      <c r="AF64" s="371">
        <f>SUMIFS('Все игры'!D$3:D1000,'Все игры'!A$3:A1000,A64,'Все игры'!B$3:B1000,"Мирный")</f>
        <v>6.75</v>
      </c>
      <c r="AG64" s="370">
        <f t="shared" si="11"/>
        <v>3.2</v>
      </c>
      <c r="AH64" s="370">
        <f t="shared" si="12"/>
        <v>3.083333333</v>
      </c>
      <c r="AI64" s="370">
        <f t="shared" si="13"/>
        <v>0</v>
      </c>
      <c r="AJ64" s="370">
        <f t="shared" si="14"/>
        <v>0</v>
      </c>
      <c r="AK64" s="370">
        <f t="shared" si="15"/>
        <v>3.375</v>
      </c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/>
      <c r="BD64" s="356"/>
      <c r="BE64" s="356"/>
      <c r="BF64" s="356"/>
      <c r="BG64" s="356"/>
      <c r="BH64" s="356"/>
      <c r="BI64" s="356"/>
      <c r="BJ64" s="356"/>
      <c r="BK64" s="356"/>
      <c r="BL64" s="356"/>
      <c r="BM64" s="356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>
      <c r="A5" s="385"/>
      <c r="B5" s="355">
        <f t="shared" ref="B5:B14" si="1">SUM(I5:J5)</f>
        <v>0</v>
      </c>
      <c r="C5" s="358">
        <f>COUNTIFS('Все игры'!AH$3:AH950,A5,'Все игры'!AM$3:AM950,"=1")</f>
        <v>0</v>
      </c>
      <c r="D5" s="358">
        <f>COUNTIFS('Все игры'!AH$3:AH950,A5,'Все игры'!AM$3:AM950,"=0,50")</f>
        <v>0</v>
      </c>
      <c r="E5" s="358">
        <f>COUNTIFS('Все игры'!AH$3:AH950,A5,'Все игры'!AN$3:AN950,"&gt;0")</f>
        <v>0</v>
      </c>
      <c r="F5" s="359">
        <f t="shared" ref="F5:F14" si="2">IFERROR(E5/I5,0)</f>
        <v>0</v>
      </c>
      <c r="G5" s="360">
        <f>COUNTIFS('Все игры'!AH$3:AH950,A5,'Все игры'!AL$3:AL950,"У/Победа")</f>
        <v>0</v>
      </c>
      <c r="H5" s="360">
        <f>COUNTIFS('Все игры'!AH$3:AH950,A5,'Все игры'!AL$3:AL950,"У/Проигрыш")</f>
        <v>0</v>
      </c>
      <c r="I5" s="361">
        <f t="shared" ref="I5:I14" si="3">M5+N5+Q5+R5</f>
        <v>0</v>
      </c>
      <c r="J5" s="355">
        <f t="shared" ref="J5:J14" si="4">K5+L5+O5+P5</f>
        <v>0</v>
      </c>
      <c r="K5" s="355">
        <f>COUNTIFS('Все игры'!AH$3:AH950,A5,'Все игры'!AJ$3:AJ950,"&gt;0",'Все игры'!AI$3:AI950,"Мафия")</f>
        <v>0</v>
      </c>
      <c r="L5" s="355">
        <f>IFERROR(__xludf.DUMMYFUNCTION("COUNTBLANK(FILTER('Все игры'!AH$3:AJ950,'Все игры'!AH$3:AH950=A5,'Все игры'!AJ$3:AJ950 &lt; 1,'Все игры'!AI$3:AI950=""Мафия""))"),0.0)</f>
        <v>0</v>
      </c>
      <c r="M5" s="355">
        <f>COUNTIFS('Все игры'!AH$3:AH950,A5,'Все игры'!AJ$3:AJ950,"&gt;0",'Все игры'!AI$3:AI950,"Шериф")</f>
        <v>0</v>
      </c>
      <c r="N5" s="362">
        <f>IFERROR(__xludf.DUMMYFUNCTION("COUNTBLANK(FILTER('Все игры'!AH$3:AJ950,'Все игры'!AH$3:AH950=A5,'Все игры'!AJ$3:AJ950 &lt; 1,'Все игры'!AI$3:AI950=""Шериф""))"),0.0)</f>
        <v>0</v>
      </c>
      <c r="O5" s="355">
        <f>COUNTIFS('Все игры'!AH$3:AH950,A5,'Все игры'!AJ$3:AJ950,"&gt;0",'Все игры'!AI$3:AI950,"Дон")</f>
        <v>0</v>
      </c>
      <c r="P5" s="362">
        <f>IFERROR(__xludf.DUMMYFUNCTION("COUNTBLANK(FILTER('Все игры'!AH$3:AJ950,'Все игры'!AH$3:AH950=A5,'Все игры'!AJ$3:AJ950 &lt; 1,'Все игры'!AI$3:AI950=""Дон""))"),0.0)</f>
        <v>0</v>
      </c>
      <c r="Q5" s="355">
        <f>COUNTIFS('Все игры'!AH$3:AH950,A5,'Все игры'!AJ$3:AJ950,"&gt;0",'Все игры'!AI$3:AI950,"Мирный")</f>
        <v>0</v>
      </c>
      <c r="R5" s="362">
        <f>IFERROR(__xludf.DUMMYFUNCTION("COUNTBLANK(FILTER('Все игры'!AH$3:AJ950,'Все игры'!AH$3:AH950=A5,'Все игры'!AJ$3:AJ950 &lt; 1,'Все игры'!AI$3:AI950=""Мирный""))"),0.0)</f>
        <v>0</v>
      </c>
      <c r="S5" s="365" t="str">
        <f>IFERROR((K5+M5+O5+Q5)/B5, )</f>
        <v/>
      </c>
      <c r="T5" s="365">
        <f t="shared" ref="T5:T14" si="5">IFERROR(((M5+Q5)/I5),0)</f>
        <v>0</v>
      </c>
      <c r="U5" s="365">
        <f t="shared" ref="U5:U14" si="6">IFERROR(((K5+O5)/J5),0)</f>
        <v>0</v>
      </c>
      <c r="V5" s="365">
        <f t="shared" ref="V5:V14" si="7">IFERROR((K5/(K5+L5)),0)</f>
        <v>0</v>
      </c>
      <c r="W5" s="365">
        <f t="shared" ref="W5:W14" si="8">IFERROR((M5/(M5+N5)),0)</f>
        <v>0</v>
      </c>
      <c r="X5" s="365">
        <f t="shared" ref="X5:X14" si="9">IFERROR((O5/(O5+P5)),0)</f>
        <v>0</v>
      </c>
      <c r="Y5" s="366">
        <f t="shared" ref="Y5:Y14" si="10">IFERROR((Q5/(Q5+R5)),0)</f>
        <v>0</v>
      </c>
      <c r="Z5" s="356">
        <f>SUMIFS('Все игры'!AK$3:AK950,'Все игры'!AH$3:AH950,A5)</f>
        <v>0</v>
      </c>
      <c r="AA5" s="356">
        <f>SUMIFS('Все игры'!AK$3:AK950,'Все игры'!AH$3:AH950,A5,'Все игры'!AI$3:AI950,"Мафия")</f>
        <v>0</v>
      </c>
      <c r="AB5" s="367">
        <f>SUMIFS('Все игры'!AK$3:AK950,'Все игры'!AH$3:AH950,A5,'Все игры'!AI$3:AI950,"Шериф")</f>
        <v>0</v>
      </c>
      <c r="AC5" s="356">
        <f>SUMIFS('Все игры'!AK$3:AK950,'Все игры'!AH$3:AH950,A5,'Все игры'!AI$3:AI950,"Дон")</f>
        <v>0</v>
      </c>
      <c r="AD5" s="357">
        <f>SUMIFS('Все игры'!AK$3:AK950,'Все игры'!AH$3:AH950,A5,'Все игры'!AI$3:AI950,"Мирный")</f>
        <v>0</v>
      </c>
      <c r="AE5" s="356">
        <f t="shared" ref="AE5:AE14" si="11">IFERROR(Z5/B5,0)</f>
        <v>0</v>
      </c>
      <c r="AF5" s="356">
        <f t="shared" ref="AF5:AF14" si="12">IFERROR(AA5/(K5+L5),0)</f>
        <v>0</v>
      </c>
      <c r="AG5" s="356">
        <f t="shared" ref="AG5:AG14" si="13">IFERROR(AB5/(M5+N5),0)</f>
        <v>0</v>
      </c>
      <c r="AH5" s="356">
        <f t="shared" ref="AH5:AH14" si="14">IFERROR(AC5/(O5+P5),0)</f>
        <v>0</v>
      </c>
      <c r="AI5" s="356">
        <f t="shared" ref="AI5:AI14" si="15">IFERROR(AD5/(Q5+R5),0)</f>
        <v>0</v>
      </c>
      <c r="AJ5" s="356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</row>
    <row r="6">
      <c r="A6" s="386"/>
      <c r="B6" s="369">
        <f t="shared" si="1"/>
        <v>0</v>
      </c>
      <c r="C6" s="372">
        <f>COUNTIFS('Все игры'!AH$3:AH950,A6,'Все игры'!AM$3:AM950,"=1")</f>
        <v>0</v>
      </c>
      <c r="D6" s="372">
        <f>COUNTIFS('Все игры'!AH$3:AH950,A6,'Все игры'!AM$3:AM950,"=0,50")</f>
        <v>0</v>
      </c>
      <c r="E6" s="372">
        <f>COUNTIFS('Все игры'!AH$3:AH950,A6,'Все игры'!AN$3:AN950,"&gt;0")</f>
        <v>0</v>
      </c>
      <c r="F6" s="373">
        <f t="shared" si="2"/>
        <v>0</v>
      </c>
      <c r="G6" s="374">
        <f>COUNTIFS('Все игры'!AH$3:AH950,A6,'Все игры'!AL$3:AL950,"У/Победа")</f>
        <v>0</v>
      </c>
      <c r="H6" s="374">
        <f>COUNTIFS('Все игры'!AH$3:AH950,A6,'Все игры'!AL$3:AL950,"У/Проигрыш")</f>
        <v>0</v>
      </c>
      <c r="I6" s="375">
        <f t="shared" si="3"/>
        <v>0</v>
      </c>
      <c r="J6" s="369">
        <f t="shared" si="4"/>
        <v>0</v>
      </c>
      <c r="K6" s="369">
        <f>COUNTIFS('Все игры'!AH$3:AH950,A6,'Все игры'!AJ$3:AJ950,"&gt;0",'Все игры'!AI$3:AI950,"Мафия")</f>
        <v>0</v>
      </c>
      <c r="L6" s="369">
        <f>IFERROR(__xludf.DUMMYFUNCTION("COUNTBLANK(FILTER('Все игры'!AH$3:AJ950,'Все игры'!AH$3:AH950=A6,'Все игры'!AJ$3:AJ950 &lt; 1,'Все игры'!AI$3:AI950=""Мафия""))"),0.0)</f>
        <v>0</v>
      </c>
      <c r="M6" s="369">
        <f>COUNTIFS('Все игры'!AH$3:AH950,A6,'Все игры'!AJ$3:AJ950,"&gt;0",'Все игры'!AI$3:AI950,"Шериф")</f>
        <v>0</v>
      </c>
      <c r="N6" s="376">
        <f>IFERROR(__xludf.DUMMYFUNCTION("COUNTBLANK(FILTER('Все игры'!AH$3:AJ950,'Все игры'!AH$3:AH950=A6,'Все игры'!AJ$3:AJ950 &lt; 1,'Все игры'!AI$3:AI950=""Шериф""))"),0.0)</f>
        <v>0</v>
      </c>
      <c r="O6" s="369">
        <f>COUNTIFS('Все игры'!AH$3:AH950,A6,'Все игры'!AJ$3:AJ950,"&gt;0",'Все игры'!AI$3:AI950,"Дон")</f>
        <v>0</v>
      </c>
      <c r="P6" s="376">
        <f>IFERROR(__xludf.DUMMYFUNCTION("COUNTBLANK(FILTER('Все игры'!AH$3:AJ950,'Все игры'!AH$3:AH950=A6,'Все игры'!AJ$3:AJ950 &lt; 1,'Все игры'!AI$3:AI950=""Дон""))"),0.0)</f>
        <v>0</v>
      </c>
      <c r="Q6" s="369">
        <f>COUNTIFS('Все игры'!AH$3:AH950,A6,'Все игры'!AJ$3:AJ950,"&gt;0",'Все игры'!AI$3:AI950,"Мирный")</f>
        <v>0</v>
      </c>
      <c r="R6" s="376">
        <f>IFERROR(__xludf.DUMMYFUNCTION("COUNTBLANK(FILTER('Все игры'!AH$3:AJ950,'Все игры'!AH$3:AH950=A6,'Все игры'!AJ$3:AJ950 &lt; 1,'Все игры'!AI$3:AI950=""Мирный""))"),0.0)</f>
        <v>0</v>
      </c>
      <c r="S6" s="379">
        <f t="shared" ref="S6:S14" si="16">IFERROR((K6+M6+O6+Q6)/B6,0)</f>
        <v>0</v>
      </c>
      <c r="T6" s="379">
        <f t="shared" si="5"/>
        <v>0</v>
      </c>
      <c r="U6" s="379">
        <f t="shared" si="6"/>
        <v>0</v>
      </c>
      <c r="V6" s="379">
        <f t="shared" si="7"/>
        <v>0</v>
      </c>
      <c r="W6" s="379">
        <f t="shared" si="8"/>
        <v>0</v>
      </c>
      <c r="X6" s="379">
        <f t="shared" si="9"/>
        <v>0</v>
      </c>
      <c r="Y6" s="380">
        <f t="shared" si="10"/>
        <v>0</v>
      </c>
      <c r="Z6" s="370">
        <f>SUMIFS('Все игры'!AK$3:AK950,'Все игры'!AH$3:AH950,A6)</f>
        <v>0</v>
      </c>
      <c r="AA6" s="370">
        <f>SUMIFS('Все игры'!AK$3:AK950,'Все игры'!AH$3:AH950,A6,'Все игры'!AI$3:AI950,"Мафия")</f>
        <v>0</v>
      </c>
      <c r="AB6" s="381">
        <f>SUMIFS('Все игры'!AK$3:AK950,'Все игры'!AH$3:AH950,A6,'Все игры'!AI$3:AI950,"Шериф")</f>
        <v>0</v>
      </c>
      <c r="AC6" s="370">
        <f>SUMIFS('Все игры'!AK$3:AK950,'Все игры'!AH$3:AH950,A6,'Все игры'!AI$3:AI950,"Дон")</f>
        <v>0</v>
      </c>
      <c r="AD6" s="371">
        <f>SUMIFS('Все игры'!AK$3:AK950,'Все игры'!AH$3:AH950,A6,'Все игры'!AI$3:AI950,"Мирный")</f>
        <v>0</v>
      </c>
      <c r="AE6" s="370">
        <f t="shared" si="11"/>
        <v>0</v>
      </c>
      <c r="AF6" s="370">
        <f t="shared" si="12"/>
        <v>0</v>
      </c>
      <c r="AG6" s="370">
        <f t="shared" si="13"/>
        <v>0</v>
      </c>
      <c r="AH6" s="370">
        <f t="shared" si="14"/>
        <v>0</v>
      </c>
      <c r="AI6" s="370">
        <f t="shared" si="15"/>
        <v>0</v>
      </c>
      <c r="AJ6" s="370"/>
      <c r="AK6" s="370"/>
      <c r="AL6" s="370"/>
      <c r="AM6" s="370"/>
      <c r="AN6" s="370"/>
      <c r="AO6" s="370"/>
      <c r="AP6" s="370"/>
      <c r="AQ6" s="370"/>
      <c r="AR6" s="370"/>
      <c r="AS6" s="370"/>
      <c r="AT6" s="370"/>
      <c r="AU6" s="370"/>
      <c r="AV6" s="370"/>
      <c r="AW6" s="370"/>
      <c r="AX6" s="370"/>
      <c r="AY6" s="370"/>
      <c r="AZ6" s="370"/>
      <c r="BA6" s="370"/>
      <c r="BB6" s="370"/>
      <c r="BC6" s="370"/>
      <c r="BD6" s="370"/>
      <c r="BE6" s="370"/>
      <c r="BF6" s="370"/>
      <c r="BG6" s="370"/>
      <c r="BH6" s="370"/>
      <c r="BI6" s="370"/>
      <c r="BJ6" s="370"/>
      <c r="BK6" s="370"/>
    </row>
    <row r="7">
      <c r="A7" s="385"/>
      <c r="B7" s="355">
        <f t="shared" si="1"/>
        <v>0</v>
      </c>
      <c r="C7" s="358">
        <f>COUNTIFS('Все игры'!AH$3:AH950,A7,'Все игры'!AM$3:AM950,"=1")</f>
        <v>0</v>
      </c>
      <c r="D7" s="358">
        <f>COUNTIFS('Все игры'!AH$3:AH950,A7,'Все игры'!AM$3:AM950,"=0,50")</f>
        <v>0</v>
      </c>
      <c r="E7" s="358">
        <f>COUNTIFS('Все игры'!AH$3:AH950,A7,'Все игры'!AN$3:AN950,"&gt;0")</f>
        <v>0</v>
      </c>
      <c r="F7" s="359">
        <f t="shared" si="2"/>
        <v>0</v>
      </c>
      <c r="G7" s="360">
        <f>COUNTIFS('Все игры'!AH$3:AH950,A7,'Все игры'!AL$3:AL950,"У/Победа")</f>
        <v>0</v>
      </c>
      <c r="H7" s="360">
        <f>COUNTIFS('Все игры'!AH$3:AH950,A7,'Все игры'!AL$3:AL950,"У/Проигрыш")</f>
        <v>0</v>
      </c>
      <c r="I7" s="361">
        <f t="shared" si="3"/>
        <v>0</v>
      </c>
      <c r="J7" s="355">
        <f t="shared" si="4"/>
        <v>0</v>
      </c>
      <c r="K7" s="355">
        <f>COUNTIFS('Все игры'!AH$3:AH950,A7,'Все игры'!AJ$3:AJ950,"&gt;0",'Все игры'!AI$3:AI950,"Мафия")</f>
        <v>0</v>
      </c>
      <c r="L7" s="355">
        <f>IFERROR(__xludf.DUMMYFUNCTION("COUNTBLANK(FILTER('Все игры'!AH$3:AJ950,'Все игры'!AH$3:AH950=A7,'Все игры'!AJ$3:AJ950 &lt; 1,'Все игры'!AI$3:AI950=""Мафия""))"),0.0)</f>
        <v>0</v>
      </c>
      <c r="M7" s="355">
        <f>COUNTIFS('Все игры'!AH$3:AH950,A7,'Все игры'!AJ$3:AJ950,"&gt;0",'Все игры'!AI$3:AI950,"Шериф")</f>
        <v>0</v>
      </c>
      <c r="N7" s="362">
        <f>IFERROR(__xludf.DUMMYFUNCTION("COUNTBLANK(FILTER('Все игры'!AH$3:AJ950,'Все игры'!AH$3:AH950=A7,'Все игры'!AJ$3:AJ950 &lt; 1,'Все игры'!AI$3:AI950=""Шериф""))"),0.0)</f>
        <v>0</v>
      </c>
      <c r="O7" s="355">
        <f>COUNTIFS('Все игры'!AH$3:AH950,A7,'Все игры'!AJ$3:AJ950,"&gt;0",'Все игры'!AI$3:AI950,"Дон")</f>
        <v>0</v>
      </c>
      <c r="P7" s="362">
        <f>IFERROR(__xludf.DUMMYFUNCTION("COUNTBLANK(FILTER('Все игры'!AH$3:AJ950,'Все игры'!AH$3:AH950=A7,'Все игры'!AJ$3:AJ950 &lt; 1,'Все игры'!AI$3:AI950=""Дон""))"),0.0)</f>
        <v>0</v>
      </c>
      <c r="Q7" s="355">
        <f>COUNTIFS('Все игры'!AH$3:AH950,A7,'Все игры'!AJ$3:AJ950,"&gt;0",'Все игры'!AI$3:AI950,"Мирный")</f>
        <v>0</v>
      </c>
      <c r="R7" s="362">
        <f>IFERROR(__xludf.DUMMYFUNCTION("COUNTBLANK(FILTER('Все игры'!AH$3:AJ950,'Все игры'!AH$3:AH950=A7,'Все игры'!AJ$3:AJ950 &lt; 1,'Все игры'!AI$3:AI950=""Мирный""))"),0.0)</f>
        <v>0</v>
      </c>
      <c r="S7" s="365">
        <f t="shared" si="16"/>
        <v>0</v>
      </c>
      <c r="T7" s="365">
        <f t="shared" si="5"/>
        <v>0</v>
      </c>
      <c r="U7" s="365">
        <f t="shared" si="6"/>
        <v>0</v>
      </c>
      <c r="V7" s="365">
        <f t="shared" si="7"/>
        <v>0</v>
      </c>
      <c r="W7" s="365">
        <f t="shared" si="8"/>
        <v>0</v>
      </c>
      <c r="X7" s="365">
        <f t="shared" si="9"/>
        <v>0</v>
      </c>
      <c r="Y7" s="366">
        <f t="shared" si="10"/>
        <v>0</v>
      </c>
      <c r="Z7" s="356">
        <f>SUMIFS('Все игры'!AK$3:AK950,'Все игры'!AH$3:AH950,A7)</f>
        <v>0</v>
      </c>
      <c r="AA7" s="356">
        <f>SUMIFS('Все игры'!AK$3:AK950,'Все игры'!AH$3:AH950,A7,'Все игры'!AI$3:AI950,"Мафия")</f>
        <v>0</v>
      </c>
      <c r="AB7" s="367">
        <f>SUMIFS('Все игры'!AK$3:AK950,'Все игры'!AH$3:AH950,A7,'Все игры'!AI$3:AI950,"Шериф")</f>
        <v>0</v>
      </c>
      <c r="AC7" s="356">
        <f>SUMIFS('Все игры'!AK$3:AK950,'Все игры'!AH$3:AH950,A7,'Все игры'!AI$3:AI950,"Дон")</f>
        <v>0</v>
      </c>
      <c r="AD7" s="357">
        <f>SUMIFS('Все игры'!AK$3:AK950,'Все игры'!AH$3:AH950,A7,'Все игры'!AI$3:AI950,"Мирный")</f>
        <v>0</v>
      </c>
      <c r="AE7" s="356">
        <f t="shared" si="11"/>
        <v>0</v>
      </c>
      <c r="AF7" s="356">
        <f t="shared" si="12"/>
        <v>0</v>
      </c>
      <c r="AG7" s="356">
        <f t="shared" si="13"/>
        <v>0</v>
      </c>
      <c r="AH7" s="356">
        <f t="shared" si="14"/>
        <v>0</v>
      </c>
      <c r="AI7" s="356">
        <f t="shared" si="15"/>
        <v>0</v>
      </c>
      <c r="AJ7" s="356"/>
      <c r="AK7" s="356"/>
      <c r="AL7" s="356"/>
      <c r="AM7" s="356"/>
      <c r="AN7" s="356"/>
      <c r="AO7" s="356"/>
      <c r="AP7" s="356"/>
      <c r="AQ7" s="356"/>
      <c r="AR7" s="356"/>
      <c r="AS7" s="356"/>
      <c r="AT7" s="356"/>
      <c r="AU7" s="356"/>
      <c r="AV7" s="356"/>
      <c r="AW7" s="356"/>
      <c r="AX7" s="356"/>
      <c r="AY7" s="356"/>
      <c r="AZ7" s="356"/>
      <c r="BA7" s="356"/>
      <c r="BB7" s="356"/>
      <c r="BC7" s="356"/>
      <c r="BD7" s="356"/>
      <c r="BE7" s="356"/>
      <c r="BF7" s="356"/>
      <c r="BG7" s="356"/>
      <c r="BH7" s="356"/>
      <c r="BI7" s="356"/>
      <c r="BJ7" s="356"/>
      <c r="BK7" s="356"/>
    </row>
    <row r="8">
      <c r="A8" s="386"/>
      <c r="B8" s="369">
        <f t="shared" si="1"/>
        <v>0</v>
      </c>
      <c r="C8" s="372">
        <f>COUNTIFS('Все игры'!AH$3:AH950,A8,'Все игры'!AM$3:AM950,"=1")</f>
        <v>0</v>
      </c>
      <c r="D8" s="372">
        <f>COUNTIFS('Все игры'!AH$3:AH950,A8,'Все игры'!AM$3:AM950,"=0,50")</f>
        <v>0</v>
      </c>
      <c r="E8" s="372">
        <f>COUNTIFS('Все игры'!AH$3:AH950,A8,'Все игры'!AN$3:AN950,"&gt;0")</f>
        <v>0</v>
      </c>
      <c r="F8" s="373">
        <f t="shared" si="2"/>
        <v>0</v>
      </c>
      <c r="G8" s="374">
        <f>COUNTIFS('Все игры'!AH$3:AH950,A8,'Все игры'!AL$3:AL950,"У/Победа")</f>
        <v>0</v>
      </c>
      <c r="H8" s="374">
        <f>COUNTIFS('Все игры'!AH$3:AH950,A8,'Все игры'!AL$3:AL950,"У/Проигрыш")</f>
        <v>0</v>
      </c>
      <c r="I8" s="375">
        <f t="shared" si="3"/>
        <v>0</v>
      </c>
      <c r="J8" s="369">
        <f t="shared" si="4"/>
        <v>0</v>
      </c>
      <c r="K8" s="369">
        <f>COUNTIFS('Все игры'!AH$3:AH950,A8,'Все игры'!AJ$3:AJ950,"&gt;0",'Все игры'!AI$3:AI950,"Мафия")</f>
        <v>0</v>
      </c>
      <c r="L8" s="369">
        <f>IFERROR(__xludf.DUMMYFUNCTION("COUNTBLANK(FILTER('Все игры'!AH$3:AJ950,'Все игры'!AH$3:AH950=A8,'Все игры'!AJ$3:AJ950 &lt; 1,'Все игры'!AI$3:AI950=""Мафия""))"),0.0)</f>
        <v>0</v>
      </c>
      <c r="M8" s="369">
        <f>COUNTIFS('Все игры'!AH$3:AH950,A8,'Все игры'!AJ$3:AJ950,"&gt;0",'Все игры'!AI$3:AI950,"Шериф")</f>
        <v>0</v>
      </c>
      <c r="N8" s="376">
        <f>IFERROR(__xludf.DUMMYFUNCTION("COUNTBLANK(FILTER('Все игры'!AH$3:AJ950,'Все игры'!AH$3:AH950=A8,'Все игры'!AJ$3:AJ950 &lt; 1,'Все игры'!AI$3:AI950=""Шериф""))"),0.0)</f>
        <v>0</v>
      </c>
      <c r="O8" s="369">
        <f>COUNTIFS('Все игры'!AH$3:AH950,A8,'Все игры'!AJ$3:AJ950,"&gt;0",'Все игры'!AI$3:AI950,"Дон")</f>
        <v>0</v>
      </c>
      <c r="P8" s="376">
        <f>IFERROR(__xludf.DUMMYFUNCTION("COUNTBLANK(FILTER('Все игры'!AH$3:AJ950,'Все игры'!AH$3:AH950=A8,'Все игры'!AJ$3:AJ950 &lt; 1,'Все игры'!AI$3:AI950=""Дон""))"),0.0)</f>
        <v>0</v>
      </c>
      <c r="Q8" s="369">
        <f>COUNTIFS('Все игры'!AH$3:AH950,A8,'Все игры'!AJ$3:AJ950,"&gt;0",'Все игры'!AI$3:AI950,"Мирный")</f>
        <v>0</v>
      </c>
      <c r="R8" s="376">
        <f>IFERROR(__xludf.DUMMYFUNCTION("COUNTBLANK(FILTER('Все игры'!AH$3:AJ950,'Все игры'!AH$3:AH950=A8,'Все игры'!AJ$3:AJ950 &lt; 1,'Все игры'!AI$3:AI950=""Мирный""))"),0.0)</f>
        <v>0</v>
      </c>
      <c r="S8" s="379">
        <f t="shared" si="16"/>
        <v>0</v>
      </c>
      <c r="T8" s="379">
        <f t="shared" si="5"/>
        <v>0</v>
      </c>
      <c r="U8" s="379">
        <f t="shared" si="6"/>
        <v>0</v>
      </c>
      <c r="V8" s="379">
        <f t="shared" si="7"/>
        <v>0</v>
      </c>
      <c r="W8" s="379">
        <f t="shared" si="8"/>
        <v>0</v>
      </c>
      <c r="X8" s="379">
        <f t="shared" si="9"/>
        <v>0</v>
      </c>
      <c r="Y8" s="380">
        <f t="shared" si="10"/>
        <v>0</v>
      </c>
      <c r="Z8" s="370">
        <f>SUMIFS('Все игры'!AK$3:AK950,'Все игры'!AH$3:AH950,A8)</f>
        <v>0</v>
      </c>
      <c r="AA8" s="370">
        <f>SUMIFS('Все игры'!AK$3:AK950,'Все игры'!AH$3:AH950,A8,'Все игры'!AI$3:AI950,"Мафия")</f>
        <v>0</v>
      </c>
      <c r="AB8" s="381">
        <f>SUMIFS('Все игры'!AK$3:AK950,'Все игры'!AH$3:AH950,A8,'Все игры'!AI$3:AI950,"Шериф")</f>
        <v>0</v>
      </c>
      <c r="AC8" s="370">
        <f>SUMIFS('Все игры'!AK$3:AK950,'Все игры'!AH$3:AH950,A8,'Все игры'!AI$3:AI950,"Дон")</f>
        <v>0</v>
      </c>
      <c r="AD8" s="371">
        <f>SUMIFS('Все игры'!AK$3:AK950,'Все игры'!AH$3:AH950,A8,'Все игры'!AI$3:AI950,"Мирный")</f>
        <v>0</v>
      </c>
      <c r="AE8" s="370">
        <f t="shared" si="11"/>
        <v>0</v>
      </c>
      <c r="AF8" s="370">
        <f t="shared" si="12"/>
        <v>0</v>
      </c>
      <c r="AG8" s="370">
        <f t="shared" si="13"/>
        <v>0</v>
      </c>
      <c r="AH8" s="370">
        <f t="shared" si="14"/>
        <v>0</v>
      </c>
      <c r="AI8" s="370">
        <f t="shared" si="15"/>
        <v>0</v>
      </c>
      <c r="AJ8" s="370"/>
      <c r="AK8" s="370"/>
      <c r="AL8" s="370"/>
      <c r="AM8" s="370"/>
      <c r="AN8" s="370"/>
      <c r="AO8" s="370"/>
      <c r="AP8" s="370"/>
      <c r="AQ8" s="370"/>
      <c r="AR8" s="370"/>
      <c r="AS8" s="370"/>
      <c r="AT8" s="370"/>
      <c r="AU8" s="370"/>
      <c r="AV8" s="370"/>
      <c r="AW8" s="370"/>
      <c r="AX8" s="370"/>
      <c r="AY8" s="370"/>
      <c r="AZ8" s="370"/>
      <c r="BA8" s="370"/>
      <c r="BB8" s="370"/>
      <c r="BC8" s="370"/>
      <c r="BD8" s="370"/>
      <c r="BE8" s="370"/>
      <c r="BF8" s="370"/>
      <c r="BG8" s="370"/>
      <c r="BH8" s="370"/>
      <c r="BI8" s="370"/>
      <c r="BJ8" s="370"/>
      <c r="BK8" s="370"/>
    </row>
    <row r="9">
      <c r="A9" s="385"/>
      <c r="B9" s="355">
        <f t="shared" si="1"/>
        <v>0</v>
      </c>
      <c r="C9" s="358">
        <f>COUNTIFS('Все игры'!AH$3:AH950,A9,'Все игры'!AM$3:AM950,"=1")</f>
        <v>0</v>
      </c>
      <c r="D9" s="358">
        <f>COUNTIFS('Все игры'!AH$3:AH950,A9,'Все игры'!AM$3:AM950,"=0,50")</f>
        <v>0</v>
      </c>
      <c r="E9" s="358">
        <f>COUNTIFS('Все игры'!AH$3:AH950,A9,'Все игры'!AN$3:AN950,"&gt;0")</f>
        <v>0</v>
      </c>
      <c r="F9" s="359">
        <f t="shared" si="2"/>
        <v>0</v>
      </c>
      <c r="G9" s="360">
        <f>COUNTIFS('Все игры'!AH$3:AH950,A9,'Все игры'!AL$3:AL950,"У/Победа")</f>
        <v>0</v>
      </c>
      <c r="H9" s="360">
        <f>COUNTIFS('Все игры'!AH$3:AH950,A9,'Все игры'!AL$3:AL950,"У/Проигрыш")</f>
        <v>0</v>
      </c>
      <c r="I9" s="361">
        <f t="shared" si="3"/>
        <v>0</v>
      </c>
      <c r="J9" s="355">
        <f t="shared" si="4"/>
        <v>0</v>
      </c>
      <c r="K9" s="355">
        <f>COUNTIFS('Все игры'!AH$3:AH950,A9,'Все игры'!AJ$3:AJ950,"&gt;0",'Все игры'!AI$3:AI950,"Мафия")</f>
        <v>0</v>
      </c>
      <c r="L9" s="355">
        <f>IFERROR(__xludf.DUMMYFUNCTION("COUNTBLANK(FILTER('Все игры'!AH$3:AJ950,'Все игры'!AH$3:AH950=A9,'Все игры'!AJ$3:AJ950 &lt; 1,'Все игры'!AI$3:AI950=""Мафия""))"),0.0)</f>
        <v>0</v>
      </c>
      <c r="M9" s="355">
        <f>COUNTIFS('Все игры'!AH$3:AH950,A9,'Все игры'!AJ$3:AJ950,"&gt;0",'Все игры'!AI$3:AI950,"Шериф")</f>
        <v>0</v>
      </c>
      <c r="N9" s="362">
        <f>IFERROR(__xludf.DUMMYFUNCTION("COUNTBLANK(FILTER('Все игры'!AH$3:AJ950,'Все игры'!AH$3:AH950=A9,'Все игры'!AJ$3:AJ950 &lt; 1,'Все игры'!AI$3:AI950=""Шериф""))"),0.0)</f>
        <v>0</v>
      </c>
      <c r="O9" s="355">
        <f>COUNTIFS('Все игры'!AH$3:AH950,A9,'Все игры'!AJ$3:AJ950,"&gt;0",'Все игры'!AI$3:AI950,"Дон")</f>
        <v>0</v>
      </c>
      <c r="P9" s="362">
        <f>IFERROR(__xludf.DUMMYFUNCTION("COUNTBLANK(FILTER('Все игры'!AH$3:AJ950,'Все игры'!AH$3:AH950=A9,'Все игры'!AJ$3:AJ950 &lt; 1,'Все игры'!AI$3:AI950=""Дон""))"),0.0)</f>
        <v>0</v>
      </c>
      <c r="Q9" s="355">
        <f>COUNTIFS('Все игры'!AH$3:AH950,A9,'Все игры'!AJ$3:AJ950,"&gt;0",'Все игры'!AI$3:AI950,"Мирный")</f>
        <v>0</v>
      </c>
      <c r="R9" s="362">
        <f>IFERROR(__xludf.DUMMYFUNCTION("COUNTBLANK(FILTER('Все игры'!AH$3:AJ950,'Все игры'!AH$3:AH950=A9,'Все игры'!AJ$3:AJ950 &lt; 1,'Все игры'!AI$3:AI950=""Мирный""))"),0.0)</f>
        <v>0</v>
      </c>
      <c r="S9" s="365">
        <f t="shared" si="16"/>
        <v>0</v>
      </c>
      <c r="T9" s="365">
        <f t="shared" si="5"/>
        <v>0</v>
      </c>
      <c r="U9" s="365">
        <f t="shared" si="6"/>
        <v>0</v>
      </c>
      <c r="V9" s="365">
        <f t="shared" si="7"/>
        <v>0</v>
      </c>
      <c r="W9" s="365">
        <f t="shared" si="8"/>
        <v>0</v>
      </c>
      <c r="X9" s="365">
        <f t="shared" si="9"/>
        <v>0</v>
      </c>
      <c r="Y9" s="366">
        <f t="shared" si="10"/>
        <v>0</v>
      </c>
      <c r="Z9" s="356">
        <f>SUMIFS('Все игры'!AK$3:AK950,'Все игры'!AH$3:AH950,A9)</f>
        <v>0</v>
      </c>
      <c r="AA9" s="356">
        <f>SUMIFS('Все игры'!AK$3:AK950,'Все игры'!AH$3:AH950,A9,'Все игры'!AI$3:AI950,"Мафия")</f>
        <v>0</v>
      </c>
      <c r="AB9" s="367">
        <f>SUMIFS('Все игры'!AK$3:AK950,'Все игры'!AH$3:AH950,A9,'Все игры'!AI$3:AI950,"Шериф")</f>
        <v>0</v>
      </c>
      <c r="AC9" s="356">
        <f>SUMIFS('Все игры'!AK$3:AK950,'Все игры'!AH$3:AH950,A9,'Все игры'!AI$3:AI950,"Дон")</f>
        <v>0</v>
      </c>
      <c r="AD9" s="357">
        <f>SUMIFS('Все игры'!AK$3:AK950,'Все игры'!AH$3:AH950,A9,'Все игры'!AI$3:AI950,"Мирный")</f>
        <v>0</v>
      </c>
      <c r="AE9" s="356">
        <f t="shared" si="11"/>
        <v>0</v>
      </c>
      <c r="AF9" s="356">
        <f t="shared" si="12"/>
        <v>0</v>
      </c>
      <c r="AG9" s="356">
        <f t="shared" si="13"/>
        <v>0</v>
      </c>
      <c r="AH9" s="356">
        <f t="shared" si="14"/>
        <v>0</v>
      </c>
      <c r="AI9" s="356">
        <f t="shared" si="15"/>
        <v>0</v>
      </c>
      <c r="AJ9" s="356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/>
      <c r="BI9" s="356"/>
      <c r="BJ9" s="356"/>
      <c r="BK9" s="356"/>
    </row>
    <row r="10">
      <c r="A10" s="386"/>
      <c r="B10" s="369">
        <f t="shared" si="1"/>
        <v>0</v>
      </c>
      <c r="C10" s="372">
        <f>COUNTIFS('Все игры'!AH$3:AH950,A10,'Все игры'!AM$3:AM950,"=1")</f>
        <v>0</v>
      </c>
      <c r="D10" s="372">
        <f>COUNTIFS('Все игры'!AH$3:AH950,A10,'Все игры'!AM$3:AM950,"=0,50")</f>
        <v>0</v>
      </c>
      <c r="E10" s="372">
        <f>COUNTIFS('Все игры'!AH$3:AH950,A10,'Все игры'!AN$3:AN950,"&gt;0")</f>
        <v>0</v>
      </c>
      <c r="F10" s="373">
        <f t="shared" si="2"/>
        <v>0</v>
      </c>
      <c r="G10" s="374">
        <f>COUNTIFS('Все игры'!AH$3:AH950,A10,'Все игры'!AL$3:AL950,"У/Победа")</f>
        <v>0</v>
      </c>
      <c r="H10" s="374">
        <f>COUNTIFS('Все игры'!AH$3:AH950,A10,'Все игры'!AL$3:AL950,"У/Проигрыш")</f>
        <v>0</v>
      </c>
      <c r="I10" s="375">
        <f t="shared" si="3"/>
        <v>0</v>
      </c>
      <c r="J10" s="369">
        <f t="shared" si="4"/>
        <v>0</v>
      </c>
      <c r="K10" s="369">
        <f>COUNTIFS('Все игры'!AH$3:AH950,A10,'Все игры'!AJ$3:AJ950,"&gt;0",'Все игры'!AI$3:AI950,"Мафия")</f>
        <v>0</v>
      </c>
      <c r="L10" s="369">
        <f>IFERROR(__xludf.DUMMYFUNCTION("COUNTBLANK(FILTER('Все игры'!AH$3:AJ950,'Все игры'!AH$3:AH950=A10,'Все игры'!AJ$3:AJ950 &lt; 1,'Все игры'!AI$3:AI950=""Мафия""))"),0.0)</f>
        <v>0</v>
      </c>
      <c r="M10" s="369">
        <f>COUNTIFS('Все игры'!AH$3:AH950,A10,'Все игры'!AJ$3:AJ950,"&gt;0",'Все игры'!AI$3:AI950,"Шериф")</f>
        <v>0</v>
      </c>
      <c r="N10" s="376">
        <f>IFERROR(__xludf.DUMMYFUNCTION("COUNTBLANK(FILTER('Все игры'!AH$3:AJ950,'Все игры'!AH$3:AH950=A10,'Все игры'!AJ$3:AJ950 &lt; 1,'Все игры'!AI$3:AI950=""Шериф""))"),0.0)</f>
        <v>0</v>
      </c>
      <c r="O10" s="369">
        <f>COUNTIFS('Все игры'!AH$3:AH950,A10,'Все игры'!AJ$3:AJ950,"&gt;0",'Все игры'!AI$3:AI950,"Дон")</f>
        <v>0</v>
      </c>
      <c r="P10" s="376">
        <f>IFERROR(__xludf.DUMMYFUNCTION("COUNTBLANK(FILTER('Все игры'!AH$3:AJ950,'Все игры'!AH$3:AH950=A10,'Все игры'!AJ$3:AJ950 &lt; 1,'Все игры'!AI$3:AI950=""Дон""))"),0.0)</f>
        <v>0</v>
      </c>
      <c r="Q10" s="369">
        <f>COUNTIFS('Все игры'!AH$3:AH950,A10,'Все игры'!AJ$3:AJ950,"&gt;0",'Все игры'!AI$3:AI950,"Мирный")</f>
        <v>0</v>
      </c>
      <c r="R10" s="376">
        <f>IFERROR(__xludf.DUMMYFUNCTION("COUNTBLANK(FILTER('Все игры'!AH$3:AJ950,'Все игры'!AH$3:AH950=A10,'Все игры'!AJ$3:AJ950 &lt; 1,'Все игры'!AI$3:AI950=""Мирный""))"),0.0)</f>
        <v>0</v>
      </c>
      <c r="S10" s="379">
        <f t="shared" si="16"/>
        <v>0</v>
      </c>
      <c r="T10" s="379">
        <f t="shared" si="5"/>
        <v>0</v>
      </c>
      <c r="U10" s="379">
        <f t="shared" si="6"/>
        <v>0</v>
      </c>
      <c r="V10" s="379">
        <f t="shared" si="7"/>
        <v>0</v>
      </c>
      <c r="W10" s="379">
        <f t="shared" si="8"/>
        <v>0</v>
      </c>
      <c r="X10" s="379">
        <f t="shared" si="9"/>
        <v>0</v>
      </c>
      <c r="Y10" s="380">
        <f t="shared" si="10"/>
        <v>0</v>
      </c>
      <c r="Z10" s="370">
        <f>SUMIFS('Все игры'!AK$3:AK950,'Все игры'!AH$3:AH950,A10)</f>
        <v>0</v>
      </c>
      <c r="AA10" s="370">
        <f>SUMIFS('Все игры'!AK$3:AK950,'Все игры'!AH$3:AH950,A10,'Все игры'!AI$3:AI950,"Мафия")</f>
        <v>0</v>
      </c>
      <c r="AB10" s="381">
        <f>SUMIFS('Все игры'!AK$3:AK950,'Все игры'!AH$3:AH950,A10,'Все игры'!AI$3:AI950,"Шериф")</f>
        <v>0</v>
      </c>
      <c r="AC10" s="370">
        <f>SUMIFS('Все игры'!AK$3:AK950,'Все игры'!AH$3:AH950,A10,'Все игры'!AI$3:AI950,"Дон")</f>
        <v>0</v>
      </c>
      <c r="AD10" s="371">
        <f>SUMIFS('Все игры'!AK$3:AK950,'Все игры'!AH$3:AH950,A10,'Все игры'!AI$3:AI950,"Мирный")</f>
        <v>0</v>
      </c>
      <c r="AE10" s="370">
        <f t="shared" si="11"/>
        <v>0</v>
      </c>
      <c r="AF10" s="370">
        <f t="shared" si="12"/>
        <v>0</v>
      </c>
      <c r="AG10" s="370">
        <f t="shared" si="13"/>
        <v>0</v>
      </c>
      <c r="AH10" s="370">
        <f t="shared" si="14"/>
        <v>0</v>
      </c>
      <c r="AI10" s="370">
        <f t="shared" si="15"/>
        <v>0</v>
      </c>
      <c r="AJ10" s="370"/>
      <c r="AK10" s="370"/>
      <c r="AL10" s="370"/>
      <c r="AM10" s="370"/>
      <c r="AN10" s="370"/>
      <c r="AO10" s="370"/>
      <c r="AP10" s="370"/>
      <c r="AQ10" s="370"/>
      <c r="AR10" s="370"/>
      <c r="AS10" s="370"/>
      <c r="AT10" s="370"/>
      <c r="AU10" s="370"/>
      <c r="AV10" s="370"/>
      <c r="AW10" s="370"/>
      <c r="AX10" s="370"/>
      <c r="AY10" s="370"/>
      <c r="AZ10" s="370"/>
      <c r="BA10" s="370"/>
      <c r="BB10" s="370"/>
      <c r="BC10" s="370"/>
      <c r="BD10" s="370"/>
      <c r="BE10" s="370"/>
      <c r="BF10" s="370"/>
      <c r="BG10" s="370"/>
      <c r="BH10" s="370"/>
      <c r="BI10" s="370"/>
      <c r="BJ10" s="370"/>
      <c r="BK10" s="370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69">
        <f t="shared" si="1"/>
        <v>0</v>
      </c>
      <c r="C12" s="372">
        <f>COUNTIFS('Все игры'!AH$3:AH950,A12,'Все игры'!AM$3:AM950,"=1")</f>
        <v>0</v>
      </c>
      <c r="D12" s="372">
        <f>COUNTIFS('Все игры'!AH$3:AH950,A12,'Все игры'!AM$3:AM950,"=0,50")</f>
        <v>0</v>
      </c>
      <c r="E12" s="372">
        <f>COUNTIFS('Все игры'!AH$3:AH950,A12,'Все игры'!AN$3:AN950,"&gt;0")</f>
        <v>0</v>
      </c>
      <c r="F12" s="373">
        <f t="shared" si="2"/>
        <v>0</v>
      </c>
      <c r="G12" s="374">
        <f>COUNTIFS('Все игры'!AH$3:AH950,A12,'Все игры'!AL$3:AL950,"У/Победа")</f>
        <v>0</v>
      </c>
      <c r="H12" s="374">
        <f>COUNTIFS('Все игры'!AH$3:AH950,A12,'Все игры'!AL$3:AL950,"У/Проигрыш")</f>
        <v>0</v>
      </c>
      <c r="I12" s="375">
        <f t="shared" si="3"/>
        <v>0</v>
      </c>
      <c r="J12" s="369">
        <f t="shared" si="4"/>
        <v>0</v>
      </c>
      <c r="K12" s="369">
        <f>COUNTIFS('Все игры'!AH$3:AH950,A12,'Все игры'!AJ$3:AJ950,"&gt;0",'Все игры'!AI$3:AI950,"Мафия")</f>
        <v>0</v>
      </c>
      <c r="L12" s="369">
        <f>IFERROR(__xludf.DUMMYFUNCTION("COUNTBLANK(FILTER('Все игры'!AH$3:AJ950,'Все игры'!AH$3:AH950=A12,'Все игры'!AJ$3:AJ950 &lt; 1,'Все игры'!AI$3:AI950=""Мафия""))"),0.0)</f>
        <v>0</v>
      </c>
      <c r="M12" s="369">
        <f>COUNTIFS('Все игры'!AH$3:AH950,A12,'Все игры'!AJ$3:AJ950,"&gt;0",'Все игры'!AI$3:AI950,"Шериф")</f>
        <v>0</v>
      </c>
      <c r="N12" s="376">
        <f>IFERROR(__xludf.DUMMYFUNCTION("COUNTBLANK(FILTER('Все игры'!AH$3:AJ950,'Все игры'!AH$3:AH950=A12,'Все игры'!AJ$3:AJ950 &lt; 1,'Все игры'!AI$3:AI950=""Шериф""))"),0.0)</f>
        <v>0</v>
      </c>
      <c r="O12" s="369">
        <f>COUNTIFS('Все игры'!AH$3:AH950,A12,'Все игры'!AJ$3:AJ950,"&gt;0",'Все игры'!AI$3:AI950,"Дон")</f>
        <v>0</v>
      </c>
      <c r="P12" s="376">
        <f>IFERROR(__xludf.DUMMYFUNCTION("COUNTBLANK(FILTER('Все игры'!AH$3:AJ950,'Все игры'!AH$3:AH950=A12,'Все игры'!AJ$3:AJ950 &lt; 1,'Все игры'!AI$3:AI950=""Дон""))"),0.0)</f>
        <v>0</v>
      </c>
      <c r="Q12" s="369">
        <f>COUNTIFS('Все игры'!AH$3:AH950,A12,'Все игры'!AJ$3:AJ950,"&gt;0",'Все игры'!AI$3:AI950,"Мирный")</f>
        <v>0</v>
      </c>
      <c r="R12" s="376">
        <f>IFERROR(__xludf.DUMMYFUNCTION("COUNTBLANK(FILTER('Все игры'!AH$3:AJ950,'Все игры'!AH$3:AH950=A12,'Все игры'!AJ$3:AJ950 &lt; 1,'Все игры'!AI$3:AI950=""Мирный""))"),0.0)</f>
        <v>0</v>
      </c>
      <c r="S12" s="379">
        <f t="shared" si="16"/>
        <v>0</v>
      </c>
      <c r="T12" s="379">
        <f t="shared" si="5"/>
        <v>0</v>
      </c>
      <c r="U12" s="379">
        <f t="shared" si="6"/>
        <v>0</v>
      </c>
      <c r="V12" s="379">
        <f t="shared" si="7"/>
        <v>0</v>
      </c>
      <c r="W12" s="379">
        <f t="shared" si="8"/>
        <v>0</v>
      </c>
      <c r="X12" s="379">
        <f t="shared" si="9"/>
        <v>0</v>
      </c>
      <c r="Y12" s="380">
        <f t="shared" si="10"/>
        <v>0</v>
      </c>
      <c r="Z12" s="370">
        <f>SUMIFS('Все игры'!AK$3:AK950,'Все игры'!AH$3:AH950,A12)</f>
        <v>0</v>
      </c>
      <c r="AA12" s="370">
        <f>SUMIFS('Все игры'!AK$3:AK950,'Все игры'!AH$3:AH950,A12,'Все игры'!AI$3:AI950,"Мафия")</f>
        <v>0</v>
      </c>
      <c r="AB12" s="381">
        <f>SUMIFS('Все игры'!AK$3:AK950,'Все игры'!AH$3:AH950,A12,'Все игры'!AI$3:AI950,"Шериф")</f>
        <v>0</v>
      </c>
      <c r="AC12" s="370">
        <f>SUMIFS('Все игры'!AK$3:AK950,'Все игры'!AH$3:AH950,A12,'Все игры'!AI$3:AI950,"Дон")</f>
        <v>0</v>
      </c>
      <c r="AD12" s="371">
        <f>SUMIFS('Все игры'!AK$3:AK950,'Все игры'!AH$3:AH950,A12,'Все игры'!AI$3:AI950,"Мирный")</f>
        <v>0</v>
      </c>
      <c r="AE12" s="370">
        <f t="shared" si="11"/>
        <v>0</v>
      </c>
      <c r="AF12" s="370">
        <f t="shared" si="12"/>
        <v>0</v>
      </c>
      <c r="AG12" s="370">
        <f t="shared" si="13"/>
        <v>0</v>
      </c>
      <c r="AH12" s="370">
        <f t="shared" si="14"/>
        <v>0</v>
      </c>
      <c r="AI12" s="370">
        <f t="shared" si="15"/>
        <v>0</v>
      </c>
      <c r="AJ12" s="370"/>
      <c r="AK12" s="370"/>
      <c r="AL12" s="370"/>
      <c r="AM12" s="370"/>
      <c r="AN12" s="370"/>
      <c r="AO12" s="370"/>
      <c r="AP12" s="370"/>
      <c r="AQ12" s="370"/>
      <c r="AR12" s="370"/>
      <c r="AS12" s="370"/>
      <c r="AT12" s="370"/>
      <c r="AU12" s="370"/>
      <c r="AV12" s="370"/>
      <c r="AW12" s="370"/>
      <c r="AX12" s="370"/>
      <c r="AY12" s="370"/>
      <c r="AZ12" s="370"/>
      <c r="BA12" s="370"/>
      <c r="BB12" s="370"/>
      <c r="BC12" s="370"/>
      <c r="BD12" s="370"/>
      <c r="BE12" s="370"/>
      <c r="BF12" s="370"/>
      <c r="BG12" s="370"/>
      <c r="BH12" s="370"/>
      <c r="BI12" s="370"/>
      <c r="BJ12" s="370"/>
      <c r="BK12" s="370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70"/>
      <c r="AK14" s="370"/>
      <c r="AL14" s="370"/>
      <c r="AM14" s="370"/>
      <c r="AN14" s="370"/>
      <c r="AO14" s="370"/>
      <c r="AP14" s="370"/>
      <c r="AQ14" s="370"/>
      <c r="AR14" s="370"/>
      <c r="AS14" s="370"/>
      <c r="AT14" s="370"/>
      <c r="AU14" s="370"/>
      <c r="AV14" s="370"/>
      <c r="AW14" s="370"/>
      <c r="AX14" s="370"/>
      <c r="AY14" s="370"/>
      <c r="AZ14" s="370"/>
      <c r="BA14" s="370"/>
      <c r="BB14" s="370"/>
      <c r="BC14" s="370"/>
      <c r="BD14" s="370"/>
      <c r="BE14" s="370"/>
      <c r="BF14" s="370"/>
      <c r="BG14" s="370"/>
      <c r="BH14" s="370"/>
      <c r="BI14" s="370"/>
      <c r="BJ14" s="370"/>
      <c r="BK14" s="370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3"/>
      <c r="AK4" s="353"/>
      <c r="AL4" s="353"/>
      <c r="AM4" s="353"/>
      <c r="AN4" s="353"/>
      <c r="AO4" s="353"/>
      <c r="AP4" s="353"/>
      <c r="AQ4" s="353"/>
      <c r="AR4" s="353"/>
      <c r="AS4" s="353"/>
      <c r="AT4" s="353"/>
      <c r="AU4" s="353"/>
      <c r="AV4" s="353"/>
      <c r="AW4" s="353"/>
      <c r="AX4" s="353"/>
      <c r="AY4" s="353"/>
      <c r="AZ4" s="353"/>
      <c r="BA4" s="353"/>
      <c r="BB4" s="353"/>
      <c r="BC4" s="353"/>
      <c r="BD4" s="353"/>
      <c r="BE4" s="353"/>
      <c r="BF4" s="353"/>
      <c r="BG4" s="353"/>
      <c r="BH4" s="353"/>
      <c r="BI4" s="353"/>
      <c r="BJ4" s="353"/>
      <c r="BK4" s="353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69">
        <f t="shared" si="1"/>
        <v>0</v>
      </c>
      <c r="C6" s="372">
        <f>COUNTIFS('Все игры'!AH$3:AH940,A6,'Все игры'!AM$3:AM940,"=1")</f>
        <v>0</v>
      </c>
      <c r="D6" s="372">
        <f>COUNTIFS('Все игры'!AH$3:AH940,A6,'Все игры'!AM$3:AM940,"=0,50")</f>
        <v>0</v>
      </c>
      <c r="E6" s="372">
        <f>COUNTIFS('Все игры'!AH$3:AH940,A6,'Все игры'!AN$3:AN940,"&gt;0")</f>
        <v>0</v>
      </c>
      <c r="F6" s="373">
        <f t="shared" si="2"/>
        <v>0</v>
      </c>
      <c r="G6" s="374">
        <f>COUNTIFS('Все игры'!AH$3:AH940,A6,'Все игры'!AL$3:AL940,"У/Победа")</f>
        <v>0</v>
      </c>
      <c r="H6" s="374">
        <f>COUNTIFS('Все игры'!AH$3:AH940,A6,'Все игры'!AL$3:AL940,"У/Проигрыш")</f>
        <v>0</v>
      </c>
      <c r="I6" s="375">
        <f t="shared" si="3"/>
        <v>0</v>
      </c>
      <c r="J6" s="369">
        <f t="shared" si="4"/>
        <v>0</v>
      </c>
      <c r="K6" s="369">
        <f>COUNTIFS('Все игры'!Z$3:Z940,A6,'Все игры'!AB$3:AB940,"&gt;0",'Все игры'!AA$3:AA940,"Мафия")</f>
        <v>0</v>
      </c>
      <c r="L6" s="369">
        <f>IFERROR(__xludf.DUMMYFUNCTION("COUNTBLANK(FILTER('Все игры'!Z$3:AB940,'Все игры'!Z$3:Z940=A6,'Все игры'!AB$3:AB940 &lt; 1,'Все игры'!AA$3:AA940=""Мафия""))"),0.0)</f>
        <v>0</v>
      </c>
      <c r="M6" s="369">
        <f>COUNTIFS('Все игры'!Z$3:Z940,A6,'Все игры'!AB$3:AB940,"&gt;0",'Все игры'!AA$3:AA940,"Шериф")</f>
        <v>0</v>
      </c>
      <c r="N6" s="376">
        <f>IFERROR(__xludf.DUMMYFUNCTION("COUNTBLANK(FILTER('Все игры'!Z$3:AB940,'Все игры'!Z$3:Z940=A6,'Все игры'!AB$3:AB940 &lt; 1,'Все игры'!AA$3:AA940=""Шериф""))"),0.0)</f>
        <v>0</v>
      </c>
      <c r="O6" s="369">
        <f>COUNTIFS('Все игры'!Z$3:Z940,A6,'Все игры'!AB$3:AB940,"&gt;0",'Все игры'!AA$3:AA940,"Дон")</f>
        <v>0</v>
      </c>
      <c r="P6" s="376">
        <f>IFERROR(__xludf.DUMMYFUNCTION("COUNTBLANK(FILTER('Все игры'!Z$3:AB940,'Все игры'!Z$3:Z940=A6,'Все игры'!AB$3:AB940 &lt; 1,'Все игры'!AA$3:AA940=""Дон""))"),0.0)</f>
        <v>0</v>
      </c>
      <c r="Q6" s="369">
        <f>COUNTIFS('Все игры'!Z$3:Z940,A6,'Все игры'!AB$3:AB940,"&gt;0",'Все игры'!AA$3:AA940,"Мирный")</f>
        <v>0</v>
      </c>
      <c r="R6" s="376">
        <f>IFERROR(__xludf.DUMMYFUNCTION("COUNTBLANK(FILTER('Все игры'!Z$3:AB940,'Все игры'!Z$3:Z940=A6,'Все игры'!AB$3:AB940 &lt; 1,'Все игры'!AA$3:AA940=""Мирный""))"),0.0)</f>
        <v>0</v>
      </c>
      <c r="S6" s="379">
        <f t="shared" ref="S6:S14" si="16">IFERROR((K6+M6+O6+Q6)/B6,0)</f>
        <v>0</v>
      </c>
      <c r="T6" s="379">
        <f t="shared" si="5"/>
        <v>0</v>
      </c>
      <c r="U6" s="379">
        <f t="shared" si="6"/>
        <v>0</v>
      </c>
      <c r="V6" s="379">
        <f t="shared" si="7"/>
        <v>0</v>
      </c>
      <c r="W6" s="379">
        <f t="shared" si="8"/>
        <v>0</v>
      </c>
      <c r="X6" s="379">
        <f t="shared" si="9"/>
        <v>0</v>
      </c>
      <c r="Y6" s="380">
        <f t="shared" si="10"/>
        <v>0</v>
      </c>
      <c r="Z6" s="370">
        <f>SUMIFS('Все игры'!AC$3:AC940,'Все игры'!Z$3:Z940,A6)</f>
        <v>0</v>
      </c>
      <c r="AA6" s="370">
        <f>SUMIFS('Все игры'!AC$3:AC940,'Все игры'!Z$3:Z940,A6,'Все игры'!AA$3:AA940,"Мафия")</f>
        <v>0</v>
      </c>
      <c r="AB6" s="381">
        <f>SUMIFS('Все игры'!AC$3:AC940,'Все игры'!Z$3:Z940,A6,'Все игры'!AA$3:AA940,"Шериф")</f>
        <v>0</v>
      </c>
      <c r="AC6" s="370">
        <f>SUMIFS('Все игры'!AC$3:AC940,'Все игры'!Z$3:Z940,A6,'Все игры'!AA$3:AA940,"Дон")</f>
        <v>0</v>
      </c>
      <c r="AD6" s="371">
        <f>SUMIFS('Все игры'!AC$3:AC940,'Все игры'!Z$3:Z940,A6,'Все игры'!AA$3:AA940,"Мирный")</f>
        <v>0</v>
      </c>
      <c r="AE6" s="370">
        <f t="shared" si="11"/>
        <v>0</v>
      </c>
      <c r="AF6" s="370">
        <f t="shared" si="12"/>
        <v>0</v>
      </c>
      <c r="AG6" s="370">
        <f t="shared" si="13"/>
        <v>0</v>
      </c>
      <c r="AH6" s="370">
        <f t="shared" si="14"/>
        <v>0</v>
      </c>
      <c r="AI6" s="370">
        <f t="shared" si="15"/>
        <v>0</v>
      </c>
      <c r="AJ6" s="370"/>
      <c r="AK6" s="370"/>
      <c r="AL6" s="370"/>
      <c r="AM6" s="370"/>
      <c r="AN6" s="370"/>
      <c r="AO6" s="370"/>
      <c r="AP6" s="370"/>
      <c r="AQ6" s="370"/>
      <c r="AR6" s="370"/>
      <c r="AS6" s="370"/>
      <c r="AT6" s="370"/>
      <c r="AU6" s="370"/>
      <c r="AV6" s="370"/>
      <c r="AW6" s="370"/>
      <c r="AX6" s="370"/>
      <c r="AY6" s="370"/>
      <c r="AZ6" s="370"/>
      <c r="BA6" s="370"/>
      <c r="BB6" s="370"/>
      <c r="BC6" s="370"/>
      <c r="BD6" s="370"/>
      <c r="BE6" s="370"/>
      <c r="BF6" s="370"/>
      <c r="BG6" s="370"/>
      <c r="BH6" s="370"/>
      <c r="BI6" s="370"/>
      <c r="BJ6" s="370"/>
      <c r="BK6" s="370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69">
        <f t="shared" si="1"/>
        <v>0</v>
      </c>
      <c r="C8" s="372">
        <f>COUNTIFS('Все игры'!AH$3:AH940,A8,'Все игры'!AM$3:AM940,"=1")</f>
        <v>0</v>
      </c>
      <c r="D8" s="372">
        <f>COUNTIFS('Все игры'!AH$3:AH940,A8,'Все игры'!AM$3:AM940,"=0,50")</f>
        <v>0</v>
      </c>
      <c r="E8" s="372">
        <f>COUNTIFS('Все игры'!AH$3:AH940,A8,'Все игры'!AN$3:AN940,"&gt;0")</f>
        <v>0</v>
      </c>
      <c r="F8" s="373">
        <f t="shared" si="2"/>
        <v>0</v>
      </c>
      <c r="G8" s="374">
        <f>COUNTIFS('Все игры'!AH$3:AH940,A8,'Все игры'!AL$3:AL940,"У/Победа")</f>
        <v>0</v>
      </c>
      <c r="H8" s="374">
        <f>COUNTIFS('Все игры'!AH$3:AH940,A8,'Все игры'!AL$3:AL940,"У/Проигрыш")</f>
        <v>0</v>
      </c>
      <c r="I8" s="375">
        <f t="shared" si="3"/>
        <v>0</v>
      </c>
      <c r="J8" s="369">
        <f t="shared" si="4"/>
        <v>0</v>
      </c>
      <c r="K8" s="369">
        <f>COUNTIFS('Все игры'!Z$3:Z940,A8,'Все игры'!AB$3:AB940,"&gt;0",'Все игры'!AA$3:AA940,"Мафия")</f>
        <v>0</v>
      </c>
      <c r="L8" s="369">
        <f>IFERROR(__xludf.DUMMYFUNCTION("COUNTBLANK(FILTER('Все игры'!Z$3:AB940,'Все игры'!Z$3:Z940=A8,'Все игры'!AB$3:AB940 &lt; 1,'Все игры'!AA$3:AA940=""Мафия""))"),0.0)</f>
        <v>0</v>
      </c>
      <c r="M8" s="369">
        <f>COUNTIFS('Все игры'!Z$3:Z940,A8,'Все игры'!AB$3:AB940,"&gt;0",'Все игры'!AA$3:AA940,"Шериф")</f>
        <v>0</v>
      </c>
      <c r="N8" s="376">
        <f>IFERROR(__xludf.DUMMYFUNCTION("COUNTBLANK(FILTER('Все игры'!Z$3:AB940,'Все игры'!Z$3:Z940=A8,'Все игры'!AB$3:AB940 &lt; 1,'Все игры'!AA$3:AA940=""Шериф""))"),0.0)</f>
        <v>0</v>
      </c>
      <c r="O8" s="369">
        <f>COUNTIFS('Все игры'!Z$3:Z940,A8,'Все игры'!AB$3:AB940,"&gt;0",'Все игры'!AA$3:AA940,"Дон")</f>
        <v>0</v>
      </c>
      <c r="P8" s="376">
        <f>IFERROR(__xludf.DUMMYFUNCTION("COUNTBLANK(FILTER('Все игры'!Z$3:AB940,'Все игры'!Z$3:Z940=A8,'Все игры'!AB$3:AB940 &lt; 1,'Все игры'!AA$3:AA940=""Дон""))"),0.0)</f>
        <v>0</v>
      </c>
      <c r="Q8" s="369">
        <f>COUNTIFS('Все игры'!Z$3:Z940,A8,'Все игры'!AB$3:AB940,"&gt;0",'Все игры'!AA$3:AA940,"Мирный")</f>
        <v>0</v>
      </c>
      <c r="R8" s="376">
        <f>IFERROR(__xludf.DUMMYFUNCTION("COUNTBLANK(FILTER('Все игры'!Z$3:AB940,'Все игры'!Z$3:Z940=A8,'Все игры'!AB$3:AB940 &lt; 1,'Все игры'!AA$3:AA940=""Мирный""))"),0.0)</f>
        <v>0</v>
      </c>
      <c r="S8" s="379">
        <f t="shared" si="16"/>
        <v>0</v>
      </c>
      <c r="T8" s="379">
        <f t="shared" si="5"/>
        <v>0</v>
      </c>
      <c r="U8" s="379">
        <f t="shared" si="6"/>
        <v>0</v>
      </c>
      <c r="V8" s="379">
        <f t="shared" si="7"/>
        <v>0</v>
      </c>
      <c r="W8" s="379">
        <f t="shared" si="8"/>
        <v>0</v>
      </c>
      <c r="X8" s="379">
        <f t="shared" si="9"/>
        <v>0</v>
      </c>
      <c r="Y8" s="380">
        <f t="shared" si="10"/>
        <v>0</v>
      </c>
      <c r="Z8" s="370">
        <f>SUMIFS('Все игры'!AC$3:AC940,'Все игры'!Z$3:Z940,A8)</f>
        <v>0</v>
      </c>
      <c r="AA8" s="370">
        <f>SUMIFS('Все игры'!AC$3:AC940,'Все игры'!Z$3:Z940,A8,'Все игры'!AA$3:AA940,"Мафия")</f>
        <v>0</v>
      </c>
      <c r="AB8" s="381">
        <f>SUMIFS('Все игры'!AC$3:AC940,'Все игры'!Z$3:Z940,A8,'Все игры'!AA$3:AA940,"Шериф")</f>
        <v>0</v>
      </c>
      <c r="AC8" s="370">
        <f>SUMIFS('Все игры'!AC$3:AC940,'Все игры'!Z$3:Z940,A8,'Все игры'!AA$3:AA940,"Дон")</f>
        <v>0</v>
      </c>
      <c r="AD8" s="371">
        <f>SUMIFS('Все игры'!AC$3:AC940,'Все игры'!Z$3:Z940,A8,'Все игры'!AA$3:AA940,"Мирный")</f>
        <v>0</v>
      </c>
      <c r="AE8" s="370">
        <f t="shared" si="11"/>
        <v>0</v>
      </c>
      <c r="AF8" s="370">
        <f t="shared" si="12"/>
        <v>0</v>
      </c>
      <c r="AG8" s="370">
        <f t="shared" si="13"/>
        <v>0</v>
      </c>
      <c r="AH8" s="370">
        <f t="shared" si="14"/>
        <v>0</v>
      </c>
      <c r="AI8" s="370">
        <f t="shared" si="15"/>
        <v>0</v>
      </c>
      <c r="AJ8" s="370"/>
      <c r="AK8" s="370"/>
      <c r="AL8" s="370"/>
      <c r="AM8" s="370"/>
      <c r="AN8" s="370"/>
      <c r="AO8" s="370"/>
      <c r="AP8" s="370"/>
      <c r="AQ8" s="370"/>
      <c r="AR8" s="370"/>
      <c r="AS8" s="370"/>
      <c r="AT8" s="370"/>
      <c r="AU8" s="370"/>
      <c r="AV8" s="370"/>
      <c r="AW8" s="370"/>
      <c r="AX8" s="370"/>
      <c r="AY8" s="370"/>
      <c r="AZ8" s="370"/>
      <c r="BA8" s="370"/>
      <c r="BB8" s="370"/>
      <c r="BC8" s="370"/>
      <c r="BD8" s="370"/>
      <c r="BE8" s="370"/>
      <c r="BF8" s="370"/>
      <c r="BG8" s="370"/>
      <c r="BH8" s="370"/>
      <c r="BI8" s="370"/>
      <c r="BJ8" s="370"/>
      <c r="BK8" s="370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69">
        <f t="shared" si="1"/>
        <v>0</v>
      </c>
      <c r="C10" s="372">
        <f>COUNTIFS('Все игры'!AH$3:AH940,A10,'Все игры'!AM$3:AM940,"=1")</f>
        <v>0</v>
      </c>
      <c r="D10" s="372">
        <f>COUNTIFS('Все игры'!AH$3:AH940,A10,'Все игры'!AM$3:AM940,"=0,50")</f>
        <v>0</v>
      </c>
      <c r="E10" s="372">
        <f>COUNTIFS('Все игры'!AH$3:AH940,A10,'Все игры'!AN$3:AN940,"&gt;0")</f>
        <v>0</v>
      </c>
      <c r="F10" s="373">
        <f t="shared" si="2"/>
        <v>0</v>
      </c>
      <c r="G10" s="374">
        <f>COUNTIFS('Все игры'!AH$3:AH940,A10,'Все игры'!AL$3:AL940,"У/Победа")</f>
        <v>0</v>
      </c>
      <c r="H10" s="374">
        <f>COUNTIFS('Все игры'!AH$3:AH940,A10,'Все игры'!AL$3:AL940,"У/Проигрыш")</f>
        <v>0</v>
      </c>
      <c r="I10" s="375">
        <f t="shared" si="3"/>
        <v>0</v>
      </c>
      <c r="J10" s="369">
        <f t="shared" si="4"/>
        <v>0</v>
      </c>
      <c r="K10" s="369">
        <f>COUNTIFS('Все игры'!Z$3:Z940,A10,'Все игры'!AB$3:AB940,"&gt;0",'Все игры'!AA$3:AA940,"Мафия")</f>
        <v>0</v>
      </c>
      <c r="L10" s="369">
        <f>IFERROR(__xludf.DUMMYFUNCTION("COUNTBLANK(FILTER('Все игры'!Z$3:AB940,'Все игры'!Z$3:Z940=A10,'Все игры'!AB$3:AB940 &lt; 1,'Все игры'!AA$3:AA940=""Мафия""))"),0.0)</f>
        <v>0</v>
      </c>
      <c r="M10" s="369">
        <f>COUNTIFS('Все игры'!Z$3:Z940,A10,'Все игры'!AB$3:AB940,"&gt;0",'Все игры'!AA$3:AA940,"Шериф")</f>
        <v>0</v>
      </c>
      <c r="N10" s="376">
        <f>IFERROR(__xludf.DUMMYFUNCTION("COUNTBLANK(FILTER('Все игры'!Z$3:AB940,'Все игры'!Z$3:Z940=A10,'Все игры'!AB$3:AB940 &lt; 1,'Все игры'!AA$3:AA940=""Шериф""))"),0.0)</f>
        <v>0</v>
      </c>
      <c r="O10" s="369">
        <f>COUNTIFS('Все игры'!Z$3:Z940,A10,'Все игры'!AB$3:AB940,"&gt;0",'Все игры'!AA$3:AA940,"Дон")</f>
        <v>0</v>
      </c>
      <c r="P10" s="376">
        <f>IFERROR(__xludf.DUMMYFUNCTION("COUNTBLANK(FILTER('Все игры'!Z$3:AB940,'Все игры'!Z$3:Z940=A10,'Все игры'!AB$3:AB940 &lt; 1,'Все игры'!AA$3:AA940=""Дон""))"),0.0)</f>
        <v>0</v>
      </c>
      <c r="Q10" s="369">
        <f>COUNTIFS('Все игры'!Z$3:Z940,A10,'Все игры'!AB$3:AB940,"&gt;0",'Все игры'!AA$3:AA940,"Мирный")</f>
        <v>0</v>
      </c>
      <c r="R10" s="376">
        <f>IFERROR(__xludf.DUMMYFUNCTION("COUNTBLANK(FILTER('Все игры'!Z$3:AB940,'Все игры'!Z$3:Z940=A10,'Все игры'!AB$3:AB940 &lt; 1,'Все игры'!AA$3:AA940=""Мирный""))"),0.0)</f>
        <v>0</v>
      </c>
      <c r="S10" s="379">
        <f t="shared" si="16"/>
        <v>0</v>
      </c>
      <c r="T10" s="379">
        <f t="shared" si="5"/>
        <v>0</v>
      </c>
      <c r="U10" s="379">
        <f t="shared" si="6"/>
        <v>0</v>
      </c>
      <c r="V10" s="379">
        <f t="shared" si="7"/>
        <v>0</v>
      </c>
      <c r="W10" s="379">
        <f t="shared" si="8"/>
        <v>0</v>
      </c>
      <c r="X10" s="379">
        <f t="shared" si="9"/>
        <v>0</v>
      </c>
      <c r="Y10" s="380">
        <f t="shared" si="10"/>
        <v>0</v>
      </c>
      <c r="Z10" s="370">
        <f>SUMIFS('Все игры'!AC$3:AC940,'Все игры'!Z$3:Z940,A10)</f>
        <v>0</v>
      </c>
      <c r="AA10" s="370">
        <f>SUMIFS('Все игры'!AC$3:AC940,'Все игры'!Z$3:Z940,A10,'Все игры'!AA$3:AA940,"Мафия")</f>
        <v>0</v>
      </c>
      <c r="AB10" s="381">
        <f>SUMIFS('Все игры'!AC$3:AC940,'Все игры'!Z$3:Z940,A10,'Все игры'!AA$3:AA940,"Шериф")</f>
        <v>0</v>
      </c>
      <c r="AC10" s="370">
        <f>SUMIFS('Все игры'!AC$3:AC940,'Все игры'!Z$3:Z940,A10,'Все игры'!AA$3:AA940,"Дон")</f>
        <v>0</v>
      </c>
      <c r="AD10" s="371">
        <f>SUMIFS('Все игры'!AC$3:AC940,'Все игры'!Z$3:Z940,A10,'Все игры'!AA$3:AA940,"Мирный")</f>
        <v>0</v>
      </c>
      <c r="AE10" s="370">
        <f t="shared" si="11"/>
        <v>0</v>
      </c>
      <c r="AF10" s="370">
        <f t="shared" si="12"/>
        <v>0</v>
      </c>
      <c r="AG10" s="370">
        <f t="shared" si="13"/>
        <v>0</v>
      </c>
      <c r="AH10" s="370">
        <f t="shared" si="14"/>
        <v>0</v>
      </c>
      <c r="AI10" s="370">
        <f t="shared" si="15"/>
        <v>0</v>
      </c>
      <c r="AJ10" s="370"/>
      <c r="AK10" s="370"/>
      <c r="AL10" s="370"/>
      <c r="AM10" s="370"/>
      <c r="AN10" s="370"/>
      <c r="AO10" s="370"/>
      <c r="AP10" s="370"/>
      <c r="AQ10" s="370"/>
      <c r="AR10" s="370"/>
      <c r="AS10" s="370"/>
      <c r="AT10" s="370"/>
      <c r="AU10" s="370"/>
      <c r="AV10" s="370"/>
      <c r="AW10" s="370"/>
      <c r="AX10" s="370"/>
      <c r="AY10" s="370"/>
      <c r="AZ10" s="370"/>
      <c r="BA10" s="370"/>
      <c r="BB10" s="370"/>
      <c r="BC10" s="370"/>
      <c r="BD10" s="370"/>
      <c r="BE10" s="370"/>
      <c r="BF10" s="370"/>
      <c r="BG10" s="370"/>
      <c r="BH10" s="370"/>
      <c r="BI10" s="370"/>
      <c r="BJ10" s="370"/>
      <c r="BK10" s="370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69">
        <f t="shared" si="1"/>
        <v>0</v>
      </c>
      <c r="C12" s="372">
        <f>COUNTIFS('Все игры'!AH$3:AH940,A12,'Все игры'!AM$3:AM940,"=1")</f>
        <v>0</v>
      </c>
      <c r="D12" s="372">
        <f>COUNTIFS('Все игры'!AH$3:AH940,A12,'Все игры'!AM$3:AM940,"=0,50")</f>
        <v>0</v>
      </c>
      <c r="E12" s="372">
        <f>COUNTIFS('Все игры'!AH$3:AH940,A12,'Все игры'!AN$3:AN940,"&gt;0")</f>
        <v>0</v>
      </c>
      <c r="F12" s="373">
        <f t="shared" si="2"/>
        <v>0</v>
      </c>
      <c r="G12" s="374">
        <f>COUNTIFS('Все игры'!AH$3:AH940,A12,'Все игры'!AL$3:AL940,"У/Победа")</f>
        <v>0</v>
      </c>
      <c r="H12" s="374">
        <f>COUNTIFS('Все игры'!AH$3:AH940,A12,'Все игры'!AL$3:AL940,"У/Проигрыш")</f>
        <v>0</v>
      </c>
      <c r="I12" s="375">
        <f t="shared" si="3"/>
        <v>0</v>
      </c>
      <c r="J12" s="369">
        <f t="shared" si="4"/>
        <v>0</v>
      </c>
      <c r="K12" s="369">
        <f>COUNTIFS('Все игры'!Z$3:Z940,A12,'Все игры'!AB$3:AB940,"&gt;0",'Все игры'!AA$3:AA940,"Мафия")</f>
        <v>0</v>
      </c>
      <c r="L12" s="369">
        <f>IFERROR(__xludf.DUMMYFUNCTION("COUNTBLANK(FILTER('Все игры'!Z$3:AB940,'Все игры'!Z$3:Z940=A12,'Все игры'!AB$3:AB940 &lt; 1,'Все игры'!AA$3:AA940=""Мафия""))"),0.0)</f>
        <v>0</v>
      </c>
      <c r="M12" s="369">
        <f>COUNTIFS('Все игры'!Z$3:Z940,A12,'Все игры'!AB$3:AB940,"&gt;0",'Все игры'!AA$3:AA940,"Шериф")</f>
        <v>0</v>
      </c>
      <c r="N12" s="376">
        <f>IFERROR(__xludf.DUMMYFUNCTION("COUNTBLANK(FILTER('Все игры'!Z$3:AB940,'Все игры'!Z$3:Z940=A12,'Все игры'!AB$3:AB940 &lt; 1,'Все игры'!AA$3:AA940=""Шериф""))"),0.0)</f>
        <v>0</v>
      </c>
      <c r="O12" s="369">
        <f>COUNTIFS('Все игры'!Z$3:Z940,A12,'Все игры'!AB$3:AB940,"&gt;0",'Все игры'!AA$3:AA940,"Дон")</f>
        <v>0</v>
      </c>
      <c r="P12" s="376">
        <f>IFERROR(__xludf.DUMMYFUNCTION("COUNTBLANK(FILTER('Все игры'!Z$3:AB940,'Все игры'!Z$3:Z940=A12,'Все игры'!AB$3:AB940 &lt; 1,'Все игры'!AA$3:AA940=""Дон""))"),0.0)</f>
        <v>0</v>
      </c>
      <c r="Q12" s="369">
        <f>COUNTIFS('Все игры'!Z$3:Z940,A12,'Все игры'!AB$3:AB940,"&gt;0",'Все игры'!AA$3:AA940,"Мирный")</f>
        <v>0</v>
      </c>
      <c r="R12" s="376">
        <f>IFERROR(__xludf.DUMMYFUNCTION("COUNTBLANK(FILTER('Все игры'!Z$3:AB940,'Все игры'!Z$3:Z940=A12,'Все игры'!AB$3:AB940 &lt; 1,'Все игры'!AA$3:AA940=""Мирный""))"),0.0)</f>
        <v>0</v>
      </c>
      <c r="S12" s="379">
        <f t="shared" si="16"/>
        <v>0</v>
      </c>
      <c r="T12" s="379">
        <f t="shared" si="5"/>
        <v>0</v>
      </c>
      <c r="U12" s="379">
        <f t="shared" si="6"/>
        <v>0</v>
      </c>
      <c r="V12" s="379">
        <f t="shared" si="7"/>
        <v>0</v>
      </c>
      <c r="W12" s="379">
        <f t="shared" si="8"/>
        <v>0</v>
      </c>
      <c r="X12" s="379">
        <f t="shared" si="9"/>
        <v>0</v>
      </c>
      <c r="Y12" s="380">
        <f t="shared" si="10"/>
        <v>0</v>
      </c>
      <c r="Z12" s="370">
        <f>SUMIFS('Все игры'!AC$3:AC940,'Все игры'!Z$3:Z940,A12)</f>
        <v>0</v>
      </c>
      <c r="AA12" s="370">
        <f>SUMIFS('Все игры'!AC$3:AC940,'Все игры'!Z$3:Z940,A12,'Все игры'!AA$3:AA940,"Мафия")</f>
        <v>0</v>
      </c>
      <c r="AB12" s="381">
        <f>SUMIFS('Все игры'!AC$3:AC940,'Все игры'!Z$3:Z940,A12,'Все игры'!AA$3:AA940,"Шериф")</f>
        <v>0</v>
      </c>
      <c r="AC12" s="370">
        <f>SUMIFS('Все игры'!AC$3:AC940,'Все игры'!Z$3:Z940,A12,'Все игры'!AA$3:AA940,"Дон")</f>
        <v>0</v>
      </c>
      <c r="AD12" s="371">
        <f>SUMIFS('Все игры'!AC$3:AC940,'Все игры'!Z$3:Z940,A12,'Все игры'!AA$3:AA940,"Мирный")</f>
        <v>0</v>
      </c>
      <c r="AE12" s="370">
        <f t="shared" si="11"/>
        <v>0</v>
      </c>
      <c r="AF12" s="370">
        <f t="shared" si="12"/>
        <v>0</v>
      </c>
      <c r="AG12" s="370">
        <f t="shared" si="13"/>
        <v>0</v>
      </c>
      <c r="AH12" s="370">
        <f t="shared" si="14"/>
        <v>0</v>
      </c>
      <c r="AI12" s="370">
        <f t="shared" si="15"/>
        <v>0</v>
      </c>
      <c r="AJ12" s="370"/>
      <c r="AK12" s="370"/>
      <c r="AL12" s="370"/>
      <c r="AM12" s="370"/>
      <c r="AN12" s="370"/>
      <c r="AO12" s="370"/>
      <c r="AP12" s="370"/>
      <c r="AQ12" s="370"/>
      <c r="AR12" s="370"/>
      <c r="AS12" s="370"/>
      <c r="AT12" s="370"/>
      <c r="AU12" s="370"/>
      <c r="AV12" s="370"/>
      <c r="AW12" s="370"/>
      <c r="AX12" s="370"/>
      <c r="AY12" s="370"/>
      <c r="AZ12" s="370"/>
      <c r="BA12" s="370"/>
      <c r="BB12" s="370"/>
      <c r="BC12" s="370"/>
      <c r="BD12" s="370"/>
      <c r="BE12" s="370"/>
      <c r="BF12" s="370"/>
      <c r="BG12" s="370"/>
      <c r="BH12" s="370"/>
      <c r="BI12" s="370"/>
      <c r="BJ12" s="370"/>
      <c r="BK12" s="370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249</v>
      </c>
      <c r="C1" s="183"/>
      <c r="D1" s="183"/>
      <c r="E1" s="183"/>
      <c r="F1" s="183"/>
      <c r="G1" s="184"/>
      <c r="N1" s="416" t="s">
        <v>250</v>
      </c>
      <c r="R1" s="416" t="s">
        <v>251</v>
      </c>
      <c r="T1" s="416" t="s">
        <v>252</v>
      </c>
      <c r="Z1" s="414"/>
      <c r="AA1" s="415" t="s">
        <v>249</v>
      </c>
      <c r="AB1" s="183"/>
      <c r="AC1" s="183"/>
      <c r="AD1" s="183"/>
      <c r="AE1" s="183"/>
      <c r="AF1" s="184"/>
      <c r="AG1" s="417"/>
      <c r="AH1" s="414"/>
      <c r="AI1" s="418" t="s">
        <v>253</v>
      </c>
      <c r="AJ1" s="183"/>
      <c r="AK1" s="183"/>
      <c r="AL1" s="183"/>
      <c r="AM1" s="183"/>
      <c r="AN1" s="184"/>
    </row>
    <row r="2">
      <c r="A2" s="419"/>
      <c r="B2" s="420" t="s">
        <v>254</v>
      </c>
      <c r="C2" s="420" t="s">
        <v>7</v>
      </c>
      <c r="D2" s="420" t="s">
        <v>8</v>
      </c>
      <c r="E2" s="420" t="s">
        <v>255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1))"),0.0)</f>
        <v>0</v>
      </c>
      <c r="M2" s="422">
        <f>COUNTIFS(A3:A15,A3,E3:E15,"Штраф")</f>
        <v>0</v>
      </c>
      <c r="N2" s="416" t="s">
        <v>256</v>
      </c>
      <c r="P2" s="422">
        <f t="shared" ref="P2:P10" si="1">COUNTIF(R:R,N2)</f>
        <v>0</v>
      </c>
      <c r="R2" s="422" t="str">
        <f t="array" ref="R2:R241">{'1 серия'!G18;'1 серия'!M18;'1 серия'!S18;'1 серия'!Y18;'1 серия'!AE18;'2 серия'!D18;'2 серия'!J18;'2 серия'!P18;'2 серия'!V18;'2 серия'!AB18;'3 серия'!D18;'3 серия'!J18;'3 серия'!P18;'3 серия'!V18;'3 серия'!AB18;'4 серия'!D18;'4 серия'!J18;'4 серия'!P18;'4 серия'!V18;'4 серия'!AB18;'5 серия'!D18;'5 серия'!J18;'5 серия'!P18;'5 серия'!V18;'5 серия'!AB18;'6 серия'!D18;'6 серия'!J18;'6 серия'!P18;'6 серия'!V18;'6 серия'!AB18;'7 серия'!D18;'7 серия'!J18;'7 серия'!P18;'7 серия'!V18;'7 серия'!AB18;'8 серия'!D18;'8 серия'!J18;'8 серия'!P18;'8 серия'!V18;'8 серия'!AB18;'9 серия'!D18;'9 серия'!J18;'9 серия'!P18;'9 серия'!V18;'9 серия'!AB18;'10 серия'!D18;'10 серия'!J18;'10 серия'!P18;'10 серия'!V18;'10 серия'!AB18;'11 серия'!D18;'11 серия'!J18;'11 серия'!P18;'11 серия'!V18;'11 серия'!AB18;'12 серия'!D18;'12 серия'!J18;'12 серия'!P18;'12 серия'!V18;'12 серия'!AB18;'13 серия'!D18;'13 серия'!J18;'13 серия'!P18;'13 серия'!V18;'13 серия'!AB18;'14 серия'!D18;'14 серия'!J18;'14 серия'!P18;'14 серия'!V18;'14 серия'!AB18;'15 серия'!D18;'15 серия'!J18;'15 серия'!P18;'15 серия'!V18;'15 серия'!AB18;'16 серия'!D18;'16 серия'!J18;'16 серия'!P18;'16 серия'!V18;'16 серия'!AB18;'17 серия'!D18;'17 серия'!J18;'17 серия'!P18;'17 серия'!V18;'17 серия'!AB18;'18 серия'!D18;'18 серия'!J18;'18 серия'!P18;'18 серия'!V18;'18 серия'!AB18;'19 серия'!D18;'19 серия'!J18;'19 серия'!P18;'19 серия'!V18;'19 серия'!AB18;'20 серия'!D18;'20 серия'!J18;'20 серия'!P18;'20 серия'!V18;'20 серия'!AB18;'21 серия'!D18;'21 серия'!J18;'21 серия'!P18;'21 серия'!V18;'21 серия'!AB18;'22 серия'!D18;'22 серия'!J18;'22 серия'!P18;'22 серия'!V18;'22 серия'!AB18;'23 серия'!D18;'23 серия'!J18;'23 серия'!P18;'23 серия'!V18;'23 серия'!AB18;'24 серия'!D18;'24 серия'!J18;'24 серия'!P18;'24 серия'!V18;'24 серия'!AB18;'25 серия'!D18;'25 серия'!J18;'25 серия'!P18;'25 серия'!V18;'25 серия'!AB18;'26 серия'!D18;'26 серия'!J18;'26 серия'!P18;'26 серия'!V18;'26 серия'!AB18;'27 серия'!D18;'27 серия'!J18;'27 серия'!P18;'27 серия'!V18;'27 серия'!AB18;'28 серия'!D18;'28 серия'!J18;'28 серия'!P18;'28 серия'!V18;'28 серия'!AB18;'29 серия'!D18;'29 серия'!J18;'29 серия'!P18;'29 серия'!V18;'29 серия'!AB18;'30 серия'!D18;'30 серия'!J18;'30 серия'!P18;'30 серия'!V18;'30 серия'!AB18;'31 серия'!D18;'31 серия'!J18;'31 серия'!P18;'31 серия'!V18;'31 серия'!AB18;'32 серия'!D18;'32 серия'!J18;'32 серия'!P18;'32 серия'!V18;'32 серия'!AB18;'33 серия'!D18;'33 серия'!J18;'33 серия'!P18;'33 серия'!V18;'33 серия'!AB18;'34 серия'!D18;'34 серия'!J18;'34 серия'!P18;'34 серия'!V18;'34 серия'!AB18;'35 серия'!D18;'35 серия'!J18;'35 серия'!P18;'35 серия'!V18;'35 серия'!AB18;'36 серия'!D18;'36 серия'!J18;'36 серия'!P18;'36 серия'!V18;'36 серия'!AB18;'37 серия'!D18;'37 серия'!J18;'37 серия'!P18;'37 серия'!V18;'37 серия'!AB18;'38 серия'!D18;'38 серия'!J18;'38 серия'!P18;'38 серия'!V18;'38 серия'!AB18;'39 серия'!D18;'39 серия'!J18;'39 серия'!P18;'39 серия'!V18;'39 серия'!AB18;'40 серия'!D18;'40 серия'!J18;'40 серия'!P18;'40 серия'!V18;'40 серия'!AB18;'41 серия'!D18;'41 серия'!J18;'41 серия'!P18;'41 серия'!V18;'41 серия'!AB18;'42 серия'!D18;'42 серия'!J18;'42 серия'!P18;'42 серия'!V18;'42 серия'!AB18;'43 серия'!D18;'43 серия'!J18;'43 серия'!P18;'43 серия'!V18;'43 серия'!AB18;'44 серия'!D18;'44 серия'!J18;'44 серия'!P18;'44 серия'!V18;'44 серия'!AB18;'45 серия'!D18;'45 серия'!J18;'45 серия'!P18;'45 серия'!V18;'45 серия'!AB18;'46 серия'!D18;'46 серия'!J18;'46 серия'!P18;'46 серия'!V18;'46 серия'!AB18;'47 серия'!D18;'47 серия'!J18;'47 серия'!P18;'47 серия'!V18;'47 серия'!AB18;'48 серия'!D18;'48 серия'!J18;'48 серия'!P18;'48 серия'!V18;'48 серия'!AB18}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254</v>
      </c>
      <c r="AB2" s="420" t="s">
        <v>7</v>
      </c>
      <c r="AC2" s="420" t="s">
        <v>8</v>
      </c>
      <c r="AD2" s="420" t="s">
        <v>255</v>
      </c>
      <c r="AE2" s="420" t="s">
        <v>9</v>
      </c>
      <c r="AF2" s="421" t="s">
        <v>10</v>
      </c>
      <c r="AG2" s="424"/>
      <c r="AH2" s="419"/>
      <c r="AI2" s="420" t="s">
        <v>254</v>
      </c>
      <c r="AJ2" s="420" t="s">
        <v>7</v>
      </c>
      <c r="AK2" s="420" t="s">
        <v>8</v>
      </c>
      <c r="AL2" s="420" t="s">
        <v>255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серия'!B6:B15;'9 серия'!B6:B15;'9 серия'!B6:B15;'9 серия'!B6:B15;'9 серия'!B6:B15;'10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серия'!G6:L15;'9 серия'!M6:R15;'9 серия'!S6:X15;'9 серия'!Y6:AD15;'9 серия'!AE6:AJ15;'10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257</v>
      </c>
      <c r="P3" s="422">
        <f t="shared" si="1"/>
        <v>0</v>
      </c>
      <c r="R3" s="422" t="s">
        <v>258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IFERROR(__xludf.DUMMYFUNCTION("""COMPUTED_VALUE"""),"Шпиц")</f>
        <v>Шпиц</v>
      </c>
      <c r="X3" s="423">
        <f>IFERROR(__xludf.DUMMYFUNCTION("""COMPUTED_VALUE"""),29.0)</f>
        <v>29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259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260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261</v>
      </c>
      <c r="P4" s="422">
        <f t="shared" si="1"/>
        <v>2</v>
      </c>
      <c r="R4" s="422" t="s">
        <v>261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IFERROR(__xludf.DUMMYFUNCTION("""COMPUTED_VALUE"""),"Curly")</f>
        <v>Curly</v>
      </c>
      <c r="X4" s="423">
        <f>IFERROR(__xludf.DUMMYFUNCTION("""COMPUTED_VALUE"""),28.75)</f>
        <v>28.75</v>
      </c>
      <c r="Z4" s="422" t="s">
        <v>154</v>
      </c>
      <c r="AA4" s="422" t="s">
        <v>260</v>
      </c>
      <c r="AB4" s="426"/>
      <c r="AC4" s="426">
        <v>1.75</v>
      </c>
      <c r="AD4" s="422" t="s">
        <v>262</v>
      </c>
      <c r="AE4" s="426"/>
      <c r="AF4" s="426"/>
      <c r="AH4" s="422" t="s">
        <v>138</v>
      </c>
      <c r="AI4" s="422" t="s">
        <v>260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260</v>
      </c>
      <c r="C5" s="426">
        <v>2.5</v>
      </c>
      <c r="D5" s="426">
        <v>3.75</v>
      </c>
      <c r="E5" s="422"/>
      <c r="F5" s="426"/>
      <c r="G5" s="426"/>
      <c r="N5" s="416" t="s">
        <v>263</v>
      </c>
      <c r="P5" s="422">
        <f t="shared" si="1"/>
        <v>1</v>
      </c>
      <c r="R5" s="422" t="s">
        <v>263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IFERROR(__xludf.DUMMYFUNCTION("""COMPUTED_VALUE"""),"Артик")</f>
        <v>Артик</v>
      </c>
      <c r="X5" s="423">
        <f>IFERROR(__xludf.DUMMYFUNCTION("""COMPUTED_VALUE"""),27.5)</f>
        <v>27.5</v>
      </c>
      <c r="Z5" s="422" t="s">
        <v>155</v>
      </c>
      <c r="AA5" s="422" t="s">
        <v>260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264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260</v>
      </c>
      <c r="C6" s="426">
        <v>2.5</v>
      </c>
      <c r="D6" s="426">
        <v>1.75</v>
      </c>
      <c r="E6" s="422"/>
      <c r="F6" s="426"/>
      <c r="G6" s="426"/>
      <c r="I6" s="416" t="s">
        <v>265</v>
      </c>
      <c r="N6" s="416" t="s">
        <v>266</v>
      </c>
      <c r="P6" s="422">
        <f t="shared" si="1"/>
        <v>0</v>
      </c>
      <c r="R6" s="422" t="s">
        <v>267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IFERROR(__xludf.DUMMYFUNCTION("""COMPUTED_VALUE"""),"Cristo")</f>
        <v>Cristo</v>
      </c>
      <c r="X6" s="423">
        <f>IFERROR(__xludf.DUMMYFUNCTION("""COMPUTED_VALUE"""),26.5)</f>
        <v>26.5</v>
      </c>
      <c r="Z6" s="422" t="s">
        <v>158</v>
      </c>
      <c r="AA6" s="422" t="s">
        <v>268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260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264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1.983022071</v>
      </c>
      <c r="N7" s="416" t="s">
        <v>269</v>
      </c>
      <c r="P7" s="422">
        <f t="shared" si="1"/>
        <v>0</v>
      </c>
      <c r="R7" s="422"/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IFERROR(__xludf.DUMMYFUNCTION("""COMPUTED_VALUE"""),"Young")</f>
        <v>Young</v>
      </c>
      <c r="X7" s="423">
        <f>IFERROR(__xludf.DUMMYFUNCTION("""COMPUTED_VALUE"""),26.0)</f>
        <v>26</v>
      </c>
      <c r="Z7" s="422" t="s">
        <v>159</v>
      </c>
      <c r="AA7" s="422" t="s">
        <v>260</v>
      </c>
      <c r="AB7" s="426"/>
      <c r="AC7" s="426">
        <v>2.0</v>
      </c>
      <c r="AD7" s="422" t="s">
        <v>262</v>
      </c>
      <c r="AE7" s="426"/>
      <c r="AF7" s="426"/>
      <c r="AH7" s="422" t="s">
        <v>159</v>
      </c>
      <c r="AI7" s="422" t="s">
        <v>270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270</v>
      </c>
      <c r="C8" s="426">
        <v>2.5</v>
      </c>
      <c r="D8" s="426">
        <v>3.25</v>
      </c>
      <c r="E8" s="422"/>
      <c r="F8" s="426"/>
      <c r="G8" s="426"/>
      <c r="N8" s="416" t="s">
        <v>258</v>
      </c>
      <c r="P8" s="422">
        <f t="shared" si="1"/>
        <v>1</v>
      </c>
      <c r="R8" s="422"/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IFERROR(__xludf.DUMMYFUNCTION("""COMPUTED_VALUE"""),"Coach")</f>
        <v>Coach</v>
      </c>
      <c r="X8" s="423">
        <f>IFERROR(__xludf.DUMMYFUNCTION("""COMPUTED_VALUE"""),25.25)</f>
        <v>25.25</v>
      </c>
      <c r="Z8" s="422" t="s">
        <v>117</v>
      </c>
      <c r="AA8" s="422" t="s">
        <v>270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260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260</v>
      </c>
      <c r="C9" s="426">
        <v>2.5</v>
      </c>
      <c r="D9" s="426">
        <v>2.5</v>
      </c>
      <c r="E9" s="422"/>
      <c r="F9" s="426"/>
      <c r="G9" s="426"/>
      <c r="N9" s="416" t="s">
        <v>271</v>
      </c>
      <c r="P9" s="422">
        <f t="shared" si="1"/>
        <v>0</v>
      </c>
      <c r="R9" s="422"/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IFERROR(__xludf.DUMMYFUNCTION("""COMPUTED_VALUE"""),"Шпиц")</f>
        <v>Шпиц</v>
      </c>
      <c r="X9" s="423">
        <f>IFERROR(__xludf.DUMMYFUNCTION("""COMPUTED_VALUE"""),23.75)</f>
        <v>23.75</v>
      </c>
      <c r="Z9" s="422" t="s">
        <v>130</v>
      </c>
      <c r="AA9" s="422" t="s">
        <v>264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260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268</v>
      </c>
      <c r="C10" s="426"/>
      <c r="D10" s="426">
        <v>0.5</v>
      </c>
      <c r="E10" s="422"/>
      <c r="F10" s="426"/>
      <c r="G10" s="426"/>
      <c r="N10" s="416" t="s">
        <v>272</v>
      </c>
      <c r="P10" s="422">
        <f t="shared" si="1"/>
        <v>0</v>
      </c>
      <c r="R10" s="422"/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IFERROR(__xludf.DUMMYFUNCTION("""COMPUTED_VALUE"""),"Красавчик")</f>
        <v>Красавчик</v>
      </c>
      <c r="X10" s="423">
        <f>IFERROR(__xludf.DUMMYFUNCTION("""COMPUTED_VALUE"""),23.25)</f>
        <v>23.25</v>
      </c>
      <c r="Z10" s="422" t="s">
        <v>157</v>
      </c>
      <c r="AA10" s="422" t="s">
        <v>260</v>
      </c>
      <c r="AB10" s="426"/>
      <c r="AC10" s="426">
        <v>2.5</v>
      </c>
      <c r="AD10" s="422" t="s">
        <v>262</v>
      </c>
      <c r="AE10" s="426"/>
      <c r="AF10" s="426"/>
      <c r="AH10" s="422" t="s">
        <v>166</v>
      </c>
      <c r="AI10" s="422" t="s">
        <v>260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268</v>
      </c>
      <c r="C11" s="426"/>
      <c r="D11" s="426">
        <v>2.75</v>
      </c>
      <c r="E11" s="422"/>
      <c r="F11" s="426"/>
      <c r="G11" s="426"/>
      <c r="R11" s="422"/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IFERROR(__xludf.DUMMYFUNCTION("""COMPUTED_VALUE"""),"MSR")</f>
        <v>MSR</v>
      </c>
      <c r="X11" s="423">
        <f>IFERROR(__xludf.DUMMYFUNCTION("""COMPUTED_VALUE"""),23.25)</f>
        <v>23.25</v>
      </c>
      <c r="Z11" s="422" t="s">
        <v>101</v>
      </c>
      <c r="AA11" s="422" t="s">
        <v>260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268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260</v>
      </c>
      <c r="C12" s="426">
        <v>2.5</v>
      </c>
      <c r="D12" s="426">
        <v>2.5</v>
      </c>
      <c r="E12" s="422"/>
      <c r="F12" s="426"/>
      <c r="G12" s="426"/>
      <c r="N12" s="416" t="s">
        <v>273</v>
      </c>
      <c r="P12" s="422">
        <f t="shared" ref="P12:P15" si="2">COUNTIF(R:R,N12)</f>
        <v>0</v>
      </c>
      <c r="R12" s="422"/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IFERROR(__xludf.DUMMYFUNCTION("""COMPUTED_VALUE"""),"Наполеон")</f>
        <v>Наполеон</v>
      </c>
      <c r="X12" s="423">
        <f>IFERROR(__xludf.DUMMYFUNCTION("""COMPUTED_VALUE"""),23.0)</f>
        <v>23</v>
      </c>
      <c r="Z12" s="422" t="s">
        <v>156</v>
      </c>
      <c r="AA12" s="422" t="s">
        <v>260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268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264</v>
      </c>
      <c r="C13" s="426">
        <v>2.5</v>
      </c>
      <c r="D13" s="426">
        <v>3.75</v>
      </c>
      <c r="E13" s="422"/>
      <c r="F13" s="426"/>
      <c r="G13" s="426"/>
      <c r="N13" s="416" t="s">
        <v>267</v>
      </c>
      <c r="P13" s="422">
        <f t="shared" si="2"/>
        <v>1</v>
      </c>
      <c r="R13" s="422"/>
      <c r="T13" s="422" t="str">
        <f>IFERROR(__xludf.DUMMYFUNCTION("""COMPUTED_VALUE"""),"Админ")</f>
        <v>Админ</v>
      </c>
      <c r="U13" s="423"/>
      <c r="W13" s="422" t="str">
        <f>IFERROR(__xludf.DUMMYFUNCTION("""COMPUTED_VALUE"""),"Cristo")</f>
        <v>Cristo</v>
      </c>
      <c r="X13" s="423">
        <f>IFERROR(__xludf.DUMMYFUNCTION("""COMPUTED_VALUE"""),22.75)</f>
        <v>22.75</v>
      </c>
      <c r="Z13" s="422" t="s">
        <v>153</v>
      </c>
      <c r="AA13" s="422" t="s">
        <v>264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260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270</v>
      </c>
      <c r="C14" s="426"/>
      <c r="D14" s="426">
        <v>4.0</v>
      </c>
      <c r="E14" s="422"/>
      <c r="F14" s="426"/>
      <c r="G14" s="426"/>
      <c r="N14" s="416" t="s">
        <v>274</v>
      </c>
      <c r="P14" s="422">
        <f t="shared" si="2"/>
        <v>0</v>
      </c>
      <c r="R14" s="422"/>
      <c r="T14" s="422" t="str">
        <f>IFERROR(__xludf.DUMMYFUNCTION("""COMPUTED_VALUE"""),"Артик")</f>
        <v>Артик</v>
      </c>
      <c r="U14" s="423"/>
      <c r="W14" s="422" t="str">
        <f>IFERROR(__xludf.DUMMYFUNCTION("""COMPUTED_VALUE"""),"Авраам")</f>
        <v>Авраам</v>
      </c>
      <c r="X14" s="423">
        <f>IFERROR(__xludf.DUMMYFUNCTION("""COMPUTED_VALUE"""),22.75)</f>
        <v>22.75</v>
      </c>
      <c r="Z14" s="422" t="s">
        <v>154</v>
      </c>
      <c r="AA14" s="422" t="s">
        <v>268</v>
      </c>
      <c r="AB14" s="426">
        <v>2.5</v>
      </c>
      <c r="AC14" s="426">
        <v>4.0</v>
      </c>
      <c r="AD14" s="422" t="s">
        <v>259</v>
      </c>
      <c r="AE14" s="426"/>
      <c r="AF14" s="426"/>
      <c r="AH14" s="422" t="s">
        <v>138</v>
      </c>
      <c r="AI14" s="422" t="s">
        <v>260</v>
      </c>
      <c r="AJ14" s="426">
        <v>2.5</v>
      </c>
      <c r="AK14" s="426">
        <v>3.75</v>
      </c>
      <c r="AL14" s="422" t="s">
        <v>259</v>
      </c>
      <c r="AM14" s="426"/>
      <c r="AN14" s="426"/>
    </row>
    <row r="15">
      <c r="A15" s="422" t="s">
        <v>90</v>
      </c>
      <c r="B15" s="422" t="s">
        <v>260</v>
      </c>
      <c r="C15" s="426"/>
      <c r="D15" s="426">
        <v>1.5</v>
      </c>
      <c r="E15" s="422"/>
      <c r="F15" s="426"/>
      <c r="G15" s="426"/>
      <c r="N15" s="416" t="s">
        <v>275</v>
      </c>
      <c r="P15" s="422">
        <f t="shared" si="2"/>
        <v>0</v>
      </c>
      <c r="R15" s="422"/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IFERROR(__xludf.DUMMYFUNCTION("""COMPUTED_VALUE"""),"Лисичка")</f>
        <v>Лисичка</v>
      </c>
      <c r="X15" s="423">
        <f>IFERROR(__xludf.DUMMYFUNCTION("""COMPUTED_VALUE"""),22.5)</f>
        <v>22.5</v>
      </c>
      <c r="Z15" s="422" t="s">
        <v>155</v>
      </c>
      <c r="AA15" s="422" t="s">
        <v>268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268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260</v>
      </c>
      <c r="C16" s="426"/>
      <c r="D16" s="426">
        <v>3.5</v>
      </c>
      <c r="E16" s="422"/>
      <c r="F16" s="426"/>
      <c r="G16" s="426"/>
      <c r="R16" s="422"/>
      <c r="T16" s="422" t="str">
        <f>IFERROR(__xludf.DUMMYFUNCTION("""COMPUTED_VALUE"""),"Аш")</f>
        <v>Аш</v>
      </c>
      <c r="U16" s="423"/>
      <c r="W16" s="422" t="str">
        <f>IFERROR(__xludf.DUMMYFUNCTION("""COMPUTED_VALUE"""),"Наполеон")</f>
        <v>Наполеон</v>
      </c>
      <c r="X16" s="423">
        <f>IFERROR(__xludf.DUMMYFUNCTION("""COMPUTED_VALUE"""),22.5)</f>
        <v>22.5</v>
      </c>
      <c r="Z16" s="422" t="s">
        <v>158</v>
      </c>
      <c r="AA16" s="422" t="s">
        <v>260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260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260</v>
      </c>
      <c r="C17" s="426"/>
      <c r="D17" s="426">
        <v>3.25</v>
      </c>
      <c r="E17" s="422"/>
      <c r="F17" s="426"/>
      <c r="G17" s="426"/>
      <c r="N17" s="416" t="s">
        <v>276</v>
      </c>
      <c r="P17" s="422">
        <f>SUM(P2:P7)</f>
        <v>3</v>
      </c>
      <c r="Q17" s="427">
        <f>P17/P19</f>
        <v>0.6</v>
      </c>
      <c r="R17" s="422"/>
      <c r="T17" s="422" t="str">
        <f>IFERROR(__xludf.DUMMYFUNCTION("""COMPUTED_VALUE"""),"Волга")</f>
        <v>Волга</v>
      </c>
      <c r="U17" s="423"/>
      <c r="W17" s="422" t="str">
        <f>IFERROR(__xludf.DUMMYFUNCTION("""COMPUTED_VALUE"""),"Правда ")</f>
        <v>Правда </v>
      </c>
      <c r="X17" s="423">
        <f>IFERROR(__xludf.DUMMYFUNCTION("""COMPUTED_VALUE"""),22.5)</f>
        <v>22.5</v>
      </c>
      <c r="Z17" s="422" t="s">
        <v>159</v>
      </c>
      <c r="AA17" s="422" t="s">
        <v>260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264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268</v>
      </c>
      <c r="C18" s="426">
        <v>2.5</v>
      </c>
      <c r="D18" s="426">
        <v>2.75</v>
      </c>
      <c r="E18" s="422"/>
      <c r="F18" s="426"/>
      <c r="G18" s="426"/>
      <c r="N18" s="416" t="s">
        <v>277</v>
      </c>
      <c r="P18" s="422">
        <f>SUM(P8:P15)</f>
        <v>2</v>
      </c>
      <c r="Q18" s="427">
        <f>P18/P19</f>
        <v>0.4</v>
      </c>
      <c r="R18" s="422"/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IFERROR(__xludf.DUMMYFUNCTION("""COMPUTED_VALUE"""),"NLIP")</f>
        <v>NLIP</v>
      </c>
      <c r="X18" s="423">
        <f>IFERROR(__xludf.DUMMYFUNCTION("""COMPUTED_VALUE"""),22.25)</f>
        <v>22.25</v>
      </c>
      <c r="Z18" s="422" t="s">
        <v>117</v>
      </c>
      <c r="AA18" s="422" t="s">
        <v>260</v>
      </c>
      <c r="AB18" s="426"/>
      <c r="AC18" s="426">
        <v>3.75</v>
      </c>
      <c r="AD18" s="422" t="s">
        <v>262</v>
      </c>
      <c r="AE18" s="426"/>
      <c r="AF18" s="426"/>
      <c r="AH18" s="422" t="s">
        <v>156</v>
      </c>
      <c r="AI18" s="422" t="s">
        <v>260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268</v>
      </c>
      <c r="C19" s="426">
        <v>2.5</v>
      </c>
      <c r="D19" s="426">
        <v>3.75</v>
      </c>
      <c r="E19" s="422"/>
      <c r="F19" s="426"/>
      <c r="G19" s="426"/>
      <c r="N19" s="416" t="s">
        <v>278</v>
      </c>
      <c r="P19" s="422">
        <f>SUM(P2:P15)</f>
        <v>5</v>
      </c>
      <c r="R19" s="422"/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IFERROR(__xludf.DUMMYFUNCTION("""COMPUTED_VALUE"""),"Инсомнич")</f>
        <v>Инсомнич</v>
      </c>
      <c r="X19" s="423">
        <f>IFERROR(__xludf.DUMMYFUNCTION("""COMPUTED_VALUE"""),22.0)</f>
        <v>22</v>
      </c>
      <c r="Z19" s="422" t="s">
        <v>130</v>
      </c>
      <c r="AA19" s="422" t="s">
        <v>260</v>
      </c>
      <c r="AB19" s="426"/>
      <c r="AC19" s="426">
        <v>1.75</v>
      </c>
      <c r="AD19" s="422" t="s">
        <v>262</v>
      </c>
      <c r="AE19" s="426"/>
      <c r="AF19" s="426"/>
      <c r="AH19" s="422" t="s">
        <v>85</v>
      </c>
      <c r="AI19" s="422" t="s">
        <v>260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260</v>
      </c>
      <c r="C20" s="426"/>
      <c r="D20" s="426">
        <v>2.75</v>
      </c>
      <c r="E20" s="422"/>
      <c r="F20" s="426"/>
      <c r="G20" s="426"/>
      <c r="R20" s="422"/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IFERROR(__xludf.DUMMYFUNCTION("""COMPUTED_VALUE"""),"Волга")</f>
        <v>Волга</v>
      </c>
      <c r="X20" s="423">
        <f>IFERROR(__xludf.DUMMYFUNCTION("""COMPUTED_VALUE"""),21.75)</f>
        <v>21.75</v>
      </c>
      <c r="Z20" s="422" t="s">
        <v>157</v>
      </c>
      <c r="AA20" s="422" t="s">
        <v>260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270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260</v>
      </c>
      <c r="C21" s="426"/>
      <c r="D21" s="426">
        <v>3.0</v>
      </c>
      <c r="E21" s="422"/>
      <c r="F21" s="426"/>
      <c r="G21" s="426"/>
      <c r="R21" s="422"/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IFERROR(__xludf.DUMMYFUNCTION("""COMPUTED_VALUE"""),"Манекен")</f>
        <v>Манекен</v>
      </c>
      <c r="X21" s="423">
        <f>IFERROR(__xludf.DUMMYFUNCTION("""COMPUTED_VALUE"""),21.5)</f>
        <v>21.5</v>
      </c>
      <c r="Z21" s="422" t="s">
        <v>101</v>
      </c>
      <c r="AA21" s="422" t="s">
        <v>260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260</v>
      </c>
      <c r="AJ21" s="426">
        <v>2.5</v>
      </c>
      <c r="AK21" s="426">
        <v>4.0</v>
      </c>
      <c r="AL21" s="422" t="s">
        <v>259</v>
      </c>
      <c r="AM21" s="426"/>
      <c r="AN21" s="426"/>
    </row>
    <row r="22">
      <c r="A22" s="422" t="s">
        <v>105</v>
      </c>
      <c r="B22" s="422" t="s">
        <v>260</v>
      </c>
      <c r="C22" s="426"/>
      <c r="D22" s="426">
        <v>2.0</v>
      </c>
      <c r="E22" s="422" t="s">
        <v>11</v>
      </c>
      <c r="F22" s="426"/>
      <c r="G22" s="426">
        <v>0.5</v>
      </c>
      <c r="R22" s="422"/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IFERROR(__xludf.DUMMYFUNCTION("""COMPUTED_VALUE"""),"Alice ")</f>
        <v>Alice </v>
      </c>
      <c r="X22" s="423">
        <f>IFERROR(__xludf.DUMMYFUNCTION("""COMPUTED_VALUE"""),21.25)</f>
        <v>21.25</v>
      </c>
      <c r="Z22" s="422" t="s">
        <v>156</v>
      </c>
      <c r="AA22" s="422" t="s">
        <v>270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268</v>
      </c>
      <c r="AJ22" s="426"/>
      <c r="AK22" s="426">
        <v>2.0</v>
      </c>
      <c r="AL22" s="422" t="s">
        <v>262</v>
      </c>
      <c r="AM22" s="426"/>
      <c r="AN22" s="426"/>
    </row>
    <row r="23">
      <c r="A23" s="422" t="s">
        <v>124</v>
      </c>
      <c r="B23" s="422" t="s">
        <v>270</v>
      </c>
      <c r="C23" s="426">
        <v>2.5</v>
      </c>
      <c r="D23" s="426">
        <v>3.75</v>
      </c>
      <c r="E23" s="422"/>
      <c r="F23" s="426"/>
      <c r="G23" s="426"/>
      <c r="R23" s="422"/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IFERROR(__xludf.DUMMYFUNCTION("""COMPUTED_VALUE"""),"Infinity ")</f>
        <v>Infinity </v>
      </c>
      <c r="X23" s="423">
        <f>IFERROR(__xludf.DUMMYFUNCTION("""COMPUTED_VALUE"""),21.0)</f>
        <v>21</v>
      </c>
      <c r="Z23" s="422" t="s">
        <v>153</v>
      </c>
      <c r="AA23" s="422" t="s">
        <v>270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268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260</v>
      </c>
      <c r="C24" s="426">
        <v>2.5</v>
      </c>
      <c r="D24" s="426">
        <v>3.75</v>
      </c>
      <c r="E24" s="422"/>
      <c r="F24" s="426"/>
      <c r="G24" s="426"/>
      <c r="R24" s="422"/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IFERROR(__xludf.DUMMYFUNCTION("""COMPUTED_VALUE"""),"Мишель ")</f>
        <v>Мишель </v>
      </c>
      <c r="X24" s="423">
        <f>IFERROR(__xludf.DUMMYFUNCTION("""COMPUTED_VALUE"""),21.0)</f>
        <v>21</v>
      </c>
      <c r="Z24" s="422" t="s">
        <v>154</v>
      </c>
      <c r="AA24" s="422" t="s">
        <v>260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264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260</v>
      </c>
      <c r="C25" s="426">
        <v>2.5</v>
      </c>
      <c r="D25" s="426">
        <v>3.0</v>
      </c>
      <c r="E25" s="422"/>
      <c r="F25" s="426"/>
      <c r="G25" s="426"/>
      <c r="R25" s="422"/>
      <c r="T25" s="422" t="str">
        <f>IFERROR(__xludf.DUMMYFUNCTION("""COMPUTED_VALUE"""),"Крот")</f>
        <v>Крот</v>
      </c>
      <c r="U25" s="423"/>
      <c r="W25" s="422" t="str">
        <f>IFERROR(__xludf.DUMMYFUNCTION("""COMPUTED_VALUE"""),"Писатель ")</f>
        <v>Писатель </v>
      </c>
      <c r="X25" s="423">
        <f>IFERROR(__xludf.DUMMYFUNCTION("""COMPUTED_VALUE"""),21.0)</f>
        <v>21</v>
      </c>
      <c r="Z25" s="422" t="s">
        <v>155</v>
      </c>
      <c r="AA25" s="422" t="s">
        <v>260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268</v>
      </c>
      <c r="AJ25" s="426">
        <v>2.5</v>
      </c>
      <c r="AK25" s="426">
        <v>4.0</v>
      </c>
      <c r="AL25" s="422" t="s">
        <v>259</v>
      </c>
      <c r="AM25" s="426"/>
      <c r="AN25" s="426"/>
    </row>
    <row r="26">
      <c r="A26" s="422" t="s">
        <v>119</v>
      </c>
      <c r="B26" s="422" t="s">
        <v>260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/>
      <c r="T26" s="422" t="str">
        <f>IFERROR(__xludf.DUMMYFUNCTION("""COMPUTED_VALUE"""),"Левша")</f>
        <v>Левша</v>
      </c>
      <c r="U26" s="423"/>
      <c r="W26" s="422" t="str">
        <f>IFERROR(__xludf.DUMMYFUNCTION("""COMPUTED_VALUE"""),"Castor Troy ")</f>
        <v>Castor Troy </v>
      </c>
      <c r="X26" s="423">
        <f>IFERROR(__xludf.DUMMYFUNCTION("""COMPUTED_VALUE"""),20.75)</f>
        <v>20.75</v>
      </c>
      <c r="Z26" s="422" t="s">
        <v>158</v>
      </c>
      <c r="AA26" s="422" t="s">
        <v>260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260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260</v>
      </c>
      <c r="C27" s="426">
        <v>2.5</v>
      </c>
      <c r="D27" s="426">
        <v>4.0</v>
      </c>
      <c r="E27" s="422"/>
      <c r="F27" s="426"/>
      <c r="G27" s="426"/>
      <c r="R27" s="422"/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IFERROR(__xludf.DUMMYFUNCTION("""COMPUTED_VALUE"""),"Красавчик")</f>
        <v>Красавчик</v>
      </c>
      <c r="X27" s="423">
        <f>IFERROR(__xludf.DUMMYFUNCTION("""COMPUTED_VALUE"""),20.5)</f>
        <v>20.5</v>
      </c>
      <c r="Z27" s="422" t="s">
        <v>159</v>
      </c>
      <c r="AA27" s="422" t="s">
        <v>260</v>
      </c>
      <c r="AB27" s="426">
        <v>2.5</v>
      </c>
      <c r="AC27" s="426">
        <v>4.0</v>
      </c>
      <c r="AD27" s="422" t="s">
        <v>259</v>
      </c>
      <c r="AE27" s="426"/>
      <c r="AF27" s="426"/>
      <c r="AH27" s="422" t="s">
        <v>159</v>
      </c>
      <c r="AI27" s="422" t="s">
        <v>260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260</v>
      </c>
      <c r="C28" s="426">
        <v>2.5</v>
      </c>
      <c r="D28" s="426">
        <v>3.0</v>
      </c>
      <c r="E28" s="422"/>
      <c r="F28" s="426"/>
      <c r="G28" s="426"/>
      <c r="R28" s="422"/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IFERROR(__xludf.DUMMYFUNCTION("""COMPUTED_VALUE"""),"Андерсен")</f>
        <v>Андерсен</v>
      </c>
      <c r="X28" s="423">
        <f>IFERROR(__xludf.DUMMYFUNCTION("""COMPUTED_VALUE"""),20.0)</f>
        <v>20</v>
      </c>
      <c r="Z28" s="422" t="s">
        <v>117</v>
      </c>
      <c r="AA28" s="422" t="s">
        <v>260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270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268</v>
      </c>
      <c r="C29" s="426"/>
      <c r="D29" s="426">
        <v>2.0</v>
      </c>
      <c r="E29" s="422"/>
      <c r="F29" s="426"/>
      <c r="G29" s="426"/>
      <c r="R29" s="422"/>
      <c r="T29" s="422" t="str">
        <f>IFERROR(__xludf.DUMMYFUNCTION("""COMPUTED_VALUE"""),"Марго")</f>
        <v>Марго</v>
      </c>
      <c r="U29" s="423"/>
      <c r="W29" s="422" t="str">
        <f>IFERROR(__xludf.DUMMYFUNCTION("""COMPUTED_VALUE"""),"Продюсер")</f>
        <v>Продюсер</v>
      </c>
      <c r="X29" s="423">
        <f>IFERROR(__xludf.DUMMYFUNCTION("""COMPUTED_VALUE"""),20.0)</f>
        <v>20</v>
      </c>
      <c r="Z29" s="422" t="s">
        <v>130</v>
      </c>
      <c r="AA29" s="422" t="s">
        <v>264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260</v>
      </c>
      <c r="AJ29" s="426"/>
      <c r="AK29" s="426">
        <v>2.0</v>
      </c>
      <c r="AL29" s="422" t="s">
        <v>262</v>
      </c>
      <c r="AM29" s="426"/>
      <c r="AN29" s="426"/>
    </row>
    <row r="30">
      <c r="A30" s="422" t="s">
        <v>101</v>
      </c>
      <c r="B30" s="422" t="s">
        <v>260</v>
      </c>
      <c r="C30" s="426">
        <v>2.5</v>
      </c>
      <c r="D30" s="426">
        <v>4.0</v>
      </c>
      <c r="E30" s="422"/>
      <c r="F30" s="426"/>
      <c r="G30" s="426"/>
      <c r="R30" s="422"/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IFERROR(__xludf.DUMMYFUNCTION("""COMPUTED_VALUE"""),"Волга")</f>
        <v>Волга</v>
      </c>
      <c r="X30" s="423">
        <f>IFERROR(__xludf.DUMMYFUNCTION("""COMPUTED_VALUE"""),19.5)</f>
        <v>19.5</v>
      </c>
      <c r="Z30" s="422" t="s">
        <v>157</v>
      </c>
      <c r="AA30" s="422" t="s">
        <v>260</v>
      </c>
      <c r="AB30" s="426">
        <v>2.5</v>
      </c>
      <c r="AC30" s="426">
        <v>2.75</v>
      </c>
      <c r="AD30" s="422" t="s">
        <v>259</v>
      </c>
      <c r="AE30" s="426"/>
      <c r="AF30" s="426"/>
      <c r="AH30" s="422" t="s">
        <v>166</v>
      </c>
      <c r="AI30" s="422" t="s">
        <v>260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268</v>
      </c>
      <c r="C31" s="426"/>
      <c r="D31" s="426">
        <v>2.25</v>
      </c>
      <c r="E31" s="422"/>
      <c r="F31" s="426"/>
      <c r="G31" s="426"/>
      <c r="R31" s="422"/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IFERROR(__xludf.DUMMYFUNCTION("""COMPUTED_VALUE"""),"Продюсер")</f>
        <v>Продюсер</v>
      </c>
      <c r="X31" s="423">
        <f>IFERROR(__xludf.DUMMYFUNCTION("""COMPUTED_VALUE"""),19.25)</f>
        <v>19.25</v>
      </c>
      <c r="Z31" s="422" t="s">
        <v>101</v>
      </c>
      <c r="AA31" s="422" t="s">
        <v>268</v>
      </c>
      <c r="AB31" s="426"/>
      <c r="AC31" s="426">
        <v>2.75</v>
      </c>
      <c r="AD31" s="422" t="s">
        <v>262</v>
      </c>
      <c r="AE31" s="426"/>
      <c r="AF31" s="426"/>
      <c r="AH31" s="422" t="s">
        <v>104</v>
      </c>
      <c r="AI31" s="422" t="s">
        <v>260</v>
      </c>
      <c r="AJ31" s="426"/>
      <c r="AK31" s="426">
        <v>1.75</v>
      </c>
      <c r="AL31" s="422" t="s">
        <v>262</v>
      </c>
      <c r="AM31" s="426"/>
      <c r="AN31" s="426"/>
    </row>
    <row r="32">
      <c r="A32" s="422" t="s">
        <v>105</v>
      </c>
      <c r="B32" s="422" t="s">
        <v>264</v>
      </c>
      <c r="C32" s="426"/>
      <c r="D32" s="426">
        <v>1.25</v>
      </c>
      <c r="E32" s="422"/>
      <c r="F32" s="426"/>
      <c r="G32" s="426"/>
      <c r="R32" s="422"/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IFERROR(__xludf.DUMMYFUNCTION("""COMPUTED_VALUE"""),"SOVEST")</f>
        <v>SOVEST</v>
      </c>
      <c r="X32" s="423">
        <f>IFERROR(__xludf.DUMMYFUNCTION("""COMPUTED_VALUE"""),19.0)</f>
        <v>19</v>
      </c>
      <c r="Z32" s="422" t="s">
        <v>156</v>
      </c>
      <c r="AA32" s="422" t="s">
        <v>268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260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260</v>
      </c>
      <c r="C33" s="426">
        <v>2.5</v>
      </c>
      <c r="D33" s="426">
        <v>2.25</v>
      </c>
      <c r="E33" s="422"/>
      <c r="F33" s="426"/>
      <c r="G33" s="426"/>
      <c r="R33" s="422"/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IFERROR(__xludf.DUMMYFUNCTION("""COMPUTED_VALUE"""),"Старый")</f>
        <v>Старый</v>
      </c>
      <c r="X33" s="423">
        <f>IFERROR(__xludf.DUMMYFUNCTION("""COMPUTED_VALUE"""),19.0)</f>
        <v>19</v>
      </c>
      <c r="Z33" s="422" t="s">
        <v>153</v>
      </c>
      <c r="AA33" s="422" t="s">
        <v>260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260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260</v>
      </c>
      <c r="C34" s="426">
        <v>2.5</v>
      </c>
      <c r="D34" s="426">
        <v>3.75</v>
      </c>
      <c r="E34" s="422"/>
      <c r="F34" s="426"/>
      <c r="G34" s="426"/>
      <c r="R34" s="422"/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IFERROR(__xludf.DUMMYFUNCTION("""COMPUTED_VALUE"""),"Helga")</f>
        <v>Helga</v>
      </c>
      <c r="X34" s="423">
        <f>IFERROR(__xludf.DUMMYFUNCTION("""COMPUTED_VALUE"""),18.5)</f>
        <v>18.5</v>
      </c>
      <c r="Z34" s="422" t="s">
        <v>154</v>
      </c>
      <c r="AA34" s="422" t="s">
        <v>268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260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268</v>
      </c>
      <c r="C35" s="426"/>
      <c r="D35" s="426">
        <v>2.5</v>
      </c>
      <c r="E35" s="422"/>
      <c r="F35" s="426"/>
      <c r="G35" s="426"/>
      <c r="R35" s="422"/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IFERROR(__xludf.DUMMYFUNCTION("""COMPUTED_VALUE"""),"Крот")</f>
        <v>Крот</v>
      </c>
      <c r="X35" s="423">
        <f>IFERROR(__xludf.DUMMYFUNCTION("""COMPUTED_VALUE"""),18.25)</f>
        <v>18.25</v>
      </c>
      <c r="Z35" s="422" t="s">
        <v>155</v>
      </c>
      <c r="AA35" s="422" t="s">
        <v>260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260</v>
      </c>
      <c r="AJ35" s="426">
        <v>2.5</v>
      </c>
      <c r="AK35" s="426">
        <v>3.5</v>
      </c>
      <c r="AL35" s="422" t="s">
        <v>259</v>
      </c>
      <c r="AM35" s="426"/>
      <c r="AN35" s="426"/>
    </row>
    <row r="36">
      <c r="A36" s="422" t="s">
        <v>119</v>
      </c>
      <c r="B36" s="422" t="s">
        <v>260</v>
      </c>
      <c r="C36" s="426">
        <v>2.5</v>
      </c>
      <c r="D36" s="426">
        <v>3.25</v>
      </c>
      <c r="E36" s="422"/>
      <c r="F36" s="426"/>
      <c r="G36" s="426"/>
      <c r="R36" s="422"/>
      <c r="T36" s="422" t="str">
        <f>IFERROR(__xludf.DUMMYFUNCTION("""COMPUTED_VALUE"""),"РФ")</f>
        <v>РФ</v>
      </c>
      <c r="U36" s="423"/>
      <c r="W36" s="422" t="str">
        <f>IFERROR(__xludf.DUMMYFUNCTION("""COMPUTED_VALUE"""),"SOVEST")</f>
        <v>SOVEST</v>
      </c>
      <c r="X36" s="423">
        <f>IFERROR(__xludf.DUMMYFUNCTION("""COMPUTED_VALUE"""),18.0)</f>
        <v>18</v>
      </c>
      <c r="Z36" s="422" t="s">
        <v>158</v>
      </c>
      <c r="AA36" s="422" t="s">
        <v>264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268</v>
      </c>
      <c r="AJ36" s="426"/>
      <c r="AK36" s="426">
        <v>2.75</v>
      </c>
      <c r="AL36" s="422" t="s">
        <v>262</v>
      </c>
      <c r="AM36" s="426"/>
      <c r="AN36" s="426"/>
    </row>
    <row r="37">
      <c r="A37" s="422" t="s">
        <v>104</v>
      </c>
      <c r="B37" s="422" t="s">
        <v>270</v>
      </c>
      <c r="C37" s="426">
        <v>2.5</v>
      </c>
      <c r="D37" s="426">
        <v>4.0</v>
      </c>
      <c r="E37" s="422"/>
      <c r="F37" s="426"/>
      <c r="G37" s="426"/>
      <c r="R37" s="422"/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IFERROR(__xludf.DUMMYFUNCTION("""COMPUTED_VALUE"""),"Физик")</f>
        <v>Физик</v>
      </c>
      <c r="X37" s="423">
        <f>IFERROR(__xludf.DUMMYFUNCTION("""COMPUTED_VALUE"""),17.75)</f>
        <v>17.75</v>
      </c>
      <c r="Z37" s="422" t="s">
        <v>159</v>
      </c>
      <c r="AA37" s="422" t="s">
        <v>260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268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268</v>
      </c>
      <c r="C38" s="426"/>
      <c r="D38" s="426">
        <v>1.5</v>
      </c>
      <c r="E38" s="422"/>
      <c r="F38" s="426"/>
      <c r="G38" s="426"/>
      <c r="R38" s="422"/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IFERROR(__xludf.DUMMYFUNCTION("""COMPUTED_VALUE"""),"A1 ")</f>
        <v>A1 </v>
      </c>
      <c r="X38" s="423">
        <f>IFERROR(__xludf.DUMMYFUNCTION("""COMPUTED_VALUE"""),17.5)</f>
        <v>17.5</v>
      </c>
      <c r="Z38" s="422" t="s">
        <v>117</v>
      </c>
      <c r="AA38" s="422" t="s">
        <v>260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260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264</v>
      </c>
      <c r="C39" s="426"/>
      <c r="D39" s="426">
        <v>2.0</v>
      </c>
      <c r="E39" s="422"/>
      <c r="F39" s="426"/>
      <c r="G39" s="426"/>
      <c r="R39" s="422"/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IFERROR(__xludf.DUMMYFUNCTION("""COMPUTED_VALUE"""),"WhoIsWho")</f>
        <v>WhoIsWho</v>
      </c>
      <c r="X39" s="423">
        <f>IFERROR(__xludf.DUMMYFUNCTION("""COMPUTED_VALUE"""),17.5)</f>
        <v>17.5</v>
      </c>
      <c r="Z39" s="422" t="s">
        <v>130</v>
      </c>
      <c r="AA39" s="422" t="s">
        <v>260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260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260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/>
      <c r="T40" s="422" t="str">
        <f>IFERROR(__xludf.DUMMYFUNCTION("""COMPUTED_VALUE"""),"Физик")</f>
        <v>Физик</v>
      </c>
      <c r="U40" s="423"/>
      <c r="W40" s="422" t="str">
        <f>IFERROR(__xludf.DUMMYFUNCTION("""COMPUTED_VALUE"""),"Физик")</f>
        <v>Физик</v>
      </c>
      <c r="X40" s="423">
        <f>IFERROR(__xludf.DUMMYFUNCTION("""COMPUTED_VALUE"""),17.5)</f>
        <v>17.5</v>
      </c>
      <c r="Z40" s="422" t="s">
        <v>157</v>
      </c>
      <c r="AA40" s="422" t="s">
        <v>260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264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260</v>
      </c>
      <c r="C41" s="426">
        <v>2.5</v>
      </c>
      <c r="D41" s="426">
        <v>3.25</v>
      </c>
      <c r="E41" s="422"/>
      <c r="F41" s="426"/>
      <c r="G41" s="426"/>
      <c r="R41" s="422"/>
      <c r="T41" s="422" t="str">
        <f>IFERROR(__xludf.DUMMYFUNCTION("""COMPUTED_VALUE"""),"Флэш")</f>
        <v>Флэш</v>
      </c>
      <c r="U41" s="423"/>
      <c r="W41" s="422" t="str">
        <f>IFERROR(__xludf.DUMMYFUNCTION("""COMPUTED_VALUE"""),"Curly")</f>
        <v>Curly</v>
      </c>
      <c r="X41" s="423">
        <f>IFERROR(__xludf.DUMMYFUNCTION("""COMPUTED_VALUE"""),17.5)</f>
        <v>17.5</v>
      </c>
      <c r="Z41" s="422" t="s">
        <v>101</v>
      </c>
      <c r="AA41" s="422" t="s">
        <v>268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260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260</v>
      </c>
      <c r="C42" s="426">
        <v>2.5</v>
      </c>
      <c r="D42" s="426">
        <v>2.0</v>
      </c>
      <c r="E42" s="422"/>
      <c r="F42" s="426"/>
      <c r="G42" s="426"/>
      <c r="R42" s="422"/>
      <c r="T42" s="422" t="str">
        <f>IFERROR(__xludf.DUMMYFUNCTION("""COMPUTED_VALUE"""),"Фокс")</f>
        <v>Фокс</v>
      </c>
      <c r="U42" s="423"/>
      <c r="W42" s="422" t="str">
        <f>IFERROR(__xludf.DUMMYFUNCTION("""COMPUTED_VALUE"""),"MSR")</f>
        <v>MSR</v>
      </c>
      <c r="X42" s="423">
        <f>IFERROR(__xludf.DUMMYFUNCTION("""COMPUTED_VALUE"""),17.0)</f>
        <v>17</v>
      </c>
      <c r="Z42" s="422" t="s">
        <v>156</v>
      </c>
      <c r="AA42" s="422" t="s">
        <v>270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270</v>
      </c>
      <c r="AJ42" s="426">
        <v>2.5</v>
      </c>
      <c r="AK42" s="426">
        <v>3.75</v>
      </c>
      <c r="AL42" s="422" t="s">
        <v>259</v>
      </c>
      <c r="AM42" s="426"/>
      <c r="AN42" s="426"/>
    </row>
    <row r="43">
      <c r="A43" s="422" t="s">
        <v>124</v>
      </c>
      <c r="B43" s="422" t="s">
        <v>264</v>
      </c>
      <c r="C43" s="426">
        <v>2.5</v>
      </c>
      <c r="D43" s="426">
        <v>4.0</v>
      </c>
      <c r="E43" s="422"/>
      <c r="F43" s="426"/>
      <c r="G43" s="426"/>
      <c r="R43" s="422"/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IFERROR(__xludf.DUMMYFUNCTION("""COMPUTED_VALUE"""),"MSR")</f>
        <v>MSR</v>
      </c>
      <c r="X43" s="423">
        <f>IFERROR(__xludf.DUMMYFUNCTION("""COMPUTED_VALUE"""),17.0)</f>
        <v>17</v>
      </c>
      <c r="Z43" s="422" t="s">
        <v>153</v>
      </c>
      <c r="AA43" s="422" t="s">
        <v>270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260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268</v>
      </c>
      <c r="C44" s="426">
        <v>2.5</v>
      </c>
      <c r="D44" s="426">
        <v>3.5</v>
      </c>
      <c r="E44" s="422"/>
      <c r="F44" s="426"/>
      <c r="G44" s="426"/>
      <c r="R44" s="422"/>
      <c r="T44" s="422" t="str">
        <f>IFERROR(__xludf.DUMMYFUNCTION("""COMPUTED_VALUE"""),"Юрия")</f>
        <v>Юрия</v>
      </c>
      <c r="U44" s="423"/>
      <c r="W44" s="422" t="str">
        <f>IFERROR(__xludf.DUMMYFUNCTION("""COMPUTED_VALUE"""),"Мишель ")</f>
        <v>Мишель </v>
      </c>
      <c r="X44" s="423">
        <f>IFERROR(__xludf.DUMMYFUNCTION("""COMPUTED_VALUE"""),17.0)</f>
        <v>17</v>
      </c>
      <c r="Z44" s="422" t="s">
        <v>154</v>
      </c>
      <c r="AA44" s="422" t="s">
        <v>260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260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268</v>
      </c>
      <c r="C45" s="426">
        <v>2.5</v>
      </c>
      <c r="D45" s="426">
        <v>3.75</v>
      </c>
      <c r="E45" s="422"/>
      <c r="F45" s="426"/>
      <c r="G45" s="426"/>
      <c r="R45" s="422"/>
      <c r="T45" s="422" t="str">
        <f>IFERROR(__xludf.DUMMYFUNCTION("""COMPUTED_VALUE"""),"A1 ")</f>
        <v>A1 </v>
      </c>
      <c r="U45" s="423"/>
      <c r="W45" s="422" t="str">
        <f>IFERROR(__xludf.DUMMYFUNCTION("""COMPUTED_VALUE"""),"Левша")</f>
        <v>Левша</v>
      </c>
      <c r="X45" s="423">
        <f>IFERROR(__xludf.DUMMYFUNCTION("""COMPUTED_VALUE"""),16.75)</f>
        <v>16.75</v>
      </c>
      <c r="Z45" s="422" t="s">
        <v>155</v>
      </c>
      <c r="AA45" s="422" t="s">
        <v>260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264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260</v>
      </c>
      <c r="C46" s="426"/>
      <c r="D46" s="426">
        <v>1.5</v>
      </c>
      <c r="E46" s="422"/>
      <c r="F46" s="426"/>
      <c r="G46" s="426"/>
      <c r="R46" s="422"/>
      <c r="T46" s="422" t="str">
        <f>IFERROR(__xludf.DUMMYFUNCTION("""COMPUTED_VALUE"""),"Alice ")</f>
        <v>Alice </v>
      </c>
      <c r="U46" s="423"/>
      <c r="W46" s="422" t="str">
        <f>IFERROR(__xludf.DUMMYFUNCTION("""COMPUTED_VALUE"""),"Бамблби")</f>
        <v>Бамблби</v>
      </c>
      <c r="X46" s="423">
        <f>IFERROR(__xludf.DUMMYFUNCTION("""COMPUTED_VALUE"""),16.5)</f>
        <v>16.5</v>
      </c>
      <c r="Z46" s="422" t="s">
        <v>158</v>
      </c>
      <c r="AA46" s="422" t="s">
        <v>264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270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260</v>
      </c>
      <c r="C47" s="426"/>
      <c r="D47" s="426">
        <v>1.75</v>
      </c>
      <c r="E47" s="422" t="s">
        <v>11</v>
      </c>
      <c r="F47" s="426"/>
      <c r="G47" s="426">
        <v>0.5</v>
      </c>
      <c r="R47" s="422"/>
      <c r="T47" s="422" t="str">
        <f>IFERROR(__xludf.DUMMYFUNCTION("""COMPUTED_VALUE"""),"Bublik")</f>
        <v>Bublik</v>
      </c>
      <c r="U47" s="423"/>
      <c r="W47" s="422" t="str">
        <f>IFERROR(__xludf.DUMMYFUNCTION("""COMPUTED_VALUE"""),"Rocket woman ")</f>
        <v>Rocket woman </v>
      </c>
      <c r="X47" s="423">
        <f>IFERROR(__xludf.DUMMYFUNCTION("""COMPUTED_VALUE"""),16.5)</f>
        <v>16.5</v>
      </c>
      <c r="Z47" s="422" t="s">
        <v>159</v>
      </c>
      <c r="AA47" s="422" t="s">
        <v>260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260</v>
      </c>
      <c r="AJ47" s="426"/>
      <c r="AK47" s="426">
        <v>2.5</v>
      </c>
      <c r="AL47" s="422" t="s">
        <v>262</v>
      </c>
      <c r="AM47" s="426"/>
      <c r="AN47" s="426"/>
    </row>
    <row r="48">
      <c r="A48" s="422" t="s">
        <v>106</v>
      </c>
      <c r="B48" s="422" t="s">
        <v>260</v>
      </c>
      <c r="C48" s="426"/>
      <c r="D48" s="426">
        <v>2.0</v>
      </c>
      <c r="E48" s="422"/>
      <c r="F48" s="426"/>
      <c r="G48" s="426"/>
      <c r="R48" s="422"/>
      <c r="T48" s="422" t="str">
        <f>IFERROR(__xludf.DUMMYFUNCTION("""COMPUTED_VALUE"""),"BWDMoscow")</f>
        <v>BWDMoscow</v>
      </c>
      <c r="U48" s="423"/>
      <c r="W48" s="422" t="str">
        <f>IFERROR(__xludf.DUMMYFUNCTION("""COMPUTED_VALUE"""),"WhoIsWho")</f>
        <v>WhoIsWho</v>
      </c>
      <c r="X48" s="423">
        <f>IFERROR(__xludf.DUMMYFUNCTION("""COMPUTED_VALUE"""),16.0)</f>
        <v>16</v>
      </c>
      <c r="Z48" s="422" t="s">
        <v>117</v>
      </c>
      <c r="AA48" s="422" t="s">
        <v>260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260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260</v>
      </c>
      <c r="C49" s="426"/>
      <c r="D49" s="426">
        <v>2.5</v>
      </c>
      <c r="E49" s="422"/>
      <c r="F49" s="426"/>
      <c r="G49" s="426"/>
      <c r="R49" s="422"/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IFERROR(__xludf.DUMMYFUNCTION("""COMPUTED_VALUE"""),"Rocket woman ")</f>
        <v>Rocket woman </v>
      </c>
      <c r="X49" s="423">
        <f>IFERROR(__xludf.DUMMYFUNCTION("""COMPUTED_VALUE"""),16.0)</f>
        <v>16</v>
      </c>
      <c r="Z49" s="422" t="s">
        <v>130</v>
      </c>
      <c r="AA49" s="422" t="s">
        <v>260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268</v>
      </c>
      <c r="AJ49" s="426">
        <v>2.5</v>
      </c>
      <c r="AK49" s="426">
        <v>3.75</v>
      </c>
      <c r="AL49" s="422" t="s">
        <v>259</v>
      </c>
      <c r="AM49" s="426"/>
      <c r="AN49" s="426"/>
    </row>
    <row r="50">
      <c r="A50" s="422" t="s">
        <v>101</v>
      </c>
      <c r="B50" s="422" t="s">
        <v>260</v>
      </c>
      <c r="C50" s="426"/>
      <c r="D50" s="426">
        <v>1.75</v>
      </c>
      <c r="E50" s="422"/>
      <c r="F50" s="426"/>
      <c r="G50" s="426"/>
      <c r="R50" s="422"/>
      <c r="T50" s="422" t="str">
        <f>IFERROR(__xludf.DUMMYFUNCTION("""COMPUTED_VALUE"""),"Cristo")</f>
        <v>Cristo</v>
      </c>
      <c r="U50" s="423"/>
      <c r="W50" s="422" t="str">
        <f>IFERROR(__xludf.DUMMYFUNCTION("""COMPUTED_VALUE"""),"Бамблби")</f>
        <v>Бамблби</v>
      </c>
      <c r="X50" s="423">
        <f>IFERROR(__xludf.DUMMYFUNCTION("""COMPUTED_VALUE"""),15.75)</f>
        <v>15.75</v>
      </c>
      <c r="Z50" s="422" t="s">
        <v>157</v>
      </c>
      <c r="AA50" s="422" t="s">
        <v>268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268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260</v>
      </c>
      <c r="C51" s="426"/>
      <c r="D51" s="426">
        <v>2.0</v>
      </c>
      <c r="E51" s="422"/>
      <c r="F51" s="426"/>
      <c r="G51" s="426"/>
      <c r="R51" s="422"/>
      <c r="T51" s="422" t="str">
        <f>IFERROR(__xludf.DUMMYFUNCTION("""COMPUTED_VALUE"""),"Curly")</f>
        <v>Curly</v>
      </c>
      <c r="U51" s="423"/>
      <c r="W51" s="422" t="str">
        <f>IFERROR(__xludf.DUMMYFUNCTION("""COMPUTED_VALUE"""),"A1 ")</f>
        <v>A1 </v>
      </c>
      <c r="X51" s="423">
        <f>IFERROR(__xludf.DUMMYFUNCTION("""COMPUTED_VALUE"""),15.75)</f>
        <v>15.75</v>
      </c>
      <c r="Z51" s="422" t="s">
        <v>101</v>
      </c>
      <c r="AA51" s="422" t="s">
        <v>268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260</v>
      </c>
      <c r="AJ51" s="426"/>
      <c r="AK51" s="426">
        <v>2.0</v>
      </c>
      <c r="AL51" s="422" t="s">
        <v>262</v>
      </c>
      <c r="AM51" s="426"/>
      <c r="AN51" s="426"/>
    </row>
    <row r="52">
      <c r="A52" s="422" t="s">
        <v>105</v>
      </c>
      <c r="B52" s="422" t="s">
        <v>270</v>
      </c>
      <c r="C52" s="426"/>
      <c r="D52" s="426">
        <v>1.5</v>
      </c>
      <c r="E52" s="422"/>
      <c r="F52" s="426"/>
      <c r="G52" s="426"/>
      <c r="R52" s="422"/>
      <c r="T52" s="422" t="str">
        <f>IFERROR(__xludf.DUMMYFUNCTION("""COMPUTED_VALUE"""),"GALAY")</f>
        <v>GALAY</v>
      </c>
      <c r="U52" s="423"/>
      <c r="W52" s="422" t="str">
        <f>IFERROR(__xludf.DUMMYFUNCTION("""COMPUTED_VALUE"""),"Левша")</f>
        <v>Левша</v>
      </c>
      <c r="X52" s="423">
        <f>IFERROR(__xludf.DUMMYFUNCTION("""COMPUTED_VALUE"""),15.5)</f>
        <v>15.5</v>
      </c>
      <c r="Z52" s="422" t="s">
        <v>156</v>
      </c>
      <c r="AA52" s="422" t="s">
        <v>260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260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260</v>
      </c>
      <c r="C53" s="426">
        <v>2.5</v>
      </c>
      <c r="D53" s="426">
        <v>3.25</v>
      </c>
      <c r="E53" s="422"/>
      <c r="F53" s="426"/>
      <c r="G53" s="426"/>
      <c r="R53" s="422"/>
      <c r="T53" s="422" t="str">
        <f>IFERROR(__xludf.DUMMYFUNCTION("""COMPUTED_VALUE"""),"Helga")</f>
        <v>Helga</v>
      </c>
      <c r="U53" s="423"/>
      <c r="W53" s="422" t="str">
        <f>IFERROR(__xludf.DUMMYFUNCTION("""COMPUTED_VALUE"""),"Артик")</f>
        <v>Артик</v>
      </c>
      <c r="X53" s="423">
        <f>IFERROR(__xludf.DUMMYFUNCTION("""COMPUTED_VALUE"""),15.5)</f>
        <v>15.5</v>
      </c>
      <c r="Z53" s="422" t="s">
        <v>153</v>
      </c>
      <c r="AA53" s="422" t="s">
        <v>268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260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260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/>
      <c r="T54" s="422" t="str">
        <f>IFERROR(__xludf.DUMMYFUNCTION("""COMPUTED_VALUE"""),"Ketamin")</f>
        <v>Ketamin</v>
      </c>
      <c r="U54" s="423"/>
      <c r="W54" s="422" t="str">
        <f>IFERROR(__xludf.DUMMYFUNCTION("""COMPUTED_VALUE"""),"Старый")</f>
        <v>Старый</v>
      </c>
      <c r="X54" s="423">
        <f>IFERROR(__xludf.DUMMYFUNCTION("""COMPUTED_VALUE"""),15.25)</f>
        <v>15.25</v>
      </c>
      <c r="Z54" s="422" t="s">
        <v>154</v>
      </c>
      <c r="AA54" s="422" t="s">
        <v>260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268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268</v>
      </c>
      <c r="C55" s="426"/>
      <c r="D55" s="426">
        <v>2.0</v>
      </c>
      <c r="E55" s="422"/>
      <c r="F55" s="426"/>
      <c r="G55" s="426"/>
      <c r="R55" s="422"/>
      <c r="T55" s="422" t="str">
        <f>IFERROR(__xludf.DUMMYFUNCTION("""COMPUTED_VALUE"""),"Light")</f>
        <v>Light</v>
      </c>
      <c r="U55" s="423"/>
      <c r="W55" s="422" t="str">
        <f>IFERROR(__xludf.DUMMYFUNCTION("""COMPUTED_VALUE"""),"MSR")</f>
        <v>MSR</v>
      </c>
      <c r="X55" s="423">
        <f>IFERROR(__xludf.DUMMYFUNCTION("""COMPUTED_VALUE"""),15.0)</f>
        <v>15</v>
      </c>
      <c r="Z55" s="422" t="s">
        <v>155</v>
      </c>
      <c r="AA55" s="422" t="s">
        <v>264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260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260</v>
      </c>
      <c r="C56" s="426">
        <v>2.5</v>
      </c>
      <c r="D56" s="426">
        <v>4.0</v>
      </c>
      <c r="E56" s="422"/>
      <c r="F56" s="426"/>
      <c r="G56" s="426"/>
      <c r="R56" s="422"/>
      <c r="T56" s="422" t="str">
        <f>IFERROR(__xludf.DUMMYFUNCTION("""COMPUTED_VALUE"""),"Morti")</f>
        <v>Morti</v>
      </c>
      <c r="U56" s="423"/>
      <c r="W56" s="422" t="str">
        <f>IFERROR(__xludf.DUMMYFUNCTION("""COMPUTED_VALUE"""),"Alice ")</f>
        <v>Alice </v>
      </c>
      <c r="X56" s="423">
        <f>IFERROR(__xludf.DUMMYFUNCTION("""COMPUTED_VALUE"""),14.75)</f>
        <v>14.75</v>
      </c>
      <c r="Z56" s="422" t="s">
        <v>158</v>
      </c>
      <c r="AA56" s="422" t="s">
        <v>268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260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270</v>
      </c>
      <c r="C57" s="426">
        <v>2.5</v>
      </c>
      <c r="D57" s="426">
        <v>2.5</v>
      </c>
      <c r="E57" s="422"/>
      <c r="F57" s="426"/>
      <c r="G57" s="426"/>
      <c r="R57" s="422"/>
      <c r="T57" s="422" t="str">
        <f>IFERROR(__xludf.DUMMYFUNCTION("""COMPUTED_VALUE"""),"MSR")</f>
        <v>MSR</v>
      </c>
      <c r="U57" s="423"/>
      <c r="W57" s="422" t="str">
        <f>IFERROR(__xludf.DUMMYFUNCTION("""COMPUTED_VALUE"""),"Правда ")</f>
        <v>Правда </v>
      </c>
      <c r="X57" s="423">
        <f>IFERROR(__xludf.DUMMYFUNCTION("""COMPUTED_VALUE"""),14.75)</f>
        <v>14.75</v>
      </c>
      <c r="Z57" s="422" t="s">
        <v>159</v>
      </c>
      <c r="AA57" s="422" t="s">
        <v>260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260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268</v>
      </c>
      <c r="C58" s="426"/>
      <c r="D58" s="426">
        <v>1.75</v>
      </c>
      <c r="E58" s="422"/>
      <c r="F58" s="426"/>
      <c r="G58" s="426"/>
      <c r="R58" s="422"/>
      <c r="T58" s="422" t="str">
        <f>IFERROR(__xludf.DUMMYFUNCTION("""COMPUTED_VALUE"""),"NLIP")</f>
        <v>NLIP</v>
      </c>
      <c r="U58" s="423"/>
      <c r="W58" s="422" t="str">
        <f>IFERROR(__xludf.DUMMYFUNCTION("""COMPUTED_VALUE"""),"Юрия")</f>
        <v>Юрия</v>
      </c>
      <c r="X58" s="423">
        <f>IFERROR(__xludf.DUMMYFUNCTION("""COMPUTED_VALUE"""),14.5)</f>
        <v>14.5</v>
      </c>
      <c r="Z58" s="422" t="s">
        <v>117</v>
      </c>
      <c r="AA58" s="422" t="s">
        <v>260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270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260</v>
      </c>
      <c r="C59" s="426">
        <v>2.5</v>
      </c>
      <c r="D59" s="426">
        <v>3.5</v>
      </c>
      <c r="E59" s="422"/>
      <c r="F59" s="426"/>
      <c r="G59" s="426"/>
      <c r="R59" s="422"/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IFERROR(__xludf.DUMMYFUNCTION("""COMPUTED_VALUE"""),"Stacy")</f>
        <v>Stacy</v>
      </c>
      <c r="X59" s="423">
        <f>IFERROR(__xludf.DUMMYFUNCTION("""COMPUTED_VALUE"""),14.5)</f>
        <v>14.5</v>
      </c>
      <c r="Z59" s="422" t="s">
        <v>130</v>
      </c>
      <c r="AA59" s="422" t="s">
        <v>260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260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260</v>
      </c>
      <c r="C60" s="426">
        <v>2.5</v>
      </c>
      <c r="D60" s="426">
        <v>2.5</v>
      </c>
      <c r="E60" s="422"/>
      <c r="F60" s="426"/>
      <c r="G60" s="426"/>
      <c r="R60" s="422"/>
      <c r="T60" s="422" t="str">
        <f>IFERROR(__xludf.DUMMYFUNCTION("""COMPUTED_VALUE"""),"SCHOKK ")</f>
        <v>SCHOKK </v>
      </c>
      <c r="U60" s="423"/>
      <c r="W60" s="422" t="str">
        <f>IFERROR(__xludf.DUMMYFUNCTION("""COMPUTED_VALUE"""),"Бамблби")</f>
        <v>Бамблби</v>
      </c>
      <c r="X60" s="423">
        <f>IFERROR(__xludf.DUMMYFUNCTION("""COMPUTED_VALUE"""),14.25)</f>
        <v>14.25</v>
      </c>
      <c r="Z60" s="422" t="s">
        <v>157</v>
      </c>
      <c r="AA60" s="422" t="s">
        <v>260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268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260</v>
      </c>
      <c r="C61" s="426">
        <v>2.5</v>
      </c>
      <c r="D61" s="426">
        <v>3.0</v>
      </c>
      <c r="E61" s="422"/>
      <c r="F61" s="426"/>
      <c r="G61" s="426"/>
      <c r="R61" s="422"/>
      <c r="T61" s="422" t="str">
        <f>IFERROR(__xludf.DUMMYFUNCTION("""COMPUTED_VALUE"""),"Stacy")</f>
        <v>Stacy</v>
      </c>
      <c r="U61" s="423"/>
      <c r="W61" s="422" t="str">
        <f>IFERROR(__xludf.DUMMYFUNCTION("""COMPUTED_VALUE"""),"Крот")</f>
        <v>Крот</v>
      </c>
      <c r="X61" s="423">
        <f>IFERROR(__xludf.DUMMYFUNCTION("""COMPUTED_VALUE"""),14.25)</f>
        <v>14.25</v>
      </c>
      <c r="Z61" s="422" t="s">
        <v>101</v>
      </c>
      <c r="AA61" s="422" t="s">
        <v>270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260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264</v>
      </c>
      <c r="C62" s="426"/>
      <c r="D62" s="426">
        <v>2.0</v>
      </c>
      <c r="E62" s="422"/>
      <c r="F62" s="426"/>
      <c r="G62" s="426"/>
      <c r="R62" s="422"/>
      <c r="T62" s="422" t="str">
        <f>IFERROR(__xludf.DUMMYFUNCTION("QUERY('Турнирная таблица по Алфавиту'!C7:BG66,""select C,V order by V desc"")"),"Красавчик")</f>
        <v>Красавчик</v>
      </c>
      <c r="U62" s="423">
        <f>IFERROR(__xludf.DUMMYFUNCTION("""COMPUTED_VALUE"""),23.25)</f>
        <v>23.25</v>
      </c>
      <c r="W62" s="422" t="str">
        <f>IFERROR(__xludf.DUMMYFUNCTION("""COMPUTED_VALUE"""),"Панда из Руанды")</f>
        <v>Панда из Руанды</v>
      </c>
      <c r="X62" s="423">
        <f>IFERROR(__xludf.DUMMYFUNCTION("""COMPUTED_VALUE"""),14.0)</f>
        <v>14</v>
      </c>
      <c r="Z62" s="422" t="s">
        <v>156</v>
      </c>
      <c r="AA62" s="422" t="s">
        <v>260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264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260</v>
      </c>
      <c r="C63" s="426">
        <v>2.5</v>
      </c>
      <c r="D63" s="426">
        <v>3.75</v>
      </c>
      <c r="E63" s="422"/>
      <c r="F63" s="426"/>
      <c r="G63" s="426"/>
      <c r="R63" s="422"/>
      <c r="T63" s="422" t="str">
        <f>IFERROR(__xludf.DUMMYFUNCTION("""COMPUTED_VALUE"""),"Cristo")</f>
        <v>Cristo</v>
      </c>
      <c r="U63" s="423">
        <f>IFERROR(__xludf.DUMMYFUNCTION("""COMPUTED_VALUE"""),22.75)</f>
        <v>22.75</v>
      </c>
      <c r="W63" s="422" t="str">
        <f>IFERROR(__xludf.DUMMYFUNCTION("""COMPUTED_VALUE"""),"Зверюга")</f>
        <v>Зверюга</v>
      </c>
      <c r="X63" s="423">
        <f>IFERROR(__xludf.DUMMYFUNCTION("""COMPUTED_VALUE"""),0.0)</f>
        <v>0</v>
      </c>
      <c r="Z63" s="422" t="s">
        <v>153</v>
      </c>
      <c r="AA63" s="422" t="s">
        <v>260</v>
      </c>
      <c r="AB63" s="426"/>
      <c r="AC63" s="426">
        <v>2.5</v>
      </c>
      <c r="AD63" s="422" t="s">
        <v>262</v>
      </c>
      <c r="AE63" s="426"/>
      <c r="AF63" s="426"/>
      <c r="AH63" s="422" t="s">
        <v>176</v>
      </c>
      <c r="AI63" s="422" t="s">
        <v>268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264</v>
      </c>
      <c r="C64" s="426"/>
      <c r="D64" s="426">
        <v>2.25</v>
      </c>
      <c r="E64" s="422"/>
      <c r="F64" s="426"/>
      <c r="G64" s="426"/>
      <c r="R64" s="422"/>
      <c r="T64" s="422" t="str">
        <f>IFERROR(__xludf.DUMMYFUNCTION("""COMPUTED_VALUE"""),"NLIP")</f>
        <v>NLIP</v>
      </c>
      <c r="U64" s="423">
        <f>IFERROR(__xludf.DUMMYFUNCTION("""COMPUTED_VALUE"""),22.25)</f>
        <v>22.25</v>
      </c>
      <c r="W64" s="422" t="str">
        <f>IFERROR(__xludf.DUMMYFUNCTION("""COMPUTED_VALUE"""),"Инсомнич")</f>
        <v>Инсомнич</v>
      </c>
      <c r="X64" s="423">
        <f>IFERROR(__xludf.DUMMYFUNCTION("""COMPUTED_VALUE"""),0.0)</f>
        <v>0</v>
      </c>
      <c r="Z64" s="422" t="s">
        <v>154</v>
      </c>
      <c r="AA64" s="422" t="s">
        <v>260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260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270</v>
      </c>
      <c r="C65" s="426">
        <v>2.5</v>
      </c>
      <c r="D65" s="426">
        <v>4.25</v>
      </c>
      <c r="E65" s="422"/>
      <c r="F65" s="426"/>
      <c r="G65" s="426"/>
      <c r="R65" s="422"/>
      <c r="T65" s="422" t="str">
        <f>IFERROR(__xludf.DUMMYFUNCTION("""COMPUTED_VALUE"""),"Helga")</f>
        <v>Helga</v>
      </c>
      <c r="U65" s="423">
        <f>IFERROR(__xludf.DUMMYFUNCTION("""COMPUTED_VALUE"""),18.5)</f>
        <v>18.5</v>
      </c>
      <c r="W65" s="422" t="str">
        <f>IFERROR(__xludf.DUMMYFUNCTION("""COMPUTED_VALUE"""),"Красавчик")</f>
        <v>Красавчик</v>
      </c>
      <c r="X65" s="423">
        <f>IFERROR(__xludf.DUMMYFUNCTION("""COMPUTED_VALUE"""),0.0)</f>
        <v>0</v>
      </c>
      <c r="Z65" s="422" t="s">
        <v>155</v>
      </c>
      <c r="AA65" s="422" t="s">
        <v>270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268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260</v>
      </c>
      <c r="C66" s="426">
        <v>2.5</v>
      </c>
      <c r="D66" s="426">
        <v>2.0</v>
      </c>
      <c r="E66" s="422"/>
      <c r="F66" s="426"/>
      <c r="G66" s="426"/>
      <c r="R66" s="422"/>
      <c r="T66" s="422" t="str">
        <f>IFERROR(__xludf.DUMMYFUNCTION("""COMPUTED_VALUE"""),"A1 ")</f>
        <v>A1 </v>
      </c>
      <c r="U66" s="423">
        <f>IFERROR(__xludf.DUMMYFUNCTION("""COMPUTED_VALUE"""),17.5)</f>
        <v>17.5</v>
      </c>
      <c r="W66" s="422" t="str">
        <f>IFERROR(__xludf.DUMMYFUNCTION("""COMPUTED_VALUE"""),"Панда из Руанды")</f>
        <v>Панда из Руанды</v>
      </c>
      <c r="X66" s="423">
        <f>IFERROR(__xludf.DUMMYFUNCTION("""COMPUTED_VALUE"""),0.0)</f>
        <v>0</v>
      </c>
      <c r="Z66" s="422" t="s">
        <v>158</v>
      </c>
      <c r="AA66" s="422" t="s">
        <v>260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260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260</v>
      </c>
      <c r="C67" s="426">
        <v>2.5</v>
      </c>
      <c r="D67" s="426">
        <v>1.5</v>
      </c>
      <c r="E67" s="422"/>
      <c r="F67" s="426"/>
      <c r="G67" s="426"/>
      <c r="R67" s="422"/>
      <c r="T67" s="422" t="str">
        <f>IFERROR(__xludf.DUMMYFUNCTION("""COMPUTED_VALUE"""),"WhoIsWho")</f>
        <v>WhoIsWho</v>
      </c>
      <c r="U67" s="423">
        <f>IFERROR(__xludf.DUMMYFUNCTION("""COMPUTED_VALUE"""),17.5)</f>
        <v>17.5</v>
      </c>
      <c r="W67" s="422" t="str">
        <f>IFERROR(__xludf.DUMMYFUNCTION("""COMPUTED_VALUE"""),"РФ")</f>
        <v>РФ</v>
      </c>
      <c r="X67" s="423">
        <f>IFERROR(__xludf.DUMMYFUNCTION("""COMPUTED_VALUE"""),0.0)</f>
        <v>0</v>
      </c>
      <c r="Z67" s="422" t="s">
        <v>159</v>
      </c>
      <c r="AA67" s="422" t="s">
        <v>260</v>
      </c>
      <c r="AB67" s="426"/>
      <c r="AC67" s="426">
        <v>1.5</v>
      </c>
      <c r="AD67" s="422" t="s">
        <v>262</v>
      </c>
      <c r="AE67" s="426"/>
      <c r="AF67" s="426"/>
      <c r="AH67" s="422" t="s">
        <v>159</v>
      </c>
      <c r="AI67" s="422" t="s">
        <v>264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260</v>
      </c>
      <c r="C68" s="426">
        <v>2.5</v>
      </c>
      <c r="D68" s="426">
        <v>2.5</v>
      </c>
      <c r="E68" s="422"/>
      <c r="F68" s="426"/>
      <c r="G68" s="426"/>
      <c r="R68" s="422"/>
      <c r="T68" s="422" t="str">
        <f>IFERROR(__xludf.DUMMYFUNCTION("""COMPUTED_VALUE"""),"Левша")</f>
        <v>Левша</v>
      </c>
      <c r="U68" s="423">
        <f>IFERROR(__xludf.DUMMYFUNCTION("""COMPUTED_VALUE"""),15.5)</f>
        <v>15.5</v>
      </c>
      <c r="W68" s="422" t="str">
        <f>IFERROR(__xludf.DUMMYFUNCTION("""COMPUTED_VALUE"""),"Coach")</f>
        <v>Coach</v>
      </c>
      <c r="X68" s="423">
        <f>IFERROR(__xludf.DUMMYFUNCTION("""COMPUTED_VALUE"""),0.0)</f>
        <v>0</v>
      </c>
      <c r="Z68" s="422" t="s">
        <v>117</v>
      </c>
      <c r="AA68" s="422" t="s">
        <v>260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260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268</v>
      </c>
      <c r="C69" s="426"/>
      <c r="D69" s="426">
        <v>3.0</v>
      </c>
      <c r="E69" s="422"/>
      <c r="F69" s="426"/>
      <c r="G69" s="426"/>
      <c r="R69" s="422"/>
      <c r="T69" s="422" t="str">
        <f>IFERROR(__xludf.DUMMYFUNCTION("""COMPUTED_VALUE"""),"MSR")</f>
        <v>MSR</v>
      </c>
      <c r="U69" s="423">
        <f>IFERROR(__xludf.DUMMYFUNCTION("""COMPUTED_VALUE"""),15.0)</f>
        <v>15</v>
      </c>
      <c r="W69" s="422" t="str">
        <f>IFERROR(__xludf.DUMMYFUNCTION("""COMPUTED_VALUE"""),"A1 ")</f>
        <v>A1 </v>
      </c>
      <c r="X69" s="423">
        <f>IFERROR(__xludf.DUMMYFUNCTION("""COMPUTED_VALUE"""),0.0)</f>
        <v>0</v>
      </c>
      <c r="Z69" s="422" t="s">
        <v>130</v>
      </c>
      <c r="AA69" s="422" t="s">
        <v>268</v>
      </c>
      <c r="AB69" s="426">
        <v>2.5</v>
      </c>
      <c r="AC69" s="426">
        <v>3.75</v>
      </c>
      <c r="AD69" s="422" t="s">
        <v>259</v>
      </c>
      <c r="AE69" s="426"/>
      <c r="AF69" s="426"/>
      <c r="AH69" s="422" t="s">
        <v>85</v>
      </c>
      <c r="AI69" s="422" t="s">
        <v>260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260</v>
      </c>
      <c r="C70" s="426">
        <v>2.5</v>
      </c>
      <c r="D70" s="426">
        <v>2.0</v>
      </c>
      <c r="E70" s="422"/>
      <c r="F70" s="426"/>
      <c r="G70" s="426"/>
      <c r="R70" s="422"/>
      <c r="T70" s="422" t="str">
        <f>IFERROR(__xludf.DUMMYFUNCTION("""COMPUTED_VALUE"""),"Юрия")</f>
        <v>Юрия</v>
      </c>
      <c r="U70" s="423">
        <f>IFERROR(__xludf.DUMMYFUNCTION("""COMPUTED_VALUE"""),14.5)</f>
        <v>14.5</v>
      </c>
      <c r="W70" s="422" t="str">
        <f>IFERROR(__xludf.DUMMYFUNCTION("""COMPUTED_VALUE"""),"Bublik")</f>
        <v>Bublik</v>
      </c>
      <c r="X70" s="423">
        <f>IFERROR(__xludf.DUMMYFUNCTION("""COMPUTED_VALUE"""),0.0)</f>
        <v>0</v>
      </c>
      <c r="Z70" s="422" t="s">
        <v>157</v>
      </c>
      <c r="AA70" s="422" t="s">
        <v>264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270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268</v>
      </c>
      <c r="C71" s="426"/>
      <c r="D71" s="426">
        <v>2.25</v>
      </c>
      <c r="E71" s="422"/>
      <c r="F71" s="426"/>
      <c r="G71" s="426"/>
      <c r="R71" s="422"/>
      <c r="T71" s="422" t="str">
        <f>IFERROR(__xludf.DUMMYFUNCTION("""COMPUTED_VALUE"""),"Stacy")</f>
        <v>Stacy</v>
      </c>
      <c r="U71" s="423">
        <f>IFERROR(__xludf.DUMMYFUNCTION("""COMPUTED_VALUE"""),14.5)</f>
        <v>14.5</v>
      </c>
      <c r="W71" s="422" t="str">
        <f>IFERROR(__xludf.DUMMYFUNCTION("""COMPUTED_VALUE"""),"Cristo")</f>
        <v>Cristo</v>
      </c>
      <c r="X71" s="423">
        <f>IFERROR(__xludf.DUMMYFUNCTION("""COMPUTED_VALUE"""),0.0)</f>
        <v>0</v>
      </c>
      <c r="Z71" s="422" t="s">
        <v>101</v>
      </c>
      <c r="AA71" s="422" t="s">
        <v>268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260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260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/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IFERROR(__xludf.DUMMYFUNCTION("""COMPUTED_VALUE"""),"Ketamin")</f>
        <v>Ketamin</v>
      </c>
      <c r="X72" s="423">
        <f>IFERROR(__xludf.DUMMYFUNCTION("""COMPUTED_VALUE"""),0.0)</f>
        <v>0</v>
      </c>
      <c r="Z72" s="422" t="s">
        <v>156</v>
      </c>
      <c r="AA72" s="422" t="s">
        <v>260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260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264</v>
      </c>
      <c r="C73" s="426">
        <v>2.5</v>
      </c>
      <c r="D73" s="426">
        <v>3.5</v>
      </c>
      <c r="E73" s="422"/>
      <c r="F73" s="426"/>
      <c r="G73" s="426"/>
      <c r="R73" s="422"/>
      <c r="T73" s="422" t="str">
        <f>IFERROR(__xludf.DUMMYFUNCTION("""COMPUTED_VALUE"""),"Админ")</f>
        <v>Админ</v>
      </c>
      <c r="U73" s="423"/>
      <c r="W73" s="422" t="str">
        <f>IFERROR(__xludf.DUMMYFUNCTION("""COMPUTED_VALUE"""),"Андерсен")</f>
        <v>Андерсен</v>
      </c>
      <c r="X73" s="423">
        <f>IFERROR(__xludf.DUMMYFUNCTION("""COMPUTED_VALUE"""),0.0)</f>
        <v>0</v>
      </c>
      <c r="Z73" s="422" t="s">
        <v>153</v>
      </c>
      <c r="AA73" s="422" t="s">
        <v>270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260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268</v>
      </c>
      <c r="C74" s="426">
        <v>2.5</v>
      </c>
      <c r="D74" s="426">
        <v>3.75</v>
      </c>
      <c r="E74" s="422" t="s">
        <v>259</v>
      </c>
      <c r="F74" s="426"/>
      <c r="G74" s="426"/>
      <c r="R74" s="422"/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IFERROR(__xludf.DUMMYFUNCTION("""COMPUTED_VALUE"""),"Дровосек")</f>
        <v>Дровосек</v>
      </c>
      <c r="X74" s="423">
        <f>IFERROR(__xludf.DUMMYFUNCTION("""COMPUTED_VALUE"""),0.0)</f>
        <v>0</v>
      </c>
      <c r="Z74" s="422" t="s">
        <v>154</v>
      </c>
      <c r="AA74" s="422" t="s">
        <v>260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260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270</v>
      </c>
      <c r="C75" s="426"/>
      <c r="D75" s="426">
        <v>3.25</v>
      </c>
      <c r="E75" s="422"/>
      <c r="F75" s="426"/>
      <c r="G75" s="426"/>
      <c r="R75" s="422"/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IFERROR(__xludf.DUMMYFUNCTION("""COMPUTED_VALUE"""),"Зверюга")</f>
        <v>Зверюга</v>
      </c>
      <c r="X75" s="423">
        <f>IFERROR(__xludf.DUMMYFUNCTION("""COMPUTED_VALUE"""),0.0)</f>
        <v>0</v>
      </c>
      <c r="Z75" s="422" t="s">
        <v>155</v>
      </c>
      <c r="AA75" s="422" t="s">
        <v>260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260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260</v>
      </c>
      <c r="C76" s="426"/>
      <c r="D76" s="426">
        <v>1.25</v>
      </c>
      <c r="E76" s="422" t="s">
        <v>262</v>
      </c>
      <c r="F76" s="426"/>
      <c r="G76" s="426"/>
      <c r="R76" s="422"/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IFERROR(__xludf.DUMMYFUNCTION("""COMPUTED_VALUE"""),"Лисичка")</f>
        <v>Лисичка</v>
      </c>
      <c r="X76" s="423">
        <f>IFERROR(__xludf.DUMMYFUNCTION("""COMPUTED_VALUE"""),0.0)</f>
        <v>0</v>
      </c>
      <c r="Z76" s="422" t="s">
        <v>158</v>
      </c>
      <c r="AA76" s="422" t="s">
        <v>260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260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260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/>
      <c r="T77" s="422" t="str">
        <f>IFERROR(__xludf.DUMMYFUNCTION("""COMPUTED_VALUE"""),"Аш")</f>
        <v>Аш</v>
      </c>
      <c r="U77" s="423"/>
      <c r="W77" s="422" t="str">
        <f>IFERROR(__xludf.DUMMYFUNCTION("""COMPUTED_VALUE"""),"Маваши")</f>
        <v>Маваши</v>
      </c>
      <c r="X77" s="423">
        <f>IFERROR(__xludf.DUMMYFUNCTION("""COMPUTED_VALUE"""),0.0)</f>
        <v>0</v>
      </c>
      <c r="Z77" s="422" t="s">
        <v>159</v>
      </c>
      <c r="AA77" s="422" t="s">
        <v>264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260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260</v>
      </c>
      <c r="C78" s="426"/>
      <c r="D78" s="426">
        <v>3.75</v>
      </c>
      <c r="E78" s="422"/>
      <c r="F78" s="426"/>
      <c r="G78" s="426"/>
      <c r="R78" s="422"/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IFERROR(__xludf.DUMMYFUNCTION("""COMPUTED_VALUE"""),"Манекен")</f>
        <v>Манекен</v>
      </c>
      <c r="X78" s="423">
        <f>IFERROR(__xludf.DUMMYFUNCTION("""COMPUTED_VALUE"""),0.0)</f>
        <v>0</v>
      </c>
      <c r="Z78" s="422" t="s">
        <v>117</v>
      </c>
      <c r="AA78" s="422" t="s">
        <v>260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268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260</v>
      </c>
      <c r="C79" s="426"/>
      <c r="D79" s="426">
        <v>1.75</v>
      </c>
      <c r="E79" s="422"/>
      <c r="F79" s="426"/>
      <c r="G79" s="426"/>
      <c r="R79" s="422"/>
      <c r="T79" s="422" t="str">
        <f>IFERROR(__xludf.DUMMYFUNCTION("""COMPUTED_VALUE"""),"Волга")</f>
        <v>Волга</v>
      </c>
      <c r="U79" s="423"/>
      <c r="W79" s="422" t="str">
        <f>IFERROR(__xludf.DUMMYFUNCTION("""COMPUTED_VALUE"""),"Марго")</f>
        <v>Марго</v>
      </c>
      <c r="X79" s="423">
        <f>IFERROR(__xludf.DUMMYFUNCTION("""COMPUTED_VALUE"""),0.0)</f>
        <v>0</v>
      </c>
      <c r="Z79" s="422" t="s">
        <v>130</v>
      </c>
      <c r="AA79" s="422" t="s">
        <v>268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268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260</v>
      </c>
      <c r="C80" s="426"/>
      <c r="D80" s="426">
        <v>3.25</v>
      </c>
      <c r="E80" s="422"/>
      <c r="F80" s="426"/>
      <c r="G80" s="426"/>
      <c r="R80" s="422"/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IFERROR(__xludf.DUMMYFUNCTION("""COMPUTED_VALUE"""),"РФ")</f>
        <v>РФ</v>
      </c>
      <c r="X80" s="423">
        <f>IFERROR(__xludf.DUMMYFUNCTION("""COMPUTED_VALUE"""),0.0)</f>
        <v>0</v>
      </c>
      <c r="Z80" s="422" t="s">
        <v>157</v>
      </c>
      <c r="AA80" s="422" t="s">
        <v>260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264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268</v>
      </c>
      <c r="C81" s="426">
        <v>2.5</v>
      </c>
      <c r="D81" s="426">
        <v>3.0</v>
      </c>
      <c r="E81" s="422"/>
      <c r="F81" s="426"/>
      <c r="G81" s="426"/>
      <c r="R81" s="422"/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IFERROR(__xludf.DUMMYFUNCTION("""COMPUTED_VALUE"""),"Шпиц")</f>
        <v>Шпиц</v>
      </c>
      <c r="X81" s="423">
        <f>IFERROR(__xludf.DUMMYFUNCTION("""COMPUTED_VALUE"""),0.0)</f>
        <v>0</v>
      </c>
      <c r="Z81" s="422" t="s">
        <v>101</v>
      </c>
      <c r="AA81" s="422" t="s">
        <v>268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260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260</v>
      </c>
      <c r="C82" s="426"/>
      <c r="D82" s="426">
        <v>4.25</v>
      </c>
      <c r="E82" s="422" t="s">
        <v>262</v>
      </c>
      <c r="F82" s="426"/>
      <c r="G82" s="426"/>
      <c r="R82" s="422"/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IFERROR(__xludf.DUMMYFUNCTION("""COMPUTED_VALUE"""),"Young")</f>
        <v>Young</v>
      </c>
      <c r="X82" s="423">
        <f>IFERROR(__xludf.DUMMYFUNCTION("""COMPUTED_VALUE"""),0.0)</f>
        <v>0</v>
      </c>
      <c r="Z82" s="422" t="s">
        <v>156</v>
      </c>
      <c r="AA82" s="422" t="s">
        <v>260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270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260</v>
      </c>
      <c r="C83" s="426"/>
      <c r="D83" s="426">
        <v>2.5</v>
      </c>
      <c r="E83" s="422" t="s">
        <v>11</v>
      </c>
      <c r="F83" s="426"/>
      <c r="G83" s="426">
        <v>0.5</v>
      </c>
      <c r="R83" s="422"/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IFERROR(__xludf.DUMMYFUNCTION("""COMPUTED_VALUE"""),"Авраам")</f>
        <v>Авраам</v>
      </c>
      <c r="X83" s="423">
        <f>IFERROR(__xludf.DUMMYFUNCTION("""COMPUTED_VALUE"""),0.0)</f>
        <v>0</v>
      </c>
      <c r="Z83" s="422" t="s">
        <v>153</v>
      </c>
      <c r="AA83" s="422" t="s">
        <v>260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260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260</v>
      </c>
      <c r="C84" s="426"/>
      <c r="D84" s="426">
        <v>2.0</v>
      </c>
      <c r="E84" s="422"/>
      <c r="F84" s="426"/>
      <c r="G84" s="426"/>
      <c r="R84" s="422"/>
      <c r="T84" s="422" t="str">
        <f>IFERROR(__xludf.DUMMYFUNCTION("""COMPUTED_VALUE"""),"Крестный отец (BLR)")</f>
        <v>Крестный отец (BLR)</v>
      </c>
      <c r="U84" s="423"/>
      <c r="W84" s="422" t="str">
        <f>IFERROR(__xludf.DUMMYFUNCTION("""COMPUTED_VALUE"""),"Дровосек")</f>
        <v>Дровосек</v>
      </c>
      <c r="X84" s="423">
        <f>IFERROR(__xludf.DUMMYFUNCTION("""COMPUTED_VALUE"""),0.0)</f>
        <v>0</v>
      </c>
      <c r="Z84" s="422" t="s">
        <v>154</v>
      </c>
      <c r="AA84" s="422" t="s">
        <v>260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264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260</v>
      </c>
      <c r="C85" s="426"/>
      <c r="D85" s="426">
        <v>1.5</v>
      </c>
      <c r="E85" s="422"/>
      <c r="F85" s="426"/>
      <c r="G85" s="426"/>
      <c r="R85" s="422"/>
      <c r="T85" s="422" t="str">
        <f>IFERROR(__xludf.DUMMYFUNCTION("""COMPUTED_VALUE"""),"Крёстный Отец (RU)")</f>
        <v>Крёстный Отец (RU)</v>
      </c>
      <c r="U85" s="423"/>
      <c r="W85" s="422" t="str">
        <f>IFERROR(__xludf.DUMMYFUNCTION("""COMPUTED_VALUE"""),"Зверюга")</f>
        <v>Зверюга</v>
      </c>
      <c r="X85" s="423">
        <f>IFERROR(__xludf.DUMMYFUNCTION("""COMPUTED_VALUE"""),0.0)</f>
        <v>0</v>
      </c>
      <c r="Z85" s="422" t="s">
        <v>155</v>
      </c>
      <c r="AA85" s="422" t="s">
        <v>270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270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264</v>
      </c>
      <c r="C86" s="426">
        <v>2.5</v>
      </c>
      <c r="D86" s="426">
        <v>3.25</v>
      </c>
      <c r="E86" s="422"/>
      <c r="F86" s="426"/>
      <c r="G86" s="426"/>
      <c r="R86" s="422"/>
      <c r="T86" s="422" t="str">
        <f>IFERROR(__xludf.DUMMYFUNCTION("""COMPUTED_VALUE"""),"Крот")</f>
        <v>Крот</v>
      </c>
      <c r="U86" s="423"/>
      <c r="W86" s="422" t="str">
        <f>IFERROR(__xludf.DUMMYFUNCTION("""COMPUTED_VALUE"""),"РФ")</f>
        <v>РФ</v>
      </c>
      <c r="X86" s="423">
        <f>IFERROR(__xludf.DUMMYFUNCTION("""COMPUTED_VALUE"""),0.0)</f>
        <v>0</v>
      </c>
      <c r="Z86" s="422" t="s">
        <v>158</v>
      </c>
      <c r="AA86" s="422" t="s">
        <v>260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268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270</v>
      </c>
      <c r="C87" s="426"/>
      <c r="D87" s="426">
        <v>2.0</v>
      </c>
      <c r="E87" s="422"/>
      <c r="F87" s="426"/>
      <c r="G87" s="426"/>
      <c r="R87" s="422"/>
      <c r="T87" s="422" t="str">
        <f>IFERROR(__xludf.DUMMYFUNCTION("""COMPUTED_VALUE"""),"Лисичка")</f>
        <v>Лисичка</v>
      </c>
      <c r="U87" s="423"/>
      <c r="W87" s="422" t="str">
        <f>IFERROR(__xludf.DUMMYFUNCTION("""COMPUTED_VALUE"""),"Юрия")</f>
        <v>Юрия</v>
      </c>
      <c r="X87" s="423">
        <f>IFERROR(__xludf.DUMMYFUNCTION("""COMPUTED_VALUE"""),0.0)</f>
        <v>0</v>
      </c>
      <c r="Z87" s="422" t="s">
        <v>159</v>
      </c>
      <c r="AA87" s="422" t="s">
        <v>268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260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260</v>
      </c>
      <c r="C88" s="426"/>
      <c r="D88" s="426">
        <v>2.0</v>
      </c>
      <c r="E88" s="422"/>
      <c r="F88" s="426"/>
      <c r="G88" s="426"/>
      <c r="R88" s="422"/>
      <c r="T88" s="422" t="str">
        <f>IFERROR(__xludf.DUMMYFUNCTION("""COMPUTED_VALUE"""),"Маваши")</f>
        <v>Маваши</v>
      </c>
      <c r="U88" s="423"/>
      <c r="W88" s="422" t="str">
        <f>IFERROR(__xludf.DUMMYFUNCTION("""COMPUTED_VALUE"""),"Cristo")</f>
        <v>Cristo</v>
      </c>
      <c r="X88" s="423">
        <f>IFERROR(__xludf.DUMMYFUNCTION("""COMPUTED_VALUE"""),0.0)</f>
        <v>0</v>
      </c>
      <c r="Z88" s="422" t="s">
        <v>117</v>
      </c>
      <c r="AA88" s="422" t="s">
        <v>260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260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260</v>
      </c>
      <c r="C89" s="426"/>
      <c r="D89" s="426">
        <v>1.75</v>
      </c>
      <c r="E89" s="422"/>
      <c r="F89" s="426"/>
      <c r="G89" s="426"/>
      <c r="R89" s="422"/>
      <c r="T89" s="422" t="str">
        <f>IFERROR(__xludf.DUMMYFUNCTION("""COMPUTED_VALUE"""),"Манекен")</f>
        <v>Манекен</v>
      </c>
      <c r="U89" s="423"/>
      <c r="W89" s="422" t="str">
        <f>IFERROR(__xludf.DUMMYFUNCTION("""COMPUTED_VALUE"""),"Helga")</f>
        <v>Helga</v>
      </c>
      <c r="X89" s="423">
        <f>IFERROR(__xludf.DUMMYFUNCTION("""COMPUTED_VALUE"""),0.0)</f>
        <v>0</v>
      </c>
      <c r="Z89" s="422" t="s">
        <v>130</v>
      </c>
      <c r="AA89" s="422" t="s">
        <v>264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260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268</v>
      </c>
      <c r="C90" s="426">
        <v>2.5</v>
      </c>
      <c r="D90" s="426">
        <v>3.5</v>
      </c>
      <c r="E90" s="422"/>
      <c r="F90" s="426"/>
      <c r="G90" s="426"/>
      <c r="R90" s="422"/>
      <c r="T90" s="422" t="str">
        <f>IFERROR(__xludf.DUMMYFUNCTION("""COMPUTED_VALUE"""),"Марго")</f>
        <v>Марго</v>
      </c>
      <c r="U90" s="423"/>
      <c r="W90" s="422" t="str">
        <f>IFERROR(__xludf.DUMMYFUNCTION("""COMPUTED_VALUE"""),"Infinity ")</f>
        <v>Infinity </v>
      </c>
      <c r="X90" s="423">
        <f>IFERROR(__xludf.DUMMYFUNCTION("""COMPUTED_VALUE"""),0.0)</f>
        <v>0</v>
      </c>
      <c r="Z90" s="422" t="s">
        <v>157</v>
      </c>
      <c r="AA90" s="422" t="s">
        <v>260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268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268</v>
      </c>
      <c r="C91" s="426">
        <v>2.5</v>
      </c>
      <c r="D91" s="426">
        <v>4.0</v>
      </c>
      <c r="E91" s="422"/>
      <c r="F91" s="426"/>
      <c r="G91" s="426"/>
      <c r="R91" s="422"/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IFERROR(__xludf.DUMMYFUNCTION("""COMPUTED_VALUE"""),"Light")</f>
        <v>Light</v>
      </c>
      <c r="X91" s="423">
        <f>IFERROR(__xludf.DUMMYFUNCTION("""COMPUTED_VALUE"""),0.0)</f>
        <v>0</v>
      </c>
      <c r="Z91" s="422" t="s">
        <v>101</v>
      </c>
      <c r="AA91" s="422" t="s">
        <v>260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260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260</v>
      </c>
      <c r="C92" s="426"/>
      <c r="D92" s="426">
        <v>1.5</v>
      </c>
      <c r="E92" s="422"/>
      <c r="F92" s="426"/>
      <c r="G92" s="426"/>
      <c r="R92" s="422"/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IFERROR(__xludf.DUMMYFUNCTION("""COMPUTED_VALUE"""),"NLIP")</f>
        <v>NLIP</v>
      </c>
      <c r="X92" s="423">
        <f>IFERROR(__xludf.DUMMYFUNCTION("""COMPUTED_VALUE"""),0.0)</f>
        <v>0</v>
      </c>
      <c r="Z92" s="422" t="s">
        <v>156</v>
      </c>
      <c r="AA92" s="422" t="s">
        <v>268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260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268</v>
      </c>
      <c r="C93" s="426"/>
      <c r="D93" s="426">
        <v>2.0</v>
      </c>
      <c r="E93" s="422" t="s">
        <v>262</v>
      </c>
      <c r="F93" s="426"/>
      <c r="G93" s="426"/>
      <c r="R93" s="422"/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IFERROR(__xludf.DUMMYFUNCTION("""COMPUTED_VALUE"""),"Бамблби")</f>
        <v>Бамблби</v>
      </c>
      <c r="X93" s="423">
        <f>IFERROR(__xludf.DUMMYFUNCTION("""COMPUTED_VALUE"""),0.0)</f>
        <v>0</v>
      </c>
      <c r="Z93" s="422" t="s">
        <v>153</v>
      </c>
      <c r="AA93" s="422" t="s">
        <v>260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260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260</v>
      </c>
      <c r="C94" s="426">
        <v>2.5</v>
      </c>
      <c r="D94" s="426">
        <v>2.5</v>
      </c>
      <c r="E94" s="422"/>
      <c r="F94" s="426"/>
      <c r="G94" s="426"/>
      <c r="R94" s="422"/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IFERROR(__xludf.DUMMYFUNCTION("""COMPUTED_VALUE"""),"Дровосек")</f>
        <v>Дровосек</v>
      </c>
      <c r="X94" s="423">
        <f>IFERROR(__xludf.DUMMYFUNCTION("""COMPUTED_VALUE"""),0.0)</f>
        <v>0</v>
      </c>
      <c r="Z94" s="422" t="s">
        <v>154</v>
      </c>
      <c r="AA94" s="422" t="s">
        <v>270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268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268</v>
      </c>
      <c r="C95" s="426"/>
      <c r="D95" s="426">
        <v>2.5</v>
      </c>
      <c r="E95" s="422"/>
      <c r="F95" s="426"/>
      <c r="G95" s="426"/>
      <c r="R95" s="422"/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IFERROR(__xludf.DUMMYFUNCTION("""COMPUTED_VALUE"""),"Зверюга")</f>
        <v>Зверюга</v>
      </c>
      <c r="X95" s="423">
        <f>IFERROR(__xludf.DUMMYFUNCTION("""COMPUTED_VALUE"""),0.0)</f>
        <v>0</v>
      </c>
      <c r="Z95" s="422" t="s">
        <v>155</v>
      </c>
      <c r="AA95" s="422" t="s">
        <v>268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260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260</v>
      </c>
      <c r="C96" s="426">
        <v>2.5</v>
      </c>
      <c r="D96" s="426">
        <v>3.25</v>
      </c>
      <c r="E96" s="422"/>
      <c r="F96" s="426"/>
      <c r="G96" s="426"/>
      <c r="R96" s="422"/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IFERROR(__xludf.DUMMYFUNCTION("""COMPUTED_VALUE"""),"Инсомнич")</f>
        <v>Инсомнич</v>
      </c>
      <c r="X96" s="423">
        <f>IFERROR(__xludf.DUMMYFUNCTION("""COMPUTED_VALUE"""),0.0)</f>
        <v>0</v>
      </c>
      <c r="Z96" s="422" t="s">
        <v>158</v>
      </c>
      <c r="AA96" s="422" t="s">
        <v>260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270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270</v>
      </c>
      <c r="C97" s="426">
        <v>2.5</v>
      </c>
      <c r="D97" s="426">
        <v>4.0</v>
      </c>
      <c r="E97" s="422"/>
      <c r="F97" s="426"/>
      <c r="G97" s="426"/>
      <c r="R97" s="422"/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IFERROR(__xludf.DUMMYFUNCTION("""COMPUTED_VALUE"""),"Панда из Руанды")</f>
        <v>Панда из Руанды</v>
      </c>
      <c r="X97" s="423">
        <f>IFERROR(__xludf.DUMMYFUNCTION("""COMPUTED_VALUE"""),0.0)</f>
        <v>0</v>
      </c>
      <c r="Z97" s="422" t="s">
        <v>159</v>
      </c>
      <c r="AA97" s="422" t="s">
        <v>264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260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264</v>
      </c>
      <c r="C98" s="426"/>
      <c r="D98" s="426">
        <v>1.75</v>
      </c>
      <c r="E98" s="422"/>
      <c r="F98" s="426"/>
      <c r="G98" s="426"/>
      <c r="R98" s="422"/>
      <c r="T98" s="422" t="str">
        <f>IFERROR(__xludf.DUMMYFUNCTION("""COMPUTED_VALUE"""),"РФ")</f>
        <v>РФ</v>
      </c>
      <c r="U98" s="423"/>
      <c r="W98" s="422" t="str">
        <f>IFERROR(__xludf.DUMMYFUNCTION("""COMPUTED_VALUE"""),"РФ")</f>
        <v>РФ</v>
      </c>
      <c r="X98" s="423">
        <f>IFERROR(__xludf.DUMMYFUNCTION("""COMPUTED_VALUE"""),0.0)</f>
        <v>0</v>
      </c>
      <c r="Z98" s="422" t="s">
        <v>117</v>
      </c>
      <c r="AA98" s="422" t="s">
        <v>260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264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260</v>
      </c>
      <c r="C99" s="426">
        <v>2.5</v>
      </c>
      <c r="D99" s="426">
        <v>3.0</v>
      </c>
      <c r="E99" s="422" t="s">
        <v>259</v>
      </c>
      <c r="F99" s="426"/>
      <c r="G99" s="426"/>
      <c r="R99" s="422"/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IFERROR(__xludf.DUMMYFUNCTION("""COMPUTED_VALUE"""),"A1 ")</f>
        <v>A1 </v>
      </c>
      <c r="X99" s="423">
        <f>IFERROR(__xludf.DUMMYFUNCTION("""COMPUTED_VALUE"""),0.0)</f>
        <v>0</v>
      </c>
      <c r="Z99" s="422" t="s">
        <v>130</v>
      </c>
      <c r="AA99" s="422" t="s">
        <v>260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260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260</v>
      </c>
      <c r="C100" s="426">
        <v>2.5</v>
      </c>
      <c r="D100" s="426">
        <v>4.0</v>
      </c>
      <c r="E100" s="422" t="s">
        <v>259</v>
      </c>
      <c r="F100" s="426"/>
      <c r="G100" s="426"/>
      <c r="R100" s="422"/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IFERROR(__xludf.DUMMYFUNCTION("""COMPUTED_VALUE"""),"Castor Troy ")</f>
        <v>Castor Troy </v>
      </c>
      <c r="X100" s="423">
        <f>IFERROR(__xludf.DUMMYFUNCTION("""COMPUTED_VALUE"""),0.0)</f>
        <v>0</v>
      </c>
      <c r="Z100" s="422" t="s">
        <v>157</v>
      </c>
      <c r="AA100" s="422" t="s">
        <v>260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260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260</v>
      </c>
      <c r="C101" s="426">
        <v>2.5</v>
      </c>
      <c r="D101" s="426">
        <v>3.75</v>
      </c>
      <c r="E101" s="422"/>
      <c r="F101" s="426"/>
      <c r="G101" s="426"/>
      <c r="R101" s="422"/>
      <c r="T101" s="422" t="str">
        <f>IFERROR(__xludf.DUMMYFUNCTION("""COMPUTED_VALUE"""),"Coach")</f>
        <v>Coach</v>
      </c>
      <c r="U101" s="423"/>
      <c r="W101" s="422" t="str">
        <f>IFERROR(__xludf.DUMMYFUNCTION("""COMPUTED_VALUE"""),"Stacy")</f>
        <v>Stacy</v>
      </c>
      <c r="X101" s="423">
        <f>IFERROR(__xludf.DUMMYFUNCTION("""COMPUTED_VALUE"""),0.0)</f>
        <v>0</v>
      </c>
      <c r="Z101" s="422" t="s">
        <v>101</v>
      </c>
      <c r="AA101" s="422" t="s">
        <v>268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260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260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/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IFERROR(__xludf.DUMMYFUNCTION("""COMPUTED_VALUE"""),"WhoIsWho")</f>
        <v>WhoIsWho</v>
      </c>
      <c r="X102" s="423">
        <f>IFERROR(__xludf.DUMMYFUNCTION("""COMPUTED_VALUE"""),0.0)</f>
        <v>0</v>
      </c>
      <c r="Z102" s="422" t="s">
        <v>156</v>
      </c>
      <c r="AA102" s="422" t="s">
        <v>260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268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 t="s">
        <v>268</v>
      </c>
      <c r="C103" s="426">
        <v>2.5</v>
      </c>
      <c r="D103" s="426">
        <v>2.25</v>
      </c>
      <c r="E103" s="422"/>
      <c r="F103" s="426"/>
      <c r="G103" s="426"/>
      <c r="R103" s="422"/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IFERROR(__xludf.DUMMYFUNCTION("""COMPUTED_VALUE"""),"Андерсен")</f>
        <v>Андерсен</v>
      </c>
      <c r="X103" s="423">
        <f>IFERROR(__xludf.DUMMYFUNCTION("""COMPUTED_VALUE"""),0.0)</f>
        <v>0</v>
      </c>
    </row>
    <row r="104">
      <c r="A104" s="422" t="s">
        <v>132</v>
      </c>
      <c r="B104" s="422" t="s">
        <v>270</v>
      </c>
      <c r="C104" s="426"/>
      <c r="D104" s="426">
        <v>2.25</v>
      </c>
      <c r="E104" s="422"/>
      <c r="F104" s="426"/>
      <c r="G104" s="426"/>
      <c r="R104" s="422"/>
      <c r="T104" s="422" t="str">
        <f>IFERROR(__xludf.DUMMYFUNCTION("""COMPUTED_VALUE"""),"Флэш")</f>
        <v>Флэш</v>
      </c>
      <c r="U104" s="423"/>
      <c r="W104" s="422" t="str">
        <f>IFERROR(__xludf.DUMMYFUNCTION("""COMPUTED_VALUE"""),"Градиент")</f>
        <v>Градиент</v>
      </c>
      <c r="X104" s="423">
        <f>IFERROR(__xludf.DUMMYFUNCTION("""COMPUTED_VALUE"""),0.0)</f>
        <v>0</v>
      </c>
    </row>
    <row r="105">
      <c r="A105" s="422" t="s">
        <v>91</v>
      </c>
      <c r="B105" s="422" t="s">
        <v>268</v>
      </c>
      <c r="C105" s="426">
        <v>2.5</v>
      </c>
      <c r="D105" s="426">
        <v>4.25</v>
      </c>
      <c r="E105" s="422"/>
      <c r="F105" s="426"/>
      <c r="G105" s="426"/>
      <c r="R105" s="422"/>
      <c r="T105" s="422" t="str">
        <f>IFERROR(__xludf.DUMMYFUNCTION("""COMPUTED_VALUE"""),"Фокс")</f>
        <v>Фокс</v>
      </c>
      <c r="U105" s="423"/>
      <c r="W105" s="422" t="str">
        <f>IFERROR(__xludf.DUMMYFUNCTION("""COMPUTED_VALUE"""),"Дровосек")</f>
        <v>Дровосек</v>
      </c>
      <c r="X105" s="423">
        <f>IFERROR(__xludf.DUMMYFUNCTION("""COMPUTED_VALUE"""),0.0)</f>
        <v>0</v>
      </c>
    </row>
    <row r="106">
      <c r="A106" s="422" t="s">
        <v>117</v>
      </c>
      <c r="B106" s="422" t="s">
        <v>260</v>
      </c>
      <c r="C106" s="426"/>
      <c r="D106" s="426">
        <v>1.75</v>
      </c>
      <c r="E106" s="422"/>
      <c r="F106" s="426"/>
      <c r="G106" s="426"/>
      <c r="R106" s="422"/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IFERROR(__xludf.DUMMYFUNCTION("""COMPUTED_VALUE"""),"Левша")</f>
        <v>Левша</v>
      </c>
      <c r="X106" s="423">
        <f>IFERROR(__xludf.DUMMYFUNCTION("""COMPUTED_VALUE"""),0.0)</f>
        <v>0</v>
      </c>
    </row>
    <row r="107">
      <c r="A107" s="422" t="s">
        <v>131</v>
      </c>
      <c r="B107" s="422" t="s">
        <v>260</v>
      </c>
      <c r="C107" s="426"/>
      <c r="D107" s="426">
        <v>1.75</v>
      </c>
      <c r="E107" s="422"/>
      <c r="F107" s="426"/>
      <c r="G107" s="426"/>
      <c r="R107" s="422"/>
      <c r="T107" s="422" t="str">
        <f>IFERROR(__xludf.DUMMYFUNCTION("""COMPUTED_VALUE"""),"Шпиц")</f>
        <v>Шпиц</v>
      </c>
      <c r="U107" s="423"/>
      <c r="W107" s="422" t="str">
        <f>IFERROR(__xludf.DUMMYFUNCTION("""COMPUTED_VALUE"""),"Лисичка")</f>
        <v>Лисичка</v>
      </c>
      <c r="X107" s="423">
        <f>IFERROR(__xludf.DUMMYFUNCTION("""COMPUTED_VALUE"""),0.0)</f>
        <v>0</v>
      </c>
    </row>
    <row r="108">
      <c r="A108" s="422" t="s">
        <v>126</v>
      </c>
      <c r="B108" s="422" t="s">
        <v>264</v>
      </c>
      <c r="C108" s="426">
        <v>2.5</v>
      </c>
      <c r="D108" s="426">
        <v>3.75</v>
      </c>
      <c r="E108" s="422"/>
      <c r="F108" s="426"/>
      <c r="G108" s="426"/>
      <c r="R108" s="422"/>
      <c r="T108" s="422" t="str">
        <f>IFERROR(__xludf.DUMMYFUNCTION("""COMPUTED_VALUE"""),"Alice ")</f>
        <v>Alice </v>
      </c>
      <c r="U108" s="423"/>
      <c r="W108" s="422" t="str">
        <f>IFERROR(__xludf.DUMMYFUNCTION("""COMPUTED_VALUE"""),"Маваши")</f>
        <v>Маваши</v>
      </c>
      <c r="X108" s="423">
        <f>IFERROR(__xludf.DUMMYFUNCTION("""COMPUTED_VALUE"""),0.0)</f>
        <v>0</v>
      </c>
    </row>
    <row r="109">
      <c r="A109" s="422" t="s">
        <v>95</v>
      </c>
      <c r="B109" s="422" t="s">
        <v>260</v>
      </c>
      <c r="C109" s="426"/>
      <c r="D109" s="426">
        <v>2.0</v>
      </c>
      <c r="E109" s="422"/>
      <c r="F109" s="426"/>
      <c r="G109" s="426">
        <v>0.5</v>
      </c>
      <c r="R109" s="422"/>
      <c r="T109" s="422" t="str">
        <f>IFERROR(__xludf.DUMMYFUNCTION("""COMPUTED_VALUE"""),"Bublik")</f>
        <v>Bublik</v>
      </c>
      <c r="U109" s="423"/>
      <c r="W109" s="422" t="str">
        <f>IFERROR(__xludf.DUMMYFUNCTION("""COMPUTED_VALUE"""),"Продюсер")</f>
        <v>Продюсер</v>
      </c>
      <c r="X109" s="423">
        <f>IFERROR(__xludf.DUMMYFUNCTION("""COMPUTED_VALUE"""),0.0)</f>
        <v>0</v>
      </c>
    </row>
    <row r="110">
      <c r="A110" s="422" t="s">
        <v>136</v>
      </c>
      <c r="B110" s="422" t="s">
        <v>260</v>
      </c>
      <c r="C110" s="426"/>
      <c r="D110" s="426">
        <v>2.25</v>
      </c>
      <c r="E110" s="422"/>
      <c r="F110" s="426"/>
      <c r="G110" s="426"/>
      <c r="R110" s="422"/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IFERROR(__xludf.DUMMYFUNCTION("""COMPUTED_VALUE"""),"РФ")</f>
        <v>РФ</v>
      </c>
      <c r="X110" s="423">
        <f>IFERROR(__xludf.DUMMYFUNCTION("""COMPUTED_VALUE"""),0.0)</f>
        <v>0</v>
      </c>
    </row>
    <row r="111">
      <c r="A111" s="422" t="s">
        <v>137</v>
      </c>
      <c r="B111" s="422" t="s">
        <v>260</v>
      </c>
      <c r="C111" s="426"/>
      <c r="D111" s="426">
        <v>2.75</v>
      </c>
      <c r="E111" s="422"/>
      <c r="F111" s="426"/>
      <c r="G111" s="426"/>
      <c r="R111" s="422"/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IFERROR(__xludf.DUMMYFUNCTION("""COMPUTED_VALUE"""),"Ketamin")</f>
        <v>Ketamin</v>
      </c>
      <c r="X111" s="423">
        <f>IFERROR(__xludf.DUMMYFUNCTION("""COMPUTED_VALUE"""),0.0)</f>
        <v>0</v>
      </c>
    </row>
    <row r="112">
      <c r="A112" s="422" t="s">
        <v>123</v>
      </c>
      <c r="B112" s="422" t="s">
        <v>260</v>
      </c>
      <c r="C112" s="426"/>
      <c r="D112" s="426">
        <v>3.0</v>
      </c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IFERROR(__xludf.DUMMYFUNCTION("""COMPUTED_VALUE"""),"Young")</f>
        <v>Young</v>
      </c>
      <c r="X112" s="423">
        <f>IFERROR(__xludf.DUMMYFUNCTION("""COMPUTED_VALUE"""),0.0)</f>
        <v>0</v>
      </c>
    </row>
    <row r="113">
      <c r="A113" s="422" t="s">
        <v>118</v>
      </c>
      <c r="B113" s="422" t="s">
        <v>260</v>
      </c>
      <c r="C113" s="426"/>
      <c r="D113" s="426">
        <v>3.25</v>
      </c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IFERROR(__xludf.DUMMYFUNCTION("""COMPUTED_VALUE"""),"Волга")</f>
        <v>Волга</v>
      </c>
      <c r="X113" s="423">
        <f>IFERROR(__xludf.DUMMYFUNCTION("""COMPUTED_VALUE"""),0.0)</f>
        <v>0</v>
      </c>
    </row>
    <row r="114">
      <c r="A114" s="422" t="s">
        <v>132</v>
      </c>
      <c r="B114" s="422" t="s">
        <v>268</v>
      </c>
      <c r="C114" s="426">
        <v>2.5</v>
      </c>
      <c r="D114" s="426">
        <v>4.0</v>
      </c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IFERROR(__xludf.DUMMYFUNCTION("""COMPUTED_VALUE"""),"Градиент")</f>
        <v>Градиент</v>
      </c>
      <c r="X114" s="423">
        <f>IFERROR(__xludf.DUMMYFUNCTION("""COMPUTED_VALUE"""),0.0)</f>
        <v>0</v>
      </c>
    </row>
    <row r="115">
      <c r="A115" s="422" t="s">
        <v>91</v>
      </c>
      <c r="B115" s="422" t="s">
        <v>260</v>
      </c>
      <c r="C115" s="426"/>
      <c r="D115" s="426">
        <v>2.0</v>
      </c>
      <c r="E115" s="422"/>
      <c r="F115" s="426"/>
      <c r="G115" s="426">
        <v>0.5</v>
      </c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IFERROR(__xludf.DUMMYFUNCTION("""COMPUTED_VALUE"""),"Дровосек")</f>
        <v>Дровосек</v>
      </c>
      <c r="X115" s="423">
        <f>IFERROR(__xludf.DUMMYFUNCTION("""COMPUTED_VALUE"""),0.0)</f>
        <v>0</v>
      </c>
    </row>
    <row r="116">
      <c r="A116" s="422" t="s">
        <v>117</v>
      </c>
      <c r="B116" s="422" t="s">
        <v>260</v>
      </c>
      <c r="C116" s="426"/>
      <c r="D116" s="426">
        <v>2.25</v>
      </c>
      <c r="E116" s="422"/>
      <c r="F116" s="426"/>
      <c r="G116" s="426"/>
      <c r="R116" s="422"/>
      <c r="T116" s="422" t="str">
        <f>IFERROR(__xludf.DUMMYFUNCTION("""COMPUTED_VALUE"""),"Light")</f>
        <v>Light</v>
      </c>
      <c r="U116" s="423"/>
      <c r="W116" s="422" t="str">
        <f>IFERROR(__xludf.DUMMYFUNCTION("""COMPUTED_VALUE"""),"РФ")</f>
        <v>РФ</v>
      </c>
      <c r="X116" s="423">
        <f>IFERROR(__xludf.DUMMYFUNCTION("""COMPUTED_VALUE"""),0.0)</f>
        <v>0</v>
      </c>
    </row>
    <row r="117">
      <c r="A117" s="422" t="s">
        <v>131</v>
      </c>
      <c r="B117" s="422" t="s">
        <v>260</v>
      </c>
      <c r="C117" s="426"/>
      <c r="D117" s="426">
        <v>2.5</v>
      </c>
      <c r="E117" s="422"/>
      <c r="F117" s="426"/>
      <c r="G117" s="426"/>
      <c r="R117" s="422"/>
      <c r="T117" s="422" t="str">
        <f>IFERROR(__xludf.DUMMYFUNCTION("""COMPUTED_VALUE"""),"Morti")</f>
        <v>Morti</v>
      </c>
      <c r="U117" s="423"/>
      <c r="W117" s="422" t="str">
        <f>IFERROR(__xludf.DUMMYFUNCTION("""COMPUTED_VALUE"""),"Шпиц")</f>
        <v>Шпиц</v>
      </c>
      <c r="X117" s="423">
        <f>IFERROR(__xludf.DUMMYFUNCTION("""COMPUTED_VALUE"""),0.0)</f>
        <v>0</v>
      </c>
    </row>
    <row r="118">
      <c r="A118" s="422" t="s">
        <v>126</v>
      </c>
      <c r="B118" s="422" t="s">
        <v>260</v>
      </c>
      <c r="C118" s="426"/>
      <c r="D118" s="426">
        <v>2.0</v>
      </c>
      <c r="E118" s="422"/>
      <c r="F118" s="426"/>
      <c r="G118" s="426"/>
      <c r="R118" s="422"/>
      <c r="T118" s="422" t="str">
        <f>IFERROR(__xludf.DUMMYFUNCTION("""COMPUTED_VALUE"""),"Rocket woman ")</f>
        <v>Rocket woman </v>
      </c>
      <c r="U118" s="423"/>
      <c r="W118" s="422" t="str">
        <f>IFERROR(__xludf.DUMMYFUNCTION("""COMPUTED_VALUE"""),"A1 ")</f>
        <v>A1 </v>
      </c>
      <c r="X118" s="423">
        <f>IFERROR(__xludf.DUMMYFUNCTION("""COMPUTED_VALUE"""),0.0)</f>
        <v>0</v>
      </c>
    </row>
    <row r="119">
      <c r="A119" s="422" t="s">
        <v>95</v>
      </c>
      <c r="B119" s="422" t="s">
        <v>270</v>
      </c>
      <c r="C119" s="426"/>
      <c r="D119" s="426">
        <v>2.75</v>
      </c>
      <c r="E119" s="422"/>
      <c r="F119" s="426"/>
      <c r="G119" s="426"/>
      <c r="R119" s="422"/>
      <c r="T119" s="422" t="str">
        <f>IFERROR(__xludf.DUMMYFUNCTION("""COMPUTED_VALUE"""),"SCHOKK ")</f>
        <v>SCHOKK </v>
      </c>
      <c r="U119" s="423"/>
      <c r="W119" s="422" t="str">
        <f>IFERROR(__xludf.DUMMYFUNCTION("""COMPUTED_VALUE"""),"Alice ")</f>
        <v>Alice </v>
      </c>
      <c r="X119" s="423">
        <f>IFERROR(__xludf.DUMMYFUNCTION("""COMPUTED_VALUE"""),0.0)</f>
        <v>0</v>
      </c>
    </row>
    <row r="120">
      <c r="A120" s="422" t="s">
        <v>136</v>
      </c>
      <c r="B120" s="422" t="s">
        <v>260</v>
      </c>
      <c r="C120" s="426"/>
      <c r="D120" s="426">
        <v>2.5</v>
      </c>
      <c r="E120" s="422"/>
      <c r="F120" s="426"/>
      <c r="G120" s="426"/>
      <c r="R120" s="422"/>
      <c r="T120" s="422" t="str">
        <f>IFERROR(__xludf.DUMMYFUNCTION("""COMPUTED_VALUE"""),"SOVEST")</f>
        <v>SOVEST</v>
      </c>
      <c r="U120" s="423"/>
      <c r="W120" s="422" t="str">
        <f>IFERROR(__xludf.DUMMYFUNCTION("""COMPUTED_VALUE"""),"GALAY")</f>
        <v>GALAY</v>
      </c>
      <c r="X120" s="423">
        <f>IFERROR(__xludf.DUMMYFUNCTION("""COMPUTED_VALUE"""),0.0)</f>
        <v>0</v>
      </c>
    </row>
    <row r="121">
      <c r="A121" s="422" t="s">
        <v>137</v>
      </c>
      <c r="B121" s="422" t="s">
        <v>268</v>
      </c>
      <c r="C121" s="426">
        <v>2.5</v>
      </c>
      <c r="D121" s="426">
        <v>3.0</v>
      </c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IFERROR(__xludf.DUMMYFUNCTION("""COMPUTED_VALUE"""),"Helga")</f>
        <v>Helga</v>
      </c>
      <c r="X121" s="423">
        <f>IFERROR(__xludf.DUMMYFUNCTION("""COMPUTED_VALUE"""),0.0)</f>
        <v>0</v>
      </c>
    </row>
    <row r="122">
      <c r="A122" s="422" t="s">
        <v>123</v>
      </c>
      <c r="B122" s="422" t="s">
        <v>264</v>
      </c>
      <c r="C122" s="426">
        <v>2.5</v>
      </c>
      <c r="D122" s="426">
        <v>3.75</v>
      </c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desc"")"),"Cristo")</f>
        <v>Cristo</v>
      </c>
      <c r="U122" s="423">
        <f>IFERROR(__xludf.DUMMYFUNCTION("""COMPUTED_VALUE"""),26.5)</f>
        <v>26.5</v>
      </c>
      <c r="W122" s="422" t="str">
        <f>IFERROR(__xludf.DUMMYFUNCTION("""COMPUTED_VALUE"""),"SCHOKK ")</f>
        <v>SCHOKK </v>
      </c>
      <c r="X122" s="423">
        <f>IFERROR(__xludf.DUMMYFUNCTION("""COMPUTED_VALUE"""),0.0)</f>
        <v>0</v>
      </c>
    </row>
    <row r="123">
      <c r="A123" s="422" t="s">
        <v>118</v>
      </c>
      <c r="B123" s="422" t="s">
        <v>260</v>
      </c>
      <c r="C123" s="426">
        <v>2.5</v>
      </c>
      <c r="D123" s="426">
        <v>2.0</v>
      </c>
      <c r="E123" s="422"/>
      <c r="F123" s="426"/>
      <c r="G123" s="426"/>
      <c r="R123" s="422"/>
      <c r="T123" s="422" t="str">
        <f>IFERROR(__xludf.DUMMYFUNCTION("""COMPUTED_VALUE"""),"MSR")</f>
        <v>MSR</v>
      </c>
      <c r="U123" s="423">
        <f>IFERROR(__xludf.DUMMYFUNCTION("""COMPUTED_VALUE"""),23.25)</f>
        <v>23.25</v>
      </c>
      <c r="W123" s="422" t="str">
        <f>IFERROR(__xludf.DUMMYFUNCTION("""COMPUTED_VALUE"""),"Градиент")</f>
        <v>Градиент</v>
      </c>
      <c r="X123" s="423">
        <f>IFERROR(__xludf.DUMMYFUNCTION("""COMPUTED_VALUE"""),0.0)</f>
        <v>0</v>
      </c>
    </row>
    <row r="124">
      <c r="A124" s="422" t="s">
        <v>132</v>
      </c>
      <c r="B124" s="422" t="s">
        <v>260</v>
      </c>
      <c r="C124" s="426">
        <v>2.5</v>
      </c>
      <c r="D124" s="426">
        <v>3.5</v>
      </c>
      <c r="E124" s="422" t="s">
        <v>259</v>
      </c>
      <c r="F124" s="426"/>
      <c r="G124" s="426"/>
      <c r="R124" s="422"/>
      <c r="T124" s="422" t="str">
        <f>IFERROR(__xludf.DUMMYFUNCTION("""COMPUTED_VALUE"""),"Авраам")</f>
        <v>Авраам</v>
      </c>
      <c r="U124" s="423">
        <f>IFERROR(__xludf.DUMMYFUNCTION("""COMPUTED_VALUE"""),22.75)</f>
        <v>22.75</v>
      </c>
      <c r="W124" s="422" t="str">
        <f>IFERROR(__xludf.DUMMYFUNCTION("""COMPUTED_VALUE"""),"Манекен")</f>
        <v>Манекен</v>
      </c>
      <c r="X124" s="423">
        <f>IFERROR(__xludf.DUMMYFUNCTION("""COMPUTED_VALUE"""),0.0)</f>
        <v>0</v>
      </c>
    </row>
    <row r="125">
      <c r="A125" s="422" t="s">
        <v>91</v>
      </c>
      <c r="B125" s="422" t="s">
        <v>260</v>
      </c>
      <c r="C125" s="426">
        <v>2.5</v>
      </c>
      <c r="D125" s="426">
        <v>3.75</v>
      </c>
      <c r="E125" s="422" t="s">
        <v>259</v>
      </c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IFERROR(__xludf.DUMMYFUNCTION("""COMPUTED_VALUE"""),22.5)</f>
        <v>22.5</v>
      </c>
      <c r="W125" s="422" t="str">
        <f>IFERROR(__xludf.DUMMYFUNCTION("""COMPUTED_VALUE"""),"Мишель ")</f>
        <v>Мишель </v>
      </c>
      <c r="X125" s="423">
        <f>IFERROR(__xludf.DUMMYFUNCTION("""COMPUTED_VALUE"""),0.0)</f>
        <v>0</v>
      </c>
    </row>
    <row r="126">
      <c r="A126" s="422" t="s">
        <v>117</v>
      </c>
      <c r="B126" s="422" t="s">
        <v>260</v>
      </c>
      <c r="C126" s="426">
        <v>2.5</v>
      </c>
      <c r="D126" s="426">
        <v>2.25</v>
      </c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IFERROR(__xludf.DUMMYFUNCTION("""COMPUTED_VALUE"""),22.5)</f>
        <v>22.5</v>
      </c>
      <c r="W126" s="422" t="str">
        <f>IFERROR(__xludf.DUMMYFUNCTION("""COMPUTED_VALUE"""),"Наполеон")</f>
        <v>Наполеон</v>
      </c>
      <c r="X126" s="423">
        <f>IFERROR(__xludf.DUMMYFUNCTION("""COMPUTED_VALUE"""),0.0)</f>
        <v>0</v>
      </c>
    </row>
    <row r="127">
      <c r="A127" s="422" t="s">
        <v>131</v>
      </c>
      <c r="B127" s="422" t="s">
        <v>268</v>
      </c>
      <c r="C127" s="426"/>
      <c r="D127" s="426">
        <v>2.5</v>
      </c>
      <c r="E127" s="422"/>
      <c r="F127" s="426"/>
      <c r="G127" s="426"/>
      <c r="R127" s="422"/>
      <c r="T127" s="422" t="str">
        <f>IFERROR(__xludf.DUMMYFUNCTION("""COMPUTED_VALUE"""),"Castor Troy ")</f>
        <v>Castor Troy </v>
      </c>
      <c r="U127" s="423">
        <f>IFERROR(__xludf.DUMMYFUNCTION("""COMPUTED_VALUE"""),20.75)</f>
        <v>20.75</v>
      </c>
      <c r="W127" s="422" t="str">
        <f>IFERROR(__xludf.DUMMYFUNCTION("""COMPUTED_VALUE"""),"Писатель ")</f>
        <v>Писатель </v>
      </c>
      <c r="X127" s="423">
        <f>IFERROR(__xludf.DUMMYFUNCTION("""COMPUTED_VALUE"""),0.0)</f>
        <v>0</v>
      </c>
    </row>
    <row r="128">
      <c r="A128" s="422" t="s">
        <v>126</v>
      </c>
      <c r="B128" s="422" t="s">
        <v>264</v>
      </c>
      <c r="C128" s="426"/>
      <c r="D128" s="426">
        <v>3.0</v>
      </c>
      <c r="E128" s="422"/>
      <c r="F128" s="426"/>
      <c r="G128" s="426"/>
      <c r="R128" s="422"/>
      <c r="T128" s="422" t="str">
        <f>IFERROR(__xludf.DUMMYFUNCTION("""COMPUTED_VALUE"""),"SOVEST")</f>
        <v>SOVEST</v>
      </c>
      <c r="U128" s="423">
        <f>IFERROR(__xludf.DUMMYFUNCTION("""COMPUTED_VALUE"""),19.0)</f>
        <v>19</v>
      </c>
      <c r="W128" s="422" t="str">
        <f>IFERROR(__xludf.DUMMYFUNCTION("""COMPUTED_VALUE"""),"Coach")</f>
        <v>Coach</v>
      </c>
      <c r="X128" s="423">
        <f>IFERROR(__xludf.DUMMYFUNCTION("""COMPUTED_VALUE"""),0.0)</f>
        <v>0</v>
      </c>
    </row>
    <row r="129">
      <c r="A129" s="422" t="s">
        <v>95</v>
      </c>
      <c r="B129" s="422" t="s">
        <v>268</v>
      </c>
      <c r="C129" s="426"/>
      <c r="D129" s="426">
        <v>1.75</v>
      </c>
      <c r="E129" s="422" t="s">
        <v>262</v>
      </c>
      <c r="F129" s="426"/>
      <c r="G129" s="426"/>
      <c r="R129" s="422"/>
      <c r="T129" s="422" t="str">
        <f>IFERROR(__xludf.DUMMYFUNCTION("""COMPUTED_VALUE"""),"Крот")</f>
        <v>Крот</v>
      </c>
      <c r="U129" s="423">
        <f>IFERROR(__xludf.DUMMYFUNCTION("""COMPUTED_VALUE"""),18.25)</f>
        <v>18.25</v>
      </c>
      <c r="W129" s="422" t="str">
        <f>IFERROR(__xludf.DUMMYFUNCTION("""COMPUTED_VALUE"""),"Тихий закат")</f>
        <v>Тихий закат</v>
      </c>
      <c r="X129" s="423">
        <f>IFERROR(__xludf.DUMMYFUNCTION("""COMPUTED_VALUE"""),0.0)</f>
        <v>0</v>
      </c>
    </row>
    <row r="130">
      <c r="A130" s="422" t="s">
        <v>136</v>
      </c>
      <c r="B130" s="422" t="s">
        <v>270</v>
      </c>
      <c r="C130" s="426">
        <v>2.5</v>
      </c>
      <c r="D130" s="426">
        <v>2.5</v>
      </c>
      <c r="E130" s="422"/>
      <c r="F130" s="426"/>
      <c r="G130" s="426"/>
      <c r="R130" s="422"/>
      <c r="T130" s="422" t="str">
        <f>IFERROR(__xludf.DUMMYFUNCTION("""COMPUTED_VALUE"""),"Бамблби")</f>
        <v>Бамблби</v>
      </c>
      <c r="U130" s="423">
        <f>IFERROR(__xludf.DUMMYFUNCTION("""COMPUTED_VALUE"""),16.5)</f>
        <v>16.5</v>
      </c>
      <c r="W130" s="422" t="str">
        <f>IFERROR(__xludf.DUMMYFUNCTION("""COMPUTED_VALUE"""),"GALAY")</f>
        <v>GALAY</v>
      </c>
      <c r="X130" s="423">
        <f>IFERROR(__xludf.DUMMYFUNCTION("""COMPUTED_VALUE"""),0.0)</f>
        <v>0</v>
      </c>
    </row>
    <row r="131">
      <c r="A131" s="422" t="s">
        <v>137</v>
      </c>
      <c r="B131" s="422" t="s">
        <v>260</v>
      </c>
      <c r="C131" s="426">
        <v>2.5</v>
      </c>
      <c r="D131" s="426">
        <v>2.5</v>
      </c>
      <c r="E131" s="422" t="s">
        <v>259</v>
      </c>
      <c r="F131" s="426"/>
      <c r="G131" s="426"/>
      <c r="R131" s="422"/>
      <c r="T131" s="422" t="str">
        <f>IFERROR(__xludf.DUMMYFUNCTION("""COMPUTED_VALUE"""),"Rocket woman ")</f>
        <v>Rocket woman </v>
      </c>
      <c r="U131" s="423">
        <f>IFERROR(__xludf.DUMMYFUNCTION("""COMPUTED_VALUE"""),16.5)</f>
        <v>16.5</v>
      </c>
      <c r="W131" s="422" t="str">
        <f>IFERROR(__xludf.DUMMYFUNCTION("""COMPUTED_VALUE"""),"Light")</f>
        <v>Light</v>
      </c>
      <c r="X131" s="423">
        <f>IFERROR(__xludf.DUMMYFUNCTION("""COMPUTED_VALUE"""),0.0)</f>
        <v>0</v>
      </c>
    </row>
    <row r="132">
      <c r="A132" s="422" t="s">
        <v>123</v>
      </c>
      <c r="B132" s="422" t="s">
        <v>260</v>
      </c>
      <c r="C132" s="426">
        <v>2.5</v>
      </c>
      <c r="D132" s="426">
        <v>2.75</v>
      </c>
      <c r="E132" s="422"/>
      <c r="F132" s="426"/>
      <c r="G132" s="426">
        <v>0.5</v>
      </c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IFERROR(__xludf.DUMMYFUNCTION("""COMPUTED_VALUE"""),"NLIP")</f>
        <v>NLIP</v>
      </c>
      <c r="X132" s="423">
        <f>IFERROR(__xludf.DUMMYFUNCTION("""COMPUTED_VALUE"""),0.0)</f>
        <v>0</v>
      </c>
    </row>
    <row r="133">
      <c r="A133" s="422" t="s">
        <v>118</v>
      </c>
      <c r="B133" s="422" t="s">
        <v>260</v>
      </c>
      <c r="C133" s="426"/>
      <c r="D133" s="426">
        <v>2.0</v>
      </c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IFERROR(__xludf.DUMMYFUNCTION("""COMPUTED_VALUE"""),"Артик")</f>
        <v>Артик</v>
      </c>
      <c r="X133" s="423">
        <f>IFERROR(__xludf.DUMMYFUNCTION("""COMPUTED_VALUE"""),0.0)</f>
        <v>0</v>
      </c>
    </row>
    <row r="134">
      <c r="A134" s="422" t="s">
        <v>132</v>
      </c>
      <c r="B134" s="422" t="s">
        <v>264</v>
      </c>
      <c r="C134" s="426">
        <v>2.5</v>
      </c>
      <c r="D134" s="426">
        <v>3.5</v>
      </c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IFERROR(__xludf.DUMMYFUNCTION("""COMPUTED_VALUE"""),"Градиент")</f>
        <v>Градиент</v>
      </c>
      <c r="X134" s="423">
        <f>IFERROR(__xludf.DUMMYFUNCTION("""COMPUTED_VALUE"""),0.0)</f>
        <v>0</v>
      </c>
    </row>
    <row r="135">
      <c r="A135" s="422" t="s">
        <v>91</v>
      </c>
      <c r="B135" s="422" t="s">
        <v>260</v>
      </c>
      <c r="C135" s="426"/>
      <c r="D135" s="426">
        <v>2.0</v>
      </c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IFERROR(__xludf.DUMMYFUNCTION("""COMPUTED_VALUE"""),"Марго")</f>
        <v>Марго</v>
      </c>
      <c r="X135" s="423">
        <f>IFERROR(__xludf.DUMMYFUNCTION("""COMPUTED_VALUE"""),0.0)</f>
        <v>0</v>
      </c>
    </row>
    <row r="136">
      <c r="A136" s="422" t="s">
        <v>117</v>
      </c>
      <c r="B136" s="422" t="s">
        <v>260</v>
      </c>
      <c r="C136" s="426"/>
      <c r="D136" s="426">
        <v>2.75</v>
      </c>
      <c r="E136" s="422" t="s">
        <v>11</v>
      </c>
      <c r="F136" s="426">
        <v>0.5</v>
      </c>
      <c r="G136" s="426">
        <v>0.5</v>
      </c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IFERROR(__xludf.DUMMYFUNCTION("""COMPUTED_VALUE"""),"Тихий закат")</f>
        <v>Тихий закат</v>
      </c>
      <c r="X136" s="423">
        <f>IFERROR(__xludf.DUMMYFUNCTION("""COMPUTED_VALUE"""),0.0)</f>
        <v>0</v>
      </c>
    </row>
    <row r="137">
      <c r="A137" s="422" t="s">
        <v>131</v>
      </c>
      <c r="B137" s="422" t="s">
        <v>260</v>
      </c>
      <c r="C137" s="426"/>
      <c r="D137" s="426">
        <v>2.25</v>
      </c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IFERROR(__xludf.DUMMYFUNCTION("""COMPUTED_VALUE"""),"A1 ")</f>
        <v>A1 </v>
      </c>
      <c r="X137" s="423">
        <f>IFERROR(__xludf.DUMMYFUNCTION("""COMPUTED_VALUE"""),0.0)</f>
        <v>0</v>
      </c>
    </row>
    <row r="138">
      <c r="A138" s="422" t="s">
        <v>126</v>
      </c>
      <c r="B138" s="422" t="s">
        <v>268</v>
      </c>
      <c r="C138" s="426">
        <v>2.5</v>
      </c>
      <c r="D138" s="426">
        <v>3.0</v>
      </c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IFERROR(__xludf.DUMMYFUNCTION("""COMPUTED_VALUE"""),"Curly")</f>
        <v>Curly</v>
      </c>
      <c r="X138" s="423">
        <f>IFERROR(__xludf.DUMMYFUNCTION("""COMPUTED_VALUE"""),0.0)</f>
        <v>0</v>
      </c>
    </row>
    <row r="139">
      <c r="A139" s="422" t="s">
        <v>95</v>
      </c>
      <c r="B139" s="422" t="s">
        <v>260</v>
      </c>
      <c r="C139" s="426"/>
      <c r="D139" s="426">
        <v>2.25</v>
      </c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IFERROR(__xludf.DUMMYFUNCTION("""COMPUTED_VALUE"""),"GALAY")</f>
        <v>GALAY</v>
      </c>
      <c r="X139" s="423">
        <f>IFERROR(__xludf.DUMMYFUNCTION("""COMPUTED_VALUE"""),0.0)</f>
        <v>0</v>
      </c>
    </row>
    <row r="140">
      <c r="A140" s="422" t="s">
        <v>136</v>
      </c>
      <c r="B140" s="422" t="s">
        <v>260</v>
      </c>
      <c r="C140" s="426"/>
      <c r="D140" s="426">
        <v>2.75</v>
      </c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IFERROR(__xludf.DUMMYFUNCTION("""COMPUTED_VALUE"""),"Ketamin")</f>
        <v>Ketamin</v>
      </c>
      <c r="X140" s="423">
        <f>IFERROR(__xludf.DUMMYFUNCTION("""COMPUTED_VALUE"""),0.0)</f>
        <v>0</v>
      </c>
    </row>
    <row r="141">
      <c r="A141" s="422" t="s">
        <v>137</v>
      </c>
      <c r="B141" s="422" t="s">
        <v>270</v>
      </c>
      <c r="C141" s="426"/>
      <c r="D141" s="426">
        <v>2.25</v>
      </c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IFERROR(__xludf.DUMMYFUNCTION("""COMPUTED_VALUE"""),"Stacy")</f>
        <v>Stacy</v>
      </c>
      <c r="X141" s="423">
        <f>IFERROR(__xludf.DUMMYFUNCTION("""COMPUTED_VALUE"""),0.0)</f>
        <v>0</v>
      </c>
    </row>
    <row r="142">
      <c r="A142" s="422" t="s">
        <v>123</v>
      </c>
      <c r="B142" s="422" t="s">
        <v>268</v>
      </c>
      <c r="C142" s="426">
        <v>2.5</v>
      </c>
      <c r="D142" s="426">
        <v>3.5</v>
      </c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IFERROR(__xludf.DUMMYFUNCTION("""COMPUTED_VALUE"""),"Young")</f>
        <v>Young</v>
      </c>
      <c r="X142" s="423">
        <f>IFERROR(__xludf.DUMMYFUNCTION("""COMPUTED_VALUE"""),0.0)</f>
        <v>0</v>
      </c>
    </row>
    <row r="143">
      <c r="A143" s="422" t="s">
        <v>118</v>
      </c>
      <c r="B143" s="422" t="s">
        <v>270</v>
      </c>
      <c r="C143" s="426"/>
      <c r="D143" s="426">
        <v>2.5</v>
      </c>
      <c r="E143" s="422" t="s">
        <v>11</v>
      </c>
      <c r="F143" s="426"/>
      <c r="G143" s="426">
        <v>0.5</v>
      </c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IFERROR(__xludf.DUMMYFUNCTION("""COMPUTED_VALUE"""),"Градиент")</f>
        <v>Градиент</v>
      </c>
      <c r="X143" s="423">
        <f>IFERROR(__xludf.DUMMYFUNCTION("""COMPUTED_VALUE"""),0.0)</f>
        <v>0</v>
      </c>
    </row>
    <row r="144">
      <c r="A144" s="422" t="s">
        <v>132</v>
      </c>
      <c r="B144" s="422" t="s">
        <v>260</v>
      </c>
      <c r="C144" s="426"/>
      <c r="D144" s="426">
        <v>1.5</v>
      </c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IFERROR(__xludf.DUMMYFUNCTION("""COMPUTED_VALUE"""),"Красавчик")</f>
        <v>Красавчик</v>
      </c>
      <c r="X144" s="423">
        <f>IFERROR(__xludf.DUMMYFUNCTION("""COMPUTED_VALUE"""),0.0)</f>
        <v>0</v>
      </c>
    </row>
    <row r="145">
      <c r="A145" s="422" t="s">
        <v>91</v>
      </c>
      <c r="B145" s="422" t="s">
        <v>268</v>
      </c>
      <c r="C145" s="426">
        <v>2.5</v>
      </c>
      <c r="D145" s="426">
        <v>3.25</v>
      </c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IFERROR(__xludf.DUMMYFUNCTION("""COMPUTED_VALUE"""),"Крестный отец (BLR)")</f>
        <v>Крестный отец (BLR)</v>
      </c>
      <c r="X145" s="423">
        <f>IFERROR(__xludf.DUMMYFUNCTION("""COMPUTED_VALUE"""),0.0)</f>
        <v>0</v>
      </c>
    </row>
    <row r="146">
      <c r="A146" s="422" t="s">
        <v>117</v>
      </c>
      <c r="B146" s="422" t="s">
        <v>260</v>
      </c>
      <c r="C146" s="426"/>
      <c r="D146" s="426">
        <v>2.0</v>
      </c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IFERROR(__xludf.DUMMYFUNCTION("""COMPUTED_VALUE"""),"Крот")</f>
        <v>Крот</v>
      </c>
      <c r="X146" s="423">
        <f>IFERROR(__xludf.DUMMYFUNCTION("""COMPUTED_VALUE"""),0.0)</f>
        <v>0</v>
      </c>
    </row>
    <row r="147">
      <c r="A147" s="422" t="s">
        <v>131</v>
      </c>
      <c r="B147" s="422" t="s">
        <v>268</v>
      </c>
      <c r="C147" s="426">
        <v>2.5</v>
      </c>
      <c r="D147" s="426">
        <v>3.5</v>
      </c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IFERROR(__xludf.DUMMYFUNCTION("""COMPUTED_VALUE"""),"Ментик")</f>
        <v>Ментик</v>
      </c>
      <c r="X147" s="423">
        <f>IFERROR(__xludf.DUMMYFUNCTION("""COMPUTED_VALUE"""),0.0)</f>
        <v>0</v>
      </c>
    </row>
    <row r="148">
      <c r="A148" s="422" t="s">
        <v>126</v>
      </c>
      <c r="B148" s="422" t="s">
        <v>260</v>
      </c>
      <c r="C148" s="426"/>
      <c r="D148" s="426">
        <v>1.75</v>
      </c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IFERROR(__xludf.DUMMYFUNCTION("""COMPUTED_VALUE"""),"Правда ")</f>
        <v>Правда </v>
      </c>
      <c r="X148" s="423">
        <f>IFERROR(__xludf.DUMMYFUNCTION("""COMPUTED_VALUE"""),0.0)</f>
        <v>0</v>
      </c>
    </row>
    <row r="149">
      <c r="A149" s="422" t="s">
        <v>95</v>
      </c>
      <c r="B149" s="422" t="s">
        <v>264</v>
      </c>
      <c r="C149" s="426">
        <v>2.5</v>
      </c>
      <c r="D149" s="426">
        <v>3.75</v>
      </c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IFERROR(__xludf.DUMMYFUNCTION("""COMPUTED_VALUE"""),"Тихий закат")</f>
        <v>Тихий закат</v>
      </c>
      <c r="X149" s="423">
        <f>IFERROR(__xludf.DUMMYFUNCTION("""COMPUTED_VALUE"""),0.0)</f>
        <v>0</v>
      </c>
    </row>
    <row r="150">
      <c r="A150" s="422" t="s">
        <v>136</v>
      </c>
      <c r="B150" s="422" t="s">
        <v>260</v>
      </c>
      <c r="C150" s="426"/>
      <c r="D150" s="426">
        <v>2.0</v>
      </c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IFERROR(__xludf.DUMMYFUNCTION("""COMPUTED_VALUE"""),"Bublik")</f>
        <v>Bublik</v>
      </c>
      <c r="X150" s="423">
        <f>IFERROR(__xludf.DUMMYFUNCTION("""COMPUTED_VALUE"""),0.0)</f>
        <v>0</v>
      </c>
    </row>
    <row r="151">
      <c r="A151" s="422" t="s">
        <v>137</v>
      </c>
      <c r="B151" s="422" t="s">
        <v>260</v>
      </c>
      <c r="C151" s="426"/>
      <c r="D151" s="426">
        <v>2.0</v>
      </c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IFERROR(__xludf.DUMMYFUNCTION("""COMPUTED_VALUE"""),"Cristo")</f>
        <v>Cristo</v>
      </c>
      <c r="X151" s="423">
        <f>IFERROR(__xludf.DUMMYFUNCTION("""COMPUTED_VALUE"""),0.0)</f>
        <v>0</v>
      </c>
    </row>
    <row r="152">
      <c r="A152" s="422" t="s">
        <v>123</v>
      </c>
      <c r="B152" s="422" t="s">
        <v>260</v>
      </c>
      <c r="C152" s="426"/>
      <c r="D152" s="426">
        <v>1.75</v>
      </c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IFERROR(__xludf.DUMMYFUNCTION("""COMPUTED_VALUE"""),"Stacy")</f>
        <v>Stacy</v>
      </c>
      <c r="X152" s="423">
        <f>IFERROR(__xludf.DUMMYFUNCTION("""COMPUTED_VALUE"""),0.0)</f>
        <v>0</v>
      </c>
    </row>
    <row r="153">
      <c r="A153" s="422" t="s">
        <v>79</v>
      </c>
      <c r="B153" s="422" t="s">
        <v>260</v>
      </c>
      <c r="C153" s="426"/>
      <c r="D153" s="426">
        <v>1.75</v>
      </c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IFERROR(__xludf.DUMMYFUNCTION("""COMPUTED_VALUE"""),"Авраам")</f>
        <v>Авраам</v>
      </c>
      <c r="X153" s="423">
        <f>IFERROR(__xludf.DUMMYFUNCTION("""COMPUTED_VALUE"""),0.0)</f>
        <v>0</v>
      </c>
    </row>
    <row r="154">
      <c r="A154" s="422" t="s">
        <v>122</v>
      </c>
      <c r="B154" s="422" t="s">
        <v>260</v>
      </c>
      <c r="C154" s="426"/>
      <c r="D154" s="426">
        <v>2.5</v>
      </c>
      <c r="E154" s="422" t="s">
        <v>11</v>
      </c>
      <c r="F154" s="426"/>
      <c r="G154" s="426">
        <v>0.5</v>
      </c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IFERROR(__xludf.DUMMYFUNCTION("""COMPUTED_VALUE"""),"Крестный отец (BLR)")</f>
        <v>Крестный отец (BLR)</v>
      </c>
      <c r="X154" s="423">
        <f>IFERROR(__xludf.DUMMYFUNCTION("""COMPUTED_VALUE"""),0.0)</f>
        <v>0</v>
      </c>
    </row>
    <row r="155">
      <c r="A155" s="422" t="s">
        <v>85</v>
      </c>
      <c r="B155" s="422" t="s">
        <v>260</v>
      </c>
      <c r="C155" s="426"/>
      <c r="D155" s="426">
        <v>2.0</v>
      </c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IFERROR(__xludf.DUMMYFUNCTION("""COMPUTED_VALUE"""),"Лисичка")</f>
        <v>Лисичка</v>
      </c>
      <c r="X155" s="423">
        <f>IFERROR(__xludf.DUMMYFUNCTION("""COMPUTED_VALUE"""),0.0)</f>
        <v>0</v>
      </c>
    </row>
    <row r="156">
      <c r="A156" s="422" t="s">
        <v>133</v>
      </c>
      <c r="B156" s="422" t="s">
        <v>260</v>
      </c>
      <c r="C156" s="426"/>
      <c r="D156" s="426">
        <v>2.0</v>
      </c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IFERROR(__xludf.DUMMYFUNCTION("""COMPUTED_VALUE"""),"Марго")</f>
        <v>Марго</v>
      </c>
      <c r="X156" s="423">
        <f>IFERROR(__xludf.DUMMYFUNCTION("""COMPUTED_VALUE"""),0.0)</f>
        <v>0</v>
      </c>
    </row>
    <row r="157">
      <c r="A157" s="422" t="s">
        <v>94</v>
      </c>
      <c r="B157" s="422" t="s">
        <v>268</v>
      </c>
      <c r="C157" s="426">
        <v>2.5</v>
      </c>
      <c r="D157" s="426">
        <v>2.75</v>
      </c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IFERROR(__xludf.DUMMYFUNCTION("""COMPUTED_VALUE"""),"Ментик")</f>
        <v>Ментик</v>
      </c>
      <c r="X157" s="423">
        <f>IFERROR(__xludf.DUMMYFUNCTION("""COMPUTED_VALUE"""),0.0)</f>
        <v>0</v>
      </c>
    </row>
    <row r="158">
      <c r="A158" s="422" t="s">
        <v>123</v>
      </c>
      <c r="B158" s="422" t="s">
        <v>268</v>
      </c>
      <c r="C158" s="426">
        <v>2.5</v>
      </c>
      <c r="D158" s="426">
        <v>3.75</v>
      </c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IFERROR(__xludf.DUMMYFUNCTION("""COMPUTED_VALUE"""),"Писатель ")</f>
        <v>Писатель </v>
      </c>
      <c r="X158" s="423">
        <f>IFERROR(__xludf.DUMMYFUNCTION("""COMPUTED_VALUE"""),0.0)</f>
        <v>0</v>
      </c>
    </row>
    <row r="159">
      <c r="A159" s="422" t="s">
        <v>96</v>
      </c>
      <c r="B159" s="422" t="s">
        <v>260</v>
      </c>
      <c r="C159" s="426"/>
      <c r="D159" s="426">
        <v>2.5</v>
      </c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IFERROR(__xludf.DUMMYFUNCTION("""COMPUTED_VALUE"""),"Coach")</f>
        <v>Coach</v>
      </c>
      <c r="X159" s="423">
        <f>IFERROR(__xludf.DUMMYFUNCTION("""COMPUTED_VALUE"""),0.0)</f>
        <v>0</v>
      </c>
    </row>
    <row r="160">
      <c r="A160" s="422" t="s">
        <v>135</v>
      </c>
      <c r="B160" s="422" t="s">
        <v>260</v>
      </c>
      <c r="C160" s="426"/>
      <c r="D160" s="426">
        <v>1.75</v>
      </c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IFERROR(__xludf.DUMMYFUNCTION("""COMPUTED_VALUE"""),"Тихий закат")</f>
        <v>Тихий закат</v>
      </c>
      <c r="X160" s="423">
        <f>IFERROR(__xludf.DUMMYFUNCTION("""COMPUTED_VALUE"""),0.0)</f>
        <v>0</v>
      </c>
    </row>
    <row r="161">
      <c r="A161" s="422" t="s">
        <v>131</v>
      </c>
      <c r="B161" s="422" t="s">
        <v>270</v>
      </c>
      <c r="C161" s="426"/>
      <c r="D161" s="426">
        <v>2.0</v>
      </c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IFERROR(__xludf.DUMMYFUNCTION("""COMPUTED_VALUE"""),"Флэш")</f>
        <v>Флэш</v>
      </c>
      <c r="X161" s="423">
        <f>IFERROR(__xludf.DUMMYFUNCTION("""COMPUTED_VALUE"""),0.0)</f>
        <v>0</v>
      </c>
    </row>
    <row r="162">
      <c r="A162" s="422" t="s">
        <v>102</v>
      </c>
      <c r="B162" s="422" t="s">
        <v>264</v>
      </c>
      <c r="C162" s="426">
        <v>2.5</v>
      </c>
      <c r="D162" s="426">
        <v>4.0</v>
      </c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IFERROR(__xludf.DUMMYFUNCTION("""COMPUTED_VALUE"""),"GALAY")</f>
        <v>GALAY</v>
      </c>
      <c r="X162" s="423">
        <f>IFERROR(__xludf.DUMMYFUNCTION("""COMPUTED_VALUE"""),0.0)</f>
        <v>0</v>
      </c>
    </row>
    <row r="163">
      <c r="A163" s="422" t="s">
        <v>79</v>
      </c>
      <c r="B163" s="422" t="s">
        <v>260</v>
      </c>
      <c r="C163" s="426">
        <v>2.5</v>
      </c>
      <c r="D163" s="426">
        <v>3.75</v>
      </c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IFERROR(__xludf.DUMMYFUNCTION("""COMPUTED_VALUE"""),"Андерсен")</f>
        <v>Андерсен</v>
      </c>
      <c r="X163" s="423">
        <f>IFERROR(__xludf.DUMMYFUNCTION("""COMPUTED_VALUE"""),0.0)</f>
        <v>0</v>
      </c>
    </row>
    <row r="164">
      <c r="A164" s="422" t="s">
        <v>122</v>
      </c>
      <c r="B164" s="422" t="s">
        <v>260</v>
      </c>
      <c r="C164" s="426">
        <v>2.5</v>
      </c>
      <c r="D164" s="426">
        <v>4.25</v>
      </c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IFERROR(__xludf.DUMMYFUNCTION("""COMPUTED_VALUE"""),"Астория")</f>
        <v>Астория</v>
      </c>
      <c r="X164" s="423">
        <f>IFERROR(__xludf.DUMMYFUNCTION("""COMPUTED_VALUE"""),0.0)</f>
        <v>0</v>
      </c>
    </row>
    <row r="165">
      <c r="A165" s="422" t="s">
        <v>85</v>
      </c>
      <c r="B165" s="422" t="s">
        <v>264</v>
      </c>
      <c r="C165" s="426"/>
      <c r="D165" s="426">
        <v>2.25</v>
      </c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IFERROR(__xludf.DUMMYFUNCTION("""COMPUTED_VALUE"""),"Аш")</f>
        <v>Аш</v>
      </c>
      <c r="X165" s="423">
        <f>IFERROR(__xludf.DUMMYFUNCTION("""COMPUTED_VALUE"""),0.0)</f>
        <v>0</v>
      </c>
    </row>
    <row r="166">
      <c r="A166" s="422" t="s">
        <v>133</v>
      </c>
      <c r="B166" s="422" t="s">
        <v>270</v>
      </c>
      <c r="C166" s="426">
        <v>2.5</v>
      </c>
      <c r="D166" s="426">
        <v>4.0</v>
      </c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IFERROR(__xludf.DUMMYFUNCTION("""COMPUTED_VALUE"""),"Маваши")</f>
        <v>Маваши</v>
      </c>
      <c r="X166" s="423">
        <f>IFERROR(__xludf.DUMMYFUNCTION("""COMPUTED_VALUE"""),0.0)</f>
        <v>0</v>
      </c>
    </row>
    <row r="167">
      <c r="A167" s="422" t="s">
        <v>94</v>
      </c>
      <c r="B167" s="422" t="s">
        <v>268</v>
      </c>
      <c r="C167" s="426"/>
      <c r="D167" s="426">
        <v>2.5</v>
      </c>
      <c r="E167" s="422"/>
      <c r="F167" s="426"/>
      <c r="G167" s="426"/>
      <c r="R167" s="422"/>
      <c r="T167" s="422" t="str">
        <f>IFERROR(__xludf.DUMMYFUNCTION("""COMPUTED_VALUE"""),"Alice ")</f>
        <v>Alice </v>
      </c>
      <c r="U167" s="423"/>
      <c r="W167" s="422" t="str">
        <f>IFERROR(__xludf.DUMMYFUNCTION("""COMPUTED_VALUE"""),"Манекен")</f>
        <v>Манекен</v>
      </c>
      <c r="X167" s="423">
        <f>IFERROR(__xludf.DUMMYFUNCTION("""COMPUTED_VALUE"""),0.0)</f>
        <v>0</v>
      </c>
    </row>
    <row r="168">
      <c r="A168" s="422" t="s">
        <v>123</v>
      </c>
      <c r="B168" s="422" t="s">
        <v>260</v>
      </c>
      <c r="C168" s="426">
        <v>2.5</v>
      </c>
      <c r="D168" s="426">
        <v>4.5</v>
      </c>
      <c r="E168" s="422"/>
      <c r="F168" s="426"/>
      <c r="G168" s="426"/>
      <c r="R168" s="422"/>
      <c r="T168" s="422" t="str">
        <f>IFERROR(__xludf.DUMMYFUNCTION("""COMPUTED_VALUE"""),"Bublik")</f>
        <v>Bublik</v>
      </c>
      <c r="U168" s="423"/>
      <c r="W168" s="422" t="str">
        <f>IFERROR(__xludf.DUMMYFUNCTION("""COMPUTED_VALUE"""),"Ментик")</f>
        <v>Ментик</v>
      </c>
      <c r="X168" s="423">
        <f>IFERROR(__xludf.DUMMYFUNCTION("""COMPUTED_VALUE"""),0.0)</f>
        <v>0</v>
      </c>
    </row>
    <row r="169">
      <c r="A169" s="422" t="s">
        <v>96</v>
      </c>
      <c r="B169" s="422" t="s">
        <v>260</v>
      </c>
      <c r="C169" s="426">
        <v>2.5</v>
      </c>
      <c r="D169" s="426">
        <v>2.75</v>
      </c>
      <c r="E169" s="422" t="s">
        <v>11</v>
      </c>
      <c r="F169" s="426"/>
      <c r="G169" s="426">
        <v>0.5</v>
      </c>
      <c r="R169" s="422"/>
      <c r="T169" s="422" t="str">
        <f>IFERROR(__xludf.DUMMYFUNCTION("""COMPUTED_VALUE"""),"BWDMoscow")</f>
        <v>BWDMoscow</v>
      </c>
      <c r="U169" s="423"/>
      <c r="W169" s="422" t="str">
        <f>IFERROR(__xludf.DUMMYFUNCTION("""COMPUTED_VALUE"""),"Старый")</f>
        <v>Старый</v>
      </c>
      <c r="X169" s="423">
        <f>IFERROR(__xludf.DUMMYFUNCTION("""COMPUTED_VALUE"""),0.0)</f>
        <v>0</v>
      </c>
    </row>
    <row r="170">
      <c r="A170" s="422" t="s">
        <v>135</v>
      </c>
      <c r="B170" s="422" t="s">
        <v>268</v>
      </c>
      <c r="C170" s="426"/>
      <c r="D170" s="426">
        <v>1.75</v>
      </c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IFERROR(__xludf.DUMMYFUNCTION("""COMPUTED_VALUE"""),"Тихий закат")</f>
        <v>Тихий закат</v>
      </c>
      <c r="X170" s="423">
        <f>IFERROR(__xludf.DUMMYFUNCTION("""COMPUTED_VALUE"""),0.0)</f>
        <v>0</v>
      </c>
    </row>
    <row r="171">
      <c r="A171" s="422" t="s">
        <v>131</v>
      </c>
      <c r="B171" s="422" t="s">
        <v>260</v>
      </c>
      <c r="C171" s="426">
        <v>2.5</v>
      </c>
      <c r="D171" s="426">
        <v>3.0</v>
      </c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IFERROR(__xludf.DUMMYFUNCTION("""COMPUTED_VALUE"""),"A1 ")</f>
        <v>A1 </v>
      </c>
      <c r="X171" s="423">
        <f>IFERROR(__xludf.DUMMYFUNCTION("""COMPUTED_VALUE"""),0.0)</f>
        <v>0</v>
      </c>
    </row>
    <row r="172">
      <c r="A172" s="422" t="s">
        <v>102</v>
      </c>
      <c r="B172" s="422" t="s">
        <v>260</v>
      </c>
      <c r="C172" s="426">
        <v>2.5</v>
      </c>
      <c r="D172" s="426">
        <v>3.5</v>
      </c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IFERROR(__xludf.DUMMYFUNCTION("""COMPUTED_VALUE"""),"WhoIsWho")</f>
        <v>WhoIsWho</v>
      </c>
      <c r="X172" s="423">
        <f>IFERROR(__xludf.DUMMYFUNCTION("""COMPUTED_VALUE"""),0.0)</f>
        <v>0</v>
      </c>
    </row>
    <row r="173">
      <c r="A173" s="422" t="s">
        <v>79</v>
      </c>
      <c r="B173" s="422" t="s">
        <v>260</v>
      </c>
      <c r="C173" s="426">
        <v>2.5</v>
      </c>
      <c r="D173" s="426">
        <v>4.0</v>
      </c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IFERROR(__xludf.DUMMYFUNCTION("""COMPUTED_VALUE"""),"Астория")</f>
        <v>Астория</v>
      </c>
      <c r="X173" s="423">
        <f>IFERROR(__xludf.DUMMYFUNCTION("""COMPUTED_VALUE"""),0.0)</f>
        <v>0</v>
      </c>
    </row>
    <row r="174">
      <c r="A174" s="422" t="s">
        <v>122</v>
      </c>
      <c r="B174" s="422" t="s">
        <v>260</v>
      </c>
      <c r="C174" s="426">
        <v>2.5</v>
      </c>
      <c r="D174" s="426">
        <v>2.5</v>
      </c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IFERROR(__xludf.DUMMYFUNCTION("""COMPUTED_VALUE"""),"Аш")</f>
        <v>Аш</v>
      </c>
      <c r="X174" s="423">
        <f>IFERROR(__xludf.DUMMYFUNCTION("""COMPUTED_VALUE"""),0.0)</f>
        <v>0</v>
      </c>
    </row>
    <row r="175">
      <c r="A175" s="422" t="s">
        <v>85</v>
      </c>
      <c r="B175" s="422" t="s">
        <v>260</v>
      </c>
      <c r="C175" s="426">
        <v>2.5</v>
      </c>
      <c r="D175" s="426">
        <v>5.0</v>
      </c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IFERROR(__xludf.DUMMYFUNCTION("""COMPUTED_VALUE"""),"Волга")</f>
        <v>Волга</v>
      </c>
      <c r="X175" s="423">
        <f>IFERROR(__xludf.DUMMYFUNCTION("""COMPUTED_VALUE"""),0.0)</f>
        <v>0</v>
      </c>
    </row>
    <row r="176">
      <c r="A176" s="422" t="s">
        <v>133</v>
      </c>
      <c r="B176" s="422" t="s">
        <v>268</v>
      </c>
      <c r="C176" s="426"/>
      <c r="D176" s="426">
        <v>2.5</v>
      </c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IFERROR(__xludf.DUMMYFUNCTION("""COMPUTED_VALUE"""),"Красавчик")</f>
        <v>Красавчик</v>
      </c>
      <c r="X176" s="423">
        <f>IFERROR(__xludf.DUMMYFUNCTION("""COMPUTED_VALUE"""),0.0)</f>
        <v>0</v>
      </c>
    </row>
    <row r="177">
      <c r="A177" s="422" t="s">
        <v>94</v>
      </c>
      <c r="B177" s="422" t="s">
        <v>260</v>
      </c>
      <c r="C177" s="426">
        <v>2.5</v>
      </c>
      <c r="D177" s="426">
        <v>3.0</v>
      </c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IFERROR(__xludf.DUMMYFUNCTION("""COMPUTED_VALUE"""),"Левша")</f>
        <v>Левша</v>
      </c>
      <c r="X177" s="423">
        <f>IFERROR(__xludf.DUMMYFUNCTION("""COMPUTED_VALUE"""),0.0)</f>
        <v>0</v>
      </c>
    </row>
    <row r="178">
      <c r="A178" s="422" t="s">
        <v>123</v>
      </c>
      <c r="B178" s="422" t="s">
        <v>268</v>
      </c>
      <c r="C178" s="426"/>
      <c r="D178" s="426">
        <v>2.5</v>
      </c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IFERROR(__xludf.DUMMYFUNCTION("""COMPUTED_VALUE"""),"Ментик")</f>
        <v>Ментик</v>
      </c>
      <c r="X178" s="423">
        <f>IFERROR(__xludf.DUMMYFUNCTION("""COMPUTED_VALUE"""),0.0)</f>
        <v>0</v>
      </c>
    </row>
    <row r="179">
      <c r="A179" s="422" t="s">
        <v>96</v>
      </c>
      <c r="B179" s="422" t="s">
        <v>270</v>
      </c>
      <c r="C179" s="426">
        <v>2.5</v>
      </c>
      <c r="D179" s="426">
        <v>3.25</v>
      </c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IFERROR(__xludf.DUMMYFUNCTION("""COMPUTED_VALUE"""),"Старый")</f>
        <v>Старый</v>
      </c>
      <c r="X179" s="423">
        <f>IFERROR(__xludf.DUMMYFUNCTION("""COMPUTED_VALUE"""),0.0)</f>
        <v>0</v>
      </c>
    </row>
    <row r="180">
      <c r="A180" s="422" t="s">
        <v>135</v>
      </c>
      <c r="B180" s="422" t="s">
        <v>260</v>
      </c>
      <c r="C180" s="426">
        <v>2.5</v>
      </c>
      <c r="D180" s="426">
        <v>2.5</v>
      </c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IFERROR(__xludf.DUMMYFUNCTION("""COMPUTED_VALUE"""),"Фокс")</f>
        <v>Фокс</v>
      </c>
      <c r="X180" s="423">
        <f>IFERROR(__xludf.DUMMYFUNCTION("""COMPUTED_VALUE"""),0.0)</f>
        <v>0</v>
      </c>
    </row>
    <row r="181">
      <c r="A181" s="422" t="s">
        <v>131</v>
      </c>
      <c r="B181" s="422" t="s">
        <v>260</v>
      </c>
      <c r="C181" s="426">
        <v>2.5</v>
      </c>
      <c r="D181" s="426">
        <v>3.25</v>
      </c>
      <c r="E181" s="422" t="s">
        <v>11</v>
      </c>
      <c r="F181" s="426">
        <v>0.5</v>
      </c>
      <c r="G181" s="426">
        <v>0.5</v>
      </c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IFERROR(__xludf.DUMMYFUNCTION("""COMPUTED_VALUE"""),"Helga")</f>
        <v>Helga</v>
      </c>
      <c r="X181" s="423">
        <f>IFERROR(__xludf.DUMMYFUNCTION("""COMPUTED_VALUE"""),0.0)</f>
        <v>0</v>
      </c>
    </row>
    <row r="182">
      <c r="A182" s="422" t="s">
        <v>102</v>
      </c>
      <c r="B182" s="422" t="s">
        <v>264</v>
      </c>
      <c r="C182" s="426"/>
      <c r="D182" s="426">
        <v>1.5</v>
      </c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desc"")"),"Правда ")</f>
        <v>Правда </v>
      </c>
      <c r="U182" s="423">
        <f>IFERROR(__xludf.DUMMYFUNCTION("""COMPUTED_VALUE"""),22.5)</f>
        <v>22.5</v>
      </c>
      <c r="W182" s="422" t="str">
        <f>IFERROR(__xludf.DUMMYFUNCTION("""COMPUTED_VALUE"""),"Rocket woman ")</f>
        <v>Rocket woman </v>
      </c>
      <c r="X182" s="423">
        <f>IFERROR(__xludf.DUMMYFUNCTION("""COMPUTED_VALUE"""),0.0)</f>
        <v>0</v>
      </c>
    </row>
    <row r="183">
      <c r="A183" s="422" t="s">
        <v>79</v>
      </c>
      <c r="B183" s="422" t="s">
        <v>260</v>
      </c>
      <c r="C183" s="426"/>
      <c r="D183" s="426">
        <v>2.25</v>
      </c>
      <c r="E183" s="422"/>
      <c r="F183" s="426"/>
      <c r="G183" s="426"/>
      <c r="R183" s="422"/>
      <c r="T183" s="422" t="str">
        <f>IFERROR(__xludf.DUMMYFUNCTION("""COMPUTED_VALUE"""),"Волга")</f>
        <v>Волга</v>
      </c>
      <c r="U183" s="423">
        <f>IFERROR(__xludf.DUMMYFUNCTION("""COMPUTED_VALUE"""),21.75)</f>
        <v>21.75</v>
      </c>
      <c r="W183" s="422" t="str">
        <f>IFERROR(__xludf.DUMMYFUNCTION("""COMPUTED_VALUE"""),"Астория")</f>
        <v>Астория</v>
      </c>
      <c r="X183" s="423">
        <f>IFERROR(__xludf.DUMMYFUNCTION("""COMPUTED_VALUE"""),0.0)</f>
        <v>0</v>
      </c>
    </row>
    <row r="184">
      <c r="A184" s="422" t="s">
        <v>122</v>
      </c>
      <c r="B184" s="422" t="s">
        <v>260</v>
      </c>
      <c r="C184" s="426"/>
      <c r="D184" s="426">
        <v>2.0</v>
      </c>
      <c r="E184" s="422"/>
      <c r="F184" s="426"/>
      <c r="G184" s="426"/>
      <c r="R184" s="422"/>
      <c r="T184" s="422" t="str">
        <f>IFERROR(__xludf.DUMMYFUNCTION("""COMPUTED_VALUE"""),"Красавчик")</f>
        <v>Красавчик</v>
      </c>
      <c r="U184" s="423">
        <f>IFERROR(__xludf.DUMMYFUNCTION("""COMPUTED_VALUE"""),20.5)</f>
        <v>20.5</v>
      </c>
      <c r="W184" s="422" t="str">
        <f>IFERROR(__xludf.DUMMYFUNCTION("""COMPUTED_VALUE"""),"Аш")</f>
        <v>Аш</v>
      </c>
      <c r="X184" s="423">
        <f>IFERROR(__xludf.DUMMYFUNCTION("""COMPUTED_VALUE"""),0.0)</f>
        <v>0</v>
      </c>
    </row>
    <row r="185">
      <c r="A185" s="422" t="s">
        <v>85</v>
      </c>
      <c r="B185" s="422" t="s">
        <v>260</v>
      </c>
      <c r="C185" s="426"/>
      <c r="D185" s="426">
        <v>2.0</v>
      </c>
      <c r="E185" s="422"/>
      <c r="F185" s="426"/>
      <c r="G185" s="426"/>
      <c r="R185" s="422"/>
      <c r="T185" s="422" t="str">
        <f>IFERROR(__xludf.DUMMYFUNCTION("""COMPUTED_VALUE"""),"Продюсер")</f>
        <v>Продюсер</v>
      </c>
      <c r="U185" s="423">
        <f>IFERROR(__xludf.DUMMYFUNCTION("""COMPUTED_VALUE"""),19.25)</f>
        <v>19.25</v>
      </c>
      <c r="W185" s="422" t="str">
        <f>IFERROR(__xludf.DUMMYFUNCTION("""COMPUTED_VALUE"""),"Ментик")</f>
        <v>Ментик</v>
      </c>
      <c r="X185" s="423">
        <f>IFERROR(__xludf.DUMMYFUNCTION("""COMPUTED_VALUE"""),0.0)</f>
        <v>0</v>
      </c>
    </row>
    <row r="186">
      <c r="A186" s="422" t="s">
        <v>133</v>
      </c>
      <c r="B186" s="422" t="s">
        <v>260</v>
      </c>
      <c r="C186" s="426"/>
      <c r="D186" s="426">
        <v>2.25</v>
      </c>
      <c r="E186" s="422" t="s">
        <v>11</v>
      </c>
      <c r="F186" s="426"/>
      <c r="G186" s="426">
        <v>0.5</v>
      </c>
      <c r="R186" s="422"/>
      <c r="T186" s="422" t="str">
        <f>IFERROR(__xludf.DUMMYFUNCTION("""COMPUTED_VALUE"""),"Физик")</f>
        <v>Физик</v>
      </c>
      <c r="U186" s="423">
        <f>IFERROR(__xludf.DUMMYFUNCTION("""COMPUTED_VALUE"""),17.5)</f>
        <v>17.5</v>
      </c>
      <c r="W186" s="422" t="str">
        <f>IFERROR(__xludf.DUMMYFUNCTION("""COMPUTED_VALUE"""),"Правда ")</f>
        <v>Правда </v>
      </c>
      <c r="X186" s="423">
        <f>IFERROR(__xludf.DUMMYFUNCTION("""COMPUTED_VALUE"""),0.0)</f>
        <v>0</v>
      </c>
    </row>
    <row r="187">
      <c r="A187" s="422" t="s">
        <v>94</v>
      </c>
      <c r="B187" s="422" t="s">
        <v>270</v>
      </c>
      <c r="C187" s="426"/>
      <c r="D187" s="426">
        <v>3.25</v>
      </c>
      <c r="E187" s="422"/>
      <c r="F187" s="426"/>
      <c r="G187" s="426"/>
      <c r="R187" s="422"/>
      <c r="T187" s="422" t="str">
        <f>IFERROR(__xludf.DUMMYFUNCTION("""COMPUTED_VALUE"""),"MSR")</f>
        <v>MSR</v>
      </c>
      <c r="U187" s="423">
        <f>IFERROR(__xludf.DUMMYFUNCTION("""COMPUTED_VALUE"""),17.0)</f>
        <v>17</v>
      </c>
      <c r="W187" s="422" t="str">
        <f>IFERROR(__xludf.DUMMYFUNCTION("""COMPUTED_VALUE"""),"Старый")</f>
        <v>Старый</v>
      </c>
      <c r="X187" s="423">
        <f>IFERROR(__xludf.DUMMYFUNCTION("""COMPUTED_VALUE"""),0.0)</f>
        <v>0</v>
      </c>
    </row>
    <row r="188">
      <c r="A188" s="422" t="s">
        <v>123</v>
      </c>
      <c r="B188" s="422" t="s">
        <v>264</v>
      </c>
      <c r="C188" s="426">
        <v>2.5</v>
      </c>
      <c r="D188" s="426">
        <v>3.25</v>
      </c>
      <c r="E188" s="422"/>
      <c r="F188" s="426"/>
      <c r="G188" s="426"/>
      <c r="R188" s="422"/>
      <c r="T188" s="422" t="str">
        <f>IFERROR(__xludf.DUMMYFUNCTION("""COMPUTED_VALUE"""),"Левша")</f>
        <v>Левша</v>
      </c>
      <c r="U188" s="423">
        <f>IFERROR(__xludf.DUMMYFUNCTION("""COMPUTED_VALUE"""),16.75)</f>
        <v>16.75</v>
      </c>
      <c r="W188" s="422" t="str">
        <f>IFERROR(__xludf.DUMMYFUNCTION("""COMPUTED_VALUE"""),"Флэш")</f>
        <v>Флэш</v>
      </c>
      <c r="X188" s="423">
        <f>IFERROR(__xludf.DUMMYFUNCTION("""COMPUTED_VALUE"""),0.0)</f>
        <v>0</v>
      </c>
    </row>
    <row r="189">
      <c r="A189" s="422" t="s">
        <v>96</v>
      </c>
      <c r="B189" s="422" t="s">
        <v>268</v>
      </c>
      <c r="C189" s="426">
        <v>2.5</v>
      </c>
      <c r="D189" s="426">
        <v>2.25</v>
      </c>
      <c r="E189" s="422"/>
      <c r="F189" s="426"/>
      <c r="G189" s="426"/>
      <c r="R189" s="422"/>
      <c r="T189" s="422" t="str">
        <f>IFERROR(__xludf.DUMMYFUNCTION("""COMPUTED_VALUE"""),"Старый")</f>
        <v>Старый</v>
      </c>
      <c r="U189" s="423">
        <f>IFERROR(__xludf.DUMMYFUNCTION("""COMPUTED_VALUE"""),15.25)</f>
        <v>15.25</v>
      </c>
      <c r="W189" s="422" t="str">
        <f>IFERROR(__xludf.DUMMYFUNCTION("""COMPUTED_VALUE"""),"Фокс")</f>
        <v>Фокс</v>
      </c>
      <c r="X189" s="423">
        <f>IFERROR(__xludf.DUMMYFUNCTION("""COMPUTED_VALUE"""),0.0)</f>
        <v>0</v>
      </c>
    </row>
    <row r="190">
      <c r="A190" s="422" t="s">
        <v>135</v>
      </c>
      <c r="B190" s="422" t="s">
        <v>268</v>
      </c>
      <c r="C190" s="426">
        <v>2.5</v>
      </c>
      <c r="D190" s="426">
        <v>3.5</v>
      </c>
      <c r="E190" s="422" t="s">
        <v>259</v>
      </c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IFERROR(__xludf.DUMMYFUNCTION("""COMPUTED_VALUE"""),14.75)</f>
        <v>14.75</v>
      </c>
      <c r="W190" s="422" t="str">
        <f>IFERROR(__xludf.DUMMYFUNCTION("""COMPUTED_VALUE"""),"Ketamin")</f>
        <v>Ketamin</v>
      </c>
      <c r="X190" s="423">
        <f>IFERROR(__xludf.DUMMYFUNCTION("""COMPUTED_VALUE"""),0.0)</f>
        <v>0</v>
      </c>
    </row>
    <row r="191">
      <c r="A191" s="422" t="s">
        <v>131</v>
      </c>
      <c r="B191" s="422" t="s">
        <v>260</v>
      </c>
      <c r="C191" s="426"/>
      <c r="D191" s="426">
        <v>2.0</v>
      </c>
      <c r="E191" s="422" t="s">
        <v>262</v>
      </c>
      <c r="F191" s="426"/>
      <c r="G191" s="426"/>
      <c r="R191" s="422"/>
      <c r="T191" s="422" t="str">
        <f>IFERROR(__xludf.DUMMYFUNCTION("""COMPUTED_VALUE"""),"Панда из Руанды")</f>
        <v>Панда из Руанды</v>
      </c>
      <c r="U191" s="423">
        <f>IFERROR(__xludf.DUMMYFUNCTION("""COMPUTED_VALUE"""),14.0)</f>
        <v>14</v>
      </c>
      <c r="W191" s="422" t="str">
        <f>IFERROR(__xludf.DUMMYFUNCTION("""COMPUTED_VALUE"""),"SCHOKK ")</f>
        <v>SCHOKK </v>
      </c>
      <c r="X191" s="423">
        <f>IFERROR(__xludf.DUMMYFUNCTION("""COMPUTED_VALUE"""),0.0)</f>
        <v>0</v>
      </c>
    </row>
    <row r="192">
      <c r="A192" s="422" t="s">
        <v>102</v>
      </c>
      <c r="B192" s="422" t="s">
        <v>260</v>
      </c>
      <c r="C192" s="426"/>
      <c r="D192" s="426">
        <v>2.0</v>
      </c>
      <c r="E192" s="422" t="s">
        <v>262</v>
      </c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IFERROR(__xludf.DUMMYFUNCTION("""COMPUTED_VALUE"""),"SOVEST")</f>
        <v>SOVEST</v>
      </c>
      <c r="X192" s="423">
        <f>IFERROR(__xludf.DUMMYFUNCTION("""COMPUTED_VALUE"""),0.0)</f>
        <v>0</v>
      </c>
    </row>
    <row r="193">
      <c r="A193" s="422" t="s">
        <v>79</v>
      </c>
      <c r="B193" s="422" t="s">
        <v>260</v>
      </c>
      <c r="C193" s="426">
        <v>2.5</v>
      </c>
      <c r="D193" s="426">
        <v>3.5</v>
      </c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IFERROR(__xludf.DUMMYFUNCTION("""COMPUTED_VALUE"""),"Астория")</f>
        <v>Астория</v>
      </c>
      <c r="X193" s="423">
        <f>IFERROR(__xludf.DUMMYFUNCTION("""COMPUTED_VALUE"""),0.0)</f>
        <v>0</v>
      </c>
    </row>
    <row r="194">
      <c r="A194" s="422" t="s">
        <v>122</v>
      </c>
      <c r="B194" s="422" t="s">
        <v>260</v>
      </c>
      <c r="C194" s="426">
        <v>2.5</v>
      </c>
      <c r="D194" s="426">
        <v>1.5</v>
      </c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IFERROR(__xludf.DUMMYFUNCTION("""COMPUTED_VALUE"""),"Наполеон")</f>
        <v>Наполеон</v>
      </c>
      <c r="X194" s="423">
        <f>IFERROR(__xludf.DUMMYFUNCTION("""COMPUTED_VALUE"""),0.0)</f>
        <v>0</v>
      </c>
    </row>
    <row r="195">
      <c r="A195" s="422" t="s">
        <v>85</v>
      </c>
      <c r="B195" s="422" t="s">
        <v>268</v>
      </c>
      <c r="C195" s="426"/>
      <c r="D195" s="426">
        <v>2.75</v>
      </c>
      <c r="E195" s="422" t="s">
        <v>262</v>
      </c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IFERROR(__xludf.DUMMYFUNCTION("""COMPUTED_VALUE"""),"Писатель ")</f>
        <v>Писатель </v>
      </c>
      <c r="X195" s="423">
        <f>IFERROR(__xludf.DUMMYFUNCTION("""COMPUTED_VALUE"""),0.0)</f>
        <v>0</v>
      </c>
    </row>
    <row r="196">
      <c r="A196" s="422" t="s">
        <v>133</v>
      </c>
      <c r="B196" s="422" t="s">
        <v>264</v>
      </c>
      <c r="C196" s="426"/>
      <c r="D196" s="426">
        <v>2.75</v>
      </c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IFERROR(__xludf.DUMMYFUNCTION("""COMPUTED_VALUE"""),"Фокс")</f>
        <v>Фокс</v>
      </c>
      <c r="X196" s="423">
        <f>IFERROR(__xludf.DUMMYFUNCTION("""COMPUTED_VALUE"""),0.0)</f>
        <v>0</v>
      </c>
    </row>
    <row r="197">
      <c r="A197" s="422" t="s">
        <v>94</v>
      </c>
      <c r="B197" s="422" t="s">
        <v>268</v>
      </c>
      <c r="C197" s="426"/>
      <c r="D197" s="426">
        <v>1.75</v>
      </c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IFERROR(__xludf.DUMMYFUNCTION("""COMPUTED_VALUE"""),"Юрия")</f>
        <v>Юрия</v>
      </c>
      <c r="X197" s="423">
        <f>IFERROR(__xludf.DUMMYFUNCTION("""COMPUTED_VALUE"""),0.0)</f>
        <v>0</v>
      </c>
    </row>
    <row r="198">
      <c r="A198" s="422" t="s">
        <v>123</v>
      </c>
      <c r="B198" s="422" t="s">
        <v>270</v>
      </c>
      <c r="C198" s="426">
        <v>2.5</v>
      </c>
      <c r="D198" s="426">
        <v>2.5</v>
      </c>
      <c r="E198" s="422" t="s">
        <v>259</v>
      </c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IFERROR(__xludf.DUMMYFUNCTION("""COMPUTED_VALUE"""),"A1 ")</f>
        <v>A1 </v>
      </c>
      <c r="X198" s="423">
        <f>IFERROR(__xludf.DUMMYFUNCTION("""COMPUTED_VALUE"""),0.0)</f>
        <v>0</v>
      </c>
    </row>
    <row r="199">
      <c r="A199" s="422" t="s">
        <v>96</v>
      </c>
      <c r="B199" s="422" t="s">
        <v>260</v>
      </c>
      <c r="C199" s="426">
        <v>2.5</v>
      </c>
      <c r="D199" s="426">
        <v>1.25</v>
      </c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IFERROR(__xludf.DUMMYFUNCTION("""COMPUTED_VALUE"""),"Bublik")</f>
        <v>Bublik</v>
      </c>
      <c r="X199" s="423">
        <f>IFERROR(__xludf.DUMMYFUNCTION("""COMPUTED_VALUE"""),0.0)</f>
        <v>0</v>
      </c>
    </row>
    <row r="200">
      <c r="A200" s="422" t="s">
        <v>135</v>
      </c>
      <c r="B200" s="422" t="s">
        <v>260</v>
      </c>
      <c r="C200" s="426">
        <v>2.5</v>
      </c>
      <c r="D200" s="426">
        <v>2.0</v>
      </c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IFERROR(__xludf.DUMMYFUNCTION("""COMPUTED_VALUE"""),"GALAY")</f>
        <v>GALAY</v>
      </c>
      <c r="X200" s="423">
        <f>IFERROR(__xludf.DUMMYFUNCTION("""COMPUTED_VALUE"""),0.0)</f>
        <v>0</v>
      </c>
    </row>
    <row r="201">
      <c r="A201" s="422" t="s">
        <v>131</v>
      </c>
      <c r="B201" s="422" t="s">
        <v>260</v>
      </c>
      <c r="C201" s="426">
        <v>2.5</v>
      </c>
      <c r="D201" s="426">
        <v>4.5</v>
      </c>
      <c r="E201" s="422" t="s">
        <v>259</v>
      </c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IFERROR(__xludf.DUMMYFUNCTION("""COMPUTED_VALUE"""),"Infinity ")</f>
        <v>Infinity </v>
      </c>
      <c r="X201" s="423">
        <f>IFERROR(__xludf.DUMMYFUNCTION("""COMPUTED_VALUE"""),0.0)</f>
        <v>0</v>
      </c>
    </row>
    <row r="202">
      <c r="A202" s="422" t="s">
        <v>102</v>
      </c>
      <c r="B202" s="422" t="s">
        <v>260</v>
      </c>
      <c r="C202" s="426">
        <v>2.5</v>
      </c>
      <c r="D202" s="426">
        <v>4.0</v>
      </c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IFERROR(__xludf.DUMMYFUNCTION("""COMPUTED_VALUE"""),"Morti")</f>
        <v>Morti</v>
      </c>
      <c r="X202" s="423">
        <f>IFERROR(__xludf.DUMMYFUNCTION("""COMPUTED_VALUE"""),0.0)</f>
        <v>0</v>
      </c>
    </row>
    <row r="203">
      <c r="A203" s="422" t="s">
        <v>131</v>
      </c>
      <c r="B203" s="422" t="s">
        <v>260</v>
      </c>
      <c r="C203" s="426"/>
      <c r="D203" s="426">
        <v>1.75</v>
      </c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IFERROR(__xludf.DUMMYFUNCTION("""COMPUTED_VALUE"""),"Инсомнич")</f>
        <v>Инсомнич</v>
      </c>
      <c r="X203" s="423">
        <f>IFERROR(__xludf.DUMMYFUNCTION("""COMPUTED_VALUE"""),0.0)</f>
        <v>0</v>
      </c>
    </row>
    <row r="204">
      <c r="A204" s="422" t="s">
        <v>105</v>
      </c>
      <c r="B204" s="422" t="s">
        <v>260</v>
      </c>
      <c r="C204" s="426"/>
      <c r="D204" s="426">
        <v>2.75</v>
      </c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IFERROR(__xludf.DUMMYFUNCTION("""COMPUTED_VALUE"""),"Маваши")</f>
        <v>Маваши</v>
      </c>
      <c r="X204" s="423">
        <f>IFERROR(__xludf.DUMMYFUNCTION("""COMPUTED_VALUE"""),0.0)</f>
        <v>0</v>
      </c>
    </row>
    <row r="205">
      <c r="A205" s="422" t="s">
        <v>103</v>
      </c>
      <c r="B205" s="422" t="s">
        <v>264</v>
      </c>
      <c r="C205" s="426">
        <v>2.5</v>
      </c>
      <c r="D205" s="426">
        <v>3.0</v>
      </c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IFERROR(__xludf.DUMMYFUNCTION("""COMPUTED_VALUE"""),"Мишель ")</f>
        <v>Мишель </v>
      </c>
      <c r="X205" s="423">
        <f>IFERROR(__xludf.DUMMYFUNCTION("""COMPUTED_VALUE"""),0.0)</f>
        <v>0</v>
      </c>
    </row>
    <row r="206">
      <c r="A206" s="422" t="s">
        <v>106</v>
      </c>
      <c r="B206" s="422" t="s">
        <v>268</v>
      </c>
      <c r="C206" s="426">
        <v>2.5</v>
      </c>
      <c r="D206" s="426">
        <v>3.5</v>
      </c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IFERROR(__xludf.DUMMYFUNCTION("""COMPUTED_VALUE"""),"Продюсер")</f>
        <v>Продюсер</v>
      </c>
      <c r="X206" s="423">
        <f>IFERROR(__xludf.DUMMYFUNCTION("""COMPUTED_VALUE"""),0.0)</f>
        <v>0</v>
      </c>
    </row>
    <row r="207">
      <c r="A207" s="422" t="s">
        <v>112</v>
      </c>
      <c r="B207" s="422" t="s">
        <v>270</v>
      </c>
      <c r="C207" s="426"/>
      <c r="D207" s="426">
        <v>2.0</v>
      </c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IFERROR(__xludf.DUMMYFUNCTION("""COMPUTED_VALUE"""),"СЭНСЭЙ")</f>
        <v>СЭНСЭЙ</v>
      </c>
      <c r="X207" s="423">
        <f>IFERROR(__xludf.DUMMYFUNCTION("""COMPUTED_VALUE"""),0.0)</f>
        <v>0</v>
      </c>
    </row>
    <row r="208">
      <c r="A208" s="422" t="s">
        <v>108</v>
      </c>
      <c r="B208" s="422" t="s">
        <v>260</v>
      </c>
      <c r="C208" s="426"/>
      <c r="D208" s="426">
        <v>2.25</v>
      </c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IFERROR(__xludf.DUMMYFUNCTION("""COMPUTED_VALUE"""),"Физик")</f>
        <v>Физик</v>
      </c>
      <c r="X208" s="423">
        <f>IFERROR(__xludf.DUMMYFUNCTION("""COMPUTED_VALUE"""),0.0)</f>
        <v>0</v>
      </c>
    </row>
    <row r="209">
      <c r="A209" s="422" t="s">
        <v>86</v>
      </c>
      <c r="B209" s="422" t="s">
        <v>260</v>
      </c>
      <c r="C209" s="426"/>
      <c r="D209" s="426">
        <v>2.0</v>
      </c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IFERROR(__xludf.DUMMYFUNCTION("""COMPUTED_VALUE"""),"Фокс")</f>
        <v>Фокс</v>
      </c>
      <c r="X209" s="423">
        <f>IFERROR(__xludf.DUMMYFUNCTION("""COMPUTED_VALUE"""),0.0)</f>
        <v>0</v>
      </c>
    </row>
    <row r="210">
      <c r="A210" s="422" t="s">
        <v>95</v>
      </c>
      <c r="B210" s="422" t="s">
        <v>260</v>
      </c>
      <c r="C210" s="426"/>
      <c r="D210" s="426">
        <v>1.75</v>
      </c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IFERROR(__xludf.DUMMYFUNCTION("""COMPUTED_VALUE"""),"Alice ")</f>
        <v>Alice </v>
      </c>
      <c r="X210" s="423">
        <f>IFERROR(__xludf.DUMMYFUNCTION("""COMPUTED_VALUE"""),0.0)</f>
        <v>0</v>
      </c>
    </row>
    <row r="211">
      <c r="A211" s="422" t="s">
        <v>91</v>
      </c>
      <c r="B211" s="422" t="s">
        <v>268</v>
      </c>
      <c r="C211" s="426">
        <v>2.5</v>
      </c>
      <c r="D211" s="426">
        <v>3.5</v>
      </c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IFERROR(__xludf.DUMMYFUNCTION("""COMPUTED_VALUE"""),"Morti")</f>
        <v>Morti</v>
      </c>
      <c r="X211" s="423">
        <f>IFERROR(__xludf.DUMMYFUNCTION("""COMPUTED_VALUE"""),0.0)</f>
        <v>0</v>
      </c>
    </row>
    <row r="212">
      <c r="A212" s="422" t="s">
        <v>119</v>
      </c>
      <c r="B212" s="422" t="s">
        <v>260</v>
      </c>
      <c r="C212" s="426"/>
      <c r="D212" s="426">
        <v>3.25</v>
      </c>
      <c r="E212" s="422" t="s">
        <v>11</v>
      </c>
      <c r="F212" s="426">
        <v>1.0</v>
      </c>
      <c r="G212" s="426">
        <v>0.5</v>
      </c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IFERROR(__xludf.DUMMYFUNCTION("""COMPUTED_VALUE"""),"Rocket woman ")</f>
        <v>Rocket woman </v>
      </c>
      <c r="X212" s="423">
        <f>IFERROR(__xludf.DUMMYFUNCTION("""COMPUTED_VALUE"""),0.0)</f>
        <v>0</v>
      </c>
    </row>
    <row r="213">
      <c r="A213" s="422" t="s">
        <v>131</v>
      </c>
      <c r="B213" s="422" t="s">
        <v>268</v>
      </c>
      <c r="C213" s="426">
        <v>2.5</v>
      </c>
      <c r="D213" s="426">
        <v>2.5</v>
      </c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IFERROR(__xludf.DUMMYFUNCTION("""COMPUTED_VALUE"""),"Крестный отец (BLR)")</f>
        <v>Крестный отец (BLR)</v>
      </c>
      <c r="X213" s="423">
        <f>IFERROR(__xludf.DUMMYFUNCTION("""COMPUTED_VALUE"""),0.0)</f>
        <v>0</v>
      </c>
    </row>
    <row r="214">
      <c r="A214" s="422" t="s">
        <v>105</v>
      </c>
      <c r="B214" s="422" t="s">
        <v>260</v>
      </c>
      <c r="C214" s="426"/>
      <c r="D214" s="426">
        <v>3.25</v>
      </c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IFERROR(__xludf.DUMMYFUNCTION("""COMPUTED_VALUE"""),"СЭНСЭЙ")</f>
        <v>СЭНСЭЙ</v>
      </c>
      <c r="X214" s="423">
        <f>IFERROR(__xludf.DUMMYFUNCTION("""COMPUTED_VALUE"""),0.0)</f>
        <v>0</v>
      </c>
    </row>
    <row r="215">
      <c r="A215" s="422" t="s">
        <v>103</v>
      </c>
      <c r="B215" s="422" t="s">
        <v>260</v>
      </c>
      <c r="C215" s="426"/>
      <c r="D215" s="426">
        <v>0.0</v>
      </c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IFERROR(__xludf.DUMMYFUNCTION("""COMPUTED_VALUE"""),"Флэш")</f>
        <v>Флэш</v>
      </c>
      <c r="X215" s="423">
        <f>IFERROR(__xludf.DUMMYFUNCTION("""COMPUTED_VALUE"""),0.0)</f>
        <v>0</v>
      </c>
    </row>
    <row r="216">
      <c r="A216" s="422" t="s">
        <v>106</v>
      </c>
      <c r="B216" s="422" t="s">
        <v>260</v>
      </c>
      <c r="C216" s="426"/>
      <c r="D216" s="426">
        <v>3.5</v>
      </c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IFERROR(__xludf.DUMMYFUNCTION("""COMPUTED_VALUE"""),"Фокс")</f>
        <v>Фокс</v>
      </c>
      <c r="X216" s="423">
        <f>IFERROR(__xludf.DUMMYFUNCTION("""COMPUTED_VALUE"""),0.0)</f>
        <v>0</v>
      </c>
    </row>
    <row r="217">
      <c r="A217" s="422" t="s">
        <v>112</v>
      </c>
      <c r="B217" s="422" t="s">
        <v>268</v>
      </c>
      <c r="C217" s="426">
        <v>2.5</v>
      </c>
      <c r="D217" s="426">
        <v>2.0</v>
      </c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IFERROR(__xludf.DUMMYFUNCTION("""COMPUTED_VALUE"""),"A1 ")</f>
        <v>A1 </v>
      </c>
      <c r="X217" s="423">
        <f>IFERROR(__xludf.DUMMYFUNCTION("""COMPUTED_VALUE"""),0.0)</f>
        <v>0</v>
      </c>
    </row>
    <row r="218">
      <c r="A218" s="422" t="s">
        <v>108</v>
      </c>
      <c r="B218" s="422" t="s">
        <v>260</v>
      </c>
      <c r="C218" s="426"/>
      <c r="D218" s="426">
        <v>2.0</v>
      </c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IFERROR(__xludf.DUMMYFUNCTION("""COMPUTED_VALUE"""),"Castor Troy ")</f>
        <v>Castor Troy </v>
      </c>
      <c r="X218" s="423">
        <f>IFERROR(__xludf.DUMMYFUNCTION("""COMPUTED_VALUE"""),0.0)</f>
        <v>0</v>
      </c>
    </row>
    <row r="219">
      <c r="A219" s="422" t="s">
        <v>86</v>
      </c>
      <c r="B219" s="422" t="s">
        <v>260</v>
      </c>
      <c r="C219" s="426"/>
      <c r="D219" s="426">
        <v>2.25</v>
      </c>
      <c r="E219" s="422" t="s">
        <v>11</v>
      </c>
      <c r="F219" s="426"/>
      <c r="G219" s="426">
        <v>0.5</v>
      </c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IFERROR(__xludf.DUMMYFUNCTION("""COMPUTED_VALUE"""),"Light")</f>
        <v>Light</v>
      </c>
      <c r="X219" s="423">
        <f>IFERROR(__xludf.DUMMYFUNCTION("""COMPUTED_VALUE"""),0.0)</f>
        <v>0</v>
      </c>
    </row>
    <row r="220">
      <c r="A220" s="422" t="s">
        <v>95</v>
      </c>
      <c r="B220" s="422" t="s">
        <v>270</v>
      </c>
      <c r="C220" s="426"/>
      <c r="D220" s="426">
        <v>3.0</v>
      </c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IFERROR(__xludf.DUMMYFUNCTION("""COMPUTED_VALUE"""),"Morti")</f>
        <v>Morti</v>
      </c>
      <c r="X220" s="423">
        <f>IFERROR(__xludf.DUMMYFUNCTION("""COMPUTED_VALUE"""),0.0)</f>
        <v>0</v>
      </c>
    </row>
    <row r="221">
      <c r="A221" s="422" t="s">
        <v>91</v>
      </c>
      <c r="B221" s="422" t="s">
        <v>264</v>
      </c>
      <c r="C221" s="426">
        <v>2.5</v>
      </c>
      <c r="D221" s="426">
        <v>2.5</v>
      </c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IFERROR(__xludf.DUMMYFUNCTION("""COMPUTED_VALUE"""),"WhoIsWho")</f>
        <v>WhoIsWho</v>
      </c>
      <c r="X221" s="423">
        <f>IFERROR(__xludf.DUMMYFUNCTION("""COMPUTED_VALUE"""),0.0)</f>
        <v>0</v>
      </c>
    </row>
    <row r="222">
      <c r="A222" s="422" t="s">
        <v>119</v>
      </c>
      <c r="B222" s="422" t="s">
        <v>260</v>
      </c>
      <c r="C222" s="426"/>
      <c r="D222" s="426">
        <v>3.25</v>
      </c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IFERROR(__xludf.DUMMYFUNCTION("""COMPUTED_VALUE"""),"Young")</f>
        <v>Young</v>
      </c>
      <c r="X222" s="423">
        <f>IFERROR(__xludf.DUMMYFUNCTION("""COMPUTED_VALUE"""),0.0)</f>
        <v>0</v>
      </c>
    </row>
    <row r="223">
      <c r="A223" s="422" t="s">
        <v>131</v>
      </c>
      <c r="B223" s="422" t="s">
        <v>260</v>
      </c>
      <c r="C223" s="426"/>
      <c r="D223" s="426">
        <v>2.25</v>
      </c>
      <c r="E223" s="422" t="s">
        <v>262</v>
      </c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 t="s">
        <v>268</v>
      </c>
      <c r="C224" s="426">
        <v>2.5</v>
      </c>
      <c r="D224" s="426">
        <v>2.5</v>
      </c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 t="s">
        <v>260</v>
      </c>
      <c r="C225" s="426"/>
      <c r="D225" s="426">
        <v>1.0</v>
      </c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 t="s">
        <v>268</v>
      </c>
      <c r="C226" s="426">
        <v>2.5</v>
      </c>
      <c r="D226" s="426">
        <v>3.0</v>
      </c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 t="s">
        <v>260</v>
      </c>
      <c r="C227" s="426"/>
      <c r="D227" s="426">
        <v>3.0</v>
      </c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 t="s">
        <v>270</v>
      </c>
      <c r="C228" s="426"/>
      <c r="D228" s="426">
        <v>2.0</v>
      </c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 t="s">
        <v>264</v>
      </c>
      <c r="C229" s="426">
        <v>2.5</v>
      </c>
      <c r="D229" s="426">
        <v>3.5</v>
      </c>
      <c r="E229" s="422" t="s">
        <v>259</v>
      </c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 t="s">
        <v>260</v>
      </c>
      <c r="C230" s="426"/>
      <c r="D230" s="426">
        <v>2.75</v>
      </c>
      <c r="E230" s="422" t="s">
        <v>11</v>
      </c>
      <c r="F230" s="426">
        <v>0.5</v>
      </c>
      <c r="G230" s="426">
        <v>0.5</v>
      </c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 t="s">
        <v>260</v>
      </c>
      <c r="C231" s="426"/>
      <c r="D231" s="426">
        <v>2.75</v>
      </c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 t="s">
        <v>260</v>
      </c>
      <c r="C232" s="426"/>
      <c r="D232" s="426">
        <v>1.75</v>
      </c>
      <c r="E232" s="422" t="s">
        <v>262</v>
      </c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 t="s">
        <v>260</v>
      </c>
      <c r="C233" s="426"/>
      <c r="D233" s="426">
        <v>1.5</v>
      </c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 t="s">
        <v>264</v>
      </c>
      <c r="C234" s="426">
        <v>2.5</v>
      </c>
      <c r="D234" s="426">
        <v>4.0</v>
      </c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 t="s">
        <v>260</v>
      </c>
      <c r="C235" s="426"/>
      <c r="D235" s="426">
        <v>2.25</v>
      </c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 t="s">
        <v>260</v>
      </c>
      <c r="C236" s="426"/>
      <c r="D236" s="426">
        <v>1.75</v>
      </c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 t="s">
        <v>270</v>
      </c>
      <c r="C237" s="426"/>
      <c r="D237" s="426">
        <v>2.25</v>
      </c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 t="s">
        <v>260</v>
      </c>
      <c r="C238" s="426"/>
      <c r="D238" s="426">
        <v>2.5</v>
      </c>
      <c r="E238" s="422"/>
      <c r="F238" s="426"/>
      <c r="G238" s="426">
        <v>0.5</v>
      </c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 t="s">
        <v>268</v>
      </c>
      <c r="C239" s="426">
        <v>2.5</v>
      </c>
      <c r="D239" s="426">
        <v>3.5</v>
      </c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 t="s">
        <v>268</v>
      </c>
      <c r="C240" s="426">
        <v>2.5</v>
      </c>
      <c r="D240" s="426">
        <v>3.5</v>
      </c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 t="s">
        <v>260</v>
      </c>
      <c r="C241" s="426"/>
      <c r="D241" s="426">
        <v>1.5</v>
      </c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 t="s">
        <v>260</v>
      </c>
      <c r="C242" s="426"/>
      <c r="D242" s="426">
        <v>2.75</v>
      </c>
      <c r="E242" s="422"/>
      <c r="F242" s="426"/>
      <c r="G242" s="426"/>
      <c r="T242" s="422" t="str">
        <f>IFERROR(__xludf.DUMMYFUNCTION("QUERY('Турнирная таблица по Алфавиту'!C7:BG66,""select C,Y order by Y desc"")"),"Шпиц")</f>
        <v>Шпиц</v>
      </c>
      <c r="U242" s="423">
        <f>IFERROR(__xludf.DUMMYFUNCTION("""COMPUTED_VALUE"""),29.0)</f>
        <v>29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 t="s">
        <v>260</v>
      </c>
      <c r="C243" s="426">
        <v>2.5</v>
      </c>
      <c r="D243" s="426">
        <v>4.0</v>
      </c>
      <c r="E243" s="422" t="s">
        <v>259</v>
      </c>
      <c r="F243" s="426"/>
      <c r="G243" s="426"/>
      <c r="T243" s="422" t="str">
        <f>IFERROR(__xludf.DUMMYFUNCTION("""COMPUTED_VALUE"""),"Мишель ")</f>
        <v>Мишель </v>
      </c>
      <c r="U243" s="423">
        <f>IFERROR(__xludf.DUMMYFUNCTION("""COMPUTED_VALUE"""),21.0)</f>
        <v>21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 t="s">
        <v>260</v>
      </c>
      <c r="C244" s="426">
        <v>2.5</v>
      </c>
      <c r="D244" s="426">
        <v>2.5</v>
      </c>
      <c r="E244" s="422"/>
      <c r="F244" s="426"/>
      <c r="G244" s="426"/>
      <c r="T244" s="422" t="str">
        <f>IFERROR(__xludf.DUMMYFUNCTION("""COMPUTED_VALUE"""),"Волга")</f>
        <v>Волга</v>
      </c>
      <c r="U244" s="423">
        <f>IFERROR(__xludf.DUMMYFUNCTION("""COMPUTED_VALUE"""),19.5)</f>
        <v>19.5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 t="s">
        <v>270</v>
      </c>
      <c r="C245" s="426">
        <v>2.5</v>
      </c>
      <c r="D245" s="426">
        <v>2.75</v>
      </c>
      <c r="E245" s="422"/>
      <c r="F245" s="426"/>
      <c r="G245" s="426"/>
      <c r="T245" s="422" t="str">
        <f>IFERROR(__xludf.DUMMYFUNCTION("""COMPUTED_VALUE"""),"Старый")</f>
        <v>Старый</v>
      </c>
      <c r="U245" s="423">
        <f>IFERROR(__xludf.DUMMYFUNCTION("""COMPUTED_VALUE"""),19.0)</f>
        <v>19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 t="s">
        <v>268</v>
      </c>
      <c r="C246" s="426"/>
      <c r="D246" s="426">
        <v>2.5</v>
      </c>
      <c r="E246" s="422" t="s">
        <v>262</v>
      </c>
      <c r="F246" s="426"/>
      <c r="G246" s="426"/>
      <c r="T246" s="422" t="str">
        <f>IFERROR(__xludf.DUMMYFUNCTION("""COMPUTED_VALUE"""),"Curly")</f>
        <v>Curly</v>
      </c>
      <c r="U246" s="423">
        <f>IFERROR(__xludf.DUMMYFUNCTION("""COMPUTED_VALUE"""),17.5)</f>
        <v>17.5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 t="s">
        <v>260</v>
      </c>
      <c r="C247" s="426">
        <v>2.5</v>
      </c>
      <c r="D247" s="426">
        <v>3.25</v>
      </c>
      <c r="E247" s="422"/>
      <c r="F247" s="426"/>
      <c r="G247" s="426"/>
      <c r="T247" s="422" t="str">
        <f>IFERROR(__xludf.DUMMYFUNCTION("""COMPUTED_VALUE"""),"MSR")</f>
        <v>MSR</v>
      </c>
      <c r="U247" s="423">
        <f>IFERROR(__xludf.DUMMYFUNCTION("""COMPUTED_VALUE"""),17.0)</f>
        <v>17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 t="s">
        <v>260</v>
      </c>
      <c r="C248" s="426">
        <v>2.5</v>
      </c>
      <c r="D248" s="426">
        <v>3.5</v>
      </c>
      <c r="E248" s="422"/>
      <c r="F248" s="426"/>
      <c r="G248" s="426"/>
      <c r="T248" s="422" t="str">
        <f>IFERROR(__xludf.DUMMYFUNCTION("""COMPUTED_VALUE"""),"Rocket woman ")</f>
        <v>Rocket woman </v>
      </c>
      <c r="U248" s="423">
        <f>IFERROR(__xludf.DUMMYFUNCTION("""COMPUTED_VALUE"""),16.0)</f>
        <v>16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 t="s">
        <v>260</v>
      </c>
      <c r="C249" s="426">
        <v>2.5</v>
      </c>
      <c r="D249" s="426">
        <v>2.5</v>
      </c>
      <c r="E249" s="422" t="s">
        <v>259</v>
      </c>
      <c r="F249" s="426"/>
      <c r="G249" s="426"/>
      <c r="T249" s="422" t="str">
        <f>IFERROR(__xludf.DUMMYFUNCTION("""COMPUTED_VALUE"""),"Бамблби")</f>
        <v>Бамблби</v>
      </c>
      <c r="U249" s="423">
        <f>IFERROR(__xludf.DUMMYFUNCTION("""COMPUTED_VALUE"""),15.75)</f>
        <v>15.75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 t="s">
        <v>264</v>
      </c>
      <c r="C250" s="426"/>
      <c r="D250" s="426">
        <v>2.25</v>
      </c>
      <c r="E250" s="422"/>
      <c r="F250" s="426"/>
      <c r="G250" s="426"/>
      <c r="T250" s="422" t="str">
        <f>IFERROR(__xludf.DUMMYFUNCTION("""COMPUTED_VALUE"""),"Артик")</f>
        <v>Артик</v>
      </c>
      <c r="U250" s="423">
        <f>IFERROR(__xludf.DUMMYFUNCTION("""COMPUTED_VALUE"""),15.5)</f>
        <v>15.5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 t="s">
        <v>260</v>
      </c>
      <c r="C251" s="426">
        <v>2.5</v>
      </c>
      <c r="D251" s="426">
        <v>2.25</v>
      </c>
      <c r="E251" s="422" t="s">
        <v>11</v>
      </c>
      <c r="F251" s="426"/>
      <c r="G251" s="426">
        <v>0.5</v>
      </c>
      <c r="T251" s="422" t="str">
        <f>IFERROR(__xludf.DUMMYFUNCTION("""COMPUTED_VALUE"""),"Крот")</f>
        <v>Крот</v>
      </c>
      <c r="U251" s="423">
        <f>IFERROR(__xludf.DUMMYFUNCTION("""COMPUTED_VALUE"""),14.25)</f>
        <v>14.25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 t="s">
        <v>268</v>
      </c>
      <c r="C252" s="426"/>
      <c r="D252" s="426">
        <v>2.25</v>
      </c>
      <c r="E252" s="422"/>
      <c r="F252" s="426"/>
      <c r="G252" s="426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 t="s">
        <v>268</v>
      </c>
      <c r="C253" s="426"/>
      <c r="D253" s="426">
        <v>2.5</v>
      </c>
      <c r="E253" s="422"/>
      <c r="F253" s="426"/>
      <c r="G253" s="426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 t="s">
        <v>260</v>
      </c>
      <c r="C254" s="426">
        <v>2.5</v>
      </c>
      <c r="D254" s="426">
        <v>3.0</v>
      </c>
      <c r="E254" s="422" t="s">
        <v>11</v>
      </c>
      <c r="F254" s="426">
        <v>0.5</v>
      </c>
      <c r="G254" s="426">
        <v>0.5</v>
      </c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 t="s">
        <v>268</v>
      </c>
      <c r="C255" s="426"/>
      <c r="D255" s="426">
        <v>2.0</v>
      </c>
      <c r="E255" s="422"/>
      <c r="F255" s="426"/>
      <c r="G255" s="426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 t="s">
        <v>260</v>
      </c>
      <c r="C256" s="426">
        <v>2.5</v>
      </c>
      <c r="D256" s="426">
        <v>4.0</v>
      </c>
      <c r="E256" s="422"/>
      <c r="F256" s="426"/>
      <c r="G256" s="426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 t="s">
        <v>260</v>
      </c>
      <c r="C257" s="426">
        <v>2.5</v>
      </c>
      <c r="D257" s="426">
        <v>4.25</v>
      </c>
      <c r="E257" s="422"/>
      <c r="F257" s="426"/>
      <c r="G257" s="426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 t="s">
        <v>264</v>
      </c>
      <c r="C258" s="426"/>
      <c r="D258" s="426">
        <v>1.75</v>
      </c>
      <c r="E258" s="422"/>
      <c r="F258" s="426"/>
      <c r="G258" s="426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 t="s">
        <v>270</v>
      </c>
      <c r="C259" s="426">
        <v>2.5</v>
      </c>
      <c r="D259" s="426">
        <v>4.0</v>
      </c>
      <c r="E259" s="422"/>
      <c r="F259" s="426"/>
      <c r="G259" s="426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 t="s">
        <v>260</v>
      </c>
      <c r="C260" s="426">
        <v>2.5</v>
      </c>
      <c r="D260" s="426">
        <v>3.75</v>
      </c>
      <c r="E260" s="422"/>
      <c r="F260" s="426"/>
      <c r="G260" s="426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 t="s">
        <v>260</v>
      </c>
      <c r="C261" s="426">
        <v>2.5</v>
      </c>
      <c r="D261" s="426">
        <v>3.25</v>
      </c>
      <c r="E261" s="422"/>
      <c r="F261" s="426"/>
      <c r="G261" s="426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 t="s">
        <v>260</v>
      </c>
      <c r="C262" s="426">
        <v>2.5</v>
      </c>
      <c r="D262" s="426">
        <v>3.5</v>
      </c>
      <c r="E262" s="422"/>
      <c r="F262" s="426"/>
      <c r="G262" s="426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 t="s">
        <v>260</v>
      </c>
      <c r="C263" s="426"/>
      <c r="D263" s="426">
        <v>3.0</v>
      </c>
      <c r="E263" s="422" t="s">
        <v>262</v>
      </c>
      <c r="F263" s="426"/>
      <c r="G263" s="426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 t="s">
        <v>260</v>
      </c>
      <c r="C264" s="426"/>
      <c r="D264" s="426">
        <v>2.25</v>
      </c>
      <c r="E264" s="422"/>
      <c r="F264" s="426"/>
      <c r="G264" s="426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 t="s">
        <v>260</v>
      </c>
      <c r="C265" s="426"/>
      <c r="D265" s="426">
        <v>3.0</v>
      </c>
      <c r="E265" s="422"/>
      <c r="F265" s="426"/>
      <c r="G265" s="426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 t="s">
        <v>268</v>
      </c>
      <c r="C266" s="426">
        <v>2.5</v>
      </c>
      <c r="D266" s="426">
        <v>2.5</v>
      </c>
      <c r="E266" s="422"/>
      <c r="F266" s="426"/>
      <c r="G266" s="426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 t="s">
        <v>260</v>
      </c>
      <c r="C267" s="426"/>
      <c r="D267" s="426">
        <v>2.25</v>
      </c>
      <c r="E267" s="422"/>
      <c r="F267" s="426"/>
      <c r="G267" s="426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 t="s">
        <v>264</v>
      </c>
      <c r="C268" s="426">
        <v>2.5</v>
      </c>
      <c r="D268" s="426">
        <v>4.0</v>
      </c>
      <c r="E268" s="422" t="s">
        <v>259</v>
      </c>
      <c r="F268" s="426"/>
      <c r="G268" s="426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 t="s">
        <v>260</v>
      </c>
      <c r="C269" s="426"/>
      <c r="D269" s="426">
        <v>1.5</v>
      </c>
      <c r="E269" s="422"/>
      <c r="F269" s="426"/>
      <c r="G269" s="426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 t="s">
        <v>260</v>
      </c>
      <c r="C270" s="426"/>
      <c r="D270" s="426">
        <v>2.0</v>
      </c>
      <c r="E270" s="422" t="s">
        <v>262</v>
      </c>
      <c r="F270" s="426"/>
      <c r="G270" s="426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 t="s">
        <v>270</v>
      </c>
      <c r="C271" s="426"/>
      <c r="D271" s="426">
        <v>3.25</v>
      </c>
      <c r="E271" s="422" t="s">
        <v>11</v>
      </c>
      <c r="F271" s="426">
        <v>0.5</v>
      </c>
      <c r="G271" s="426">
        <v>0.5</v>
      </c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 t="s">
        <v>268</v>
      </c>
      <c r="C272" s="426">
        <v>2.5</v>
      </c>
      <c r="D272" s="426">
        <v>2.25</v>
      </c>
      <c r="E272" s="422"/>
      <c r="F272" s="426"/>
      <c r="G272" s="426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 t="s">
        <v>260</v>
      </c>
      <c r="C273" s="426"/>
      <c r="D273" s="426">
        <v>2.25</v>
      </c>
      <c r="E273" s="422"/>
      <c r="F273" s="426"/>
      <c r="G273" s="426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 t="s">
        <v>260</v>
      </c>
      <c r="C274" s="426"/>
      <c r="D274" s="426">
        <v>1.75</v>
      </c>
      <c r="E274" s="422"/>
      <c r="F274" s="426"/>
      <c r="G274" s="426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 t="s">
        <v>270</v>
      </c>
      <c r="C275" s="426"/>
      <c r="D275" s="426">
        <v>2.0</v>
      </c>
      <c r="E275" s="422"/>
      <c r="F275" s="426"/>
      <c r="G275" s="426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 t="s">
        <v>268</v>
      </c>
      <c r="C276" s="426">
        <v>2.5</v>
      </c>
      <c r="D276" s="426">
        <v>4.0</v>
      </c>
      <c r="E276" s="422"/>
      <c r="F276" s="426"/>
      <c r="G276" s="426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 t="s">
        <v>260</v>
      </c>
      <c r="C277" s="426"/>
      <c r="D277" s="426">
        <v>1.75</v>
      </c>
      <c r="E277" s="422" t="s">
        <v>11</v>
      </c>
      <c r="F277" s="426"/>
      <c r="G277" s="426">
        <v>0.5</v>
      </c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 t="s">
        <v>260</v>
      </c>
      <c r="C278" s="426"/>
      <c r="D278" s="426">
        <v>1.75</v>
      </c>
      <c r="E278" s="422"/>
      <c r="F278" s="426"/>
      <c r="G278" s="426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 t="s">
        <v>260</v>
      </c>
      <c r="C279" s="426"/>
      <c r="D279" s="426">
        <v>2.25</v>
      </c>
      <c r="E279" s="422"/>
      <c r="F279" s="426"/>
      <c r="G279" s="426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 t="s">
        <v>268</v>
      </c>
      <c r="C280" s="426">
        <v>2.5</v>
      </c>
      <c r="D280" s="426">
        <v>3.75</v>
      </c>
      <c r="E280" s="422"/>
      <c r="F280" s="426"/>
      <c r="G280" s="426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 t="s">
        <v>264</v>
      </c>
      <c r="C281" s="426">
        <v>2.5</v>
      </c>
      <c r="D281" s="426">
        <v>3.75</v>
      </c>
      <c r="E281" s="422"/>
      <c r="F281" s="426"/>
      <c r="G281" s="426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 t="s">
        <v>260</v>
      </c>
      <c r="C282" s="426"/>
      <c r="D282" s="426">
        <v>2.25</v>
      </c>
      <c r="E282" s="422"/>
      <c r="F282" s="426"/>
      <c r="G282" s="426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 t="s">
        <v>260</v>
      </c>
      <c r="C283" s="426"/>
      <c r="D283" s="426">
        <v>2.0</v>
      </c>
      <c r="E283" s="422"/>
      <c r="F283" s="426"/>
      <c r="G283" s="426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 t="s">
        <v>260</v>
      </c>
      <c r="C284" s="426"/>
      <c r="D284" s="426">
        <v>1.75</v>
      </c>
      <c r="E284" s="422"/>
      <c r="F284" s="426"/>
      <c r="G284" s="426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 t="s">
        <v>268</v>
      </c>
      <c r="C285" s="426">
        <v>2.5</v>
      </c>
      <c r="D285" s="426">
        <v>3.75</v>
      </c>
      <c r="E285" s="422"/>
      <c r="F285" s="426"/>
      <c r="G285" s="426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 t="s">
        <v>260</v>
      </c>
      <c r="C286" s="426"/>
      <c r="D286" s="426">
        <v>3.5</v>
      </c>
      <c r="E286" s="422" t="s">
        <v>11</v>
      </c>
      <c r="F286" s="426">
        <v>0.5</v>
      </c>
      <c r="G286" s="426">
        <v>0.5</v>
      </c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 t="s">
        <v>260</v>
      </c>
      <c r="C287" s="426"/>
      <c r="D287" s="426">
        <v>1.75</v>
      </c>
      <c r="E287" s="422"/>
      <c r="F287" s="426"/>
      <c r="G287" s="426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 t="s">
        <v>260</v>
      </c>
      <c r="C288" s="426"/>
      <c r="D288" s="426">
        <v>2.5</v>
      </c>
      <c r="E288" s="422"/>
      <c r="F288" s="426"/>
      <c r="G288" s="426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 t="s">
        <v>264</v>
      </c>
      <c r="C289" s="426">
        <v>2.5</v>
      </c>
      <c r="D289" s="426">
        <v>2.0</v>
      </c>
      <c r="E289" s="422"/>
      <c r="F289" s="426"/>
      <c r="G289" s="426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 t="s">
        <v>260</v>
      </c>
      <c r="C290" s="426"/>
      <c r="D290" s="426">
        <v>2.0</v>
      </c>
      <c r="E290" s="422"/>
      <c r="F290" s="426"/>
      <c r="G290" s="426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 t="s">
        <v>270</v>
      </c>
      <c r="C291" s="426"/>
      <c r="D291" s="426">
        <v>1.75</v>
      </c>
      <c r="E291" s="422"/>
      <c r="F291" s="426"/>
      <c r="G291" s="426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 t="s">
        <v>268</v>
      </c>
      <c r="C292" s="426">
        <v>2.5</v>
      </c>
      <c r="D292" s="426">
        <v>3.5</v>
      </c>
      <c r="E292" s="422"/>
      <c r="F292" s="426"/>
      <c r="G292" s="426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 t="s">
        <v>268</v>
      </c>
      <c r="C293" s="426">
        <v>2.5</v>
      </c>
      <c r="D293" s="426">
        <v>3.75</v>
      </c>
      <c r="E293" s="422"/>
      <c r="F293" s="426"/>
      <c r="G293" s="426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 t="s">
        <v>260</v>
      </c>
      <c r="C294" s="426"/>
      <c r="D294" s="426">
        <v>2.25</v>
      </c>
      <c r="E294" s="422" t="s">
        <v>11</v>
      </c>
      <c r="F294" s="426"/>
      <c r="G294" s="426">
        <v>1.0</v>
      </c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 t="s">
        <v>260</v>
      </c>
      <c r="C295" s="426"/>
      <c r="D295" s="426">
        <v>1.0</v>
      </c>
      <c r="E295" s="422"/>
      <c r="F295" s="426"/>
      <c r="G295" s="426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 t="s">
        <v>268</v>
      </c>
      <c r="C296" s="426">
        <v>2.5</v>
      </c>
      <c r="D296" s="426">
        <v>4.0</v>
      </c>
      <c r="E296" s="422"/>
      <c r="F296" s="426"/>
      <c r="G296" s="426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 t="s">
        <v>260</v>
      </c>
      <c r="C297" s="426"/>
      <c r="D297" s="426">
        <v>4.0</v>
      </c>
      <c r="E297" s="422"/>
      <c r="F297" s="426"/>
      <c r="G297" s="426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 t="s">
        <v>264</v>
      </c>
      <c r="C298" s="426">
        <v>2.5</v>
      </c>
      <c r="D298" s="426">
        <v>4.5</v>
      </c>
      <c r="E298" s="422"/>
      <c r="F298" s="426"/>
      <c r="G298" s="426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 t="s">
        <v>260</v>
      </c>
      <c r="C299" s="426"/>
      <c r="D299" s="426">
        <v>1.0</v>
      </c>
      <c r="E299" s="422"/>
      <c r="F299" s="426"/>
      <c r="G299" s="426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 t="s">
        <v>260</v>
      </c>
      <c r="C300" s="426"/>
      <c r="D300" s="426">
        <v>1.0</v>
      </c>
      <c r="E300" s="422"/>
      <c r="F300" s="426"/>
      <c r="G300" s="426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 t="s">
        <v>260</v>
      </c>
      <c r="C301" s="426"/>
      <c r="D301" s="426">
        <v>1.0</v>
      </c>
      <c r="E301" s="422"/>
      <c r="F301" s="426"/>
      <c r="G301" s="426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 t="s">
        <v>270</v>
      </c>
      <c r="C302" s="426"/>
      <c r="D302" s="426">
        <v>2.0</v>
      </c>
      <c r="E302" s="422"/>
      <c r="F302" s="426"/>
      <c r="G302" s="426"/>
      <c r="T302" s="422" t="str">
        <f>IFERROR(__xludf.DUMMYFUNCTION("QUERY('Турнирная таблица по Алфавиту'!C7:BG66,""select C,Z order by Z desc"")"),"Зверюга")</f>
        <v>Зверюга</v>
      </c>
      <c r="U302" s="423">
        <f>IFERROR(__xludf.DUMMYFUNCTION("""COMPUTED_VALUE"""),0.0)</f>
        <v>0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/>
      <c r="C303" s="426"/>
      <c r="D303" s="426"/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IFERROR(__xludf.DUMMYFUNCTION("""COMPUTED_VALUE"""),0.0)</f>
        <v>0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/>
      <c r="C304" s="426"/>
      <c r="D304" s="426"/>
      <c r="E304" s="422"/>
      <c r="F304" s="426"/>
      <c r="G304" s="426"/>
      <c r="T304" s="422" t="str">
        <f>IFERROR(__xludf.DUMMYFUNCTION("""COMPUTED_VALUE"""),"Красавчик")</f>
        <v>Красавчик</v>
      </c>
      <c r="U304" s="423">
        <f>IFERROR(__xludf.DUMMYFUNCTION("""COMPUTED_VALUE"""),0.0)</f>
        <v>0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/>
      <c r="C305" s="426"/>
      <c r="D305" s="426"/>
      <c r="E305" s="422"/>
      <c r="F305" s="426"/>
      <c r="G305" s="426"/>
      <c r="T305" s="422" t="str">
        <f>IFERROR(__xludf.DUMMYFUNCTION("""COMPUTED_VALUE"""),"Панда из Руанды")</f>
        <v>Панда из Руанды</v>
      </c>
      <c r="U305" s="423">
        <f>IFERROR(__xludf.DUMMYFUNCTION("""COMPUTED_VALUE"""),0.0)</f>
        <v>0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/>
      <c r="C306" s="426"/>
      <c r="D306" s="426"/>
      <c r="E306" s="422"/>
      <c r="F306" s="426"/>
      <c r="G306" s="426"/>
      <c r="T306" s="422" t="str">
        <f>IFERROR(__xludf.DUMMYFUNCTION("""COMPUTED_VALUE"""),"РФ")</f>
        <v>РФ</v>
      </c>
      <c r="U306" s="423">
        <f>IFERROR(__xludf.DUMMYFUNCTION("""COMPUTED_VALUE"""),0.0)</f>
        <v>0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/>
      <c r="C307" s="426"/>
      <c r="D307" s="426"/>
      <c r="E307" s="422"/>
      <c r="F307" s="426"/>
      <c r="G307" s="426"/>
      <c r="T307" s="422" t="str">
        <f>IFERROR(__xludf.DUMMYFUNCTION("""COMPUTED_VALUE"""),"Coach")</f>
        <v>Coach</v>
      </c>
      <c r="U307" s="423">
        <f>IFERROR(__xludf.DUMMYFUNCTION("""COMPUTED_VALUE"""),0.0)</f>
        <v>0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/>
      <c r="C308" s="426"/>
      <c r="D308" s="426"/>
      <c r="E308" s="422"/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IFERROR(__xludf.DUMMYFUNCTION("""COMPUTED_VALUE"""),0.0)</f>
        <v>0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/>
      <c r="C309" s="426"/>
      <c r="D309" s="426"/>
      <c r="E309" s="422"/>
      <c r="F309" s="426"/>
      <c r="G309" s="426"/>
      <c r="T309" s="422" t="str">
        <f>IFERROR(__xludf.DUMMYFUNCTION("""COMPUTED_VALUE"""),"Bublik")</f>
        <v>Bublik</v>
      </c>
      <c r="U309" s="423">
        <f>IFERROR(__xludf.DUMMYFUNCTION("""COMPUTED_VALUE"""),0.0)</f>
        <v>0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/>
      <c r="C310" s="426"/>
      <c r="D310" s="426"/>
      <c r="E310" s="422"/>
      <c r="F310" s="426"/>
      <c r="G310" s="426"/>
      <c r="T310" s="422" t="str">
        <f>IFERROR(__xludf.DUMMYFUNCTION("""COMPUTED_VALUE"""),"Cristo")</f>
        <v>Cristo</v>
      </c>
      <c r="U310" s="423">
        <f>IFERROR(__xludf.DUMMYFUNCTION("""COMPUTED_VALUE"""),0.0)</f>
        <v>0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/>
      <c r="C311" s="426"/>
      <c r="D311" s="426"/>
      <c r="E311" s="422"/>
      <c r="F311" s="426"/>
      <c r="G311" s="426"/>
      <c r="T311" s="422" t="str">
        <f>IFERROR(__xludf.DUMMYFUNCTION("""COMPUTED_VALUE"""),"Ketamin")</f>
        <v>Ketamin</v>
      </c>
      <c r="U311" s="423">
        <f>IFERROR(__xludf.DUMMYFUNCTION("""COMPUTED_VALUE"""),0.0)</f>
        <v>0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/>
      <c r="C312" s="426"/>
      <c r="D312" s="426"/>
      <c r="E312" s="422"/>
      <c r="F312" s="426"/>
      <c r="G312" s="426"/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/>
      <c r="C313" s="426"/>
      <c r="D313" s="426"/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/>
      <c r="C314" s="426"/>
      <c r="D314" s="426"/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/>
      <c r="C315" s="426"/>
      <c r="D315" s="426"/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/>
      <c r="C316" s="426"/>
      <c r="D316" s="426"/>
      <c r="E316" s="422"/>
      <c r="F316" s="426"/>
      <c r="G316" s="426"/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/>
      <c r="C317" s="426"/>
      <c r="D317" s="426"/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/>
      <c r="C318" s="426"/>
      <c r="D318" s="426"/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/>
      <c r="C319" s="426"/>
      <c r="D319" s="426"/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/>
      <c r="C320" s="426"/>
      <c r="D320" s="426"/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/>
      <c r="C321" s="426"/>
      <c r="D321" s="426"/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/>
      <c r="C322" s="426"/>
      <c r="D322" s="426"/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/>
      <c r="C323" s="426"/>
      <c r="D323" s="426"/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/>
      <c r="C324" s="426"/>
      <c r="D324" s="426"/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/>
      <c r="C325" s="426"/>
      <c r="D325" s="426"/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/>
      <c r="C326" s="426"/>
      <c r="D326" s="426"/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/>
      <c r="C327" s="426"/>
      <c r="D327" s="426"/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/>
      <c r="C328" s="426"/>
      <c r="D328" s="426"/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/>
      <c r="C329" s="426"/>
      <c r="D329" s="426"/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/>
      <c r="C330" s="426"/>
      <c r="D330" s="426"/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/>
      <c r="C331" s="426"/>
      <c r="D331" s="426"/>
      <c r="E331" s="422"/>
      <c r="F331" s="426"/>
      <c r="G331" s="426"/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/>
      <c r="C332" s="426"/>
      <c r="D332" s="426"/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/>
      <c r="C333" s="426"/>
      <c r="D333" s="426"/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/>
      <c r="C334" s="426"/>
      <c r="D334" s="426"/>
      <c r="E334" s="422"/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/>
      <c r="C335" s="426"/>
      <c r="D335" s="426"/>
      <c r="E335" s="422"/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/>
      <c r="C336" s="426"/>
      <c r="D336" s="426"/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/>
      <c r="C337" s="426"/>
      <c r="D337" s="426"/>
      <c r="E337" s="422"/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/>
      <c r="C338" s="426"/>
      <c r="D338" s="426"/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/>
      <c r="C339" s="426"/>
      <c r="D339" s="426"/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/>
      <c r="C340" s="426"/>
      <c r="D340" s="426"/>
      <c r="E340" s="422"/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/>
      <c r="C341" s="426"/>
      <c r="D341" s="426"/>
      <c r="E341" s="422"/>
      <c r="F341" s="426"/>
      <c r="G341" s="426"/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/>
      <c r="C342" s="426"/>
      <c r="D342" s="426"/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/>
      <c r="C343" s="426"/>
      <c r="D343" s="426"/>
      <c r="E343" s="422"/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/>
      <c r="C344" s="426"/>
      <c r="D344" s="426"/>
      <c r="E344" s="422"/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/>
      <c r="C345" s="426"/>
      <c r="D345" s="426"/>
      <c r="E345" s="422"/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/>
      <c r="C346" s="426"/>
      <c r="D346" s="426"/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/>
      <c r="C347" s="426"/>
      <c r="D347" s="426"/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/>
      <c r="C348" s="426"/>
      <c r="D348" s="426"/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/>
      <c r="C349" s="426"/>
      <c r="D349" s="426"/>
      <c r="E349" s="422"/>
      <c r="F349" s="426"/>
      <c r="G349" s="426"/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/>
      <c r="C350" s="426"/>
      <c r="D350" s="426"/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/>
      <c r="C351" s="426"/>
      <c r="D351" s="426"/>
      <c r="E351" s="422"/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/>
      <c r="C352" s="426"/>
      <c r="D352" s="426"/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/>
      <c r="C353" s="426"/>
      <c r="D353" s="426"/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/>
      <c r="C354" s="426"/>
      <c r="D354" s="426"/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/>
      <c r="C355" s="426"/>
      <c r="D355" s="426"/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81</v>
      </c>
      <c r="B356" s="422"/>
      <c r="C356" s="426"/>
      <c r="D356" s="426"/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/>
      <c r="C357" s="426"/>
      <c r="D357" s="426"/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/>
      <c r="C358" s="426"/>
      <c r="D358" s="426"/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/>
      <c r="C359" s="426"/>
      <c r="D359" s="426"/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/>
      <c r="C360" s="426"/>
      <c r="D360" s="426"/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/>
      <c r="C361" s="426"/>
      <c r="D361" s="426"/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/>
      <c r="C362" s="426"/>
      <c r="D362" s="426"/>
      <c r="E362" s="422"/>
      <c r="F362" s="426"/>
      <c r="G362" s="426"/>
      <c r="T362" s="422" t="str">
        <f>IFERROR(__xludf.DUMMYFUNCTION("QUERY('Турнирная таблица по Алфавиту'!C7:BG66,""select C,AA order by AA desc"")"),"Андерсен")</f>
        <v>Андерсен</v>
      </c>
      <c r="U362" s="423">
        <f>IFERROR(__xludf.DUMMYFUNCTION("""COMPUTED_VALUE"""),0.0)</f>
        <v>0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/>
      <c r="C363" s="426"/>
      <c r="D363" s="426"/>
      <c r="E363" s="422"/>
      <c r="F363" s="426"/>
      <c r="G363" s="426"/>
      <c r="T363" s="422" t="str">
        <f>IFERROR(__xludf.DUMMYFUNCTION("""COMPUTED_VALUE"""),"Дровосек")</f>
        <v>Дровосек</v>
      </c>
      <c r="U363" s="423">
        <f>IFERROR(__xludf.DUMMYFUNCTION("""COMPUTED_VALUE"""),0.0)</f>
        <v>0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/>
      <c r="C364" s="426"/>
      <c r="D364" s="426"/>
      <c r="E364" s="422"/>
      <c r="F364" s="426"/>
      <c r="G364" s="426"/>
      <c r="T364" s="422" t="str">
        <f>IFERROR(__xludf.DUMMYFUNCTION("""COMPUTED_VALUE"""),"Зверюга")</f>
        <v>Зверюга</v>
      </c>
      <c r="U364" s="423">
        <f>IFERROR(__xludf.DUMMYFUNCTION("""COMPUTED_VALUE"""),0.0)</f>
        <v>0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/>
      <c r="C365" s="426"/>
      <c r="D365" s="426"/>
      <c r="E365" s="422"/>
      <c r="F365" s="426"/>
      <c r="G365" s="426"/>
      <c r="T365" s="422" t="str">
        <f>IFERROR(__xludf.DUMMYFUNCTION("""COMPUTED_VALUE"""),"Лисичка")</f>
        <v>Лисичка</v>
      </c>
      <c r="U365" s="423">
        <f>IFERROR(__xludf.DUMMYFUNCTION("""COMPUTED_VALUE"""),0.0)</f>
        <v>0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81</v>
      </c>
      <c r="B366" s="422"/>
      <c r="C366" s="426"/>
      <c r="D366" s="426"/>
      <c r="E366" s="422"/>
      <c r="F366" s="426"/>
      <c r="G366" s="426"/>
      <c r="T366" s="422" t="str">
        <f>IFERROR(__xludf.DUMMYFUNCTION("""COMPUTED_VALUE"""),"Маваши")</f>
        <v>Маваши</v>
      </c>
      <c r="U366" s="423">
        <f>IFERROR(__xludf.DUMMYFUNCTION("""COMPUTED_VALUE"""),0.0)</f>
        <v>0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/>
      <c r="C367" s="426"/>
      <c r="D367" s="426"/>
      <c r="E367" s="422"/>
      <c r="F367" s="426"/>
      <c r="G367" s="426"/>
      <c r="T367" s="422" t="str">
        <f>IFERROR(__xludf.DUMMYFUNCTION("""COMPUTED_VALUE"""),"Манекен")</f>
        <v>Манекен</v>
      </c>
      <c r="U367" s="423">
        <f>IFERROR(__xludf.DUMMYFUNCTION("""COMPUTED_VALUE"""),0.0)</f>
        <v>0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/>
      <c r="C368" s="426"/>
      <c r="D368" s="426"/>
      <c r="E368" s="422"/>
      <c r="F368" s="426"/>
      <c r="G368" s="426"/>
      <c r="T368" s="422" t="str">
        <f>IFERROR(__xludf.DUMMYFUNCTION("""COMPUTED_VALUE"""),"Марго")</f>
        <v>Марго</v>
      </c>
      <c r="U368" s="423">
        <f>IFERROR(__xludf.DUMMYFUNCTION("""COMPUTED_VALUE"""),0.0)</f>
        <v>0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/>
      <c r="C369" s="426"/>
      <c r="D369" s="426"/>
      <c r="E369" s="422"/>
      <c r="F369" s="426"/>
      <c r="G369" s="426"/>
      <c r="T369" s="422" t="str">
        <f>IFERROR(__xludf.DUMMYFUNCTION("""COMPUTED_VALUE"""),"РФ")</f>
        <v>РФ</v>
      </c>
      <c r="U369" s="423">
        <f>IFERROR(__xludf.DUMMYFUNCTION("""COMPUTED_VALUE"""),0.0)</f>
        <v>0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/>
      <c r="C370" s="426"/>
      <c r="D370" s="426"/>
      <c r="E370" s="422"/>
      <c r="F370" s="426"/>
      <c r="G370" s="426"/>
      <c r="T370" s="422" t="str">
        <f>IFERROR(__xludf.DUMMYFUNCTION("""COMPUTED_VALUE"""),"Шпиц")</f>
        <v>Шпиц</v>
      </c>
      <c r="U370" s="423">
        <f>IFERROR(__xludf.DUMMYFUNCTION("""COMPUTED_VALUE"""),0.0)</f>
        <v>0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/>
      <c r="C371" s="426"/>
      <c r="D371" s="426"/>
      <c r="E371" s="422"/>
      <c r="F371" s="426"/>
      <c r="G371" s="426"/>
      <c r="T371" s="422" t="str">
        <f>IFERROR(__xludf.DUMMYFUNCTION("""COMPUTED_VALUE"""),"Young")</f>
        <v>Young</v>
      </c>
      <c r="U371" s="423">
        <f>IFERROR(__xludf.DUMMYFUNCTION("""COMPUTED_VALUE"""),0.0)</f>
        <v>0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/>
      <c r="C372" s="426"/>
      <c r="D372" s="426"/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/>
      <c r="C373" s="426"/>
      <c r="D373" s="426"/>
      <c r="E373" s="422"/>
      <c r="F373" s="426"/>
      <c r="G373" s="426"/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/>
      <c r="C374" s="426"/>
      <c r="D374" s="426"/>
      <c r="E374" s="422"/>
      <c r="F374" s="426"/>
      <c r="G374" s="426"/>
      <c r="T374" s="422" t="str">
        <f>IFERROR(__xludf.DUMMYFUNCTION("""COMPUTED_VALUE"""),"Артик")</f>
        <v>Артик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/>
      <c r="C375" s="426"/>
      <c r="D375" s="426"/>
      <c r="E375" s="422"/>
      <c r="F375" s="426"/>
      <c r="G375" s="426"/>
      <c r="T375" s="422" t="str">
        <f>IFERROR(__xludf.DUMMYFUNCTION("""COMPUTED_VALUE"""),"Астория")</f>
        <v>Астория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81</v>
      </c>
      <c r="B376" s="422"/>
      <c r="C376" s="426"/>
      <c r="D376" s="426"/>
      <c r="E376" s="422"/>
      <c r="F376" s="426"/>
      <c r="G376" s="426"/>
      <c r="T376" s="422" t="str">
        <f>IFERROR(__xludf.DUMMYFUNCTION("""COMPUTED_VALUE"""),"Аш")</f>
        <v>Аш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/>
      <c r="C377" s="426"/>
      <c r="D377" s="426"/>
      <c r="E377" s="422"/>
      <c r="F377" s="426"/>
      <c r="G377" s="426"/>
      <c r="T377" s="422" t="str">
        <f>IFERROR(__xludf.DUMMYFUNCTION("""COMPUTED_VALUE"""),"Бамблби")</f>
        <v>Бамблби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/>
      <c r="C378" s="426"/>
      <c r="D378" s="426"/>
      <c r="E378" s="422"/>
      <c r="F378" s="426"/>
      <c r="G378" s="426"/>
      <c r="T378" s="422" t="str">
        <f>IFERROR(__xludf.DUMMYFUNCTION("""COMPUTED_VALUE"""),"Волга")</f>
        <v>Волга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/>
      <c r="C379" s="426"/>
      <c r="D379" s="426"/>
      <c r="E379" s="422"/>
      <c r="F379" s="426"/>
      <c r="G379" s="426"/>
      <c r="T379" s="422" t="str">
        <f>IFERROR(__xludf.DUMMYFUNCTION("""COMPUTED_VALUE"""),"Градиент")</f>
        <v>Градиент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/>
      <c r="C380" s="426"/>
      <c r="D380" s="426"/>
      <c r="E380" s="422"/>
      <c r="F380" s="426"/>
      <c r="G380" s="426"/>
      <c r="T380" s="422" t="str">
        <f>IFERROR(__xludf.DUMMYFUNCTION("""COMPUTED_VALUE"""),"Инсомнич")</f>
        <v>Инсомнич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/>
      <c r="C381" s="426"/>
      <c r="D381" s="426"/>
      <c r="E381" s="422"/>
      <c r="F381" s="426"/>
      <c r="G381" s="426"/>
      <c r="T381" s="422" t="str">
        <f>IFERROR(__xludf.DUMMYFUNCTION("""COMPUTED_VALUE"""),"Красавчик")</f>
        <v>Красавчик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/>
      <c r="C382" s="426"/>
      <c r="D382" s="426"/>
      <c r="E382" s="422"/>
      <c r="F382" s="426"/>
      <c r="G382" s="426"/>
      <c r="T382" s="422" t="str">
        <f>IFERROR(__xludf.DUMMYFUNCTION("""COMPUTED_VALUE"""),"Крестный отец (BLR)")</f>
        <v>Крестный отец (BLR)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/>
      <c r="C383" s="426"/>
      <c r="D383" s="426"/>
      <c r="E383" s="422"/>
      <c r="F383" s="426"/>
      <c r="G383" s="426"/>
      <c r="T383" s="422" t="str">
        <f>IFERROR(__xludf.DUMMYFUNCTION("""COMPUTED_VALUE"""),"Крёстный Отец (RU)")</f>
        <v>Крёстный Отец (RU)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/>
      <c r="C384" s="426"/>
      <c r="D384" s="426"/>
      <c r="E384" s="422"/>
      <c r="F384" s="426"/>
      <c r="G384" s="426"/>
      <c r="T384" s="422" t="str">
        <f>IFERROR(__xludf.DUMMYFUNCTION("""COMPUTED_VALUE"""),"Крот")</f>
        <v>Крот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/>
      <c r="C385" s="426"/>
      <c r="D385" s="426"/>
      <c r="E385" s="422"/>
      <c r="F385" s="426"/>
      <c r="G385" s="426"/>
      <c r="T385" s="422" t="str">
        <f>IFERROR(__xludf.DUMMYFUNCTION("""COMPUTED_VALUE"""),"Левша")</f>
        <v>Левша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81</v>
      </c>
      <c r="B386" s="422"/>
      <c r="C386" s="426"/>
      <c r="D386" s="426"/>
      <c r="E386" s="422"/>
      <c r="F386" s="426"/>
      <c r="G386" s="426"/>
      <c r="T386" s="422" t="str">
        <f>IFERROR(__xludf.DUMMYFUNCTION("""COMPUTED_VALUE"""),"Ментик")</f>
        <v>Ментик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/>
      <c r="C387" s="426"/>
      <c r="D387" s="426"/>
      <c r="E387" s="422"/>
      <c r="F387" s="426"/>
      <c r="G387" s="426"/>
      <c r="T387" s="422" t="str">
        <f>IFERROR(__xludf.DUMMYFUNCTION("""COMPUTED_VALUE"""),"Мишель ")</f>
        <v>Мишель 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/>
      <c r="C388" s="426"/>
      <c r="D388" s="426"/>
      <c r="E388" s="422"/>
      <c r="F388" s="426"/>
      <c r="G388" s="426"/>
      <c r="T388" s="422" t="str">
        <f>IFERROR(__xludf.DUMMYFUNCTION("""COMPUTED_VALUE"""),"Наполеон")</f>
        <v>Наполеон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/>
      <c r="C389" s="426"/>
      <c r="D389" s="426"/>
      <c r="E389" s="422"/>
      <c r="F389" s="426"/>
      <c r="G389" s="426"/>
      <c r="T389" s="422" t="str">
        <f>IFERROR(__xludf.DUMMYFUNCTION("""COMPUTED_VALUE"""),"Панда из Руанды")</f>
        <v>Панда из Руанды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/>
      <c r="C390" s="426"/>
      <c r="D390" s="426"/>
      <c r="E390" s="422"/>
      <c r="F390" s="426"/>
      <c r="G390" s="426"/>
      <c r="T390" s="422" t="str">
        <f>IFERROR(__xludf.DUMMYFUNCTION("""COMPUTED_VALUE"""),"Писатель ")</f>
        <v>Писатель 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/>
      <c r="C391" s="426"/>
      <c r="D391" s="426"/>
      <c r="E391" s="422"/>
      <c r="F391" s="426"/>
      <c r="G391" s="426"/>
      <c r="T391" s="422" t="str">
        <f>IFERROR(__xludf.DUMMYFUNCTION("""COMPUTED_VALUE"""),"Правда ")</f>
        <v>Правда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/>
      <c r="C392" s="426"/>
      <c r="D392" s="426"/>
      <c r="E392" s="422"/>
      <c r="F392" s="426"/>
      <c r="G392" s="426"/>
      <c r="T392" s="422" t="str">
        <f>IFERROR(__xludf.DUMMYFUNCTION("""COMPUTED_VALUE"""),"Продюсер")</f>
        <v>Продюсер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/>
      <c r="C393" s="426"/>
      <c r="D393" s="426"/>
      <c r="E393" s="422"/>
      <c r="F393" s="426"/>
      <c r="G393" s="426"/>
      <c r="T393" s="422" t="str">
        <f>IFERROR(__xludf.DUMMYFUNCTION("""COMPUTED_VALUE"""),"Старый")</f>
        <v>Старый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/>
      <c r="C394" s="426"/>
      <c r="D394" s="426"/>
      <c r="E394" s="422"/>
      <c r="F394" s="426"/>
      <c r="G394" s="426"/>
      <c r="T394" s="422" t="str">
        <f>IFERROR(__xludf.DUMMYFUNCTION("""COMPUTED_VALUE"""),"СЭНСЭЙ")</f>
        <v>СЭНСЭЙ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/>
      <c r="C395" s="426"/>
      <c r="D395" s="426"/>
      <c r="E395" s="422"/>
      <c r="F395" s="426"/>
      <c r="G395" s="426"/>
      <c r="T395" s="422" t="str">
        <f>IFERROR(__xludf.DUMMYFUNCTION("""COMPUTED_VALUE"""),"Coach")</f>
        <v>Coach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81</v>
      </c>
      <c r="B396" s="422"/>
      <c r="C396" s="426"/>
      <c r="D396" s="426"/>
      <c r="E396" s="422"/>
      <c r="F396" s="426"/>
      <c r="G396" s="426"/>
      <c r="T396" s="422" t="str">
        <f>IFERROR(__xludf.DUMMYFUNCTION("""COMPUTED_VALUE"""),"Тихий закат")</f>
        <v>Тихий закат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/>
      <c r="C397" s="426"/>
      <c r="D397" s="426"/>
      <c r="E397" s="422"/>
      <c r="F397" s="426"/>
      <c r="G397" s="426"/>
      <c r="T397" s="422" t="str">
        <f>IFERROR(__xludf.DUMMYFUNCTION("""COMPUTED_VALUE"""),"Физик")</f>
        <v>Физик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/>
      <c r="C398" s="426"/>
      <c r="D398" s="426"/>
      <c r="E398" s="422"/>
      <c r="F398" s="426"/>
      <c r="G398" s="426"/>
      <c r="T398" s="422" t="str">
        <f>IFERROR(__xludf.DUMMYFUNCTION("""COMPUTED_VALUE"""),"Флэш")</f>
        <v>Флэш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/>
      <c r="C399" s="426"/>
      <c r="D399" s="426"/>
      <c r="E399" s="422"/>
      <c r="F399" s="426"/>
      <c r="G399" s="426"/>
      <c r="T399" s="422" t="str">
        <f>IFERROR(__xludf.DUMMYFUNCTION("""COMPUTED_VALUE"""),"Фокс")</f>
        <v>Фокс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/>
      <c r="C400" s="426"/>
      <c r="D400" s="426"/>
      <c r="E400" s="422"/>
      <c r="F400" s="426"/>
      <c r="G400" s="426"/>
      <c r="T400" s="422" t="str">
        <f>IFERROR(__xludf.DUMMYFUNCTION("""COMPUTED_VALUE"""),"Шоу Бой")</f>
        <v>Шоу Бой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/>
      <c r="C401" s="426"/>
      <c r="D401" s="426"/>
      <c r="E401" s="422"/>
      <c r="F401" s="426"/>
      <c r="G401" s="426"/>
      <c r="T401" s="422" t="str">
        <f>IFERROR(__xludf.DUMMYFUNCTION("""COMPUTED_VALUE"""),"Юрия")</f>
        <v>Юрия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/>
      <c r="C402" s="426"/>
      <c r="D402" s="426"/>
      <c r="E402" s="422"/>
      <c r="F402" s="426"/>
      <c r="G402" s="426"/>
      <c r="T402" s="422" t="str">
        <f>IFERROR(__xludf.DUMMYFUNCTION("""COMPUTED_VALUE"""),"A1 ")</f>
        <v>A1 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/>
      <c r="C403" s="426"/>
      <c r="D403" s="426"/>
      <c r="E403" s="422"/>
      <c r="F403" s="426"/>
      <c r="G403" s="426"/>
      <c r="T403" s="422" t="str">
        <f>IFERROR(__xludf.DUMMYFUNCTION("""COMPUTED_VALUE"""),"Alice ")</f>
        <v>Alice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/>
      <c r="C404" s="426"/>
      <c r="D404" s="426"/>
      <c r="E404" s="422"/>
      <c r="F404" s="426"/>
      <c r="G404" s="426"/>
      <c r="T404" s="422" t="str">
        <f>IFERROR(__xludf.DUMMYFUNCTION("""COMPUTED_VALUE"""),"Bublik")</f>
        <v>Bublik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/>
      <c r="C405" s="426"/>
      <c r="D405" s="426"/>
      <c r="E405" s="422"/>
      <c r="F405" s="426"/>
      <c r="G405" s="426"/>
      <c r="T405" s="422" t="str">
        <f>IFERROR(__xludf.DUMMYFUNCTION("""COMPUTED_VALUE"""),"BWDMoscow")</f>
        <v>BWDMoscow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/>
      <c r="C406" s="426"/>
      <c r="D406" s="426"/>
      <c r="E406" s="422"/>
      <c r="F406" s="426"/>
      <c r="G406" s="426"/>
      <c r="T406" s="422" t="str">
        <f>IFERROR(__xludf.DUMMYFUNCTION("""COMPUTED_VALUE"""),"Castor Troy ")</f>
        <v>Castor Troy 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/>
      <c r="C407" s="426"/>
      <c r="D407" s="426"/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/>
      <c r="C408" s="426"/>
      <c r="D408" s="426"/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/>
      <c r="C409" s="426"/>
      <c r="D409" s="426"/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123</v>
      </c>
      <c r="B410" s="422"/>
      <c r="C410" s="426"/>
      <c r="D410" s="426"/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/>
      <c r="C411" s="426"/>
      <c r="D411" s="426"/>
      <c r="E411" s="422"/>
      <c r="F411" s="426"/>
      <c r="G411" s="426"/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/>
      <c r="C412" s="426"/>
      <c r="D412" s="426"/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/>
      <c r="C413" s="426"/>
      <c r="D413" s="426"/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/>
      <c r="C414" s="426"/>
      <c r="D414" s="426"/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/>
      <c r="C415" s="426"/>
      <c r="D415" s="426"/>
      <c r="E415" s="422"/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/>
      <c r="C416" s="426"/>
      <c r="D416" s="426"/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/>
      <c r="C417" s="426"/>
      <c r="D417" s="426"/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/>
      <c r="C418" s="426"/>
      <c r="D418" s="426"/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/>
      <c r="C419" s="426"/>
      <c r="D419" s="426"/>
      <c r="E419" s="422"/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123</v>
      </c>
      <c r="B420" s="422"/>
      <c r="C420" s="426"/>
      <c r="D420" s="426"/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/>
      <c r="C421" s="426"/>
      <c r="D421" s="426"/>
      <c r="E421" s="422"/>
      <c r="F421" s="426"/>
      <c r="G421" s="426"/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/>
      <c r="C422" s="426"/>
      <c r="D422" s="426"/>
      <c r="E422" s="422"/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IFERROR(__xludf.DUMMYFUNCTION("""COMPUTED_VALUE"""),0.0)</f>
        <v>0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/>
      <c r="C423" s="426"/>
      <c r="D423" s="426"/>
      <c r="E423" s="422"/>
      <c r="F423" s="426"/>
      <c r="G423" s="426"/>
      <c r="T423" s="422" t="str">
        <f>IFERROR(__xludf.DUMMYFUNCTION("""COMPUTED_VALUE"""),"Дровосек")</f>
        <v>Дровосек</v>
      </c>
      <c r="U423" s="423">
        <f>IFERROR(__xludf.DUMMYFUNCTION("""COMPUTED_VALUE"""),0.0)</f>
        <v>0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/>
      <c r="C424" s="426"/>
      <c r="D424" s="426"/>
      <c r="E424" s="422"/>
      <c r="F424" s="426"/>
      <c r="G424" s="426"/>
      <c r="T424" s="422" t="str">
        <f>IFERROR(__xludf.DUMMYFUNCTION("""COMPUTED_VALUE"""),"Зверюга")</f>
        <v>Зверюга</v>
      </c>
      <c r="U424" s="423">
        <f>IFERROR(__xludf.DUMMYFUNCTION("""COMPUTED_VALUE"""),0.0)</f>
        <v>0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/>
      <c r="C425" s="426"/>
      <c r="D425" s="426"/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IFERROR(__xludf.DUMMYFUNCTION("""COMPUTED_VALUE"""),0.0)</f>
        <v>0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/>
      <c r="C426" s="426"/>
      <c r="D426" s="426"/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IFERROR(__xludf.DUMMYFUNCTION("""COMPUTED_VALUE"""),0.0)</f>
        <v>0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/>
      <c r="C427" s="426"/>
      <c r="D427" s="426"/>
      <c r="E427" s="422"/>
      <c r="F427" s="426"/>
      <c r="G427" s="426"/>
      <c r="T427" s="422" t="str">
        <f>IFERROR(__xludf.DUMMYFUNCTION("""COMPUTED_VALUE"""),"Cristo")</f>
        <v>Cristo</v>
      </c>
      <c r="U427" s="423">
        <f>IFERROR(__xludf.DUMMYFUNCTION("""COMPUTED_VALUE"""),0.0)</f>
        <v>0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/>
      <c r="C428" s="426"/>
      <c r="D428" s="426"/>
      <c r="E428" s="422"/>
      <c r="F428" s="426"/>
      <c r="G428" s="426"/>
      <c r="T428" s="422" t="str">
        <f>IFERROR(__xludf.DUMMYFUNCTION("""COMPUTED_VALUE"""),"Helga")</f>
        <v>Helga</v>
      </c>
      <c r="U428" s="423">
        <f>IFERROR(__xludf.DUMMYFUNCTION("""COMPUTED_VALUE"""),0.0)</f>
        <v>0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/>
      <c r="C429" s="426"/>
      <c r="D429" s="426"/>
      <c r="E429" s="422"/>
      <c r="F429" s="426"/>
      <c r="G429" s="426"/>
      <c r="T429" s="422" t="str">
        <f>IFERROR(__xludf.DUMMYFUNCTION("""COMPUTED_VALUE"""),"Infinity ")</f>
        <v>Infinity </v>
      </c>
      <c r="U429" s="423">
        <f>IFERROR(__xludf.DUMMYFUNCTION("""COMPUTED_VALUE"""),0.0)</f>
        <v>0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123</v>
      </c>
      <c r="B430" s="422"/>
      <c r="C430" s="426"/>
      <c r="D430" s="426"/>
      <c r="E430" s="422"/>
      <c r="F430" s="426"/>
      <c r="G430" s="426"/>
      <c r="T430" s="422" t="str">
        <f>IFERROR(__xludf.DUMMYFUNCTION("""COMPUTED_VALUE"""),"Light")</f>
        <v>Light</v>
      </c>
      <c r="U430" s="423">
        <f>IFERROR(__xludf.DUMMYFUNCTION("""COMPUTED_VALUE"""),0.0)</f>
        <v>0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/>
      <c r="C431" s="426"/>
      <c r="D431" s="426"/>
      <c r="E431" s="422"/>
      <c r="F431" s="426"/>
      <c r="G431" s="426"/>
      <c r="T431" s="422" t="str">
        <f>IFERROR(__xludf.DUMMYFUNCTION("""COMPUTED_VALUE"""),"NLIP")</f>
        <v>NLIP</v>
      </c>
      <c r="U431" s="423">
        <f>IFERROR(__xludf.DUMMYFUNCTION("""COMPUTED_VALUE"""),0.0)</f>
        <v>0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/>
      <c r="C432" s="426"/>
      <c r="D432" s="426"/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/>
      <c r="C433" s="426"/>
      <c r="D433" s="426"/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/>
      <c r="C434" s="426"/>
      <c r="D434" s="426"/>
      <c r="E434" s="422"/>
      <c r="F434" s="426"/>
      <c r="G434" s="426"/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/>
      <c r="C435" s="426"/>
      <c r="D435" s="426"/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/>
      <c r="C436" s="426"/>
      <c r="D436" s="426"/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/>
      <c r="C437" s="426"/>
      <c r="D437" s="426"/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/>
      <c r="C438" s="426"/>
      <c r="D438" s="426"/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/>
      <c r="C439" s="426"/>
      <c r="D439" s="426"/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123</v>
      </c>
      <c r="B440" s="422"/>
      <c r="C440" s="426"/>
      <c r="D440" s="426"/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/>
      <c r="C441" s="426"/>
      <c r="D441" s="426"/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/>
      <c r="C442" s="426"/>
      <c r="D442" s="426"/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/>
      <c r="C443" s="426"/>
      <c r="D443" s="426"/>
      <c r="E443" s="422"/>
      <c r="F443" s="426"/>
      <c r="G443" s="426"/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/>
      <c r="C444" s="426"/>
      <c r="D444" s="426"/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/>
      <c r="C445" s="426"/>
      <c r="D445" s="426"/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/>
      <c r="C446" s="426"/>
      <c r="D446" s="426"/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/>
      <c r="C447" s="426"/>
      <c r="D447" s="426"/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/>
      <c r="C448" s="426"/>
      <c r="D448" s="426"/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/>
      <c r="C449" s="426"/>
      <c r="D449" s="426"/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123</v>
      </c>
      <c r="B450" s="422"/>
      <c r="C450" s="426"/>
      <c r="D450" s="426"/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/>
      <c r="C451" s="426"/>
      <c r="D451" s="426"/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/>
      <c r="C452" s="426"/>
      <c r="D452" s="426"/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/>
      <c r="C453" s="426"/>
      <c r="D453" s="426"/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/>
      <c r="C454" s="426"/>
      <c r="D454" s="426"/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/>
      <c r="C455" s="426"/>
      <c r="D455" s="426"/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/>
      <c r="C456" s="426"/>
      <c r="D456" s="426"/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122</v>
      </c>
      <c r="B457" s="422"/>
      <c r="C457" s="426"/>
      <c r="D457" s="426"/>
      <c r="E457" s="422"/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/>
      <c r="C458" s="426"/>
      <c r="D458" s="426"/>
      <c r="E458" s="422"/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/>
      <c r="C459" s="426"/>
      <c r="D459" s="426"/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137</v>
      </c>
      <c r="B460" s="422"/>
      <c r="C460" s="426"/>
      <c r="D460" s="426"/>
      <c r="E460" s="422"/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90</v>
      </c>
      <c r="B461" s="422"/>
      <c r="C461" s="426"/>
      <c r="D461" s="426"/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/>
      <c r="C462" s="426"/>
      <c r="D462" s="426"/>
      <c r="E462" s="422"/>
      <c r="F462" s="426"/>
      <c r="G462" s="426"/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/>
      <c r="C463" s="426"/>
      <c r="D463" s="426"/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/>
      <c r="C464" s="426"/>
      <c r="D464" s="426"/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/>
      <c r="C465" s="426"/>
      <c r="D465" s="426"/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/>
      <c r="C466" s="426"/>
      <c r="D466" s="426"/>
      <c r="E466" s="422"/>
      <c r="F466" s="426"/>
      <c r="G466" s="426"/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122</v>
      </c>
      <c r="B467" s="422"/>
      <c r="C467" s="426"/>
      <c r="D467" s="426"/>
      <c r="E467" s="422"/>
      <c r="F467" s="426"/>
      <c r="G467" s="426"/>
      <c r="T467" s="422" t="str">
        <f>IFERROR(__xludf.DUMMYFUNCTION("""COMPUTED_VALUE"""),"Alice ")</f>
        <v>Alice 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/>
      <c r="C468" s="426"/>
      <c r="D468" s="426"/>
      <c r="E468" s="422"/>
      <c r="F468" s="426"/>
      <c r="G468" s="426"/>
      <c r="T468" s="422" t="str">
        <f>IFERROR(__xludf.DUMMYFUNCTION("""COMPUTED_VALUE"""),"Bublik")</f>
        <v>Bublik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/>
      <c r="C469" s="426"/>
      <c r="D469" s="426"/>
      <c r="E469" s="422"/>
      <c r="F469" s="426"/>
      <c r="G469" s="426"/>
      <c r="T469" s="422" t="str">
        <f>IFERROR(__xludf.DUMMYFUNCTION("""COMPUTED_VALUE"""),"BWDMoscow")</f>
        <v>BWDMoscow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137</v>
      </c>
      <c r="B470" s="422"/>
      <c r="C470" s="426"/>
      <c r="D470" s="426"/>
      <c r="E470" s="422"/>
      <c r="F470" s="426"/>
      <c r="G470" s="426"/>
      <c r="T470" s="422" t="str">
        <f>IFERROR(__xludf.DUMMYFUNCTION("""COMPUTED_VALUE"""),"Castor Troy ")</f>
        <v>Castor Troy 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90</v>
      </c>
      <c r="B471" s="422"/>
      <c r="C471" s="426"/>
      <c r="D471" s="426"/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/>
      <c r="C472" s="426"/>
      <c r="D472" s="426"/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/>
      <c r="C473" s="426"/>
      <c r="D473" s="426"/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/>
      <c r="C474" s="426"/>
      <c r="D474" s="426"/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/>
      <c r="C475" s="426"/>
      <c r="D475" s="426"/>
      <c r="E475" s="422"/>
      <c r="F475" s="426"/>
      <c r="G475" s="426"/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/>
      <c r="C476" s="426"/>
      <c r="D476" s="426"/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122</v>
      </c>
      <c r="B477" s="422"/>
      <c r="C477" s="426"/>
      <c r="D477" s="426"/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/>
      <c r="C478" s="426"/>
      <c r="D478" s="426"/>
      <c r="E478" s="422"/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/>
      <c r="C479" s="426"/>
      <c r="D479" s="426"/>
      <c r="E479" s="422"/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137</v>
      </c>
      <c r="B480" s="422"/>
      <c r="C480" s="426"/>
      <c r="D480" s="426"/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90</v>
      </c>
      <c r="B481" s="422"/>
      <c r="C481" s="426"/>
      <c r="D481" s="426"/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/>
      <c r="C482" s="426"/>
      <c r="D482" s="426"/>
      <c r="E482" s="422"/>
      <c r="F482" s="426"/>
      <c r="G482" s="426"/>
      <c r="T482" s="422" t="str">
        <f>IFERROR(__xludf.DUMMYFUNCTION("QUERY('Турнирная таблица по Алфавиту'!C7:BG66,""select C,AC order by AC desc"")"),"Бамблби")</f>
        <v>Бамблби</v>
      </c>
      <c r="U482" s="423">
        <f>IFERROR(__xludf.DUMMYFUNCTION("""COMPUTED_VALUE"""),0.0)</f>
        <v>0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/>
      <c r="C483" s="426"/>
      <c r="D483" s="426"/>
      <c r="E483" s="422"/>
      <c r="F483" s="426"/>
      <c r="G483" s="426"/>
      <c r="T483" s="422" t="str">
        <f>IFERROR(__xludf.DUMMYFUNCTION("""COMPUTED_VALUE"""),"Дровосек")</f>
        <v>Дровосек</v>
      </c>
      <c r="U483" s="423">
        <f>IFERROR(__xludf.DUMMYFUNCTION("""COMPUTED_VALUE"""),0.0)</f>
        <v>0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/>
      <c r="C484" s="426"/>
      <c r="D484" s="426"/>
      <c r="E484" s="422"/>
      <c r="F484" s="426"/>
      <c r="G484" s="426"/>
      <c r="T484" s="422" t="str">
        <f>IFERROR(__xludf.DUMMYFUNCTION("""COMPUTED_VALUE"""),"Зверюга")</f>
        <v>Зверюга</v>
      </c>
      <c r="U484" s="423">
        <f>IFERROR(__xludf.DUMMYFUNCTION("""COMPUTED_VALUE"""),0.0)</f>
        <v>0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/>
      <c r="C485" s="426"/>
      <c r="D485" s="426"/>
      <c r="E485" s="422"/>
      <c r="F485" s="426"/>
      <c r="G485" s="426"/>
      <c r="T485" s="422" t="str">
        <f>IFERROR(__xludf.DUMMYFUNCTION("""COMPUTED_VALUE"""),"Инсомнич")</f>
        <v>Инсомнич</v>
      </c>
      <c r="U485" s="423">
        <f>IFERROR(__xludf.DUMMYFUNCTION("""COMPUTED_VALUE"""),0.0)</f>
        <v>0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/>
      <c r="C486" s="426"/>
      <c r="D486" s="426"/>
      <c r="E486" s="422"/>
      <c r="F486" s="426"/>
      <c r="G486" s="426"/>
      <c r="T486" s="422" t="str">
        <f>IFERROR(__xludf.DUMMYFUNCTION("""COMPUTED_VALUE"""),"Панда из Руанды")</f>
        <v>Панда из Руанды</v>
      </c>
      <c r="U486" s="423">
        <f>IFERROR(__xludf.DUMMYFUNCTION("""COMPUTED_VALUE"""),0.0)</f>
        <v>0</v>
      </c>
      <c r="W486" s="422" t="str">
        <f>IFERROR(__xludf.DUMMYFUNCTION("""COMPUTED_VALUE"""),"Аш")</f>
        <v>Аш</v>
      </c>
      <c r="X486" s="423"/>
    </row>
    <row r="487">
      <c r="A487" s="422" t="s">
        <v>122</v>
      </c>
      <c r="B487" s="422"/>
      <c r="C487" s="426"/>
      <c r="D487" s="426"/>
      <c r="E487" s="422"/>
      <c r="F487" s="426"/>
      <c r="G487" s="426"/>
      <c r="T487" s="422" t="str">
        <f>IFERROR(__xludf.DUMMYFUNCTION("""COMPUTED_VALUE"""),"РФ")</f>
        <v>РФ</v>
      </c>
      <c r="U487" s="423">
        <f>IFERROR(__xludf.DUMMYFUNCTION("""COMPUTED_VALUE"""),0.0)</f>
        <v>0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/>
      <c r="C488" s="426"/>
      <c r="D488" s="426"/>
      <c r="E488" s="422"/>
      <c r="F488" s="426"/>
      <c r="G488" s="426"/>
      <c r="T488" s="422" t="str">
        <f>IFERROR(__xludf.DUMMYFUNCTION("""COMPUTED_VALUE"""),"A1 ")</f>
        <v>A1 </v>
      </c>
      <c r="U488" s="423">
        <f>IFERROR(__xludf.DUMMYFUNCTION("""COMPUTED_VALUE"""),0.0)</f>
        <v>0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/>
      <c r="C489" s="426"/>
      <c r="D489" s="426"/>
      <c r="E489" s="422"/>
      <c r="F489" s="426"/>
      <c r="G489" s="426"/>
      <c r="T489" s="422" t="str">
        <f>IFERROR(__xludf.DUMMYFUNCTION("""COMPUTED_VALUE"""),"Castor Troy ")</f>
        <v>Castor Troy </v>
      </c>
      <c r="U489" s="423">
        <f>IFERROR(__xludf.DUMMYFUNCTION("""COMPUTED_VALUE"""),0.0)</f>
        <v>0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137</v>
      </c>
      <c r="B490" s="422"/>
      <c r="C490" s="426"/>
      <c r="D490" s="426"/>
      <c r="E490" s="422"/>
      <c r="F490" s="426"/>
      <c r="G490" s="426"/>
      <c r="T490" s="422" t="str">
        <f>IFERROR(__xludf.DUMMYFUNCTION("""COMPUTED_VALUE"""),"Stacy")</f>
        <v>Stacy</v>
      </c>
      <c r="U490" s="423">
        <f>IFERROR(__xludf.DUMMYFUNCTION("""COMPUTED_VALUE"""),0.0)</f>
        <v>0</v>
      </c>
      <c r="W490" s="422" t="str">
        <f>IFERROR(__xludf.DUMMYFUNCTION("""COMPUTED_VALUE"""),"Зверюга")</f>
        <v>Зверюга</v>
      </c>
      <c r="X490" s="423"/>
    </row>
    <row r="491">
      <c r="A491" s="422" t="s">
        <v>90</v>
      </c>
      <c r="B491" s="422"/>
      <c r="C491" s="426"/>
      <c r="D491" s="426"/>
      <c r="E491" s="422"/>
      <c r="F491" s="426"/>
      <c r="G491" s="426"/>
      <c r="T491" s="422" t="str">
        <f>IFERROR(__xludf.DUMMYFUNCTION("""COMPUTED_VALUE"""),"WhoIsWho")</f>
        <v>WhoIsWho</v>
      </c>
      <c r="U491" s="423">
        <f>IFERROR(__xludf.DUMMYFUNCTION("""COMPUTED_VALUE"""),0.0)</f>
        <v>0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/>
      <c r="C492" s="426"/>
      <c r="D492" s="426"/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/>
      <c r="C493" s="426"/>
      <c r="D493" s="426"/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/>
      <c r="C494" s="426"/>
      <c r="D494" s="426"/>
      <c r="E494" s="422"/>
      <c r="F494" s="426"/>
      <c r="G494" s="426"/>
      <c r="T494" s="422" t="str">
        <f>IFERROR(__xludf.DUMMYFUNCTION("""COMPUTED_VALUE"""),"Андерсен")</f>
        <v>Андерсен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/>
      <c r="C495" s="426"/>
      <c r="D495" s="426"/>
      <c r="E495" s="422"/>
      <c r="F495" s="426"/>
      <c r="G495" s="426"/>
      <c r="T495" s="422" t="str">
        <f>IFERROR(__xludf.DUMMYFUNCTION("""COMPUTED_VALUE"""),"Артик")</f>
        <v>Артик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/>
      <c r="C496" s="426"/>
      <c r="D496" s="426"/>
      <c r="E496" s="422"/>
      <c r="F496" s="426"/>
      <c r="G496" s="426"/>
      <c r="T496" s="422" t="str">
        <f>IFERROR(__xludf.DUMMYFUNCTION("""COMPUTED_VALUE"""),"Астория")</f>
        <v>Астория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122</v>
      </c>
      <c r="B497" s="422"/>
      <c r="C497" s="426"/>
      <c r="D497" s="426"/>
      <c r="E497" s="422"/>
      <c r="F497" s="426"/>
      <c r="G497" s="426"/>
      <c r="T497" s="422" t="str">
        <f>IFERROR(__xludf.DUMMYFUNCTION("""COMPUTED_VALUE"""),"Аш")</f>
        <v>Аш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/>
      <c r="C498" s="426"/>
      <c r="D498" s="426"/>
      <c r="E498" s="422"/>
      <c r="F498" s="426"/>
      <c r="G498" s="426"/>
      <c r="T498" s="422" t="str">
        <f>IFERROR(__xludf.DUMMYFUNCTION("""COMPUTED_VALUE"""),"Волга")</f>
        <v>Волга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/>
      <c r="C499" s="426"/>
      <c r="D499" s="426"/>
      <c r="E499" s="422"/>
      <c r="F499" s="426"/>
      <c r="G499" s="426"/>
      <c r="T499" s="422" t="str">
        <f>IFERROR(__xludf.DUMMYFUNCTION("""COMPUTED_VALUE"""),"Градиент")</f>
        <v>Градиент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137</v>
      </c>
      <c r="B500" s="422"/>
      <c r="C500" s="426"/>
      <c r="D500" s="426"/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90</v>
      </c>
      <c r="B501" s="422"/>
      <c r="C501" s="426"/>
      <c r="D501" s="426"/>
      <c r="E501" s="422"/>
      <c r="F501" s="426"/>
      <c r="G501" s="426"/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/>
      <c r="C502" s="426"/>
      <c r="D502" s="426"/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/>
      <c r="C503" s="426"/>
      <c r="D503" s="426"/>
      <c r="E503" s="422"/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/>
      <c r="C504" s="426"/>
      <c r="D504" s="426"/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/>
      <c r="C505" s="426"/>
      <c r="D505" s="426"/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/>
      <c r="C506" s="426"/>
      <c r="D506" s="426"/>
      <c r="E506" s="422"/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/>
      <c r="C507" s="426"/>
      <c r="D507" s="426"/>
      <c r="E507" s="422"/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/>
      <c r="C508" s="426"/>
      <c r="D508" s="426"/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/>
      <c r="C509" s="426"/>
      <c r="D509" s="426"/>
      <c r="E509" s="422"/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/>
      <c r="C510" s="426"/>
      <c r="D510" s="426"/>
      <c r="E510" s="422"/>
      <c r="F510" s="426"/>
      <c r="G510" s="426"/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/>
      <c r="C511" s="426"/>
      <c r="D511" s="426"/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/>
      <c r="C512" s="426"/>
      <c r="D512" s="426"/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/>
      <c r="C513" s="426"/>
      <c r="D513" s="426"/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/>
      <c r="C514" s="426"/>
      <c r="D514" s="426"/>
      <c r="E514" s="422"/>
      <c r="F514" s="426"/>
      <c r="G514" s="426"/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/>
      <c r="C515" s="426"/>
      <c r="D515" s="426"/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/>
      <c r="C516" s="426"/>
      <c r="D516" s="426"/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/>
      <c r="C517" s="426"/>
      <c r="D517" s="426"/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/>
      <c r="C518" s="426"/>
      <c r="D518" s="426"/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/>
      <c r="C519" s="426"/>
      <c r="D519" s="426"/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/>
      <c r="C520" s="426"/>
      <c r="D520" s="426"/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/>
      <c r="C521" s="426"/>
      <c r="D521" s="426"/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/>
      <c r="C522" s="426"/>
      <c r="D522" s="426"/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/>
      <c r="C523" s="426"/>
      <c r="D523" s="426"/>
      <c r="E523" s="422"/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/>
      <c r="C524" s="426"/>
      <c r="D524" s="426"/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/>
      <c r="C525" s="426"/>
      <c r="D525" s="426"/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/>
      <c r="C526" s="426"/>
      <c r="D526" s="426"/>
      <c r="E526" s="422"/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/>
      <c r="C527" s="426"/>
      <c r="D527" s="426"/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/>
      <c r="C528" s="426"/>
      <c r="D528" s="426"/>
      <c r="E528" s="422"/>
      <c r="F528" s="426"/>
      <c r="G528" s="426"/>
      <c r="T528" s="422" t="str">
        <f>IFERROR(__xludf.DUMMYFUNCTION("""COMPUTED_VALUE"""),"Cristo")</f>
        <v>Cristo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/>
      <c r="C529" s="426"/>
      <c r="D529" s="426"/>
      <c r="E529" s="422"/>
      <c r="F529" s="426"/>
      <c r="G529" s="426"/>
      <c r="T529" s="422" t="str">
        <f>IFERROR(__xludf.DUMMYFUNCTION("""COMPUTED_VALUE"""),"Curly")</f>
        <v>Curly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/>
      <c r="C530" s="426"/>
      <c r="D530" s="426"/>
      <c r="E530" s="422"/>
      <c r="F530" s="426"/>
      <c r="G530" s="426"/>
      <c r="T530" s="422" t="str">
        <f>IFERROR(__xludf.DUMMYFUNCTION("""COMPUTED_VALUE"""),"GALAY")</f>
        <v>GALAY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/>
      <c r="C531" s="426"/>
      <c r="D531" s="426"/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/>
      <c r="C532" s="426"/>
      <c r="D532" s="426"/>
      <c r="E532" s="422"/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/>
      <c r="C533" s="426"/>
      <c r="D533" s="426"/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/>
      <c r="C534" s="426"/>
      <c r="D534" s="426"/>
      <c r="E534" s="422"/>
      <c r="F534" s="426"/>
      <c r="G534" s="426"/>
      <c r="T534" s="422" t="str">
        <f>IFERROR(__xludf.DUMMYFUNCTION("""COMPUTED_VALUE"""),"Light")</f>
        <v>Light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/>
      <c r="C535" s="426"/>
      <c r="D535" s="426"/>
      <c r="E535" s="422"/>
      <c r="F535" s="426"/>
      <c r="G535" s="426"/>
      <c r="T535" s="422" t="str">
        <f>IFERROR(__xludf.DUMMYFUNCTION("""COMPUTED_VALUE"""),"Morti")</f>
        <v>Morti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/>
      <c r="C536" s="426"/>
      <c r="D536" s="426"/>
      <c r="E536" s="422"/>
      <c r="F536" s="426"/>
      <c r="G536" s="426"/>
      <c r="T536" s="422" t="str">
        <f>IFERROR(__xludf.DUMMYFUNCTION("""COMPUTED_VALUE"""),"MSR")</f>
        <v>MSR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/>
      <c r="C537" s="426"/>
      <c r="D537" s="426"/>
      <c r="E537" s="422"/>
      <c r="F537" s="426"/>
      <c r="G537" s="426"/>
      <c r="T537" s="422" t="str">
        <f>IFERROR(__xludf.DUMMYFUNCTION("""COMPUTED_VALUE"""),"NLIP")</f>
        <v>NLIP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/>
      <c r="C538" s="426"/>
      <c r="D538" s="426"/>
      <c r="E538" s="422"/>
      <c r="F538" s="426"/>
      <c r="G538" s="426"/>
      <c r="T538" s="422" t="str">
        <f>IFERROR(__xludf.DUMMYFUNCTION("""COMPUTED_VALUE"""),"Rocket woman ")</f>
        <v>Rocket woman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/>
      <c r="C539" s="426"/>
      <c r="D539" s="426"/>
      <c r="E539" s="422"/>
      <c r="F539" s="426"/>
      <c r="G539" s="426"/>
      <c r="T539" s="422" t="str">
        <f>IFERROR(__xludf.DUMMYFUNCTION("""COMPUTED_VALUE"""),"SCHOKK ")</f>
        <v>SCHOKK 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/>
      <c r="C540" s="426"/>
      <c r="D540" s="426"/>
      <c r="E540" s="422"/>
      <c r="F540" s="426"/>
      <c r="G540" s="426"/>
      <c r="T540" s="422" t="str">
        <f>IFERROR(__xludf.DUMMYFUNCTION("""COMPUTED_VALUE"""),"SOVEST")</f>
        <v>SOVEST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/>
      <c r="C541" s="426"/>
      <c r="D541" s="426"/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/>
      <c r="C542" s="426"/>
      <c r="D542" s="426"/>
      <c r="E542" s="422"/>
      <c r="F542" s="426"/>
      <c r="G542" s="426"/>
      <c r="T542" s="422" t="str">
        <f>IFERROR(__xludf.DUMMYFUNCTION("QUERY('Турнирная таблица по Алфавиту'!C7:BG66,""select C,AD order by AD desc"")"),"Андерсен")</f>
        <v>Андерсен</v>
      </c>
      <c r="U542" s="423">
        <f>IFERROR(__xludf.DUMMYFUNCTION("""COMPUTED_VALUE"""),0.0)</f>
        <v>0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/>
      <c r="C543" s="426"/>
      <c r="D543" s="426"/>
      <c r="E543" s="422"/>
      <c r="F543" s="426"/>
      <c r="G543" s="426"/>
      <c r="T543" s="422" t="str">
        <f>IFERROR(__xludf.DUMMYFUNCTION("""COMPUTED_VALUE"""),"Градиент")</f>
        <v>Градиент</v>
      </c>
      <c r="U543" s="423">
        <f>IFERROR(__xludf.DUMMYFUNCTION("""COMPUTED_VALUE"""),0.0)</f>
        <v>0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/>
      <c r="C544" s="426"/>
      <c r="D544" s="426"/>
      <c r="E544" s="422"/>
      <c r="F544" s="426"/>
      <c r="G544" s="426"/>
      <c r="T544" s="422" t="str">
        <f>IFERROR(__xludf.DUMMYFUNCTION("""COMPUTED_VALUE"""),"Дровосек")</f>
        <v>Дровосек</v>
      </c>
      <c r="U544" s="423">
        <f>IFERROR(__xludf.DUMMYFUNCTION("""COMPUTED_VALUE"""),0.0)</f>
        <v>0</v>
      </c>
      <c r="W544" s="422" t="str">
        <f>IFERROR(__xludf.DUMMYFUNCTION("""COMPUTED_VALUE"""),"Крестный отец (BLR)")</f>
        <v>Крестный отец (BLR)</v>
      </c>
      <c r="X544" s="423"/>
    </row>
    <row r="545">
      <c r="A545" s="422" t="s">
        <v>138</v>
      </c>
      <c r="B545" s="422"/>
      <c r="C545" s="426"/>
      <c r="D545" s="426"/>
      <c r="E545" s="422"/>
      <c r="F545" s="426"/>
      <c r="G545" s="426"/>
      <c r="T545" s="422" t="str">
        <f>IFERROR(__xludf.DUMMYFUNCTION("""COMPUTED_VALUE"""),"Левша")</f>
        <v>Левша</v>
      </c>
      <c r="U545" s="423">
        <f>IFERROR(__xludf.DUMMYFUNCTION("""COMPUTED_VALUE"""),0.0)</f>
        <v>0</v>
      </c>
      <c r="W545" s="422" t="str">
        <f>IFERROR(__xludf.DUMMYFUNCTION("""COMPUTED_VALUE"""),"Крёстный Отец (RU)")</f>
        <v>Крёстный Отец (RU)</v>
      </c>
      <c r="X545" s="423"/>
    </row>
    <row r="546">
      <c r="A546" s="422" t="s">
        <v>88</v>
      </c>
      <c r="B546" s="422"/>
      <c r="C546" s="426"/>
      <c r="D546" s="426"/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IFERROR(__xludf.DUMMYFUNCTION("""COMPUTED_VALUE"""),0.0)</f>
        <v>0</v>
      </c>
      <c r="W546" s="422" t="str">
        <f>IFERROR(__xludf.DUMMYFUNCTION("""COMPUTED_VALUE"""),"Крот")</f>
        <v>Крот</v>
      </c>
      <c r="X546" s="423"/>
    </row>
    <row r="547">
      <c r="A547" s="422" t="s">
        <v>97</v>
      </c>
      <c r="B547" s="422"/>
      <c r="C547" s="426"/>
      <c r="D547" s="426"/>
      <c r="E547" s="422"/>
      <c r="F547" s="426"/>
      <c r="G547" s="426"/>
      <c r="T547" s="422" t="str">
        <f>IFERROR(__xludf.DUMMYFUNCTION("""COMPUTED_VALUE"""),"Маваши")</f>
        <v>Маваши</v>
      </c>
      <c r="U547" s="423">
        <f>IFERROR(__xludf.DUMMYFUNCTION("""COMPUTED_VALUE"""),0.0)</f>
        <v>0</v>
      </c>
      <c r="W547" s="422" t="str">
        <f>IFERROR(__xludf.DUMMYFUNCTION("""COMPUTED_VALUE"""),"Лисичка")</f>
        <v>Лисичка</v>
      </c>
      <c r="X547" s="423"/>
    </row>
    <row r="548">
      <c r="A548" s="422" t="s">
        <v>96</v>
      </c>
      <c r="B548" s="422"/>
      <c r="C548" s="426"/>
      <c r="D548" s="426"/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IFERROR(__xludf.DUMMYFUNCTION("""COMPUTED_VALUE"""),0.0)</f>
        <v>0</v>
      </c>
      <c r="W548" s="422" t="str">
        <f>IFERROR(__xludf.DUMMYFUNCTION("""COMPUTED_VALUE"""),"Маваши")</f>
        <v>Маваши</v>
      </c>
      <c r="X548" s="423"/>
    </row>
    <row r="549">
      <c r="A549" s="422" t="s">
        <v>87</v>
      </c>
      <c r="B549" s="422"/>
      <c r="C549" s="426"/>
      <c r="D549" s="426"/>
      <c r="E549" s="422"/>
      <c r="F549" s="426"/>
      <c r="G549" s="426"/>
      <c r="T549" s="422" t="str">
        <f>IFERROR(__xludf.DUMMYFUNCTION("""COMPUTED_VALUE"""),"РФ")</f>
        <v>РФ</v>
      </c>
      <c r="U549" s="423">
        <f>IFERROR(__xludf.DUMMYFUNCTION("""COMPUTED_VALUE"""),0.0)</f>
        <v>0</v>
      </c>
      <c r="W549" s="422" t="str">
        <f>IFERROR(__xludf.DUMMYFUNCTION("""COMPUTED_VALUE"""),"Манекен")</f>
        <v>Манекен</v>
      </c>
      <c r="X549" s="423"/>
    </row>
    <row r="550">
      <c r="A550" s="422" t="s">
        <v>106</v>
      </c>
      <c r="B550" s="422"/>
      <c r="C550" s="426"/>
      <c r="D550" s="426"/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IFERROR(__xludf.DUMMYFUNCTION("""COMPUTED_VALUE"""),0.0)</f>
        <v>0</v>
      </c>
      <c r="W550" s="422" t="str">
        <f>IFERROR(__xludf.DUMMYFUNCTION("""COMPUTED_VALUE"""),"Марго")</f>
        <v>Марго</v>
      </c>
      <c r="X550" s="423"/>
    </row>
    <row r="551">
      <c r="A551" s="422" t="s">
        <v>95</v>
      </c>
      <c r="B551" s="422"/>
      <c r="C551" s="426"/>
      <c r="D551" s="426"/>
      <c r="E551" s="422"/>
      <c r="F551" s="426"/>
      <c r="G551" s="426"/>
      <c r="T551" s="422" t="str">
        <f>IFERROR(__xludf.DUMMYFUNCTION("""COMPUTED_VALUE"""),"Young")</f>
        <v>Young</v>
      </c>
      <c r="U551" s="423">
        <f>IFERROR(__xludf.DUMMYFUNCTION("""COMPUTED_VALUE"""),0.0)</f>
        <v>0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/>
      <c r="C552" s="426"/>
      <c r="D552" s="426"/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/>
      <c r="C553" s="426"/>
      <c r="D553" s="426"/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/>
      <c r="C554" s="426"/>
      <c r="D554" s="426"/>
      <c r="E554" s="422"/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/>
      <c r="C555" s="426"/>
      <c r="D555" s="426"/>
      <c r="E555" s="422"/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/>
      <c r="C556" s="426"/>
      <c r="D556" s="426"/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/>
      <c r="C557" s="426"/>
      <c r="D557" s="426"/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/>
      <c r="C558" s="426"/>
      <c r="D558" s="426"/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/>
      <c r="C559" s="426"/>
      <c r="D559" s="426"/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/>
      <c r="C560" s="426"/>
      <c r="D560" s="426"/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/>
      <c r="C561" s="426"/>
      <c r="D561" s="426"/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/>
      <c r="C562" s="426"/>
      <c r="D562" s="426"/>
      <c r="E562" s="422"/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/>
      <c r="C563" s="426"/>
      <c r="D563" s="426"/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/>
      <c r="C564" s="426"/>
      <c r="D564" s="426"/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/>
      <c r="C565" s="426"/>
      <c r="D565" s="426"/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/>
      <c r="C566" s="426"/>
      <c r="D566" s="426"/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/>
      <c r="C567" s="426"/>
      <c r="D567" s="426"/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/>
      <c r="C568" s="426"/>
      <c r="D568" s="426"/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/>
      <c r="C569" s="426"/>
      <c r="D569" s="426"/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/>
      <c r="C570" s="426"/>
      <c r="D570" s="426"/>
      <c r="E570" s="422"/>
      <c r="F570" s="426"/>
      <c r="G570" s="426"/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/>
      <c r="C571" s="426"/>
      <c r="D571" s="426"/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/>
      <c r="C572" s="426"/>
      <c r="D572" s="426"/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/>
      <c r="C573" s="426"/>
      <c r="D573" s="426"/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/>
      <c r="C574" s="426"/>
      <c r="D574" s="426"/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/>
      <c r="C575" s="426"/>
      <c r="D575" s="426"/>
      <c r="E575" s="422"/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/>
      <c r="C576" s="426"/>
      <c r="D576" s="426"/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IFERROR(__xludf.DUMMYFUNCTION("""COMPUTED_VALUE"""),"Light")</f>
        <v>Light</v>
      </c>
      <c r="X576" s="423"/>
    </row>
    <row r="577">
      <c r="A577" s="422" t="s">
        <v>119</v>
      </c>
      <c r="B577" s="422"/>
      <c r="C577" s="426"/>
      <c r="D577" s="426"/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IFERROR(__xludf.DUMMYFUNCTION("""COMPUTED_VALUE"""),"Morti")</f>
        <v>Morti</v>
      </c>
      <c r="X577" s="423"/>
    </row>
    <row r="578">
      <c r="A578" s="422" t="s">
        <v>88</v>
      </c>
      <c r="B578" s="422"/>
      <c r="C578" s="426"/>
      <c r="D578" s="426"/>
      <c r="E578" s="422"/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IFERROR(__xludf.DUMMYFUNCTION("""COMPUTED_VALUE"""),"Rocket woman ")</f>
        <v>Rocket woman </v>
      </c>
      <c r="X578" s="423"/>
    </row>
    <row r="579">
      <c r="A579" s="422" t="s">
        <v>86</v>
      </c>
      <c r="B579" s="422"/>
      <c r="C579" s="426"/>
      <c r="D579" s="426"/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IFERROR(__xludf.DUMMYFUNCTION("""COMPUTED_VALUE"""),"SCHOKK ")</f>
        <v>SCHOKK </v>
      </c>
      <c r="X579" s="423"/>
    </row>
    <row r="580">
      <c r="A580" s="422" t="s">
        <v>87</v>
      </c>
      <c r="B580" s="422"/>
      <c r="C580" s="426"/>
      <c r="D580" s="426"/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IFERROR(__xludf.DUMMYFUNCTION("""COMPUTED_VALUE"""),"SOVEST")</f>
        <v>SOVEST</v>
      </c>
      <c r="X580" s="423"/>
    </row>
    <row r="581">
      <c r="A581" s="422" t="s">
        <v>126</v>
      </c>
      <c r="B581" s="422"/>
      <c r="C581" s="426"/>
      <c r="D581" s="426"/>
      <c r="E581" s="422"/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/>
      <c r="C582" s="426"/>
      <c r="D582" s="426"/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/>
      <c r="C583" s="426"/>
      <c r="D583" s="426"/>
      <c r="E583" s="422"/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/>
      <c r="C584" s="426"/>
      <c r="D584" s="426"/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/>
      <c r="C585" s="426"/>
      <c r="D585" s="426"/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/>
      <c r="C586" s="426"/>
      <c r="D586" s="426"/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/>
      <c r="C587" s="426"/>
      <c r="D587" s="426"/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/>
      <c r="C588" s="426"/>
      <c r="D588" s="426"/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/>
      <c r="C589" s="426"/>
      <c r="D589" s="426"/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/>
      <c r="C590" s="426"/>
      <c r="D590" s="426"/>
      <c r="E590" s="422"/>
      <c r="F590" s="426"/>
      <c r="G590" s="426"/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/>
      <c r="C591" s="426"/>
      <c r="D591" s="426"/>
      <c r="E591" s="422"/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/>
      <c r="C592" s="426"/>
      <c r="D592" s="426"/>
      <c r="E592" s="422"/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/>
      <c r="C593" s="426"/>
      <c r="D593" s="426"/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/>
      <c r="C594" s="426"/>
      <c r="D594" s="426"/>
      <c r="E594" s="422"/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/>
      <c r="C595" s="426"/>
      <c r="D595" s="426"/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/>
      <c r="C596" s="426"/>
      <c r="D596" s="426"/>
      <c r="E596" s="422"/>
      <c r="F596" s="426"/>
      <c r="G596" s="426"/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/>
      <c r="C597" s="426"/>
      <c r="D597" s="426"/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/>
      <c r="C598" s="426"/>
      <c r="D598" s="426"/>
      <c r="E598" s="422"/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/>
      <c r="C599" s="426"/>
      <c r="D599" s="426"/>
      <c r="E599" s="422"/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/>
      <c r="C600" s="426"/>
      <c r="D600" s="426"/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/>
      <c r="C601" s="426"/>
      <c r="D601" s="426"/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/>
      <c r="C602" s="426"/>
      <c r="D602" s="426"/>
      <c r="E602" s="422"/>
      <c r="F602" s="426"/>
      <c r="G602" s="426"/>
      <c r="T602" s="422" t="str">
        <f>IFERROR(__xludf.DUMMYFUNCTION("QUERY('Турнирная таблица по Алфавиту'!C7:BG66,""select C,AE order by AE desc"")"),"Волга")</f>
        <v>Волга</v>
      </c>
      <c r="U602" s="423">
        <f>IFERROR(__xludf.DUMMYFUNCTION("""COMPUTED_VALUE"""),0.0)</f>
        <v>0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/>
      <c r="C603" s="426"/>
      <c r="D603" s="426"/>
      <c r="E603" s="422"/>
      <c r="F603" s="426"/>
      <c r="G603" s="426"/>
      <c r="T603" s="422" t="str">
        <f>IFERROR(__xludf.DUMMYFUNCTION("""COMPUTED_VALUE"""),"Градиент")</f>
        <v>Градиент</v>
      </c>
      <c r="U603" s="423">
        <f>IFERROR(__xludf.DUMMYFUNCTION("""COMPUTED_VALUE"""),0.0)</f>
        <v>0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/>
      <c r="C604" s="426"/>
      <c r="D604" s="426"/>
      <c r="E604" s="422"/>
      <c r="F604" s="426"/>
      <c r="G604" s="426"/>
      <c r="T604" s="422" t="str">
        <f>IFERROR(__xludf.DUMMYFUNCTION("""COMPUTED_VALUE"""),"Дровосек")</f>
        <v>Дровосек</v>
      </c>
      <c r="U604" s="423">
        <f>IFERROR(__xludf.DUMMYFUNCTION("""COMPUTED_VALUE"""),0.0)</f>
        <v>0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/>
      <c r="C605" s="426"/>
      <c r="D605" s="426"/>
      <c r="E605" s="422"/>
      <c r="F605" s="426"/>
      <c r="G605" s="426"/>
      <c r="T605" s="422" t="str">
        <f>IFERROR(__xludf.DUMMYFUNCTION("""COMPUTED_VALUE"""),"РФ")</f>
        <v>РФ</v>
      </c>
      <c r="U605" s="423">
        <f>IFERROR(__xludf.DUMMYFUNCTION("""COMPUTED_VALUE"""),0.0)</f>
        <v>0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/>
      <c r="C606" s="426"/>
      <c r="D606" s="426"/>
      <c r="E606" s="422"/>
      <c r="F606" s="426"/>
      <c r="G606" s="426"/>
      <c r="T606" s="422" t="str">
        <f>IFERROR(__xludf.DUMMYFUNCTION("""COMPUTED_VALUE"""),"Шпиц")</f>
        <v>Шпиц</v>
      </c>
      <c r="U606" s="423">
        <f>IFERROR(__xludf.DUMMYFUNCTION("""COMPUTED_VALUE"""),0.0)</f>
        <v>0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/>
      <c r="C607" s="426"/>
      <c r="D607" s="426"/>
      <c r="E607" s="422"/>
      <c r="F607" s="426"/>
      <c r="G607" s="426"/>
      <c r="T607" s="422" t="str">
        <f>IFERROR(__xludf.DUMMYFUNCTION("""COMPUTED_VALUE"""),"A1 ")</f>
        <v>A1 </v>
      </c>
      <c r="U607" s="423">
        <f>IFERROR(__xludf.DUMMYFUNCTION("""COMPUTED_VALUE"""),0.0)</f>
        <v>0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/>
      <c r="C608" s="426"/>
      <c r="D608" s="426"/>
      <c r="E608" s="422"/>
      <c r="F608" s="426"/>
      <c r="G608" s="426"/>
      <c r="T608" s="422" t="str">
        <f>IFERROR(__xludf.DUMMYFUNCTION("""COMPUTED_VALUE"""),"Alice ")</f>
        <v>Alice </v>
      </c>
      <c r="U608" s="423">
        <f>IFERROR(__xludf.DUMMYFUNCTION("""COMPUTED_VALUE"""),0.0)</f>
        <v>0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/>
      <c r="C609" s="426"/>
      <c r="D609" s="426"/>
      <c r="E609" s="422"/>
      <c r="F609" s="426"/>
      <c r="G609" s="426"/>
      <c r="T609" s="422" t="str">
        <f>IFERROR(__xludf.DUMMYFUNCTION("""COMPUTED_VALUE"""),"GALAY")</f>
        <v>GALAY</v>
      </c>
      <c r="U609" s="423">
        <f>IFERROR(__xludf.DUMMYFUNCTION("""COMPUTED_VALUE"""),0.0)</f>
        <v>0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/>
      <c r="C610" s="426"/>
      <c r="D610" s="426"/>
      <c r="E610" s="422"/>
      <c r="F610" s="426"/>
      <c r="G610" s="426"/>
      <c r="T610" s="422" t="str">
        <f>IFERROR(__xludf.DUMMYFUNCTION("""COMPUTED_VALUE"""),"Helga")</f>
        <v>Helga</v>
      </c>
      <c r="U610" s="423">
        <f>IFERROR(__xludf.DUMMYFUNCTION("""COMPUTED_VALUE"""),0.0)</f>
        <v>0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/>
      <c r="C611" s="426"/>
      <c r="D611" s="426"/>
      <c r="E611" s="422"/>
      <c r="F611" s="426"/>
      <c r="G611" s="426"/>
      <c r="T611" s="422" t="str">
        <f>IFERROR(__xludf.DUMMYFUNCTION("""COMPUTED_VALUE"""),"SCHOKK ")</f>
        <v>SCHOKK </v>
      </c>
      <c r="U611" s="423">
        <f>IFERROR(__xludf.DUMMYFUNCTION("""COMPUTED_VALUE"""),0.0)</f>
        <v>0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/>
      <c r="C612" s="426"/>
      <c r="D612" s="426"/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/>
      <c r="C613" s="426"/>
      <c r="D613" s="426"/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/>
      <c r="C614" s="426"/>
      <c r="D614" s="426"/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/>
      <c r="C615" s="426"/>
      <c r="D615" s="426"/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/>
      <c r="C616" s="426"/>
      <c r="D616" s="426"/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/>
      <c r="C617" s="426"/>
      <c r="D617" s="426"/>
      <c r="E617" s="422"/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IFERROR(__xludf.DUMMYFUNCTION("""COMPUTED_VALUE"""),"Alice ")</f>
        <v>Alice </v>
      </c>
      <c r="X617" s="423"/>
    </row>
    <row r="618">
      <c r="A618" s="422" t="s">
        <v>110</v>
      </c>
      <c r="B618" s="422"/>
      <c r="C618" s="426"/>
      <c r="D618" s="426"/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IFERROR(__xludf.DUMMYFUNCTION("""COMPUTED_VALUE"""),"Bublik")</f>
        <v>Bublik</v>
      </c>
      <c r="X618" s="423"/>
    </row>
    <row r="619">
      <c r="A619" s="422" t="s">
        <v>168</v>
      </c>
      <c r="B619" s="422"/>
      <c r="C619" s="426"/>
      <c r="D619" s="426"/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IFERROR(__xludf.DUMMYFUNCTION("""COMPUTED_VALUE"""),"BWDMoscow")</f>
        <v>BWDMoscow</v>
      </c>
      <c r="X619" s="423"/>
    </row>
    <row r="620">
      <c r="A620" s="422" t="s">
        <v>104</v>
      </c>
      <c r="B620" s="422"/>
      <c r="C620" s="426"/>
      <c r="D620" s="426"/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/>
      <c r="C621" s="426"/>
      <c r="D621" s="426"/>
      <c r="E621" s="422"/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/>
      <c r="C622" s="426"/>
      <c r="D622" s="426"/>
      <c r="E622" s="422"/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/>
      <c r="C623" s="426"/>
      <c r="D623" s="426"/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/>
      <c r="C624" s="426"/>
      <c r="D624" s="426"/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/>
      <c r="C625" s="426"/>
      <c r="D625" s="426"/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/>
      <c r="C626" s="426"/>
      <c r="D626" s="426"/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/>
      <c r="C627" s="426"/>
      <c r="D627" s="426"/>
      <c r="E627" s="422"/>
      <c r="F627" s="426"/>
      <c r="G627" s="426"/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/>
      <c r="C628" s="426"/>
      <c r="D628" s="426"/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/>
      <c r="C629" s="426"/>
      <c r="D629" s="426"/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/>
      <c r="C630" s="426"/>
      <c r="D630" s="426"/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/>
      <c r="C631" s="426"/>
      <c r="D631" s="426"/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/>
      <c r="C632" s="426"/>
      <c r="D632" s="426"/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/>
      <c r="C633" s="426"/>
      <c r="D633" s="426"/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/>
      <c r="C634" s="426"/>
      <c r="D634" s="426"/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/>
      <c r="C635" s="426"/>
      <c r="D635" s="426"/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/>
      <c r="C636" s="426"/>
      <c r="D636" s="426"/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/>
      <c r="C637" s="426"/>
      <c r="D637" s="426"/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/>
      <c r="C638" s="426"/>
      <c r="D638" s="426"/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/>
      <c r="C639" s="426"/>
      <c r="D639" s="426"/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/>
      <c r="C640" s="426"/>
      <c r="D640" s="426"/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/>
      <c r="C641" s="426"/>
      <c r="D641" s="426"/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/>
      <c r="C642" s="426"/>
      <c r="D642" s="426"/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/>
      <c r="C643" s="426"/>
      <c r="D643" s="426"/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/>
      <c r="C644" s="426"/>
      <c r="D644" s="426"/>
      <c r="E644" s="422"/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/>
      <c r="C645" s="426"/>
      <c r="D645" s="426"/>
      <c r="E645" s="422"/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/>
      <c r="C646" s="426"/>
      <c r="D646" s="426"/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/>
      <c r="C647" s="426"/>
      <c r="D647" s="426"/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/>
      <c r="C648" s="426"/>
      <c r="D648" s="426"/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/>
      <c r="C649" s="426"/>
      <c r="D649" s="426"/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/>
      <c r="C650" s="426"/>
      <c r="D650" s="426"/>
      <c r="E650" s="422"/>
      <c r="F650" s="426"/>
      <c r="G650" s="426"/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/>
      <c r="C651" s="426"/>
      <c r="D651" s="426"/>
      <c r="E651" s="422"/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/>
      <c r="C652" s="426"/>
      <c r="D652" s="426"/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/>
      <c r="C653" s="426"/>
      <c r="D653" s="426"/>
      <c r="E653" s="422"/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/>
      <c r="C654" s="426"/>
      <c r="D654" s="426"/>
      <c r="E654" s="422"/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/>
      <c r="C655" s="426"/>
      <c r="D655" s="426"/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/>
      <c r="C656" s="426"/>
      <c r="D656" s="426"/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/>
      <c r="C657" s="426"/>
      <c r="D657" s="426"/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/>
      <c r="C658" s="426"/>
      <c r="D658" s="426"/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/>
      <c r="C659" s="426"/>
      <c r="D659" s="426"/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/>
      <c r="C660" s="426"/>
      <c r="D660" s="426"/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/>
      <c r="C661" s="426"/>
      <c r="D661" s="426"/>
      <c r="E661" s="422"/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/>
      <c r="C662" s="426"/>
      <c r="D662" s="426"/>
      <c r="E662" s="422"/>
      <c r="F662" s="426"/>
      <c r="G662" s="426"/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IFERROR(__xludf.DUMMYFUNCTION("""COMPUTED_VALUE"""),0.0)</f>
        <v>0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/>
      <c r="C663" s="426"/>
      <c r="D663" s="426"/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IFERROR(__xludf.DUMMYFUNCTION("""COMPUTED_VALUE"""),0.0)</f>
        <v>0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/>
      <c r="C664" s="426"/>
      <c r="D664" s="426"/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IFERROR(__xludf.DUMMYFUNCTION("""COMPUTED_VALUE"""),0.0)</f>
        <v>0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/>
      <c r="C665" s="426"/>
      <c r="D665" s="426"/>
      <c r="E665" s="422"/>
      <c r="F665" s="426"/>
      <c r="G665" s="426"/>
      <c r="T665" s="422" t="str">
        <f>IFERROR(__xludf.DUMMYFUNCTION("""COMPUTED_VALUE"""),"Наполеон")</f>
        <v>Наполеон</v>
      </c>
      <c r="U665" s="423">
        <f>IFERROR(__xludf.DUMMYFUNCTION("""COMPUTED_VALUE"""),0.0)</f>
        <v>0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/>
      <c r="C666" s="426"/>
      <c r="D666" s="426"/>
      <c r="E666" s="422"/>
      <c r="F666" s="426"/>
      <c r="G666" s="426"/>
      <c r="T666" s="422" t="str">
        <f>IFERROR(__xludf.DUMMYFUNCTION("""COMPUTED_VALUE"""),"Писатель ")</f>
        <v>Писатель </v>
      </c>
      <c r="U666" s="423">
        <f>IFERROR(__xludf.DUMMYFUNCTION("""COMPUTED_VALUE"""),0.0)</f>
        <v>0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/>
      <c r="C667" s="426"/>
      <c r="D667" s="426"/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IFERROR(__xludf.DUMMYFUNCTION("""COMPUTED_VALUE"""),0.0)</f>
        <v>0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/>
      <c r="C668" s="426"/>
      <c r="D668" s="426"/>
      <c r="E668" s="422"/>
      <c r="F668" s="426"/>
      <c r="G668" s="426"/>
      <c r="T668" s="422" t="str">
        <f>IFERROR(__xludf.DUMMYFUNCTION("""COMPUTED_VALUE"""),"Тихий закат")</f>
        <v>Тихий закат</v>
      </c>
      <c r="U668" s="423">
        <f>IFERROR(__xludf.DUMMYFUNCTION("""COMPUTED_VALUE"""),0.0)</f>
        <v>0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/>
      <c r="C669" s="426"/>
      <c r="D669" s="426"/>
      <c r="E669" s="422"/>
      <c r="F669" s="426"/>
      <c r="G669" s="426"/>
      <c r="T669" s="422" t="str">
        <f>IFERROR(__xludf.DUMMYFUNCTION("""COMPUTED_VALUE"""),"GALAY")</f>
        <v>GALAY</v>
      </c>
      <c r="U669" s="423">
        <f>IFERROR(__xludf.DUMMYFUNCTION("""COMPUTED_VALUE"""),0.0)</f>
        <v>0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/>
      <c r="C670" s="426"/>
      <c r="D670" s="426"/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IFERROR(__xludf.DUMMYFUNCTION("""COMPUTED_VALUE"""),0.0)</f>
        <v>0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/>
      <c r="C671" s="426"/>
      <c r="D671" s="426"/>
      <c r="E671" s="422"/>
      <c r="F671" s="426"/>
      <c r="G671" s="426"/>
      <c r="T671" s="422" t="str">
        <f>IFERROR(__xludf.DUMMYFUNCTION("""COMPUTED_VALUE"""),"NLIP")</f>
        <v>NLIP</v>
      </c>
      <c r="U671" s="423">
        <f>IFERROR(__xludf.DUMMYFUNCTION("""COMPUTED_VALUE"""),0.0)</f>
        <v>0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/>
      <c r="C672" s="426"/>
      <c r="D672" s="426"/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/>
      <c r="C673" s="426"/>
      <c r="D673" s="426"/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/>
      <c r="C674" s="426"/>
      <c r="D674" s="426"/>
      <c r="E674" s="422"/>
      <c r="F674" s="426"/>
      <c r="G674" s="426"/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/>
      <c r="C675" s="426"/>
      <c r="D675" s="426"/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/>
      <c r="C676" s="426"/>
      <c r="D676" s="426"/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/>
      <c r="C677" s="426"/>
      <c r="D677" s="426"/>
      <c r="E677" s="422"/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/>
      <c r="C678" s="426"/>
      <c r="D678" s="426"/>
      <c r="E678" s="422"/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/>
      <c r="C679" s="426"/>
      <c r="D679" s="426"/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/>
      <c r="C680" s="426"/>
      <c r="D680" s="426"/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/>
      <c r="C681" s="426"/>
      <c r="D681" s="426"/>
      <c r="E681" s="422"/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/>
      <c r="C682" s="426"/>
      <c r="D682" s="426"/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/>
      <c r="C683" s="426"/>
      <c r="D683" s="426"/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/>
      <c r="C684" s="426"/>
      <c r="D684" s="426"/>
      <c r="E684" s="422"/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/>
      <c r="C685" s="426"/>
      <c r="D685" s="426"/>
      <c r="E685" s="422"/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/>
      <c r="C686" s="426"/>
      <c r="D686" s="426"/>
      <c r="E686" s="422"/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/>
      <c r="C687" s="426"/>
      <c r="D687" s="426"/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/>
      <c r="C688" s="426"/>
      <c r="D688" s="426"/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/>
      <c r="C689" s="426"/>
      <c r="D689" s="426"/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/>
      <c r="C690" s="426"/>
      <c r="D690" s="426"/>
      <c r="E690" s="422"/>
      <c r="F690" s="426"/>
      <c r="G690" s="426"/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/>
      <c r="C691" s="426"/>
      <c r="D691" s="426"/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/>
      <c r="C692" s="426"/>
      <c r="D692" s="426"/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/>
      <c r="C693" s="426"/>
      <c r="D693" s="426"/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/>
      <c r="C694" s="426"/>
      <c r="D694" s="426"/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/>
      <c r="C695" s="426"/>
      <c r="D695" s="426"/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/>
      <c r="C696" s="426"/>
      <c r="D696" s="426"/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/>
      <c r="C697" s="426"/>
      <c r="D697" s="426"/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/>
      <c r="C698" s="426"/>
      <c r="D698" s="426"/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/>
      <c r="C699" s="426"/>
      <c r="D699" s="426"/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/>
      <c r="C700" s="426"/>
      <c r="D700" s="426"/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/>
      <c r="C701" s="426"/>
      <c r="D701" s="426"/>
      <c r="E701" s="422"/>
      <c r="F701" s="426"/>
      <c r="G701" s="426"/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/>
      <c r="C702" s="426"/>
      <c r="D702" s="426"/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100</v>
      </c>
      <c r="B703" s="422"/>
      <c r="C703" s="426"/>
      <c r="D703" s="426"/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/>
      <c r="C704" s="426"/>
      <c r="D704" s="426"/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136</v>
      </c>
      <c r="B705" s="422"/>
      <c r="C705" s="426"/>
      <c r="D705" s="426"/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/>
      <c r="C706" s="426"/>
      <c r="D706" s="426"/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91</v>
      </c>
      <c r="B707" s="422"/>
      <c r="C707" s="426"/>
      <c r="D707" s="426"/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/>
      <c r="C708" s="426"/>
      <c r="D708" s="426"/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/>
      <c r="C709" s="426"/>
      <c r="D709" s="426"/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123</v>
      </c>
      <c r="B710" s="422"/>
      <c r="C710" s="426"/>
      <c r="D710" s="426"/>
      <c r="E710" s="422"/>
      <c r="F710" s="426"/>
      <c r="G710" s="426"/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/>
      <c r="C711" s="426"/>
      <c r="D711" s="426"/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/>
      <c r="C712" s="426"/>
      <c r="D712" s="426"/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100</v>
      </c>
      <c r="B713" s="422"/>
      <c r="C713" s="426"/>
      <c r="D713" s="426"/>
      <c r="E713" s="422"/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/>
      <c r="C714" s="426"/>
      <c r="D714" s="426"/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136</v>
      </c>
      <c r="B715" s="422"/>
      <c r="C715" s="426"/>
      <c r="D715" s="426"/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/>
      <c r="C716" s="426"/>
      <c r="D716" s="426"/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91</v>
      </c>
      <c r="B717" s="422"/>
      <c r="C717" s="426"/>
      <c r="D717" s="426"/>
      <c r="E717" s="422"/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/>
      <c r="C718" s="426"/>
      <c r="D718" s="426"/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/>
      <c r="C719" s="426"/>
      <c r="D719" s="426"/>
      <c r="E719" s="422"/>
      <c r="F719" s="426"/>
      <c r="G719" s="426"/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123</v>
      </c>
      <c r="B720" s="422"/>
      <c r="C720" s="426"/>
      <c r="D720" s="426"/>
      <c r="E720" s="422"/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/>
      <c r="C721" s="426"/>
      <c r="D721" s="426"/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/>
      <c r="C722" s="426"/>
      <c r="D722" s="426"/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IFERROR(__xludf.DUMMYFUNCTION("""COMPUTED_VALUE"""),0.0)</f>
        <v>0</v>
      </c>
      <c r="W722" s="422" t="str">
        <f>IFERROR(__xludf.DUMMYFUNCTION("""COMPUTED_VALUE"""),"Infinity ")</f>
        <v>Infinity </v>
      </c>
      <c r="X722" s="423"/>
    </row>
    <row r="723">
      <c r="A723" s="422" t="s">
        <v>100</v>
      </c>
      <c r="B723" s="422"/>
      <c r="C723" s="426"/>
      <c r="D723" s="426"/>
      <c r="E723" s="422"/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IFERROR(__xludf.DUMMYFUNCTION("""COMPUTED_VALUE"""),0.0)</f>
        <v>0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/>
      <c r="C724" s="426"/>
      <c r="D724" s="426"/>
      <c r="E724" s="422"/>
      <c r="F724" s="426"/>
      <c r="G724" s="426"/>
      <c r="T724" s="422" t="str">
        <f>IFERROR(__xludf.DUMMYFUNCTION("""COMPUTED_VALUE"""),"Марго")</f>
        <v>Марго</v>
      </c>
      <c r="U724" s="423">
        <f>IFERROR(__xludf.DUMMYFUNCTION("""COMPUTED_VALUE"""),0.0)</f>
        <v>0</v>
      </c>
      <c r="W724" s="422" t="str">
        <f>IFERROR(__xludf.DUMMYFUNCTION("""COMPUTED_VALUE"""),"Light")</f>
        <v>Light</v>
      </c>
      <c r="X724" s="423"/>
    </row>
    <row r="725">
      <c r="A725" s="422" t="s">
        <v>136</v>
      </c>
      <c r="B725" s="422"/>
      <c r="C725" s="426"/>
      <c r="D725" s="426"/>
      <c r="E725" s="422"/>
      <c r="F725" s="426"/>
      <c r="G725" s="426"/>
      <c r="T725" s="422" t="str">
        <f>IFERROR(__xludf.DUMMYFUNCTION("""COMPUTED_VALUE"""),"Тихий закат")</f>
        <v>Тихий закат</v>
      </c>
      <c r="U725" s="423">
        <f>IFERROR(__xludf.DUMMYFUNCTION("""COMPUTED_VALUE"""),0.0)</f>
        <v>0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/>
      <c r="C726" s="426"/>
      <c r="D726" s="426"/>
      <c r="E726" s="422"/>
      <c r="F726" s="426"/>
      <c r="G726" s="426"/>
      <c r="T726" s="422" t="str">
        <f>IFERROR(__xludf.DUMMYFUNCTION("""COMPUTED_VALUE"""),"A1 ")</f>
        <v>A1 </v>
      </c>
      <c r="U726" s="423">
        <f>IFERROR(__xludf.DUMMYFUNCTION("""COMPUTED_VALUE"""),0.0)</f>
        <v>0</v>
      </c>
      <c r="W726" s="422" t="str">
        <f>IFERROR(__xludf.DUMMYFUNCTION("""COMPUTED_VALUE"""),"NLIP")</f>
        <v>NLIP</v>
      </c>
      <c r="X726" s="423"/>
    </row>
    <row r="727">
      <c r="A727" s="422" t="s">
        <v>91</v>
      </c>
      <c r="B727" s="422"/>
      <c r="C727" s="426"/>
      <c r="D727" s="426"/>
      <c r="E727" s="422"/>
      <c r="F727" s="426"/>
      <c r="G727" s="426"/>
      <c r="T727" s="422" t="str">
        <f>IFERROR(__xludf.DUMMYFUNCTION("""COMPUTED_VALUE"""),"Curly")</f>
        <v>Curly</v>
      </c>
      <c r="U727" s="423">
        <f>IFERROR(__xludf.DUMMYFUNCTION("""COMPUTED_VALUE"""),0.0)</f>
        <v>0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/>
      <c r="C728" s="426"/>
      <c r="D728" s="426"/>
      <c r="E728" s="422"/>
      <c r="F728" s="426"/>
      <c r="G728" s="426"/>
      <c r="T728" s="422" t="str">
        <f>IFERROR(__xludf.DUMMYFUNCTION("""COMPUTED_VALUE"""),"GALAY")</f>
        <v>GALAY</v>
      </c>
      <c r="U728" s="423">
        <f>IFERROR(__xludf.DUMMYFUNCTION("""COMPUTED_VALUE"""),0.0)</f>
        <v>0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/>
      <c r="C729" s="426"/>
      <c r="D729" s="426"/>
      <c r="E729" s="422"/>
      <c r="F729" s="426"/>
      <c r="G729" s="426"/>
      <c r="T729" s="422" t="str">
        <f>IFERROR(__xludf.DUMMYFUNCTION("""COMPUTED_VALUE"""),"Ketamin")</f>
        <v>Ketamin</v>
      </c>
      <c r="U729" s="423">
        <f>IFERROR(__xludf.DUMMYFUNCTION("""COMPUTED_VALUE"""),0.0)</f>
        <v>0</v>
      </c>
      <c r="W729" s="422" t="str">
        <f>IFERROR(__xludf.DUMMYFUNCTION("""COMPUTED_VALUE"""),"Stacy")</f>
        <v>Stacy</v>
      </c>
      <c r="X729" s="423"/>
    </row>
    <row r="730">
      <c r="A730" s="422" t="s">
        <v>123</v>
      </c>
      <c r="B730" s="422"/>
      <c r="C730" s="426"/>
      <c r="D730" s="426"/>
      <c r="E730" s="422"/>
      <c r="F730" s="426"/>
      <c r="G730" s="426"/>
      <c r="T730" s="422" t="str">
        <f>IFERROR(__xludf.DUMMYFUNCTION("""COMPUTED_VALUE"""),"Stacy")</f>
        <v>Stacy</v>
      </c>
      <c r="U730" s="423">
        <f>IFERROR(__xludf.DUMMYFUNCTION("""COMPUTED_VALUE"""),0.0)</f>
        <v>0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/>
      <c r="C731" s="426"/>
      <c r="D731" s="426"/>
      <c r="E731" s="422"/>
      <c r="F731" s="426"/>
      <c r="G731" s="426"/>
      <c r="T731" s="422" t="str">
        <f>IFERROR(__xludf.DUMMYFUNCTION("""COMPUTED_VALUE"""),"Young")</f>
        <v>Young</v>
      </c>
      <c r="U731" s="423">
        <f>IFERROR(__xludf.DUMMYFUNCTION("""COMPUTED_VALUE"""),0.0)</f>
        <v>0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/>
      <c r="C732" s="426"/>
      <c r="D732" s="426"/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100</v>
      </c>
      <c r="B733" s="422"/>
      <c r="C733" s="426"/>
      <c r="D733" s="426"/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/>
      <c r="C734" s="426"/>
      <c r="D734" s="426"/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136</v>
      </c>
      <c r="B735" s="422"/>
      <c r="C735" s="426"/>
      <c r="D735" s="426"/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/>
      <c r="C736" s="426"/>
      <c r="D736" s="426"/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91</v>
      </c>
      <c r="B737" s="422"/>
      <c r="C737" s="426"/>
      <c r="D737" s="426"/>
      <c r="E737" s="422"/>
      <c r="F737" s="426"/>
      <c r="G737" s="426"/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/>
      <c r="C738" s="426"/>
      <c r="D738" s="426"/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/>
      <c r="C739" s="426"/>
      <c r="D739" s="426"/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123</v>
      </c>
      <c r="B740" s="422"/>
      <c r="C740" s="426"/>
      <c r="D740" s="426"/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/>
      <c r="C741" s="426"/>
      <c r="D741" s="426"/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/>
      <c r="C742" s="426"/>
      <c r="D742" s="426"/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100</v>
      </c>
      <c r="B743" s="422"/>
      <c r="C743" s="426"/>
      <c r="D743" s="426"/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/>
      <c r="C744" s="426"/>
      <c r="D744" s="426"/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136</v>
      </c>
      <c r="B745" s="422"/>
      <c r="C745" s="426"/>
      <c r="D745" s="426"/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/>
      <c r="C746" s="426"/>
      <c r="D746" s="426"/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91</v>
      </c>
      <c r="B747" s="422"/>
      <c r="C747" s="426"/>
      <c r="D747" s="426"/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/>
      <c r="C748" s="426"/>
      <c r="D748" s="426"/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/>
      <c r="C749" s="426"/>
      <c r="D749" s="426"/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123</v>
      </c>
      <c r="B750" s="422"/>
      <c r="C750" s="426"/>
      <c r="D750" s="426"/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/>
      <c r="C751" s="426"/>
      <c r="D751" s="426"/>
      <c r="E751" s="422"/>
      <c r="F751" s="426"/>
      <c r="G751" s="426"/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/>
      <c r="C752" s="426"/>
      <c r="D752" s="426"/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/>
      <c r="C753" s="426"/>
      <c r="D753" s="426"/>
      <c r="E753" s="422"/>
      <c r="F753" s="426"/>
      <c r="G753" s="426"/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/>
      <c r="C754" s="426"/>
      <c r="D754" s="426"/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/>
      <c r="C755" s="426"/>
      <c r="D755" s="426"/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/>
      <c r="C756" s="426"/>
      <c r="D756" s="426"/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/>
      <c r="C757" s="426"/>
      <c r="D757" s="426"/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/>
      <c r="C758" s="426"/>
      <c r="D758" s="426"/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/>
      <c r="C759" s="426"/>
      <c r="D759" s="426"/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/>
      <c r="C760" s="426"/>
      <c r="D760" s="426"/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/>
      <c r="C761" s="426"/>
      <c r="D761" s="426"/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100</v>
      </c>
      <c r="B762" s="422"/>
      <c r="C762" s="426"/>
      <c r="D762" s="426"/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/>
      <c r="C763" s="426"/>
      <c r="D763" s="426"/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/>
      <c r="C764" s="426"/>
      <c r="D764" s="426"/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/>
      <c r="C765" s="426"/>
      <c r="D765" s="426"/>
      <c r="E765" s="422"/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/>
      <c r="C766" s="426"/>
      <c r="D766" s="426"/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/>
      <c r="C767" s="426"/>
      <c r="D767" s="426"/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/>
      <c r="C768" s="426"/>
      <c r="D768" s="426"/>
      <c r="E768" s="422"/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/>
      <c r="C769" s="426"/>
      <c r="D769" s="426"/>
      <c r="E769" s="422"/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/>
      <c r="C770" s="426"/>
      <c r="D770" s="426"/>
      <c r="E770" s="422"/>
      <c r="F770" s="426"/>
      <c r="G770" s="426"/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/>
      <c r="C771" s="426"/>
      <c r="D771" s="426"/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100</v>
      </c>
      <c r="B772" s="422"/>
      <c r="C772" s="426"/>
      <c r="D772" s="426"/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/>
      <c r="C773" s="426"/>
      <c r="D773" s="426"/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/>
      <c r="C774" s="426"/>
      <c r="D774" s="426"/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/>
      <c r="C775" s="426"/>
      <c r="D775" s="426"/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/>
      <c r="C776" s="426"/>
      <c r="D776" s="426"/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/>
      <c r="C777" s="426"/>
      <c r="D777" s="426"/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/>
      <c r="C778" s="426"/>
      <c r="D778" s="426"/>
      <c r="E778" s="422"/>
      <c r="F778" s="426"/>
      <c r="G778" s="426"/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/>
      <c r="C779" s="426"/>
      <c r="D779" s="426"/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/>
      <c r="C780" s="426"/>
      <c r="D780" s="426"/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/>
      <c r="C781" s="426"/>
      <c r="D781" s="426"/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100</v>
      </c>
      <c r="B782" s="422"/>
      <c r="C782" s="426"/>
      <c r="D782" s="426"/>
      <c r="E782" s="422"/>
      <c r="F782" s="426"/>
      <c r="G782" s="426"/>
      <c r="T782" s="422" t="str">
        <f>IFERROR(__xludf.DUMMYFUNCTION("QUERY('Турнирная таблица по Алфавиту'!C7:BG66,""select C,AH order by AH desc"")"),"Градиент")</f>
        <v>Градиент</v>
      </c>
      <c r="U782" s="423">
        <f>IFERROR(__xludf.DUMMYFUNCTION("""COMPUTED_VALUE"""),0.0)</f>
        <v>0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/>
      <c r="C783" s="426"/>
      <c r="D783" s="426"/>
      <c r="E783" s="422"/>
      <c r="F783" s="426"/>
      <c r="G783" s="426"/>
      <c r="T783" s="422" t="str">
        <f>IFERROR(__xludf.DUMMYFUNCTION("""COMPUTED_VALUE"""),"Красавчик")</f>
        <v>Красавчик</v>
      </c>
      <c r="U783" s="423">
        <f>IFERROR(__xludf.DUMMYFUNCTION("""COMPUTED_VALUE"""),0.0)</f>
        <v>0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/>
      <c r="C784" s="426"/>
      <c r="D784" s="426"/>
      <c r="E784" s="422"/>
      <c r="F784" s="426"/>
      <c r="G784" s="426"/>
      <c r="T784" s="422" t="str">
        <f>IFERROR(__xludf.DUMMYFUNCTION("""COMPUTED_VALUE"""),"Крестный отец (BLR)")</f>
        <v>Крестный отец (BLR)</v>
      </c>
      <c r="U784" s="423">
        <f>IFERROR(__xludf.DUMMYFUNCTION("""COMPUTED_VALUE"""),0.0)</f>
        <v>0</v>
      </c>
      <c r="W784" s="422" t="str">
        <f>IFERROR(__xludf.DUMMYFUNCTION("""COMPUTED_VALUE"""),"Артик")</f>
        <v>Артик</v>
      </c>
      <c r="X784" s="423"/>
    </row>
    <row r="785">
      <c r="A785" s="422" t="s">
        <v>113</v>
      </c>
      <c r="B785" s="422"/>
      <c r="C785" s="426"/>
      <c r="D785" s="426"/>
      <c r="E785" s="422"/>
      <c r="F785" s="426"/>
      <c r="G785" s="426"/>
      <c r="T785" s="422" t="str">
        <f>IFERROR(__xludf.DUMMYFUNCTION("""COMPUTED_VALUE"""),"Крот")</f>
        <v>Крот</v>
      </c>
      <c r="U785" s="423">
        <f>IFERROR(__xludf.DUMMYFUNCTION("""COMPUTED_VALUE"""),0.0)</f>
        <v>0</v>
      </c>
      <c r="W785" s="422" t="str">
        <f>IFERROR(__xludf.DUMMYFUNCTION("""COMPUTED_VALUE"""),"Астория")</f>
        <v>Астория</v>
      </c>
      <c r="X785" s="423"/>
    </row>
    <row r="786">
      <c r="A786" s="422" t="s">
        <v>92</v>
      </c>
      <c r="B786" s="422"/>
      <c r="C786" s="426"/>
      <c r="D786" s="426"/>
      <c r="E786" s="422"/>
      <c r="F786" s="426"/>
      <c r="G786" s="426"/>
      <c r="T786" s="422" t="str">
        <f>IFERROR(__xludf.DUMMYFUNCTION("""COMPUTED_VALUE"""),"Ментик")</f>
        <v>Ментик</v>
      </c>
      <c r="U786" s="423">
        <f>IFERROR(__xludf.DUMMYFUNCTION("""COMPUTED_VALUE"""),0.0)</f>
        <v>0</v>
      </c>
      <c r="W786" s="422" t="str">
        <f>IFERROR(__xludf.DUMMYFUNCTION("""COMPUTED_VALUE"""),"Аш")</f>
        <v>Аш</v>
      </c>
      <c r="X786" s="423"/>
    </row>
    <row r="787">
      <c r="A787" s="422" t="s">
        <v>99</v>
      </c>
      <c r="B787" s="422"/>
      <c r="C787" s="426"/>
      <c r="D787" s="426"/>
      <c r="E787" s="422"/>
      <c r="F787" s="426"/>
      <c r="G787" s="426"/>
      <c r="T787" s="422" t="str">
        <f>IFERROR(__xludf.DUMMYFUNCTION("""COMPUTED_VALUE"""),"Правда ")</f>
        <v>Правда </v>
      </c>
      <c r="U787" s="423">
        <f>IFERROR(__xludf.DUMMYFUNCTION("""COMPUTED_VALUE"""),0.0)</f>
        <v>0</v>
      </c>
      <c r="W787" s="422" t="str">
        <f>IFERROR(__xludf.DUMMYFUNCTION("""COMPUTED_VALUE"""),"Бамблби")</f>
        <v>Бамблби</v>
      </c>
      <c r="X787" s="423"/>
    </row>
    <row r="788">
      <c r="A788" s="422" t="s">
        <v>96</v>
      </c>
      <c r="B788" s="422"/>
      <c r="C788" s="426"/>
      <c r="D788" s="426"/>
      <c r="E788" s="422"/>
      <c r="F788" s="426"/>
      <c r="G788" s="426"/>
      <c r="T788" s="422" t="str">
        <f>IFERROR(__xludf.DUMMYFUNCTION("""COMPUTED_VALUE"""),"Тихий закат")</f>
        <v>Тихий закат</v>
      </c>
      <c r="U788" s="423">
        <f>IFERROR(__xludf.DUMMYFUNCTION("""COMPUTED_VALUE"""),0.0)</f>
        <v>0</v>
      </c>
      <c r="W788" s="422" t="str">
        <f>IFERROR(__xludf.DUMMYFUNCTION("""COMPUTED_VALUE"""),"Волга")</f>
        <v>Волга</v>
      </c>
      <c r="X788" s="423"/>
    </row>
    <row r="789">
      <c r="A789" s="422" t="s">
        <v>168</v>
      </c>
      <c r="B789" s="422"/>
      <c r="C789" s="426"/>
      <c r="D789" s="426"/>
      <c r="E789" s="422"/>
      <c r="F789" s="426"/>
      <c r="G789" s="426"/>
      <c r="T789" s="422" t="str">
        <f>IFERROR(__xludf.DUMMYFUNCTION("""COMPUTED_VALUE"""),"Bublik")</f>
        <v>Bublik</v>
      </c>
      <c r="U789" s="423">
        <f>IFERROR(__xludf.DUMMYFUNCTION("""COMPUTED_VALUE"""),0.0)</f>
        <v>0</v>
      </c>
      <c r="W789" s="422" t="str">
        <f>IFERROR(__xludf.DUMMYFUNCTION("""COMPUTED_VALUE"""),"Градиент")</f>
        <v>Градиент</v>
      </c>
      <c r="X789" s="423"/>
    </row>
    <row r="790">
      <c r="A790" s="422" t="s">
        <v>152</v>
      </c>
      <c r="B790" s="422"/>
      <c r="C790" s="426"/>
      <c r="D790" s="426"/>
      <c r="E790" s="422"/>
      <c r="F790" s="426"/>
      <c r="G790" s="426"/>
      <c r="T790" s="422" t="str">
        <f>IFERROR(__xludf.DUMMYFUNCTION("""COMPUTED_VALUE"""),"Cristo")</f>
        <v>Cristo</v>
      </c>
      <c r="U790" s="423">
        <f>IFERROR(__xludf.DUMMYFUNCTION("""COMPUTED_VALUE"""),0.0)</f>
        <v>0</v>
      </c>
      <c r="W790" s="422" t="str">
        <f>IFERROR(__xludf.DUMMYFUNCTION("""COMPUTED_VALUE"""),"Инсомнич")</f>
        <v>Инсомнич</v>
      </c>
      <c r="X790" s="423"/>
    </row>
    <row r="791">
      <c r="A791" s="422" t="s">
        <v>110</v>
      </c>
      <c r="B791" s="422"/>
      <c r="C791" s="426"/>
      <c r="D791" s="426"/>
      <c r="E791" s="422"/>
      <c r="F791" s="426"/>
      <c r="G791" s="426"/>
      <c r="T791" s="422" t="str">
        <f>IFERROR(__xludf.DUMMYFUNCTION("""COMPUTED_VALUE"""),"Stacy")</f>
        <v>Stacy</v>
      </c>
      <c r="U791" s="423">
        <f>IFERROR(__xludf.DUMMYFUNCTION("""COMPUTED_VALUE"""),0.0)</f>
        <v>0</v>
      </c>
      <c r="W791" s="422" t="str">
        <f>IFERROR(__xludf.DUMMYFUNCTION("""COMPUTED_VALUE"""),"Красавчик")</f>
        <v>Красавчик</v>
      </c>
      <c r="X791" s="423"/>
    </row>
    <row r="792">
      <c r="A792" s="422" t="s">
        <v>100</v>
      </c>
      <c r="B792" s="422"/>
      <c r="C792" s="426"/>
      <c r="D792" s="426"/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IFERROR(__xludf.DUMMYFUNCTION("""COMPUTED_VALUE"""),"Крестный отец (BLR)")</f>
        <v>Крестный отец (BLR)</v>
      </c>
      <c r="X792" s="423"/>
    </row>
    <row r="793">
      <c r="A793" s="422" t="s">
        <v>79</v>
      </c>
      <c r="B793" s="422"/>
      <c r="C793" s="426"/>
      <c r="D793" s="426"/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IFERROR(__xludf.DUMMYFUNCTION("""COMPUTED_VALUE"""),"Крёстный Отец (RU)")</f>
        <v>Крёстный Отец (RU)</v>
      </c>
      <c r="X793" s="423"/>
    </row>
    <row r="794">
      <c r="A794" s="422" t="s">
        <v>104</v>
      </c>
      <c r="B794" s="422"/>
      <c r="C794" s="426"/>
      <c r="D794" s="426"/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IFERROR(__xludf.DUMMYFUNCTION("""COMPUTED_VALUE"""),"Крот")</f>
        <v>Крот</v>
      </c>
      <c r="X794" s="423"/>
    </row>
    <row r="795">
      <c r="A795" s="422" t="s">
        <v>113</v>
      </c>
      <c r="B795" s="422"/>
      <c r="C795" s="426"/>
      <c r="D795" s="426"/>
      <c r="E795" s="422"/>
      <c r="F795" s="426"/>
      <c r="G795" s="426"/>
      <c r="T795" s="422" t="str">
        <f>IFERROR(__xludf.DUMMYFUNCTION("""COMPUTED_VALUE"""),"Артик")</f>
        <v>Артик</v>
      </c>
      <c r="U795" s="423"/>
      <c r="W795" s="422" t="str">
        <f>IFERROR(__xludf.DUMMYFUNCTION("""COMPUTED_VALUE"""),"Левша")</f>
        <v>Левша</v>
      </c>
      <c r="X795" s="423"/>
    </row>
    <row r="796">
      <c r="A796" s="422" t="s">
        <v>92</v>
      </c>
      <c r="B796" s="422"/>
      <c r="C796" s="426"/>
      <c r="D796" s="426"/>
      <c r="E796" s="422"/>
      <c r="F796" s="426"/>
      <c r="G796" s="426"/>
      <c r="T796" s="422" t="str">
        <f>IFERROR(__xludf.DUMMYFUNCTION("""COMPUTED_VALUE"""),"Астория")</f>
        <v>Астория</v>
      </c>
      <c r="U796" s="423"/>
      <c r="W796" s="422" t="str">
        <f>IFERROR(__xludf.DUMMYFUNCTION("""COMPUTED_VALUE"""),"Ментик")</f>
        <v>Ментик</v>
      </c>
      <c r="X796" s="423"/>
    </row>
    <row r="797">
      <c r="A797" s="422" t="s">
        <v>99</v>
      </c>
      <c r="B797" s="422"/>
      <c r="C797" s="426"/>
      <c r="D797" s="426"/>
      <c r="E797" s="422"/>
      <c r="F797" s="426"/>
      <c r="G797" s="426"/>
      <c r="T797" s="422" t="str">
        <f>IFERROR(__xludf.DUMMYFUNCTION("""COMPUTED_VALUE"""),"Аш")</f>
        <v>Аш</v>
      </c>
      <c r="U797" s="423"/>
      <c r="W797" s="422" t="str">
        <f>IFERROR(__xludf.DUMMYFUNCTION("""COMPUTED_VALUE"""),"Мишель ")</f>
        <v>Мишель </v>
      </c>
      <c r="X797" s="423"/>
    </row>
    <row r="798">
      <c r="A798" s="422" t="s">
        <v>96</v>
      </c>
      <c r="B798" s="422"/>
      <c r="C798" s="426"/>
      <c r="D798" s="426"/>
      <c r="E798" s="422"/>
      <c r="F798" s="426"/>
      <c r="G798" s="426"/>
      <c r="T798" s="422" t="str">
        <f>IFERROR(__xludf.DUMMYFUNCTION("""COMPUTED_VALUE"""),"Бамблби")</f>
        <v>Бамблби</v>
      </c>
      <c r="U798" s="423"/>
      <c r="W798" s="422" t="str">
        <f>IFERROR(__xludf.DUMMYFUNCTION("""COMPUTED_VALUE"""),"Наполеон")</f>
        <v>Наполеон</v>
      </c>
      <c r="X798" s="423"/>
    </row>
    <row r="799">
      <c r="A799" s="422" t="s">
        <v>168</v>
      </c>
      <c r="B799" s="422"/>
      <c r="C799" s="426"/>
      <c r="D799" s="426"/>
      <c r="E799" s="422"/>
      <c r="F799" s="426"/>
      <c r="G799" s="426"/>
      <c r="T799" s="422" t="str">
        <f>IFERROR(__xludf.DUMMYFUNCTION("""COMPUTED_VALUE"""),"Волга")</f>
        <v>Волга</v>
      </c>
      <c r="U799" s="423"/>
      <c r="W799" s="422" t="str">
        <f>IFERROR(__xludf.DUMMYFUNCTION("""COMPUTED_VALUE"""),"Панда из Руанды")</f>
        <v>Панда из Руанды</v>
      </c>
      <c r="X799" s="423"/>
    </row>
    <row r="800">
      <c r="A800" s="422" t="s">
        <v>152</v>
      </c>
      <c r="B800" s="422"/>
      <c r="C800" s="426"/>
      <c r="D800" s="426"/>
      <c r="E800" s="422"/>
      <c r="F800" s="426"/>
      <c r="G800" s="426"/>
      <c r="T800" s="422" t="str">
        <f>IFERROR(__xludf.DUMMYFUNCTION("""COMPUTED_VALUE"""),"Дровосек")</f>
        <v>Дровосек</v>
      </c>
      <c r="U800" s="423"/>
      <c r="W800" s="422" t="str">
        <f>IFERROR(__xludf.DUMMYFUNCTION("""COMPUTED_VALUE"""),"Писатель ")</f>
        <v>Писатель </v>
      </c>
      <c r="X800" s="423"/>
    </row>
    <row r="801">
      <c r="A801" s="422" t="s">
        <v>110</v>
      </c>
      <c r="B801" s="422"/>
      <c r="C801" s="426"/>
      <c r="D801" s="426"/>
      <c r="E801" s="422"/>
      <c r="F801" s="426"/>
      <c r="G801" s="426"/>
      <c r="T801" s="422" t="str">
        <f>IFERROR(__xludf.DUMMYFUNCTION("""COMPUTED_VALUE"""),"Зверюга")</f>
        <v>Зверюга</v>
      </c>
      <c r="U801" s="423"/>
      <c r="W801" s="422" t="str">
        <f>IFERROR(__xludf.DUMMYFUNCTION("""COMPUTED_VALUE"""),"Правда ")</f>
        <v>Правда </v>
      </c>
      <c r="X801" s="423"/>
    </row>
    <row r="802">
      <c r="A802" s="422" t="s">
        <v>100</v>
      </c>
      <c r="B802" s="422"/>
      <c r="C802" s="426"/>
      <c r="D802" s="426"/>
      <c r="E802" s="422"/>
      <c r="F802" s="426"/>
      <c r="G802" s="426"/>
      <c r="T802" s="422" t="str">
        <f>IFERROR(__xludf.DUMMYFUNCTION("""COMPUTED_VALUE"""),"Инсомнич")</f>
        <v>Инсомнич</v>
      </c>
      <c r="U802" s="423"/>
      <c r="W802" s="422" t="str">
        <f>IFERROR(__xludf.DUMMYFUNCTION("""COMPUTED_VALUE"""),"Продюсер")</f>
        <v>Продюсер</v>
      </c>
      <c r="X802" s="423"/>
    </row>
    <row r="803">
      <c r="A803" s="422" t="s">
        <v>84</v>
      </c>
      <c r="B803" s="422"/>
      <c r="C803" s="426"/>
      <c r="D803" s="426"/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IFERROR(__xludf.DUMMYFUNCTION("""COMPUTED_VALUE"""),"Старый")</f>
        <v>Старый</v>
      </c>
      <c r="X803" s="423"/>
    </row>
    <row r="804">
      <c r="A804" s="422" t="s">
        <v>97</v>
      </c>
      <c r="B804" s="422"/>
      <c r="C804" s="426"/>
      <c r="D804" s="426"/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IFERROR(__xludf.DUMMYFUNCTION("""COMPUTED_VALUE"""),"СЭНСЭЙ")</f>
        <v>СЭНСЭЙ</v>
      </c>
      <c r="X804" s="423"/>
    </row>
    <row r="805">
      <c r="A805" s="422" t="s">
        <v>152</v>
      </c>
      <c r="B805" s="422"/>
      <c r="C805" s="426"/>
      <c r="D805" s="426"/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IFERROR(__xludf.DUMMYFUNCTION("""COMPUTED_VALUE"""),"Coach")</f>
        <v>Coach</v>
      </c>
      <c r="X805" s="423"/>
    </row>
    <row r="806">
      <c r="A806" s="422" t="s">
        <v>98</v>
      </c>
      <c r="B806" s="422"/>
      <c r="C806" s="426"/>
      <c r="D806" s="426"/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IFERROR(__xludf.DUMMYFUNCTION("""COMPUTED_VALUE"""),"Тихий закат")</f>
        <v>Тихий закат</v>
      </c>
      <c r="X806" s="423"/>
    </row>
    <row r="807">
      <c r="A807" s="422" t="s">
        <v>108</v>
      </c>
      <c r="B807" s="422"/>
      <c r="C807" s="426"/>
      <c r="D807" s="426"/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IFERROR(__xludf.DUMMYFUNCTION("""COMPUTED_VALUE"""),"Физик")</f>
        <v>Физик</v>
      </c>
      <c r="X807" s="423"/>
    </row>
    <row r="808">
      <c r="A808" s="422" t="s">
        <v>137</v>
      </c>
      <c r="B808" s="422"/>
      <c r="C808" s="426"/>
      <c r="D808" s="426"/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IFERROR(__xludf.DUMMYFUNCTION("""COMPUTED_VALUE"""),"Флэш")</f>
        <v>Флэш</v>
      </c>
      <c r="X808" s="423"/>
    </row>
    <row r="809">
      <c r="A809" s="422" t="s">
        <v>118</v>
      </c>
      <c r="B809" s="422"/>
      <c r="C809" s="426"/>
      <c r="D809" s="426"/>
      <c r="E809" s="422"/>
      <c r="F809" s="426"/>
      <c r="G809" s="426"/>
      <c r="T809" s="422" t="str">
        <f>IFERROR(__xludf.DUMMYFUNCTION("""COMPUTED_VALUE"""),"Мишель ")</f>
        <v>Мишель </v>
      </c>
      <c r="U809" s="423"/>
      <c r="W809" s="422" t="str">
        <f>IFERROR(__xludf.DUMMYFUNCTION("""COMPUTED_VALUE"""),"Фокс")</f>
        <v>Фокс</v>
      </c>
      <c r="X809" s="423"/>
    </row>
    <row r="810">
      <c r="A810" s="422" t="s">
        <v>100</v>
      </c>
      <c r="B810" s="422"/>
      <c r="C810" s="426"/>
      <c r="D810" s="426"/>
      <c r="E810" s="422"/>
      <c r="F810" s="426"/>
      <c r="G810" s="426"/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IFERROR(__xludf.DUMMYFUNCTION("""COMPUTED_VALUE"""),"Шоу Бой")</f>
        <v>Шоу Бой</v>
      </c>
      <c r="X810" s="423"/>
    </row>
    <row r="811">
      <c r="A811" s="422" t="s">
        <v>83</v>
      </c>
      <c r="B811" s="422"/>
      <c r="C811" s="426"/>
      <c r="D811" s="426"/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IFERROR(__xludf.DUMMYFUNCTION("""COMPUTED_VALUE"""),"Юрия")</f>
        <v>Юрия</v>
      </c>
      <c r="X811" s="423"/>
    </row>
    <row r="812">
      <c r="A812" s="422" t="s">
        <v>81</v>
      </c>
      <c r="B812" s="422"/>
      <c r="C812" s="426"/>
      <c r="D812" s="426"/>
      <c r="E812" s="422"/>
      <c r="F812" s="426"/>
      <c r="G812" s="426"/>
      <c r="T812" s="422" t="str">
        <f>IFERROR(__xludf.DUMMYFUNCTION("""COMPUTED_VALUE"""),"Писатель ")</f>
        <v>Писатель </v>
      </c>
      <c r="U812" s="423"/>
      <c r="W812" s="422" t="str">
        <f>IFERROR(__xludf.DUMMYFUNCTION("""COMPUTED_VALUE"""),"A1 ")</f>
        <v>A1 </v>
      </c>
      <c r="X812" s="423"/>
    </row>
    <row r="813">
      <c r="A813" s="422" t="s">
        <v>84</v>
      </c>
      <c r="B813" s="422"/>
      <c r="C813" s="426"/>
      <c r="D813" s="426"/>
      <c r="E813" s="422"/>
      <c r="F813" s="426"/>
      <c r="G813" s="426"/>
      <c r="T813" s="422" t="str">
        <f>IFERROR(__xludf.DUMMYFUNCTION("""COMPUTED_VALUE"""),"Продюсер")</f>
        <v>Продюсер</v>
      </c>
      <c r="U813" s="423"/>
      <c r="W813" s="422" t="str">
        <f>IFERROR(__xludf.DUMMYFUNCTION("""COMPUTED_VALUE"""),"Alice ")</f>
        <v>Alice </v>
      </c>
      <c r="X813" s="423"/>
    </row>
    <row r="814">
      <c r="A814" s="422" t="s">
        <v>97</v>
      </c>
      <c r="B814" s="422"/>
      <c r="C814" s="426"/>
      <c r="D814" s="426"/>
      <c r="E814" s="422"/>
      <c r="F814" s="426"/>
      <c r="G814" s="426"/>
      <c r="T814" s="422" t="str">
        <f>IFERROR(__xludf.DUMMYFUNCTION("""COMPUTED_VALUE"""),"РФ")</f>
        <v>РФ</v>
      </c>
      <c r="U814" s="423"/>
      <c r="W814" s="422" t="str">
        <f>IFERROR(__xludf.DUMMYFUNCTION("""COMPUTED_VALUE"""),"Bublik")</f>
        <v>Bublik</v>
      </c>
      <c r="X814" s="423"/>
    </row>
    <row r="815">
      <c r="A815" s="422" t="s">
        <v>152</v>
      </c>
      <c r="B815" s="422"/>
      <c r="C815" s="426"/>
      <c r="D815" s="426"/>
      <c r="E815" s="422"/>
      <c r="F815" s="426"/>
      <c r="G815" s="426"/>
      <c r="T815" s="422" t="str">
        <f>IFERROR(__xludf.DUMMYFUNCTION("""COMPUTED_VALUE"""),"Старый")</f>
        <v>Старый</v>
      </c>
      <c r="U815" s="423"/>
      <c r="W815" s="422" t="str">
        <f>IFERROR(__xludf.DUMMYFUNCTION("""COMPUTED_VALUE"""),"BWDMoscow")</f>
        <v>BWDMoscow</v>
      </c>
      <c r="X815" s="423"/>
    </row>
    <row r="816">
      <c r="A816" s="422" t="s">
        <v>98</v>
      </c>
      <c r="B816" s="422"/>
      <c r="C816" s="426"/>
      <c r="D816" s="426"/>
      <c r="E816" s="422"/>
      <c r="F816" s="426"/>
      <c r="G816" s="426"/>
      <c r="T816" s="422" t="str">
        <f>IFERROR(__xludf.DUMMYFUNCTION("""COMPUTED_VALUE"""),"СЭНСЭЙ")</f>
        <v>СЭНСЭЙ</v>
      </c>
      <c r="U816" s="423"/>
      <c r="W816" s="422" t="str">
        <f>IFERROR(__xludf.DUMMYFUNCTION("""COMPUTED_VALUE"""),"Castor Troy ")</f>
        <v>Castor Troy </v>
      </c>
      <c r="X816" s="423"/>
    </row>
    <row r="817">
      <c r="A817" s="422" t="s">
        <v>108</v>
      </c>
      <c r="B817" s="422"/>
      <c r="C817" s="426"/>
      <c r="D817" s="426"/>
      <c r="E817" s="422"/>
      <c r="F817" s="426"/>
      <c r="G817" s="426"/>
      <c r="T817" s="422" t="str">
        <f>IFERROR(__xludf.DUMMYFUNCTION("""COMPUTED_VALUE"""),"Coach")</f>
        <v>Coach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/>
      <c r="C818" s="426"/>
      <c r="D818" s="426"/>
      <c r="E818" s="422"/>
      <c r="F818" s="426"/>
      <c r="G818" s="426"/>
      <c r="T818" s="422" t="str">
        <f>IFERROR(__xludf.DUMMYFUNCTION("""COMPUTED_VALUE"""),"Физик")</f>
        <v>Физик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/>
      <c r="C819" s="426"/>
      <c r="D819" s="426"/>
      <c r="E819" s="422"/>
      <c r="F819" s="426"/>
      <c r="G819" s="426"/>
      <c r="T819" s="422" t="str">
        <f>IFERROR(__xludf.DUMMYFUNCTION("""COMPUTED_VALUE"""),"Флэш")</f>
        <v>Флэш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/>
      <c r="C820" s="426"/>
      <c r="D820" s="426"/>
      <c r="E820" s="422"/>
      <c r="F820" s="426"/>
      <c r="G820" s="426"/>
      <c r="T820" s="422" t="str">
        <f>IFERROR(__xludf.DUMMYFUNCTION("""COMPUTED_VALUE"""),"Фокс")</f>
        <v>Фокс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/>
      <c r="C821" s="426"/>
      <c r="D821" s="426"/>
      <c r="E821" s="422"/>
      <c r="F821" s="426"/>
      <c r="G821" s="426"/>
      <c r="T821" s="422" t="str">
        <f>IFERROR(__xludf.DUMMYFUNCTION("""COMPUTED_VALUE"""),"Шоу Бой")</f>
        <v>Шоу Бой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/>
      <c r="C822" s="426"/>
      <c r="D822" s="426"/>
      <c r="E822" s="422"/>
      <c r="F822" s="426"/>
      <c r="G822" s="426"/>
      <c r="T822" s="422" t="str">
        <f>IFERROR(__xludf.DUMMYFUNCTION("""COMPUTED_VALUE"""),"Шпиц")</f>
        <v>Шпиц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/>
      <c r="C823" s="426"/>
      <c r="D823" s="426"/>
      <c r="E823" s="422"/>
      <c r="F823" s="426"/>
      <c r="G823" s="426"/>
      <c r="T823" s="422" t="str">
        <f>IFERROR(__xludf.DUMMYFUNCTION("""COMPUTED_VALUE"""),"Юрия")</f>
        <v>Юрия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/>
      <c r="C824" s="426"/>
      <c r="D824" s="426"/>
      <c r="E824" s="422"/>
      <c r="F824" s="426"/>
      <c r="G824" s="426"/>
      <c r="T824" s="422" t="str">
        <f>IFERROR(__xludf.DUMMYFUNCTION("""COMPUTED_VALUE"""),"A1 ")</f>
        <v>A1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/>
      <c r="C825" s="426"/>
      <c r="D825" s="426"/>
      <c r="E825" s="422"/>
      <c r="F825" s="426"/>
      <c r="G825" s="426"/>
      <c r="T825" s="422" t="str">
        <f>IFERROR(__xludf.DUMMYFUNCTION("""COMPUTED_VALUE"""),"Alice ")</f>
        <v>Alice 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/>
      <c r="C826" s="426"/>
      <c r="D826" s="426"/>
      <c r="E826" s="422"/>
      <c r="F826" s="426"/>
      <c r="G826" s="426"/>
      <c r="T826" s="422" t="str">
        <f>IFERROR(__xludf.DUMMYFUNCTION("""COMPUTED_VALUE"""),"BWDMoscow")</f>
        <v>BWDMoscow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/>
      <c r="C827" s="426"/>
      <c r="D827" s="426"/>
      <c r="E827" s="422"/>
      <c r="F827" s="426"/>
      <c r="G827" s="426"/>
      <c r="T827" s="422" t="str">
        <f>IFERROR(__xludf.DUMMYFUNCTION("""COMPUTED_VALUE"""),"Castor Troy ")</f>
        <v>Castor Troy 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/>
      <c r="C828" s="426"/>
      <c r="D828" s="426"/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/>
      <c r="C829" s="426"/>
      <c r="D829" s="426"/>
      <c r="E829" s="422"/>
      <c r="F829" s="426"/>
      <c r="G829" s="426"/>
      <c r="T829" s="422" t="str">
        <f>IFERROR(__xludf.DUMMYFUNCTION("""COMPUTED_VALUE"""),"GALAY")</f>
        <v>GALAY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/>
      <c r="C830" s="426"/>
      <c r="D830" s="426"/>
      <c r="E830" s="422"/>
      <c r="F830" s="426"/>
      <c r="G830" s="426"/>
      <c r="T830" s="422" t="str">
        <f>IFERROR(__xludf.DUMMYFUNCTION("""COMPUTED_VALUE"""),"Helga")</f>
        <v>Helga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/>
      <c r="C831" s="426"/>
      <c r="D831" s="426"/>
      <c r="E831" s="422"/>
      <c r="F831" s="426"/>
      <c r="G831" s="426"/>
      <c r="T831" s="422" t="str">
        <f>IFERROR(__xludf.DUMMYFUNCTION("""COMPUTED_VALUE"""),"Infinity ")</f>
        <v>Infinity 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/>
      <c r="C832" s="426"/>
      <c r="D832" s="426"/>
      <c r="E832" s="422"/>
      <c r="F832" s="426"/>
      <c r="G832" s="426"/>
      <c r="T832" s="422" t="str">
        <f>IFERROR(__xludf.DUMMYFUNCTION("""COMPUTED_VALUE"""),"Ketamin")</f>
        <v>Ketamin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/>
      <c r="C833" s="426"/>
      <c r="D833" s="426"/>
      <c r="E833" s="422"/>
      <c r="F833" s="426"/>
      <c r="G833" s="426"/>
      <c r="T833" s="422" t="str">
        <f>IFERROR(__xludf.DUMMYFUNCTION("""COMPUTED_VALUE"""),"Light")</f>
        <v>Light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/>
      <c r="C834" s="426"/>
      <c r="D834" s="426"/>
      <c r="E834" s="422"/>
      <c r="F834" s="426"/>
      <c r="G834" s="426"/>
      <c r="T834" s="422" t="str">
        <f>IFERROR(__xludf.DUMMYFUNCTION("""COMPUTED_VALUE"""),"Morti")</f>
        <v>Morti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/>
      <c r="C835" s="426"/>
      <c r="D835" s="426"/>
      <c r="E835" s="422"/>
      <c r="F835" s="426"/>
      <c r="G835" s="426"/>
      <c r="T835" s="422" t="str">
        <f>IFERROR(__xludf.DUMMYFUNCTION("""COMPUTED_VALUE"""),"MSR")</f>
        <v>MSR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/>
      <c r="C836" s="426"/>
      <c r="D836" s="426"/>
      <c r="E836" s="422"/>
      <c r="F836" s="426"/>
      <c r="G836" s="426"/>
      <c r="T836" s="422" t="str">
        <f>IFERROR(__xludf.DUMMYFUNCTION("""COMPUTED_VALUE"""),"NLIP")</f>
        <v>NLIP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/>
      <c r="C837" s="426"/>
      <c r="D837" s="426"/>
      <c r="E837" s="422"/>
      <c r="F837" s="426"/>
      <c r="G837" s="426"/>
      <c r="T837" s="422" t="str">
        <f>IFERROR(__xludf.DUMMYFUNCTION("""COMPUTED_VALUE"""),"Rocket woman ")</f>
        <v>Rocket woman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/>
      <c r="C838" s="426"/>
      <c r="D838" s="426"/>
      <c r="E838" s="422"/>
      <c r="F838" s="426"/>
      <c r="G838" s="426"/>
      <c r="T838" s="422" t="str">
        <f>IFERROR(__xludf.DUMMYFUNCTION("""COMPUTED_VALUE"""),"SCHOKK ")</f>
        <v>SCHOKK 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/>
      <c r="C839" s="426"/>
      <c r="D839" s="426"/>
      <c r="E839" s="422"/>
      <c r="F839" s="426"/>
      <c r="G839" s="426"/>
      <c r="T839" s="422" t="str">
        <f>IFERROR(__xludf.DUMMYFUNCTION("""COMPUTED_VALUE"""),"SOVEST")</f>
        <v>SOVEST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/>
      <c r="C840" s="426"/>
      <c r="D840" s="426"/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/>
      <c r="C841" s="426"/>
      <c r="D841" s="426"/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/>
      <c r="C842" s="426"/>
      <c r="D842" s="426"/>
      <c r="E842" s="422"/>
      <c r="F842" s="426"/>
      <c r="G842" s="426"/>
      <c r="T842" s="422" t="str">
        <f>IFERROR(__xludf.DUMMYFUNCTION("QUERY('Турнирная таблица по Алфавиту'!C7:BG66,""select C,AI order by AI desc"")"),"Авраам")</f>
        <v>Авраам</v>
      </c>
      <c r="U842" s="423">
        <f>IFERROR(__xludf.DUMMYFUNCTION("""COMPUTED_VALUE"""),0.0)</f>
        <v>0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/>
      <c r="C843" s="426"/>
      <c r="D843" s="426"/>
      <c r="E843" s="422"/>
      <c r="F843" s="426"/>
      <c r="G843" s="426"/>
      <c r="T843" s="422" t="str">
        <f>IFERROR(__xludf.DUMMYFUNCTION("""COMPUTED_VALUE"""),"Крестный отец (BLR)")</f>
        <v>Крестный отец (BLR)</v>
      </c>
      <c r="U843" s="423">
        <f>IFERROR(__xludf.DUMMYFUNCTION("""COMPUTED_VALUE"""),0.0)</f>
        <v>0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/>
      <c r="C844" s="426"/>
      <c r="D844" s="426"/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IFERROR(__xludf.DUMMYFUNCTION("""COMPUTED_VALUE"""),0.0)</f>
        <v>0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/>
      <c r="C845" s="426"/>
      <c r="D845" s="426"/>
      <c r="E845" s="422"/>
      <c r="F845" s="426"/>
      <c r="G845" s="426"/>
      <c r="T845" s="422" t="str">
        <f>IFERROR(__xludf.DUMMYFUNCTION("""COMPUTED_VALUE"""),"Марго")</f>
        <v>Марго</v>
      </c>
      <c r="U845" s="423">
        <f>IFERROR(__xludf.DUMMYFUNCTION("""COMPUTED_VALUE"""),0.0)</f>
        <v>0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/>
      <c r="C846" s="426"/>
      <c r="D846" s="426"/>
      <c r="E846" s="422"/>
      <c r="F846" s="426"/>
      <c r="G846" s="426"/>
      <c r="T846" s="422" t="str">
        <f>IFERROR(__xludf.DUMMYFUNCTION("""COMPUTED_VALUE"""),"Ментик")</f>
        <v>Ментик</v>
      </c>
      <c r="U846" s="423">
        <f>IFERROR(__xludf.DUMMYFUNCTION("""COMPUTED_VALUE"""),0.0)</f>
        <v>0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/>
      <c r="C847" s="426"/>
      <c r="D847" s="426"/>
      <c r="E847" s="422"/>
      <c r="F847" s="426"/>
      <c r="G847" s="426"/>
      <c r="T847" s="422" t="str">
        <f>IFERROR(__xludf.DUMMYFUNCTION("""COMPUTED_VALUE"""),"Писатель ")</f>
        <v>Писатель </v>
      </c>
      <c r="U847" s="423">
        <f>IFERROR(__xludf.DUMMYFUNCTION("""COMPUTED_VALUE"""),0.0)</f>
        <v>0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/>
      <c r="C848" s="426"/>
      <c r="D848" s="426"/>
      <c r="E848" s="422"/>
      <c r="F848" s="426"/>
      <c r="G848" s="426"/>
      <c r="T848" s="422" t="str">
        <f>IFERROR(__xludf.DUMMYFUNCTION("""COMPUTED_VALUE"""),"Coach")</f>
        <v>Coach</v>
      </c>
      <c r="U848" s="423">
        <f>IFERROR(__xludf.DUMMYFUNCTION("""COMPUTED_VALUE"""),0.0)</f>
        <v>0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/>
      <c r="C849" s="426"/>
      <c r="D849" s="426"/>
      <c r="E849" s="422"/>
      <c r="F849" s="426"/>
      <c r="G849" s="426"/>
      <c r="T849" s="422" t="str">
        <f>IFERROR(__xludf.DUMMYFUNCTION("""COMPUTED_VALUE"""),"Тихий закат")</f>
        <v>Тихий закат</v>
      </c>
      <c r="U849" s="423">
        <f>IFERROR(__xludf.DUMMYFUNCTION("""COMPUTED_VALUE"""),0.0)</f>
        <v>0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/>
      <c r="C850" s="426"/>
      <c r="D850" s="426"/>
      <c r="E850" s="422"/>
      <c r="F850" s="426"/>
      <c r="G850" s="426"/>
      <c r="T850" s="422" t="str">
        <f>IFERROR(__xludf.DUMMYFUNCTION("""COMPUTED_VALUE"""),"Флэш")</f>
        <v>Флэш</v>
      </c>
      <c r="U850" s="423">
        <f>IFERROR(__xludf.DUMMYFUNCTION("""COMPUTED_VALUE"""),0.0)</f>
        <v>0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/>
      <c r="C851" s="426"/>
      <c r="D851" s="426"/>
      <c r="E851" s="422"/>
      <c r="F851" s="426"/>
      <c r="G851" s="426"/>
      <c r="T851" s="422" t="str">
        <f>IFERROR(__xludf.DUMMYFUNCTION("""COMPUTED_VALUE"""),"GALAY")</f>
        <v>GALAY</v>
      </c>
      <c r="U851" s="423">
        <f>IFERROR(__xludf.DUMMYFUNCTION("""COMPUTED_VALUE"""),0.0)</f>
        <v>0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/>
      <c r="C852" s="426"/>
      <c r="D852" s="426"/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/>
      <c r="C853" s="426"/>
      <c r="D853" s="426"/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/>
      <c r="C854" s="426"/>
      <c r="D854" s="426"/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/>
      <c r="C855" s="426"/>
      <c r="D855" s="426"/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/>
      <c r="C856" s="426"/>
      <c r="D856" s="426"/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/>
      <c r="C857" s="426"/>
      <c r="D857" s="426"/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/>
      <c r="C858" s="426"/>
      <c r="D858" s="426"/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/>
      <c r="C859" s="426"/>
      <c r="D859" s="426"/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/>
      <c r="C860" s="426"/>
      <c r="D860" s="426"/>
      <c r="E860" s="422"/>
      <c r="F860" s="426"/>
      <c r="G860" s="426"/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/>
      <c r="C861" s="426"/>
      <c r="D861" s="426"/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/>
      <c r="C862" s="426"/>
      <c r="D862" s="426"/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/>
      <c r="C863" s="426"/>
      <c r="D863" s="426"/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/>
      <c r="C864" s="426"/>
      <c r="D864" s="426"/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/>
      <c r="C865" s="426"/>
      <c r="D865" s="426"/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/>
      <c r="C866" s="426"/>
      <c r="D866" s="426"/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/>
      <c r="C867" s="426"/>
      <c r="D867" s="426"/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IFERROR(__xludf.DUMMYFUNCTION("""COMPUTED_VALUE"""),"Alice ")</f>
        <v>Alice </v>
      </c>
      <c r="X867" s="423"/>
    </row>
    <row r="868">
      <c r="A868" s="422" t="s">
        <v>95</v>
      </c>
      <c r="B868" s="422"/>
      <c r="C868" s="426"/>
      <c r="D868" s="426"/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IFERROR(__xludf.DUMMYFUNCTION("""COMPUTED_VALUE"""),"Bublik")</f>
        <v>Bublik</v>
      </c>
      <c r="X868" s="423"/>
    </row>
    <row r="869">
      <c r="A869" s="422" t="s">
        <v>100</v>
      </c>
      <c r="B869" s="422"/>
      <c r="C869" s="426"/>
      <c r="D869" s="426"/>
      <c r="E869" s="422"/>
      <c r="F869" s="426"/>
      <c r="G869" s="426"/>
      <c r="T869" s="422" t="str">
        <f>IFERROR(__xludf.DUMMYFUNCTION("""COMPUTED_VALUE"""),"Мишель ")</f>
        <v>Мишель </v>
      </c>
      <c r="U869" s="423"/>
      <c r="W869" s="422" t="str">
        <f>IFERROR(__xludf.DUMMYFUNCTION("""COMPUTED_VALUE"""),"BWDMoscow")</f>
        <v>BWDMoscow</v>
      </c>
      <c r="X869" s="423"/>
    </row>
    <row r="870">
      <c r="A870" s="422" t="s">
        <v>126</v>
      </c>
      <c r="B870" s="422"/>
      <c r="C870" s="426"/>
      <c r="D870" s="426"/>
      <c r="E870" s="422"/>
      <c r="F870" s="426"/>
      <c r="G870" s="426"/>
      <c r="T870" s="422" t="str">
        <f>IFERROR(__xludf.DUMMYFUNCTION("""COMPUTED_VALUE"""),"Наполеон")</f>
        <v>Наполеон</v>
      </c>
      <c r="U870" s="423"/>
      <c r="W870" s="422" t="str">
        <f>IFERROR(__xludf.DUMMYFUNCTION("""COMPUTED_VALUE"""),"Castor Troy ")</f>
        <v>Castor Troy </v>
      </c>
      <c r="X870" s="423"/>
    </row>
    <row r="871">
      <c r="A871" s="422" t="s">
        <v>114</v>
      </c>
      <c r="B871" s="422"/>
      <c r="C871" s="426"/>
      <c r="D871" s="426"/>
      <c r="E871" s="422"/>
      <c r="F871" s="426"/>
      <c r="G871" s="426"/>
      <c r="T871" s="422" t="str">
        <f>IFERROR(__xludf.DUMMYFUNCTION("""COMPUTED_VALUE"""),"Панда из Руанды")</f>
        <v>Панда из Руанды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/>
      <c r="C872" s="426"/>
      <c r="D872" s="426"/>
      <c r="E872" s="422"/>
      <c r="F872" s="426"/>
      <c r="G872" s="426"/>
      <c r="T872" s="422" t="str">
        <f>IFERROR(__xludf.DUMMYFUNCTION("""COMPUTED_VALUE"""),"Правда ")</f>
        <v>Правда 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/>
      <c r="C873" s="426"/>
      <c r="D873" s="426"/>
      <c r="E873" s="422"/>
      <c r="F873" s="426"/>
      <c r="G873" s="426"/>
      <c r="T873" s="422" t="str">
        <f>IFERROR(__xludf.DUMMYFUNCTION("""COMPUTED_VALUE"""),"Продюсер")</f>
        <v>Продюсер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/>
      <c r="C874" s="426"/>
      <c r="D874" s="426"/>
      <c r="E874" s="422"/>
      <c r="F874" s="426"/>
      <c r="G874" s="426"/>
      <c r="T874" s="422" t="str">
        <f>IFERROR(__xludf.DUMMYFUNCTION("""COMPUTED_VALUE"""),"РФ")</f>
        <v>РФ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/>
      <c r="C875" s="426"/>
      <c r="D875" s="426"/>
      <c r="E875" s="422"/>
      <c r="F875" s="426"/>
      <c r="G875" s="426"/>
      <c r="T875" s="422" t="str">
        <f>IFERROR(__xludf.DUMMYFUNCTION("""COMPUTED_VALUE"""),"Старый")</f>
        <v>Старый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/>
      <c r="C876" s="426"/>
      <c r="D876" s="426"/>
      <c r="E876" s="422"/>
      <c r="F876" s="426"/>
      <c r="G876" s="426"/>
      <c r="T876" s="422" t="str">
        <f>IFERROR(__xludf.DUMMYFUNCTION("""COMPUTED_VALUE"""),"СЭНСЭЙ")</f>
        <v>СЭНСЭЙ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/>
      <c r="C877" s="426"/>
      <c r="D877" s="426"/>
      <c r="E877" s="422"/>
      <c r="F877" s="426"/>
      <c r="G877" s="426"/>
      <c r="T877" s="422" t="str">
        <f>IFERROR(__xludf.DUMMYFUNCTION("""COMPUTED_VALUE"""),"Физик")</f>
        <v>Физик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/>
      <c r="C878" s="426"/>
      <c r="D878" s="426"/>
      <c r="E878" s="422"/>
      <c r="F878" s="426"/>
      <c r="G878" s="426"/>
      <c r="T878" s="422" t="str">
        <f>IFERROR(__xludf.DUMMYFUNCTION("""COMPUTED_VALUE"""),"Фокс")</f>
        <v>Фокс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/>
      <c r="C879" s="426"/>
      <c r="D879" s="426"/>
      <c r="E879" s="422"/>
      <c r="F879" s="426"/>
      <c r="G879" s="426"/>
      <c r="T879" s="422" t="str">
        <f>IFERROR(__xludf.DUMMYFUNCTION("""COMPUTED_VALUE"""),"Шоу Бой")</f>
        <v>Шоу Бой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/>
      <c r="C880" s="426"/>
      <c r="D880" s="426"/>
      <c r="E880" s="422"/>
      <c r="F880" s="426"/>
      <c r="G880" s="426"/>
      <c r="T880" s="422" t="str">
        <f>IFERROR(__xludf.DUMMYFUNCTION("""COMPUTED_VALUE"""),"Шпиц")</f>
        <v>Шпиц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/>
      <c r="C881" s="426"/>
      <c r="D881" s="426"/>
      <c r="E881" s="422"/>
      <c r="F881" s="426"/>
      <c r="G881" s="426"/>
      <c r="T881" s="422" t="str">
        <f>IFERROR(__xludf.DUMMYFUNCTION("""COMPUTED_VALUE"""),"Юрия")</f>
        <v>Юрия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/>
      <c r="C882" s="426"/>
      <c r="D882" s="426"/>
      <c r="E882" s="422"/>
      <c r="F882" s="426"/>
      <c r="G882" s="426"/>
      <c r="T882" s="422" t="str">
        <f>IFERROR(__xludf.DUMMYFUNCTION("""COMPUTED_VALUE"""),"A1 ")</f>
        <v>A1 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/>
      <c r="C883" s="426"/>
      <c r="D883" s="426"/>
      <c r="E883" s="422"/>
      <c r="F883" s="426"/>
      <c r="G883" s="426"/>
      <c r="T883" s="422" t="str">
        <f>IFERROR(__xludf.DUMMYFUNCTION("""COMPUTED_VALUE"""),"Alice ")</f>
        <v>Alice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/>
      <c r="C884" s="426"/>
      <c r="D884" s="426"/>
      <c r="E884" s="422"/>
      <c r="F884" s="426"/>
      <c r="G884" s="426"/>
      <c r="T884" s="422" t="str">
        <f>IFERROR(__xludf.DUMMYFUNCTION("""COMPUTED_VALUE"""),"Bublik")</f>
        <v>Bublik</v>
      </c>
      <c r="U884" s="423"/>
      <c r="W884" s="422" t="str">
        <f>IFERROR(__xludf.DUMMYFUNCTION("""COMPUTED_VALUE"""),"Андерсен")</f>
        <v>Андерсен</v>
      </c>
      <c r="X884" s="423"/>
    </row>
    <row r="885">
      <c r="A885" s="422" t="s">
        <v>133</v>
      </c>
      <c r="B885" s="422"/>
      <c r="C885" s="426"/>
      <c r="D885" s="426"/>
      <c r="E885" s="422"/>
      <c r="F885" s="426"/>
      <c r="G885" s="426"/>
      <c r="T885" s="422" t="str">
        <f>IFERROR(__xludf.DUMMYFUNCTION("""COMPUTED_VALUE"""),"BWDMoscow")</f>
        <v>BWDMoscow</v>
      </c>
      <c r="U885" s="423"/>
      <c r="W885" s="422" t="str">
        <f>IFERROR(__xludf.DUMMYFUNCTION("""COMPUTED_VALUE"""),"Артик")</f>
        <v>Артик</v>
      </c>
      <c r="X885" s="423"/>
    </row>
    <row r="886">
      <c r="A886" s="422" t="s">
        <v>83</v>
      </c>
      <c r="B886" s="422"/>
      <c r="C886" s="426"/>
      <c r="D886" s="426"/>
      <c r="E886" s="422"/>
      <c r="F886" s="426"/>
      <c r="G886" s="426"/>
      <c r="T886" s="422" t="str">
        <f>IFERROR(__xludf.DUMMYFUNCTION("""COMPUTED_VALUE"""),"Castor Troy ")</f>
        <v>Castor Troy </v>
      </c>
      <c r="U886" s="423"/>
      <c r="W886" s="422" t="str">
        <f>IFERROR(__xludf.DUMMYFUNCTION("""COMPUTED_VALUE"""),"Астория")</f>
        <v>Астория</v>
      </c>
      <c r="X886" s="423"/>
    </row>
    <row r="887">
      <c r="A887" s="422" t="s">
        <v>86</v>
      </c>
      <c r="B887" s="422"/>
      <c r="C887" s="426"/>
      <c r="D887" s="426"/>
      <c r="E887" s="422"/>
      <c r="F887" s="426"/>
      <c r="G887" s="426"/>
      <c r="T887" s="422" t="str">
        <f>IFERROR(__xludf.DUMMYFUNCTION("""COMPUTED_VALUE"""),"Cristo")</f>
        <v>Cristo</v>
      </c>
      <c r="U887" s="423"/>
      <c r="W887" s="422" t="str">
        <f>IFERROR(__xludf.DUMMYFUNCTION("""COMPUTED_VALUE"""),"Аш")</f>
        <v>Аш</v>
      </c>
      <c r="X887" s="423"/>
    </row>
    <row r="888">
      <c r="A888" s="422" t="s">
        <v>95</v>
      </c>
      <c r="B888" s="422"/>
      <c r="C888" s="426"/>
      <c r="D888" s="426"/>
      <c r="E888" s="422"/>
      <c r="F888" s="426"/>
      <c r="G888" s="426"/>
      <c r="T888" s="422" t="str">
        <f>IFERROR(__xludf.DUMMYFUNCTION("""COMPUTED_VALUE"""),"Curly")</f>
        <v>Curly</v>
      </c>
      <c r="U888" s="423"/>
      <c r="W888" s="422" t="str">
        <f>IFERROR(__xludf.DUMMYFUNCTION("""COMPUTED_VALUE"""),"Волга")</f>
        <v>Волга</v>
      </c>
      <c r="X888" s="423"/>
    </row>
    <row r="889">
      <c r="A889" s="422" t="s">
        <v>100</v>
      </c>
      <c r="B889" s="422"/>
      <c r="C889" s="426"/>
      <c r="D889" s="426"/>
      <c r="E889" s="422"/>
      <c r="F889" s="426"/>
      <c r="G889" s="426"/>
      <c r="T889" s="422" t="str">
        <f>IFERROR(__xludf.DUMMYFUNCTION("""COMPUTED_VALUE"""),"Helga")</f>
        <v>Helga</v>
      </c>
      <c r="U889" s="423"/>
      <c r="W889" s="422" t="str">
        <f>IFERROR(__xludf.DUMMYFUNCTION("""COMPUTED_VALUE"""),"Градиент")</f>
        <v>Градиент</v>
      </c>
      <c r="X889" s="423"/>
    </row>
    <row r="890">
      <c r="A890" s="422" t="s">
        <v>126</v>
      </c>
      <c r="B890" s="422"/>
      <c r="C890" s="426"/>
      <c r="D890" s="426"/>
      <c r="E890" s="422"/>
      <c r="F890" s="426"/>
      <c r="G890" s="426"/>
      <c r="T890" s="422" t="str">
        <f>IFERROR(__xludf.DUMMYFUNCTION("""COMPUTED_VALUE"""),"Infinity ")</f>
        <v>Infinity 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/>
      <c r="C891" s="426"/>
      <c r="D891" s="426"/>
      <c r="E891" s="422"/>
      <c r="F891" s="426"/>
      <c r="G891" s="426"/>
      <c r="T891" s="422" t="str">
        <f>IFERROR(__xludf.DUMMYFUNCTION("""COMPUTED_VALUE"""),"Ketamin")</f>
        <v>Ketamin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/>
      <c r="C892" s="426"/>
      <c r="D892" s="426"/>
      <c r="E892" s="422"/>
      <c r="F892" s="426"/>
      <c r="G892" s="426"/>
      <c r="T892" s="422" t="str">
        <f>IFERROR(__xludf.DUMMYFUNCTION("""COMPUTED_VALUE"""),"Light")</f>
        <v>Light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/>
      <c r="C893" s="426"/>
      <c r="D893" s="426"/>
      <c r="E893" s="422"/>
      <c r="F893" s="426"/>
      <c r="G893" s="426"/>
      <c r="T893" s="422" t="str">
        <f>IFERROR(__xludf.DUMMYFUNCTION("""COMPUTED_VALUE"""),"Morti")</f>
        <v>Morti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/>
      <c r="C894" s="426"/>
      <c r="D894" s="426"/>
      <c r="E894" s="422"/>
      <c r="F894" s="426"/>
      <c r="G894" s="426"/>
      <c r="T894" s="422" t="str">
        <f>IFERROR(__xludf.DUMMYFUNCTION("""COMPUTED_VALUE"""),"MSR")</f>
        <v>MSR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/>
      <c r="C895" s="426"/>
      <c r="D895" s="426"/>
      <c r="E895" s="422"/>
      <c r="F895" s="426"/>
      <c r="G895" s="426"/>
      <c r="T895" s="422" t="str">
        <f>IFERROR(__xludf.DUMMYFUNCTION("""COMPUTED_VALUE"""),"NLIP")</f>
        <v>NLIP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/>
      <c r="C896" s="426"/>
      <c r="D896" s="426"/>
      <c r="E896" s="422"/>
      <c r="F896" s="426"/>
      <c r="G896" s="426"/>
      <c r="T896" s="422" t="str">
        <f>IFERROR(__xludf.DUMMYFUNCTION("""COMPUTED_VALUE"""),"Rocket woman ")</f>
        <v>Rocket woman 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/>
      <c r="C897" s="426"/>
      <c r="D897" s="426"/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/>
      <c r="C898" s="426"/>
      <c r="D898" s="426"/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/>
      <c r="C899" s="426"/>
      <c r="D899" s="426"/>
      <c r="E899" s="422"/>
      <c r="F899" s="426"/>
      <c r="G899" s="426"/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/>
      <c r="C900" s="426"/>
      <c r="D900" s="426"/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/>
      <c r="C901" s="426"/>
      <c r="D901" s="426"/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/>
      <c r="C902" s="426"/>
      <c r="D902" s="426"/>
      <c r="E902" s="422"/>
      <c r="F902" s="426"/>
      <c r="G902" s="426"/>
      <c r="T902" s="422" t="str">
        <f>IFERROR(__xludf.DUMMYFUNCTION("QUERY('Турнирная таблица по Алфавиту'!C7:BG66,""select C,AJ order by AJ desc"")"),"Андерсен")</f>
        <v>Андерсен</v>
      </c>
      <c r="U902" s="423">
        <f>IFERROR(__xludf.DUMMYFUNCTION("""COMPUTED_VALUE"""),0.0)</f>
        <v>0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/>
      <c r="C903" s="426"/>
      <c r="D903" s="426"/>
      <c r="E903" s="422"/>
      <c r="F903" s="426"/>
      <c r="G903" s="426"/>
      <c r="T903" s="422" t="str">
        <f>IFERROR(__xludf.DUMMYFUNCTION("""COMPUTED_VALUE"""),"Астория")</f>
        <v>Астория</v>
      </c>
      <c r="U903" s="423">
        <f>IFERROR(__xludf.DUMMYFUNCTION("""COMPUTED_VALUE"""),0.0)</f>
        <v>0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/>
      <c r="C904" s="426"/>
      <c r="D904" s="426"/>
      <c r="E904" s="422"/>
      <c r="F904" s="426"/>
      <c r="G904" s="426"/>
      <c r="T904" s="422" t="str">
        <f>IFERROR(__xludf.DUMMYFUNCTION("""COMPUTED_VALUE"""),"Аш")</f>
        <v>Аш</v>
      </c>
      <c r="U904" s="423">
        <f>IFERROR(__xludf.DUMMYFUNCTION("""COMPUTED_VALUE"""),0.0)</f>
        <v>0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/>
      <c r="C905" s="426"/>
      <c r="D905" s="426"/>
      <c r="E905" s="422"/>
      <c r="F905" s="426"/>
      <c r="G905" s="426"/>
      <c r="T905" s="422" t="str">
        <f>IFERROR(__xludf.DUMMYFUNCTION("""COMPUTED_VALUE"""),"Маваши")</f>
        <v>Маваши</v>
      </c>
      <c r="U905" s="423">
        <f>IFERROR(__xludf.DUMMYFUNCTION("""COMPUTED_VALUE"""),0.0)</f>
        <v>0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/>
      <c r="C906" s="426"/>
      <c r="D906" s="426"/>
      <c r="E906" s="422"/>
      <c r="F906" s="426"/>
      <c r="G906" s="426"/>
      <c r="T906" s="422" t="str">
        <f>IFERROR(__xludf.DUMMYFUNCTION("""COMPUTED_VALUE"""),"Манекен")</f>
        <v>Манекен</v>
      </c>
      <c r="U906" s="423">
        <f>IFERROR(__xludf.DUMMYFUNCTION("""COMPUTED_VALUE"""),0.0)</f>
        <v>0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/>
      <c r="C907" s="426"/>
      <c r="D907" s="426"/>
      <c r="E907" s="422"/>
      <c r="F907" s="426"/>
      <c r="G907" s="426"/>
      <c r="T907" s="422" t="str">
        <f>IFERROR(__xludf.DUMMYFUNCTION("""COMPUTED_VALUE"""),"Ментик")</f>
        <v>Ментик</v>
      </c>
      <c r="U907" s="423">
        <f>IFERROR(__xludf.DUMMYFUNCTION("""COMPUTED_VALUE"""),0.0)</f>
        <v>0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/>
      <c r="C908" s="426"/>
      <c r="D908" s="426"/>
      <c r="E908" s="422"/>
      <c r="F908" s="426"/>
      <c r="G908" s="426"/>
      <c r="T908" s="422" t="str">
        <f>IFERROR(__xludf.DUMMYFUNCTION("""COMPUTED_VALUE"""),"Старый")</f>
        <v>Старый</v>
      </c>
      <c r="U908" s="423">
        <f>IFERROR(__xludf.DUMMYFUNCTION("""COMPUTED_VALUE"""),0.0)</f>
        <v>0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/>
      <c r="C909" s="426"/>
      <c r="D909" s="426"/>
      <c r="E909" s="422"/>
      <c r="F909" s="426"/>
      <c r="G909" s="426"/>
      <c r="T909" s="422" t="str">
        <f>IFERROR(__xludf.DUMMYFUNCTION("""COMPUTED_VALUE"""),"Тихий закат")</f>
        <v>Тихий закат</v>
      </c>
      <c r="U909" s="423">
        <f>IFERROR(__xludf.DUMMYFUNCTION("""COMPUTED_VALUE"""),0.0)</f>
        <v>0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/>
      <c r="C910" s="426"/>
      <c r="D910" s="426"/>
      <c r="E910" s="422"/>
      <c r="F910" s="426"/>
      <c r="G910" s="426"/>
      <c r="T910" s="422" t="str">
        <f>IFERROR(__xludf.DUMMYFUNCTION("""COMPUTED_VALUE"""),"A1 ")</f>
        <v>A1 </v>
      </c>
      <c r="U910" s="423">
        <f>IFERROR(__xludf.DUMMYFUNCTION("""COMPUTED_VALUE"""),0.0)</f>
        <v>0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/>
      <c r="C911" s="426"/>
      <c r="D911" s="426"/>
      <c r="E911" s="422"/>
      <c r="F911" s="426"/>
      <c r="G911" s="426"/>
      <c r="T911" s="422" t="str">
        <f>IFERROR(__xludf.DUMMYFUNCTION("""COMPUTED_VALUE"""),"WhoIsWho")</f>
        <v>WhoIsWho</v>
      </c>
      <c r="U911" s="423">
        <f>IFERROR(__xludf.DUMMYFUNCTION("""COMPUTED_VALUE"""),0.0)</f>
        <v>0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/>
      <c r="C912" s="426"/>
      <c r="D912" s="426"/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/>
      <c r="C913" s="426"/>
      <c r="D913" s="426"/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/>
      <c r="C914" s="426"/>
      <c r="D914" s="426"/>
      <c r="E914" s="422"/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/>
      <c r="C915" s="426"/>
      <c r="D915" s="426"/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/>
      <c r="C916" s="426"/>
      <c r="D916" s="426"/>
      <c r="E916" s="422"/>
      <c r="F916" s="426"/>
      <c r="G916" s="426"/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/>
      <c r="C917" s="426"/>
      <c r="D917" s="426"/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/>
      <c r="C918" s="426"/>
      <c r="D918" s="426"/>
      <c r="E918" s="422"/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IFERROR(__xludf.DUMMYFUNCTION("""COMPUTED_VALUE"""),"Cristo")</f>
        <v>Cristo</v>
      </c>
      <c r="X918" s="423"/>
    </row>
    <row r="919">
      <c r="A919" s="422" t="s">
        <v>108</v>
      </c>
      <c r="B919" s="422"/>
      <c r="C919" s="426"/>
      <c r="D919" s="426"/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IFERROR(__xludf.DUMMYFUNCTION("""COMPUTED_VALUE"""),"Curly")</f>
        <v>Curly</v>
      </c>
      <c r="X919" s="423"/>
    </row>
    <row r="920">
      <c r="A920" s="422" t="s">
        <v>135</v>
      </c>
      <c r="B920" s="422"/>
      <c r="C920" s="426"/>
      <c r="D920" s="426"/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IFERROR(__xludf.DUMMYFUNCTION("""COMPUTED_VALUE"""),"GALAY")</f>
        <v>GALAY</v>
      </c>
      <c r="X920" s="423"/>
    </row>
    <row r="921">
      <c r="A921" s="422" t="s">
        <v>83</v>
      </c>
      <c r="B921" s="422"/>
      <c r="C921" s="426"/>
      <c r="D921" s="426"/>
      <c r="E921" s="422"/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/>
      <c r="C922" s="426"/>
      <c r="D922" s="426"/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/>
      <c r="C923" s="426"/>
      <c r="D923" s="426"/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/>
      <c r="C924" s="426"/>
      <c r="D924" s="426"/>
      <c r="E924" s="422"/>
      <c r="F924" s="426"/>
      <c r="G924" s="426"/>
      <c r="T924" s="422" t="str">
        <f>IFERROR(__xludf.DUMMYFUNCTION("""COMPUTED_VALUE"""),"Крот")</f>
        <v>Крот</v>
      </c>
      <c r="U924" s="423"/>
      <c r="W924" s="422" t="str">
        <f>IFERROR(__xludf.DUMMYFUNCTION("""COMPUTED_VALUE"""),"Light")</f>
        <v>Light</v>
      </c>
      <c r="X924" s="423"/>
    </row>
    <row r="925">
      <c r="A925" s="422" t="s">
        <v>105</v>
      </c>
      <c r="B925" s="422"/>
      <c r="C925" s="426"/>
      <c r="D925" s="426"/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IFERROR(__xludf.DUMMYFUNCTION("""COMPUTED_VALUE"""),"Morti")</f>
        <v>Morti</v>
      </c>
      <c r="X925" s="423"/>
    </row>
    <row r="926">
      <c r="A926" s="422" t="s">
        <v>113</v>
      </c>
      <c r="B926" s="422"/>
      <c r="C926" s="426"/>
      <c r="D926" s="426"/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IFERROR(__xludf.DUMMYFUNCTION("""COMPUTED_VALUE"""),"MSR")</f>
        <v>MSR</v>
      </c>
      <c r="X926" s="423"/>
    </row>
    <row r="927">
      <c r="A927" s="422" t="s">
        <v>100</v>
      </c>
      <c r="B927" s="422"/>
      <c r="C927" s="426"/>
      <c r="D927" s="426"/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IFERROR(__xludf.DUMMYFUNCTION("""COMPUTED_VALUE"""),"NLIP")</f>
        <v>NLIP</v>
      </c>
      <c r="X927" s="423"/>
    </row>
    <row r="928">
      <c r="A928" s="422" t="s">
        <v>128</v>
      </c>
      <c r="B928" s="422"/>
      <c r="C928" s="426"/>
      <c r="D928" s="426"/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IFERROR(__xludf.DUMMYFUNCTION("""COMPUTED_VALUE"""),"Rocket woman ")</f>
        <v>Rocket woman </v>
      </c>
      <c r="X928" s="423"/>
    </row>
    <row r="929">
      <c r="A929" s="422" t="s">
        <v>108</v>
      </c>
      <c r="B929" s="422"/>
      <c r="C929" s="426"/>
      <c r="D929" s="426"/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IFERROR(__xludf.DUMMYFUNCTION("""COMPUTED_VALUE"""),"SCHOKK ")</f>
        <v>SCHOKK </v>
      </c>
      <c r="X929" s="423"/>
    </row>
    <row r="930">
      <c r="A930" s="422" t="s">
        <v>135</v>
      </c>
      <c r="B930" s="422"/>
      <c r="C930" s="426"/>
      <c r="D930" s="426"/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IFERROR(__xludf.DUMMYFUNCTION("""COMPUTED_VALUE"""),"SOVEST")</f>
        <v>SOVEST</v>
      </c>
      <c r="X930" s="423"/>
    </row>
    <row r="931">
      <c r="A931" s="422" t="s">
        <v>83</v>
      </c>
      <c r="B931" s="422"/>
      <c r="C931" s="426"/>
      <c r="D931" s="426"/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/>
      <c r="C932" s="426"/>
      <c r="D932" s="426"/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/>
      <c r="C933" s="426"/>
      <c r="D933" s="426"/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/>
      <c r="C934" s="426"/>
      <c r="D934" s="426"/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/>
      <c r="C935" s="426"/>
      <c r="D935" s="426"/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/>
      <c r="C936" s="426"/>
      <c r="D936" s="426"/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/>
      <c r="C937" s="426"/>
      <c r="D937" s="426"/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/>
      <c r="C938" s="426"/>
      <c r="D938" s="426"/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/>
      <c r="C939" s="426"/>
      <c r="D939" s="426"/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/>
      <c r="C940" s="426"/>
      <c r="D940" s="426"/>
      <c r="E940" s="422"/>
      <c r="F940" s="426"/>
      <c r="G940" s="426"/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/>
      <c r="C941" s="426"/>
      <c r="D941" s="426"/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/>
      <c r="C942" s="426"/>
      <c r="D942" s="426"/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/>
      <c r="C943" s="426"/>
      <c r="D943" s="426"/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/>
      <c r="C944" s="426"/>
      <c r="D944" s="426"/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/>
      <c r="C945" s="426"/>
      <c r="D945" s="426"/>
      <c r="E945" s="422"/>
      <c r="F945" s="426"/>
      <c r="G945" s="426"/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/>
      <c r="C946" s="426"/>
      <c r="D946" s="426"/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/>
      <c r="C947" s="426"/>
      <c r="D947" s="426"/>
      <c r="E947" s="422"/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/>
      <c r="C948" s="426"/>
      <c r="D948" s="426"/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/>
      <c r="C949" s="426"/>
      <c r="D949" s="426"/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/>
      <c r="C950" s="426"/>
      <c r="D950" s="426"/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/>
      <c r="C951" s="426"/>
      <c r="D951" s="426"/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/>
      <c r="C952" s="426"/>
      <c r="D952" s="426"/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/>
      <c r="C953" s="426"/>
      <c r="D953" s="426"/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/>
      <c r="C954" s="426"/>
      <c r="D954" s="426"/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/>
      <c r="C955" s="426"/>
      <c r="D955" s="426"/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/>
      <c r="C956" s="426"/>
      <c r="D956" s="426"/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104</v>
      </c>
      <c r="B957" s="422"/>
      <c r="C957" s="426"/>
      <c r="D957" s="426"/>
      <c r="E957" s="422"/>
      <c r="F957" s="426"/>
      <c r="G957" s="426"/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/>
      <c r="C958" s="426"/>
      <c r="D958" s="426"/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/>
      <c r="C959" s="426"/>
      <c r="D959" s="426"/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/>
      <c r="C960" s="426"/>
      <c r="D960" s="426"/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/>
      <c r="C961" s="426"/>
      <c r="D961" s="426"/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/>
      <c r="C962" s="426"/>
      <c r="D962" s="426"/>
      <c r="E962" s="422"/>
      <c r="F962" s="426"/>
      <c r="G962" s="426"/>
      <c r="T962" s="422" t="str">
        <f>IFERROR(__xludf.DUMMYFUNCTION("QUERY('Турнирная таблица по Алфавиту'!C7:BG66,""select C,AK order by AK desc"")"),"Астория")</f>
        <v>Астория</v>
      </c>
      <c r="U962" s="423">
        <f>IFERROR(__xludf.DUMMYFUNCTION("""COMPUTED_VALUE"""),0.0)</f>
        <v>0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/>
      <c r="C963" s="426"/>
      <c r="D963" s="426"/>
      <c r="E963" s="422"/>
      <c r="F963" s="426"/>
      <c r="G963" s="426"/>
      <c r="T963" s="422" t="str">
        <f>IFERROR(__xludf.DUMMYFUNCTION("""COMPUTED_VALUE"""),"Аш")</f>
        <v>Аш</v>
      </c>
      <c r="U963" s="423">
        <f>IFERROR(__xludf.DUMMYFUNCTION("""COMPUTED_VALUE"""),0.0)</f>
        <v>0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/>
      <c r="C964" s="426"/>
      <c r="D964" s="426"/>
      <c r="E964" s="422"/>
      <c r="F964" s="426"/>
      <c r="G964" s="426"/>
      <c r="T964" s="422" t="str">
        <f>IFERROR(__xludf.DUMMYFUNCTION("""COMPUTED_VALUE"""),"Волга")</f>
        <v>Волга</v>
      </c>
      <c r="U964" s="423">
        <f>IFERROR(__xludf.DUMMYFUNCTION("""COMPUTED_VALUE"""),0.0)</f>
        <v>0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/>
      <c r="C965" s="426"/>
      <c r="D965" s="426"/>
      <c r="E965" s="422"/>
      <c r="F965" s="426"/>
      <c r="G965" s="426"/>
      <c r="T965" s="422" t="str">
        <f>IFERROR(__xludf.DUMMYFUNCTION("""COMPUTED_VALUE"""),"Красавчик")</f>
        <v>Красавчик</v>
      </c>
      <c r="U965" s="423">
        <f>IFERROR(__xludf.DUMMYFUNCTION("""COMPUTED_VALUE"""),0.0)</f>
        <v>0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/>
      <c r="C966" s="426"/>
      <c r="D966" s="426"/>
      <c r="E966" s="422"/>
      <c r="F966" s="426"/>
      <c r="G966" s="426"/>
      <c r="T966" s="422" t="str">
        <f>IFERROR(__xludf.DUMMYFUNCTION("""COMPUTED_VALUE"""),"Левша")</f>
        <v>Левша</v>
      </c>
      <c r="U966" s="423">
        <f>IFERROR(__xludf.DUMMYFUNCTION("""COMPUTED_VALUE"""),0.0)</f>
        <v>0</v>
      </c>
      <c r="W966" s="422" t="str">
        <f>IFERROR(__xludf.DUMMYFUNCTION("""COMPUTED_VALUE"""),"BWDMoscow")</f>
        <v>BWDMoscow</v>
      </c>
      <c r="X966" s="423"/>
    </row>
    <row r="967">
      <c r="A967" s="422" t="s">
        <v>104</v>
      </c>
      <c r="B967" s="422"/>
      <c r="C967" s="426"/>
      <c r="D967" s="426"/>
      <c r="E967" s="422"/>
      <c r="F967" s="426"/>
      <c r="G967" s="426"/>
      <c r="T967" s="422" t="str">
        <f>IFERROR(__xludf.DUMMYFUNCTION("""COMPUTED_VALUE"""),"Ментик")</f>
        <v>Ментик</v>
      </c>
      <c r="U967" s="423">
        <f>IFERROR(__xludf.DUMMYFUNCTION("""COMPUTED_VALUE"""),0.0)</f>
        <v>0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/>
      <c r="C968" s="426"/>
      <c r="D968" s="426"/>
      <c r="E968" s="422"/>
      <c r="F968" s="426"/>
      <c r="G968" s="426"/>
      <c r="T968" s="422" t="str">
        <f>IFERROR(__xludf.DUMMYFUNCTION("""COMPUTED_VALUE"""),"Старый")</f>
        <v>Старый</v>
      </c>
      <c r="U968" s="423">
        <f>IFERROR(__xludf.DUMMYFUNCTION("""COMPUTED_VALUE"""),0.0)</f>
        <v>0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/>
      <c r="C969" s="426"/>
      <c r="D969" s="426"/>
      <c r="E969" s="422"/>
      <c r="F969" s="426"/>
      <c r="G969" s="426"/>
      <c r="T969" s="422" t="str">
        <f>IFERROR(__xludf.DUMMYFUNCTION("""COMPUTED_VALUE"""),"Фокс")</f>
        <v>Фокс</v>
      </c>
      <c r="U969" s="423">
        <f>IFERROR(__xludf.DUMMYFUNCTION("""COMPUTED_VALUE"""),0.0)</f>
        <v>0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/>
      <c r="C970" s="426"/>
      <c r="D970" s="426"/>
      <c r="E970" s="422"/>
      <c r="F970" s="426"/>
      <c r="G970" s="426"/>
      <c r="T970" s="422" t="str">
        <f>IFERROR(__xludf.DUMMYFUNCTION("""COMPUTED_VALUE"""),"Helga")</f>
        <v>Helga</v>
      </c>
      <c r="U970" s="423">
        <f>IFERROR(__xludf.DUMMYFUNCTION("""COMPUTED_VALUE"""),0.0)</f>
        <v>0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/>
      <c r="C971" s="426"/>
      <c r="D971" s="426"/>
      <c r="E971" s="422"/>
      <c r="F971" s="426"/>
      <c r="G971" s="426"/>
      <c r="T971" s="422" t="str">
        <f>IFERROR(__xludf.DUMMYFUNCTION("""COMPUTED_VALUE"""),"Rocket woman ")</f>
        <v>Rocket woman </v>
      </c>
      <c r="U971" s="423">
        <f>IFERROR(__xludf.DUMMYFUNCTION("""COMPUTED_VALUE"""),0.0)</f>
        <v>0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/>
      <c r="C972" s="426"/>
      <c r="D972" s="426"/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/>
      <c r="C973" s="426"/>
      <c r="D973" s="426"/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/>
      <c r="C974" s="426"/>
      <c r="D974" s="426"/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/>
      <c r="C975" s="426"/>
      <c r="D975" s="426"/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/>
      <c r="C976" s="426"/>
      <c r="D976" s="426"/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104</v>
      </c>
      <c r="B977" s="422"/>
      <c r="C977" s="426"/>
      <c r="D977" s="426"/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/>
      <c r="C978" s="426"/>
      <c r="D978" s="426"/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/>
      <c r="C979" s="426"/>
      <c r="D979" s="426"/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/>
      <c r="C980" s="426"/>
      <c r="D980" s="426"/>
      <c r="E980" s="422"/>
      <c r="F980" s="426"/>
      <c r="G980" s="426"/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/>
      <c r="C981" s="426"/>
      <c r="D981" s="426"/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/>
      <c r="C982" s="426"/>
      <c r="D982" s="426"/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/>
      <c r="C983" s="426"/>
      <c r="D983" s="426"/>
      <c r="E983" s="422"/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/>
      <c r="C984" s="426"/>
      <c r="D984" s="426"/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/>
      <c r="C985" s="426"/>
      <c r="D985" s="426"/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/>
      <c r="C986" s="426"/>
      <c r="D986" s="426"/>
      <c r="E986" s="422"/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104</v>
      </c>
      <c r="B987" s="422"/>
      <c r="C987" s="426"/>
      <c r="D987" s="426"/>
      <c r="E987" s="422"/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/>
      <c r="C988" s="426"/>
      <c r="D988" s="426"/>
      <c r="E988" s="422"/>
      <c r="F988" s="426"/>
      <c r="G988" s="426"/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/>
      <c r="C989" s="426"/>
      <c r="D989" s="426"/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/>
      <c r="C990" s="426"/>
      <c r="D990" s="426"/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/>
      <c r="C991" s="426"/>
      <c r="D991" s="426"/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/>
      <c r="C992" s="426"/>
      <c r="D992" s="426"/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/>
      <c r="C993" s="426"/>
      <c r="D993" s="426"/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/>
      <c r="C994" s="426"/>
      <c r="D994" s="426"/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/>
      <c r="C995" s="426"/>
      <c r="D995" s="426"/>
      <c r="E995" s="422"/>
      <c r="F995" s="426"/>
      <c r="G995" s="426"/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/>
      <c r="C996" s="426"/>
      <c r="D996" s="426"/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104</v>
      </c>
      <c r="B997" s="422"/>
      <c r="C997" s="426"/>
      <c r="D997" s="426"/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/>
      <c r="C998" s="426"/>
      <c r="D998" s="426"/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/>
      <c r="C999" s="426"/>
      <c r="D999" s="426"/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/>
      <c r="C1000" s="426"/>
      <c r="D1000" s="426"/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/>
      <c r="C1001" s="426"/>
      <c r="D1001" s="426"/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/>
      <c r="C1002" s="426"/>
      <c r="D1002" s="426"/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/>
      <c r="C1003" s="426"/>
      <c r="D1003" s="426"/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/>
      <c r="C1004" s="426"/>
      <c r="D1004" s="426"/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119</v>
      </c>
      <c r="B1005" s="422"/>
      <c r="C1005" s="426"/>
      <c r="D1005" s="426"/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/>
      <c r="C1006" s="426"/>
      <c r="D1006" s="426"/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/>
      <c r="C1007" s="426"/>
      <c r="D1007" s="426"/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/>
      <c r="C1008" s="426"/>
      <c r="D1008" s="426"/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/>
      <c r="C1009" s="426"/>
      <c r="D1009" s="426"/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279</v>
      </c>
      <c r="B1010" s="422"/>
      <c r="C1010" s="426"/>
      <c r="D1010" s="426"/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106</v>
      </c>
      <c r="B1011" s="422"/>
      <c r="C1011" s="426"/>
      <c r="D1011" s="426"/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133</v>
      </c>
      <c r="B1012" s="422"/>
      <c r="C1012" s="426"/>
      <c r="D1012" s="426"/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/>
      <c r="C1013" s="426"/>
      <c r="D1013" s="426"/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/>
      <c r="C1014" s="426"/>
      <c r="D1014" s="426"/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119</v>
      </c>
      <c r="B1015" s="422"/>
      <c r="C1015" s="426"/>
      <c r="D1015" s="426"/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/>
      <c r="C1016" s="426"/>
      <c r="D1016" s="426"/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/>
      <c r="C1017" s="426"/>
      <c r="D1017" s="426"/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/>
      <c r="C1018" s="426"/>
      <c r="D1018" s="426"/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/>
      <c r="C1019" s="426"/>
      <c r="D1019" s="426"/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279</v>
      </c>
      <c r="B1020" s="422"/>
      <c r="C1020" s="426"/>
      <c r="D1020" s="426"/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106</v>
      </c>
      <c r="B1021" s="422"/>
      <c r="C1021" s="426"/>
      <c r="D1021" s="426"/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133</v>
      </c>
      <c r="B1022" s="422"/>
      <c r="C1022" s="426"/>
      <c r="D1022" s="426"/>
      <c r="E1022" s="422"/>
      <c r="F1022" s="426"/>
      <c r="G1022" s="426"/>
      <c r="T1022" s="422" t="str">
        <f>IFERROR(__xludf.DUMMYFUNCTION("QUERY('Турнирная таблица по Алфавиту'!C7:BG66,""select C,AL order by AL desc"")"),"Астория")</f>
        <v>Астория</v>
      </c>
      <c r="U1022" s="423">
        <f>IFERROR(__xludf.DUMMYFUNCTION("""COMPUTED_VALUE"""),0.0)</f>
        <v>0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/>
      <c r="C1023" s="426"/>
      <c r="D1023" s="426"/>
      <c r="E1023" s="422"/>
      <c r="F1023" s="426"/>
      <c r="G1023" s="426"/>
      <c r="T1023" s="422" t="str">
        <f>IFERROR(__xludf.DUMMYFUNCTION("""COMPUTED_VALUE"""),"Аш")</f>
        <v>Аш</v>
      </c>
      <c r="U1023" s="423">
        <f>IFERROR(__xludf.DUMMYFUNCTION("""COMPUTED_VALUE"""),0.0)</f>
        <v>0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/>
      <c r="C1024" s="426"/>
      <c r="D1024" s="426"/>
      <c r="E1024" s="422"/>
      <c r="F1024" s="426"/>
      <c r="G1024" s="426"/>
      <c r="T1024" s="422" t="str">
        <f>IFERROR(__xludf.DUMMYFUNCTION("""COMPUTED_VALUE"""),"Ментик")</f>
        <v>Ментик</v>
      </c>
      <c r="U1024" s="423">
        <f>IFERROR(__xludf.DUMMYFUNCTION("""COMPUTED_VALUE"""),0.0)</f>
        <v>0</v>
      </c>
      <c r="W1024" s="422" t="str">
        <f>IFERROR(__xludf.DUMMYFUNCTION("""COMPUTED_VALUE"""),"Morti")</f>
        <v>Morti</v>
      </c>
      <c r="X1024" s="423"/>
    </row>
    <row r="1025">
      <c r="A1025" s="422" t="s">
        <v>119</v>
      </c>
      <c r="B1025" s="422"/>
      <c r="C1025" s="426"/>
      <c r="D1025" s="426"/>
      <c r="E1025" s="422"/>
      <c r="F1025" s="426"/>
      <c r="G1025" s="426"/>
      <c r="T1025" s="422" t="str">
        <f>IFERROR(__xludf.DUMMYFUNCTION("""COMPUTED_VALUE"""),"Правда ")</f>
        <v>Правда </v>
      </c>
      <c r="U1025" s="423">
        <f>IFERROR(__xludf.DUMMYFUNCTION("""COMPUTED_VALUE"""),0.0)</f>
        <v>0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/>
      <c r="C1026" s="426"/>
      <c r="D1026" s="426"/>
      <c r="E1026" s="422"/>
      <c r="F1026" s="426"/>
      <c r="G1026" s="426"/>
      <c r="T1026" s="422" t="str">
        <f>IFERROR(__xludf.DUMMYFUNCTION("""COMPUTED_VALUE"""),"Старый")</f>
        <v>Старый</v>
      </c>
      <c r="U1026" s="423">
        <f>IFERROR(__xludf.DUMMYFUNCTION("""COMPUTED_VALUE"""),0.0)</f>
        <v>0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/>
      <c r="C1027" s="426"/>
      <c r="D1027" s="426"/>
      <c r="E1027" s="422"/>
      <c r="F1027" s="426"/>
      <c r="G1027" s="426"/>
      <c r="T1027" s="422" t="str">
        <f>IFERROR(__xludf.DUMMYFUNCTION("""COMPUTED_VALUE"""),"Флэш")</f>
        <v>Флэш</v>
      </c>
      <c r="U1027" s="423">
        <f>IFERROR(__xludf.DUMMYFUNCTION("""COMPUTED_VALUE"""),0.0)</f>
        <v>0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/>
      <c r="C1028" s="426"/>
      <c r="D1028" s="426"/>
      <c r="E1028" s="422"/>
      <c r="F1028" s="426"/>
      <c r="G1028" s="426"/>
      <c r="T1028" s="422" t="str">
        <f>IFERROR(__xludf.DUMMYFUNCTION("""COMPUTED_VALUE"""),"Фокс")</f>
        <v>Фокс</v>
      </c>
      <c r="U1028" s="423">
        <f>IFERROR(__xludf.DUMMYFUNCTION("""COMPUTED_VALUE"""),0.0)</f>
        <v>0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/>
      <c r="C1029" s="426"/>
      <c r="D1029" s="426"/>
      <c r="E1029" s="422"/>
      <c r="F1029" s="426"/>
      <c r="G1029" s="426"/>
      <c r="T1029" s="422" t="str">
        <f>IFERROR(__xludf.DUMMYFUNCTION("""COMPUTED_VALUE"""),"Ketamin")</f>
        <v>Ketamin</v>
      </c>
      <c r="U1029" s="423">
        <f>IFERROR(__xludf.DUMMYFUNCTION("""COMPUTED_VALUE"""),0.0)</f>
        <v>0</v>
      </c>
      <c r="W1029" s="422" t="str">
        <f>IFERROR(__xludf.DUMMYFUNCTION("""COMPUTED_VALUE"""),"Stacy")</f>
        <v>Stacy</v>
      </c>
      <c r="X1029" s="423"/>
    </row>
    <row r="1030">
      <c r="A1030" s="422" t="s">
        <v>279</v>
      </c>
      <c r="B1030" s="422"/>
      <c r="C1030" s="426"/>
      <c r="D1030" s="426"/>
      <c r="E1030" s="422"/>
      <c r="F1030" s="426"/>
      <c r="G1030" s="426"/>
      <c r="T1030" s="422" t="str">
        <f>IFERROR(__xludf.DUMMYFUNCTION("""COMPUTED_VALUE"""),"SCHOKK ")</f>
        <v>SCHOKK </v>
      </c>
      <c r="U1030" s="423">
        <f>IFERROR(__xludf.DUMMYFUNCTION("""COMPUTED_VALUE"""),0.0)</f>
        <v>0</v>
      </c>
      <c r="W1030" s="422" t="str">
        <f>IFERROR(__xludf.DUMMYFUNCTION("""COMPUTED_VALUE"""),"WhoIsWho")</f>
        <v>WhoIsWho</v>
      </c>
      <c r="X1030" s="423"/>
    </row>
    <row r="1031">
      <c r="A1031" s="422" t="s">
        <v>106</v>
      </c>
      <c r="B1031" s="422"/>
      <c r="C1031" s="426"/>
      <c r="D1031" s="426"/>
      <c r="E1031" s="422"/>
      <c r="F1031" s="426"/>
      <c r="G1031" s="426"/>
      <c r="T1031" s="422" t="str">
        <f>IFERROR(__xludf.DUMMYFUNCTION("""COMPUTED_VALUE"""),"SOVEST")</f>
        <v>SOVEST</v>
      </c>
      <c r="U1031" s="423">
        <f>IFERROR(__xludf.DUMMYFUNCTION("""COMPUTED_VALUE"""),0.0)</f>
        <v>0</v>
      </c>
      <c r="W1031" s="422" t="str">
        <f>IFERROR(__xludf.DUMMYFUNCTION("""COMPUTED_VALUE"""),"Young")</f>
        <v>Young</v>
      </c>
      <c r="X1031" s="423"/>
    </row>
    <row r="1032">
      <c r="A1032" s="422" t="s">
        <v>133</v>
      </c>
      <c r="B1032" s="422"/>
      <c r="C1032" s="426"/>
      <c r="D1032" s="426"/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/>
      <c r="C1033" s="426"/>
      <c r="D1033" s="426"/>
      <c r="E1033" s="422"/>
      <c r="F1033" s="426"/>
      <c r="G1033" s="426"/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/>
      <c r="C1034" s="426"/>
      <c r="D1034" s="426"/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119</v>
      </c>
      <c r="B1035" s="422"/>
      <c r="C1035" s="426"/>
      <c r="D1035" s="426"/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/>
      <c r="C1036" s="426"/>
      <c r="D1036" s="426"/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/>
      <c r="C1037" s="426"/>
      <c r="D1037" s="426"/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/>
      <c r="C1038" s="426"/>
      <c r="D1038" s="426"/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/>
      <c r="C1039" s="426"/>
      <c r="D1039" s="426"/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279</v>
      </c>
      <c r="B1040" s="422"/>
      <c r="C1040" s="426"/>
      <c r="D1040" s="426"/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106</v>
      </c>
      <c r="B1041" s="422"/>
      <c r="C1041" s="426"/>
      <c r="D1041" s="426"/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133</v>
      </c>
      <c r="B1042" s="422"/>
      <c r="C1042" s="426"/>
      <c r="D1042" s="426"/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/>
      <c r="C1043" s="426"/>
      <c r="D1043" s="426"/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/>
      <c r="C1044" s="426"/>
      <c r="D1044" s="426"/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119</v>
      </c>
      <c r="B1045" s="422"/>
      <c r="C1045" s="426"/>
      <c r="D1045" s="426"/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/>
      <c r="C1046" s="426"/>
      <c r="D1046" s="426"/>
      <c r="E1046" s="422"/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/>
      <c r="C1047" s="426"/>
      <c r="D1047" s="426"/>
      <c r="E1047" s="422"/>
      <c r="F1047" s="426"/>
      <c r="G1047" s="426"/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/>
      <c r="C1048" s="426"/>
      <c r="D1048" s="426"/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/>
      <c r="C1049" s="426"/>
      <c r="D1049" s="426"/>
      <c r="E1049" s="422"/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279</v>
      </c>
      <c r="B1050" s="422"/>
      <c r="C1050" s="426"/>
      <c r="D1050" s="426"/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106</v>
      </c>
      <c r="B1051" s="422"/>
      <c r="C1051" s="426"/>
      <c r="D1051" s="426"/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133</v>
      </c>
      <c r="B1052" s="422"/>
      <c r="C1052" s="426"/>
      <c r="D1052" s="426"/>
      <c r="E1052" s="422"/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/>
      <c r="C1053" s="426"/>
      <c r="D1053" s="426"/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/>
      <c r="C1054" s="426"/>
      <c r="D1054" s="426"/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/>
      <c r="C1055" s="426"/>
      <c r="D1055" s="426"/>
      <c r="E1055" s="422"/>
      <c r="F1055" s="426"/>
      <c r="G1055" s="426"/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/>
      <c r="C1056" s="426"/>
      <c r="D1056" s="426"/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/>
      <c r="C1057" s="426"/>
      <c r="D1057" s="426"/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279</v>
      </c>
      <c r="B1058" s="422"/>
      <c r="C1058" s="426"/>
      <c r="D1058" s="426"/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/>
      <c r="C1059" s="426"/>
      <c r="D1059" s="426"/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129</v>
      </c>
      <c r="B1060" s="422"/>
      <c r="C1060" s="426"/>
      <c r="D1060" s="426"/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118</v>
      </c>
      <c r="B1061" s="422"/>
      <c r="C1061" s="426"/>
      <c r="D1061" s="426"/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/>
      <c r="C1062" s="426"/>
      <c r="D1062" s="426"/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/>
      <c r="C1063" s="426"/>
      <c r="D1063" s="426"/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/>
      <c r="C1064" s="426"/>
      <c r="D1064" s="426"/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/>
      <c r="C1065" s="426"/>
      <c r="D1065" s="426"/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/>
      <c r="C1066" s="426"/>
      <c r="D1066" s="426"/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/>
      <c r="C1067" s="426"/>
      <c r="D1067" s="426"/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279</v>
      </c>
      <c r="B1068" s="422"/>
      <c r="C1068" s="426"/>
      <c r="D1068" s="426"/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/>
      <c r="C1069" s="426"/>
      <c r="D1069" s="426"/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129</v>
      </c>
      <c r="B1070" s="422"/>
      <c r="C1070" s="426"/>
      <c r="D1070" s="426"/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118</v>
      </c>
      <c r="B1071" s="422"/>
      <c r="C1071" s="426"/>
      <c r="D1071" s="426"/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/>
      <c r="C1072" s="426"/>
      <c r="D1072" s="426"/>
      <c r="E1072" s="422"/>
      <c r="F1072" s="426"/>
      <c r="G1072" s="426"/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/>
      <c r="C1073" s="426"/>
      <c r="D1073" s="426"/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/>
      <c r="C1074" s="426"/>
      <c r="D1074" s="426"/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/>
      <c r="C1075" s="426"/>
      <c r="D1075" s="426"/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/>
      <c r="C1076" s="426"/>
      <c r="D1076" s="426"/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/>
      <c r="C1077" s="426"/>
      <c r="D1077" s="426"/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279</v>
      </c>
      <c r="B1078" s="422"/>
      <c r="C1078" s="426"/>
      <c r="D1078" s="426"/>
      <c r="E1078" s="422"/>
      <c r="F1078" s="426"/>
      <c r="G1078" s="426"/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/>
      <c r="C1079" s="426"/>
      <c r="D1079" s="426"/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129</v>
      </c>
      <c r="B1080" s="422"/>
      <c r="C1080" s="426"/>
      <c r="D1080" s="426"/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118</v>
      </c>
      <c r="B1081" s="422"/>
      <c r="C1081" s="426"/>
      <c r="D1081" s="426"/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/>
      <c r="C1082" s="426"/>
      <c r="D1082" s="426"/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IFERROR(__xludf.DUMMYFUNCTION("""COMPUTED_VALUE"""),0.0)</f>
        <v>0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/>
      <c r="C1083" s="426"/>
      <c r="D1083" s="426"/>
      <c r="E1083" s="422"/>
      <c r="F1083" s="426"/>
      <c r="G1083" s="426"/>
      <c r="T1083" s="422" t="str">
        <f>IFERROR(__xludf.DUMMYFUNCTION("""COMPUTED_VALUE"""),"Наполеон")</f>
        <v>Наполеон</v>
      </c>
      <c r="U1083" s="423">
        <f>IFERROR(__xludf.DUMMYFUNCTION("""COMPUTED_VALUE"""),0.0)</f>
        <v>0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/>
      <c r="C1084" s="426"/>
      <c r="D1084" s="426"/>
      <c r="E1084" s="422"/>
      <c r="F1084" s="426"/>
      <c r="G1084" s="426"/>
      <c r="T1084" s="422" t="str">
        <f>IFERROR(__xludf.DUMMYFUNCTION("""COMPUTED_VALUE"""),"Писатель ")</f>
        <v>Писатель </v>
      </c>
      <c r="U1084" s="423">
        <f>IFERROR(__xludf.DUMMYFUNCTION("""COMPUTED_VALUE"""),0.0)</f>
        <v>0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/>
      <c r="C1085" s="426"/>
      <c r="D1085" s="426"/>
      <c r="E1085" s="422"/>
      <c r="F1085" s="426"/>
      <c r="G1085" s="426"/>
      <c r="T1085" s="422" t="str">
        <f>IFERROR(__xludf.DUMMYFUNCTION("""COMPUTED_VALUE"""),"Фокс")</f>
        <v>Фокс</v>
      </c>
      <c r="U1085" s="423">
        <f>IFERROR(__xludf.DUMMYFUNCTION("""COMPUTED_VALUE"""),0.0)</f>
        <v>0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/>
      <c r="C1086" s="426"/>
      <c r="D1086" s="426"/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IFERROR(__xludf.DUMMYFUNCTION("""COMPUTED_VALUE"""),0.0)</f>
        <v>0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/>
      <c r="C1087" s="426"/>
      <c r="D1087" s="426"/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IFERROR(__xludf.DUMMYFUNCTION("""COMPUTED_VALUE"""),0.0)</f>
        <v>0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279</v>
      </c>
      <c r="B1088" s="422"/>
      <c r="C1088" s="426"/>
      <c r="D1088" s="426"/>
      <c r="E1088" s="422"/>
      <c r="F1088" s="426"/>
      <c r="G1088" s="426"/>
      <c r="T1088" s="422" t="str">
        <f>IFERROR(__xludf.DUMMYFUNCTION("""COMPUTED_VALUE"""),"Bublik")</f>
        <v>Bublik</v>
      </c>
      <c r="U1088" s="423">
        <f>IFERROR(__xludf.DUMMYFUNCTION("""COMPUTED_VALUE"""),0.0)</f>
        <v>0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/>
      <c r="C1089" s="426"/>
      <c r="D1089" s="426"/>
      <c r="E1089" s="422"/>
      <c r="F1089" s="426"/>
      <c r="G1089" s="426"/>
      <c r="T1089" s="422" t="str">
        <f>IFERROR(__xludf.DUMMYFUNCTION("""COMPUTED_VALUE"""),"GALAY")</f>
        <v>GALAY</v>
      </c>
      <c r="U1089" s="423">
        <f>IFERROR(__xludf.DUMMYFUNCTION("""COMPUTED_VALUE"""),0.0)</f>
        <v>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129</v>
      </c>
      <c r="B1090" s="422"/>
      <c r="C1090" s="426"/>
      <c r="D1090" s="426"/>
      <c r="E1090" s="422"/>
      <c r="F1090" s="426"/>
      <c r="G1090" s="426"/>
      <c r="T1090" s="422" t="str">
        <f>IFERROR(__xludf.DUMMYFUNCTION("""COMPUTED_VALUE"""),"Infinity ")</f>
        <v>Infinity </v>
      </c>
      <c r="U1090" s="423">
        <f>IFERROR(__xludf.DUMMYFUNCTION("""COMPUTED_VALUE"""),0.0)</f>
        <v>0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118</v>
      </c>
      <c r="B1091" s="422"/>
      <c r="C1091" s="426"/>
      <c r="D1091" s="426"/>
      <c r="E1091" s="422"/>
      <c r="F1091" s="426"/>
      <c r="G1091" s="426"/>
      <c r="T1091" s="422" t="str">
        <f>IFERROR(__xludf.DUMMYFUNCTION("""COMPUTED_VALUE"""),"Morti")</f>
        <v>Morti</v>
      </c>
      <c r="U1091" s="423">
        <f>IFERROR(__xludf.DUMMYFUNCTION("""COMPUTED_VALUE"""),0.0)</f>
        <v>0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/>
      <c r="C1092" s="426"/>
      <c r="D1092" s="426"/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/>
      <c r="C1093" s="426"/>
      <c r="D1093" s="426"/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/>
      <c r="C1094" s="426"/>
      <c r="D1094" s="426"/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/>
      <c r="C1095" s="426"/>
      <c r="D1095" s="426"/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/>
      <c r="C1096" s="426"/>
      <c r="D1096" s="426"/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/>
      <c r="C1097" s="426"/>
      <c r="D1097" s="426"/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279</v>
      </c>
      <c r="B1098" s="422"/>
      <c r="C1098" s="426"/>
      <c r="D1098" s="426"/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/>
      <c r="C1099" s="426"/>
      <c r="D1099" s="426"/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129</v>
      </c>
      <c r="B1100" s="422"/>
      <c r="C1100" s="426"/>
      <c r="D1100" s="426"/>
      <c r="E1100" s="422"/>
      <c r="F1100" s="426"/>
      <c r="G1100" s="426"/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118</v>
      </c>
      <c r="B1101" s="422"/>
      <c r="C1101" s="426"/>
      <c r="D1101" s="426"/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/>
      <c r="C1102" s="426"/>
      <c r="D1102" s="426"/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IFERROR(__xludf.DUMMYFUNCTION("""COMPUTED_VALUE"""),"Ментик")</f>
        <v>Ментик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IFERROR(__xludf.DUMMYFUNCTION("""COMPUTED_VALUE"""),"Мишель ")</f>
        <v>Мишель 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IFERROR(__xludf.DUMMYFUNCTION("""COMPUTED_VALUE"""),"Панда из Руанды")</f>
        <v>Панда из Руанды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IFERROR(__xludf.DUMMYFUNCTION("""COMPUTED_VALUE"""),"Артик")</f>
        <v>Артик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IFERROR(__xludf.DUMMYFUNCTION("""COMPUTED_VALUE"""),"Астория")</f>
        <v>Астория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IFERROR(__xludf.DUMMYFUNCTION("""COMPUTED_VALUE"""),"Аш")</f>
        <v>Аш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IFERROR(__xludf.DUMMYFUNCTION("""COMPUTED_VALUE"""),"Бамблби")</f>
        <v>Бамблби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IFERROR(__xludf.DUMMYFUNCTION("""COMPUTED_VALUE"""),"Волга")</f>
        <v>Волга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IFERROR(__xludf.DUMMYFUNCTION("""COMPUTED_VALUE"""),"Дровосек")</f>
        <v>Дровосек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IFERROR(__xludf.DUMMYFUNCTION("""COMPUTED_VALUE"""),"Зверюга")</f>
        <v>Зверюга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desc"")"),"Инсомнич")</f>
        <v>Инсомнич</v>
      </c>
      <c r="U1142" s="423">
        <f>IFERROR(__xludf.DUMMYFUNCTION("""COMPUTED_VALUE"""),0.0)</f>
        <v>0</v>
      </c>
      <c r="W1142" s="422" t="str">
        <f>IFERROR(__xludf.DUMMYFUNCTION("""COMPUTED_VALUE"""),"Инсомнич")</f>
        <v>Инсомнич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IFERROR(__xludf.DUMMYFUNCTION("""COMPUTED_VALUE"""),"Маваши")</f>
        <v>Маваши</v>
      </c>
      <c r="U1143" s="423">
        <f>IFERROR(__xludf.DUMMYFUNCTION("""COMPUTED_VALUE"""),0.0)</f>
        <v>0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IFERROR(__xludf.DUMMYFUNCTION("""COMPUTED_VALUE"""),"Мишель ")</f>
        <v>Мишель </v>
      </c>
      <c r="U1144" s="423">
        <f>IFERROR(__xludf.DUMMYFUNCTION("""COMPUTED_VALUE"""),0.0)</f>
        <v>0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IFERROR(__xludf.DUMMYFUNCTION("""COMPUTED_VALUE"""),"Продюсер")</f>
        <v>Продюсер</v>
      </c>
      <c r="U1145" s="423">
        <f>IFERROR(__xludf.DUMMYFUNCTION("""COMPUTED_VALUE"""),0.0)</f>
        <v>0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IFERROR(__xludf.DUMMYFUNCTION("""COMPUTED_VALUE"""),"СЭНСЭЙ")</f>
        <v>СЭНСЭЙ</v>
      </c>
      <c r="U1146" s="423">
        <f>IFERROR(__xludf.DUMMYFUNCTION("""COMPUTED_VALUE"""),0.0)</f>
        <v>0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IFERROR(__xludf.DUMMYFUNCTION("""COMPUTED_VALUE"""),"Физик")</f>
        <v>Физик</v>
      </c>
      <c r="U1147" s="423">
        <f>IFERROR(__xludf.DUMMYFUNCTION("""COMPUTED_VALUE"""),0.0)</f>
        <v>0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IFERROR(__xludf.DUMMYFUNCTION("""COMPUTED_VALUE"""),"Фокс")</f>
        <v>Фокс</v>
      </c>
      <c r="U1148" s="423">
        <f>IFERROR(__xludf.DUMMYFUNCTION("""COMPUTED_VALUE"""),0.0)</f>
        <v>0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IFERROR(__xludf.DUMMYFUNCTION("""COMPUTED_VALUE"""),"Alice ")</f>
        <v>Alice </v>
      </c>
      <c r="U1149" s="423">
        <f>IFERROR(__xludf.DUMMYFUNCTION("""COMPUTED_VALUE"""),0.0)</f>
        <v>0</v>
      </c>
      <c r="W1149" s="422" t="str">
        <f>IFERROR(__xludf.DUMMYFUNCTION("""COMPUTED_VALUE"""),"Мишель ")</f>
        <v>Мишель 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IFERROR(__xludf.DUMMYFUNCTION("""COMPUTED_VALUE"""),"Morti")</f>
        <v>Morti</v>
      </c>
      <c r="U1150" s="423">
        <f>IFERROR(__xludf.DUMMYFUNCTION("""COMPUTED_VALUE"""),0.0)</f>
        <v>0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IFERROR(__xludf.DUMMYFUNCTION("""COMPUTED_VALUE"""),"Rocket woman ")</f>
        <v>Rocket woman </v>
      </c>
      <c r="U1151" s="423">
        <f>IFERROR(__xludf.DUMMYFUNCTION("""COMPUTED_VALUE"""),0.0)</f>
        <v>0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IFERROR(__xludf.DUMMYFUNCTION("""COMPUTED_VALUE"""),"Писатель ")</f>
        <v>Писатель 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IFERROR(__xludf.DUMMYFUNCTION("""COMPUTED_VALUE"""),"Продюсер")</f>
        <v>Продюсер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IFERROR(__xludf.DUMMYFUNCTION("""COMPUTED_VALUE"""),"РФ")</f>
        <v>РФ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IFERROR(__xludf.DUMMYFUNCTION("""COMPUTED_VALUE"""),"Старый")</f>
        <v>Старый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IFERROR(__xludf.DUMMYFUNCTION("""COMPUTED_VALUE"""),"СЭНСЭЙ")</f>
        <v>СЭНСЭЙ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IFERROR(__xludf.DUMMYFUNCTION("""COMPUTED_VALUE"""),"Coach")</f>
        <v>Coach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IFERROR(__xludf.DUMMYFUNCTION("""COMPUTED_VALUE"""),"Физик")</f>
        <v>Физик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IFERROR(__xludf.DUMMYFUNCTION("""COMPUTED_VALUE"""),"Волга")</f>
        <v>Волга</v>
      </c>
      <c r="U1159" s="423"/>
      <c r="W1159" s="422" t="str">
        <f>IFERROR(__xludf.DUMMYFUNCTION("""COMPUTED_VALUE"""),"Флэш")</f>
        <v>Флэш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IFERROR(__xludf.DUMMYFUNCTION("""COMPUTED_VALUE"""),"Градиент")</f>
        <v>Градиент</v>
      </c>
      <c r="U1160" s="423"/>
      <c r="W1160" s="422" t="str">
        <f>IFERROR(__xludf.DUMMYFUNCTION("""COMPUTED_VALUE"""),"Фокс")</f>
        <v>Фокс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IFERROR(__xludf.DUMMYFUNCTION("""COMPUTED_VALUE"""),"Дровосек")</f>
        <v>Дровосек</v>
      </c>
      <c r="U1161" s="423"/>
      <c r="W1161" s="422" t="str">
        <f>IFERROR(__xludf.DUMMYFUNCTION("""COMPUTED_VALUE"""),"Шоу Бой")</f>
        <v>Шоу Бой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IFERROR(__xludf.DUMMYFUNCTION("""COMPUTED_VALUE"""),"Зверюга")</f>
        <v>Зверюга</v>
      </c>
      <c r="U1162" s="423"/>
      <c r="W1162" s="422" t="str">
        <f>IFERROR(__xludf.DUMMYFUNCTION("""COMPUTED_VALUE"""),"Шпиц")</f>
        <v>Шпиц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IFERROR(__xludf.DUMMYFUNCTION("""COMPUTED_VALUE"""),"Красавчик")</f>
        <v>Красавчик</v>
      </c>
      <c r="U1163" s="423"/>
      <c r="W1163" s="422" t="str">
        <f>IFERROR(__xludf.DUMMYFUNCTION("""COMPUTED_VALUE"""),"Юрия")</f>
        <v>Юрия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IFERROR(__xludf.DUMMYFUNCTION("""COMPUTED_VALUE"""),"Крестный отец (BLR)")</f>
        <v>Крестный отец (BLR)</v>
      </c>
      <c r="U1164" s="423"/>
      <c r="W1164" s="422" t="str">
        <f>IFERROR(__xludf.DUMMYFUNCTION("""COMPUTED_VALUE"""),"A1 ")</f>
        <v>A1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IFERROR(__xludf.DUMMYFUNCTION("""COMPUTED_VALUE"""),"Крёстный Отец (RU)")</f>
        <v>Крёстный Отец (RU)</v>
      </c>
      <c r="U1165" s="423"/>
      <c r="W1165" s="422" t="str">
        <f>IFERROR(__xludf.DUMMYFUNCTION("""COMPUTED_VALUE"""),"Alice ")</f>
        <v>Alice 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IFERROR(__xludf.DUMMYFUNCTION("""COMPUTED_VALUE"""),"Крот")</f>
        <v>Крот</v>
      </c>
      <c r="U1166" s="423"/>
      <c r="W1166" s="422" t="str">
        <f>IFERROR(__xludf.DUMMYFUNCTION("""COMPUTED_VALUE"""),"BWDMoscow")</f>
        <v>BWDMoscow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IFERROR(__xludf.DUMMYFUNCTION("""COMPUTED_VALUE"""),"Левша")</f>
        <v>Левша</v>
      </c>
      <c r="U1167" s="423"/>
      <c r="W1167" s="422" t="str">
        <f>IFERROR(__xludf.DUMMYFUNCTION("""COMPUTED_VALUE"""),"Castor Troy ")</f>
        <v>Castor Troy 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IFERROR(__xludf.DUMMYFUNCTION("""COMPUTED_VALUE"""),"Лисичка")</f>
        <v>Лисичка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IFERROR(__xludf.DUMMYFUNCTION("""COMPUTED_VALUE"""),"Манекен")</f>
        <v>Манекен</v>
      </c>
      <c r="U1169" s="423"/>
      <c r="W1169" s="422" t="str">
        <f>IFERROR(__xludf.DUMMYFUNCTION("""COMPUTED_VALUE"""),"GALAY")</f>
        <v>GALAY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IFERROR(__xludf.DUMMYFUNCTION("""COMPUTED_VALUE"""),"Марго")</f>
        <v>Марго</v>
      </c>
      <c r="U1170" s="423"/>
      <c r="W1170" s="422" t="str">
        <f>IFERROR(__xludf.DUMMYFUNCTION("""COMPUTED_VALUE"""),"Helga")</f>
        <v>Helga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IFERROR(__xludf.DUMMYFUNCTION("""COMPUTED_VALUE"""),"Ментик")</f>
        <v>Ментик</v>
      </c>
      <c r="U1171" s="423"/>
      <c r="W1171" s="422" t="str">
        <f>IFERROR(__xludf.DUMMYFUNCTION("""COMPUTED_VALUE"""),"Infinity ")</f>
        <v>Infinity 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IFERROR(__xludf.DUMMYFUNCTION("""COMPUTED_VALUE"""),"Наполеон")</f>
        <v>Наполеон</v>
      </c>
      <c r="U1172" s="423"/>
      <c r="W1172" s="422" t="str">
        <f>IFERROR(__xludf.DUMMYFUNCTION("""COMPUTED_VALUE"""),"Ketamin")</f>
        <v>Ketamin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IFERROR(__xludf.DUMMYFUNCTION("""COMPUTED_VALUE"""),"Панда из Руанды")</f>
        <v>Панда из Руанды</v>
      </c>
      <c r="U1173" s="423"/>
      <c r="W1173" s="422" t="str">
        <f>IFERROR(__xludf.DUMMYFUNCTION("""COMPUTED_VALUE"""),"Light")</f>
        <v>Light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IFERROR(__xludf.DUMMYFUNCTION("""COMPUTED_VALUE"""),"Писатель ")</f>
        <v>Писатель </v>
      </c>
      <c r="U1174" s="423"/>
      <c r="W1174" s="422" t="str">
        <f>IFERROR(__xludf.DUMMYFUNCTION("""COMPUTED_VALUE"""),"Morti")</f>
        <v>Morti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IFERROR(__xludf.DUMMYFUNCTION("""COMPUTED_VALUE"""),"Правда ")</f>
        <v>Правда </v>
      </c>
      <c r="U1175" s="423"/>
      <c r="W1175" s="422" t="str">
        <f>IFERROR(__xludf.DUMMYFUNCTION("""COMPUTED_VALUE"""),"MSR")</f>
        <v>MSR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IFERROR(__xludf.DUMMYFUNCTION("""COMPUTED_VALUE"""),"РФ")</f>
        <v>РФ</v>
      </c>
      <c r="U1176" s="423"/>
      <c r="W1176" s="422" t="str">
        <f>IFERROR(__xludf.DUMMYFUNCTION("""COMPUTED_VALUE"""),"NLIP")</f>
        <v>NLIP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IFERROR(__xludf.DUMMYFUNCTION("""COMPUTED_VALUE"""),"Старый")</f>
        <v>Старый</v>
      </c>
      <c r="U1177" s="423"/>
      <c r="W1177" s="422" t="str">
        <f>IFERROR(__xludf.DUMMYFUNCTION("""COMPUTED_VALUE"""),"Rocket woman ")</f>
        <v>Rocket woman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IFERROR(__xludf.DUMMYFUNCTION("""COMPUTED_VALUE"""),"Coach")</f>
        <v>Coach</v>
      </c>
      <c r="U1178" s="423"/>
      <c r="W1178" s="422" t="str">
        <f>IFERROR(__xludf.DUMMYFUNCTION("""COMPUTED_VALUE"""),"SCHOKK ")</f>
        <v>SCHOKK 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IFERROR(__xludf.DUMMYFUNCTION("""COMPUTED_VALUE"""),"Тихий закат")</f>
        <v>Тихий закат</v>
      </c>
      <c r="U1179" s="423"/>
      <c r="W1179" s="422" t="str">
        <f>IFERROR(__xludf.DUMMYFUNCTION("""COMPUTED_VALUE"""),"SOVEST")</f>
        <v>SOVEST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IFERROR(__xludf.DUMMYFUNCTION("""COMPUTED_VALUE"""),"Флэш")</f>
        <v>Флэш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IFERROR(__xludf.DUMMYFUNCTION("""COMPUTED_VALUE"""),"Шоу Бой")</f>
        <v>Шоу Бой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IFERROR(__xludf.DUMMYFUNCTION("""COMPUTED_VALUE"""),"Шпиц")</f>
        <v>Шпиц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IFERROR(__xludf.DUMMYFUNCTION("""COMPUTED_VALUE"""),"Юрия")</f>
        <v>Юрия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IFERROR(__xludf.DUMMYFUNCTION("""COMPUTED_VALUE"""),"A1 ")</f>
        <v>A1 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IFERROR(__xludf.DUMMYFUNCTION("""COMPUTED_VALUE"""),"Bublik")</f>
        <v>Bublik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IFERROR(__xludf.DUMMYFUNCTION("""COMPUTED_VALUE"""),"BWDMoscow")</f>
        <v>BWDMoscow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IFERROR(__xludf.DUMMYFUNCTION("""COMPUTED_VALUE"""),"Castor Troy ")</f>
        <v>Castor Troy 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IFERROR(__xludf.DUMMYFUNCTION("""COMPUTED_VALUE"""),"Cristo")</f>
        <v>Cristo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IFERROR(__xludf.DUMMYFUNCTION("""COMPUTED_VALUE"""),"Curly")</f>
        <v>Curly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IFERROR(__xludf.DUMMYFUNCTION("""COMPUTED_VALUE"""),"GALAY")</f>
        <v>GALAY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IFERROR(__xludf.DUMMYFUNCTION("""COMPUTED_VALUE"""),"Helga")</f>
        <v>Helga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IFERROR(__xludf.DUMMYFUNCTION("""COMPUTED_VALUE"""),"Infinity ")</f>
        <v>Infinity 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IFERROR(__xludf.DUMMYFUNCTION("""COMPUTED_VALUE"""),"Ketamin")</f>
        <v>Ketamin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IFERROR(__xludf.DUMMYFUNCTION("""COMPUTED_VALUE"""),"Light")</f>
        <v>Light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IFERROR(__xludf.DUMMYFUNCTION("""COMPUTED_VALUE"""),"MSR")</f>
        <v>MSR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IFERROR(__xludf.DUMMYFUNCTION("""COMPUTED_VALUE"""),"NLIP")</f>
        <v>NLIP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IFERROR(__xludf.DUMMYFUNCTION("""COMPUTED_VALUE"""),"Мишель ")</f>
        <v>Мишель 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IFERROR(__xludf.DUMMYFUNCTION("""COMPUTED_VALUE"""),"Наполеон")</f>
        <v>Наполеон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IFERROR(__xludf.DUMMYFUNCTION("""COMPUTED_VALUE"""),"Панда из Руанды")</f>
        <v>Панда из Руанды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desc"")"),"Крестный отец (BLR)")</f>
        <v>Крестный отец (BLR)</v>
      </c>
      <c r="U1202" s="423">
        <f>IFERROR(__xludf.DUMMYFUNCTION("""COMPUTED_VALUE"""),0.0)</f>
        <v>0</v>
      </c>
      <c r="W1202" s="422" t="str">
        <f>IFERROR(__xludf.DUMMYFUNCTION("""COMPUTED_VALUE"""),"Правда ")</f>
        <v>Правда 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IFERROR(__xludf.DUMMYFUNCTION("""COMPUTED_VALUE"""),"СЭНСЭЙ")</f>
        <v>СЭНСЭЙ</v>
      </c>
      <c r="U1203" s="423">
        <f>IFERROR(__xludf.DUMMYFUNCTION("""COMPUTED_VALUE"""),0.0)</f>
        <v>0</v>
      </c>
      <c r="W1203" s="422" t="str">
        <f>IFERROR(__xludf.DUMMYFUNCTION("""COMPUTED_VALUE"""),"Продюсер")</f>
        <v>Продюсер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IFERROR(__xludf.DUMMYFUNCTION("""COMPUTED_VALUE"""),0.0)</f>
        <v>0</v>
      </c>
      <c r="W1204" s="422" t="str">
        <f>IFERROR(__xludf.DUMMYFUNCTION("""COMPUTED_VALUE"""),"РФ")</f>
        <v>РФ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IFERROR(__xludf.DUMMYFUNCTION("""COMPUTED_VALUE"""),"Фокс")</f>
        <v>Фокс</v>
      </c>
      <c r="U1205" s="423">
        <f>IFERROR(__xludf.DUMMYFUNCTION("""COMPUTED_VALUE"""),0.0)</f>
        <v>0</v>
      </c>
      <c r="W1205" s="422" t="str">
        <f>IFERROR(__xludf.DUMMYFUNCTION("""COMPUTED_VALUE"""),"Старый")</f>
        <v>Старый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IFERROR(__xludf.DUMMYFUNCTION("""COMPUTED_VALUE"""),"A1 ")</f>
        <v>A1 </v>
      </c>
      <c r="U1206" s="423">
        <f>IFERROR(__xludf.DUMMYFUNCTION("""COMPUTED_VALUE"""),0.0)</f>
        <v>0</v>
      </c>
      <c r="W1206" s="422" t="str">
        <f>IFERROR(__xludf.DUMMYFUNCTION("""COMPUTED_VALUE"""),"СЭНСЭЙ")</f>
        <v>СЭНСЭЙ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IFERROR(__xludf.DUMMYFUNCTION("""COMPUTED_VALUE"""),"Castor Troy ")</f>
        <v>Castor Troy </v>
      </c>
      <c r="U1207" s="423">
        <f>IFERROR(__xludf.DUMMYFUNCTION("""COMPUTED_VALUE"""),0.0)</f>
        <v>0</v>
      </c>
      <c r="W1207" s="422" t="str">
        <f>IFERROR(__xludf.DUMMYFUNCTION("""COMPUTED_VALUE"""),"Физик")</f>
        <v>Физик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IFERROR(__xludf.DUMMYFUNCTION("""COMPUTED_VALUE"""),"Light")</f>
        <v>Light</v>
      </c>
      <c r="U1208" s="423">
        <f>IFERROR(__xludf.DUMMYFUNCTION("""COMPUTED_VALUE"""),0.0)</f>
        <v>0</v>
      </c>
      <c r="W1208" s="422" t="str">
        <f>IFERROR(__xludf.DUMMYFUNCTION("""COMPUTED_VALUE"""),"Фокс")</f>
        <v>Фокс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IFERROR(__xludf.DUMMYFUNCTION("""COMPUTED_VALUE"""),"Morti")</f>
        <v>Morti</v>
      </c>
      <c r="U1209" s="423">
        <f>IFERROR(__xludf.DUMMYFUNCTION("""COMPUTED_VALUE"""),0.0)</f>
        <v>0</v>
      </c>
      <c r="W1209" s="422" t="str">
        <f>IFERROR(__xludf.DUMMYFUNCTION("""COMPUTED_VALUE"""),"Шоу Бой")</f>
        <v>Шоу Бой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IFERROR(__xludf.DUMMYFUNCTION("""COMPUTED_VALUE"""),"WhoIsWho")</f>
        <v>WhoIsWho</v>
      </c>
      <c r="U1210" s="423">
        <f>IFERROR(__xludf.DUMMYFUNCTION("""COMPUTED_VALUE"""),0.0)</f>
        <v>0</v>
      </c>
      <c r="W1210" s="422" t="str">
        <f>IFERROR(__xludf.DUMMYFUNCTION("""COMPUTED_VALUE"""),"Шпиц")</f>
        <v>Шпиц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IFERROR(__xludf.DUMMYFUNCTION("""COMPUTED_VALUE"""),"Young")</f>
        <v>Young</v>
      </c>
      <c r="U1211" s="423">
        <f>IFERROR(__xludf.DUMMYFUNCTION("""COMPUTED_VALUE"""),0.0)</f>
        <v>0</v>
      </c>
      <c r="W1211" s="422" t="str">
        <f>IFERROR(__xludf.DUMMYFUNCTION("""COMPUTED_VALUE"""),"Юрия")</f>
        <v>Юрия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IFERROR(__xludf.DUMMYFUNCTION("""COMPUTED_VALUE"""),"A1 ")</f>
        <v>A1 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IFERROR(__xludf.DUMMYFUNCTION("""COMPUTED_VALUE"""),"Alice ")</f>
        <v>Alice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IFERROR(__xludf.DUMMYFUNCTION("""COMPUTED_VALUE"""),"Bublik")</f>
        <v>Bublik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IFERROR(__xludf.DUMMYFUNCTION("""COMPUTED_VALUE"""),"BWDMoscow")</f>
        <v>BWDMoscow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IFERROR(__xludf.DUMMYFUNCTION("""COMPUTED_VALUE"""),"Castor Troy ")</f>
        <v>Castor Troy 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IFERROR(__xludf.DUMMYFUNCTION("""COMPUTED_VALUE"""),"Cristo")</f>
        <v>Cristo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IFERROR(__xludf.DUMMYFUNCTION("""COMPUTED_VALUE"""),"Бамблби")</f>
        <v>Бамблби</v>
      </c>
      <c r="U1218" s="423"/>
      <c r="W1218" s="422" t="str">
        <f>IFERROR(__xludf.DUMMYFUNCTION("""COMPUTED_VALUE"""),"Curly")</f>
        <v>Curly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IFERROR(__xludf.DUMMYFUNCTION("""COMPUTED_VALUE"""),"Волга")</f>
        <v>Волга</v>
      </c>
      <c r="U1219" s="423"/>
      <c r="W1219" s="422" t="str">
        <f>IFERROR(__xludf.DUMMYFUNCTION("""COMPUTED_VALUE"""),"Helga")</f>
        <v>Helga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IFERROR(__xludf.DUMMYFUNCTION("""COMPUTED_VALUE"""),"Градиент")</f>
        <v>Градиент</v>
      </c>
      <c r="U1220" s="423"/>
      <c r="W1220" s="422" t="str">
        <f>IFERROR(__xludf.DUMMYFUNCTION("""COMPUTED_VALUE"""),"Infinity ")</f>
        <v>Infinity 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IFERROR(__xludf.DUMMYFUNCTION("""COMPUTED_VALUE"""),"Дровосек")</f>
        <v>Дровосек</v>
      </c>
      <c r="U1221" s="423"/>
      <c r="W1221" s="422" t="str">
        <f>IFERROR(__xludf.DUMMYFUNCTION("""COMPUTED_VALUE"""),"Ketamin")</f>
        <v>Ketamin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IFERROR(__xludf.DUMMYFUNCTION("""COMPUTED_VALUE"""),"Зверюга")</f>
        <v>Зверюга</v>
      </c>
      <c r="U1222" s="423"/>
      <c r="W1222" s="422" t="str">
        <f>IFERROR(__xludf.DUMMYFUNCTION("""COMPUTED_VALUE"""),"Light")</f>
        <v>Light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IFERROR(__xludf.DUMMYFUNCTION("""COMPUTED_VALUE"""),"Инсомнич")</f>
        <v>Инсомнич</v>
      </c>
      <c r="U1223" s="423"/>
      <c r="W1223" s="422" t="str">
        <f>IFERROR(__xludf.DUMMYFUNCTION("""COMPUTED_VALUE"""),"Morti")</f>
        <v>Morti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IFERROR(__xludf.DUMMYFUNCTION("""COMPUTED_VALUE"""),"Красавчик")</f>
        <v>Красавчик</v>
      </c>
      <c r="U1224" s="423"/>
      <c r="W1224" s="422" t="str">
        <f>IFERROR(__xludf.DUMMYFUNCTION("""COMPUTED_VALUE"""),"MSR")</f>
        <v>MSR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IFERROR(__xludf.DUMMYFUNCTION("""COMPUTED_VALUE"""),"Крёстный Отец (RU)")</f>
        <v>Крёстный Отец (RU)</v>
      </c>
      <c r="U1225" s="423"/>
      <c r="W1225" s="422" t="str">
        <f>IFERROR(__xludf.DUMMYFUNCTION("""COMPUTED_VALUE"""),"NLIP")</f>
        <v>NLIP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IFERROR(__xludf.DUMMYFUNCTION("""COMPUTED_VALUE"""),"Крот")</f>
        <v>Крот</v>
      </c>
      <c r="U1226" s="423"/>
      <c r="W1226" s="422" t="str">
        <f>IFERROR(__xludf.DUMMYFUNCTION("""COMPUTED_VALUE"""),"Rocket woman ")</f>
        <v>Rocket woman 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IFERROR(__xludf.DUMMYFUNCTION("""COMPUTED_VALUE"""),"Левша")</f>
        <v>Левша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IFERROR(__xludf.DUMMYFUNCTION("""COMPUTED_VALUE"""),"Лисичка")</f>
        <v>Лисичка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IFERROR(__xludf.DUMMYFUNCTION("""COMPUTED_VALUE"""),"Маваши")</f>
        <v>Маваши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IFERROR(__xludf.DUMMYFUNCTION("""COMPUTED_VALUE"""),"Манекен")</f>
        <v>Манекен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IFERROR(__xludf.DUMMYFUNCTION("""COMPUTED_VALUE"""),"Марго")</f>
        <v>Марго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IFERROR(__xludf.DUMMYFUNCTION("""COMPUTED_VALUE"""),"Ментик")</f>
        <v>Ментик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IFERROR(__xludf.DUMMYFUNCTION("""COMPUTED_VALUE"""),"Мишель ")</f>
        <v>Мишель 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IFERROR(__xludf.DUMMYFUNCTION("""COMPUTED_VALUE"""),"Наполеон")</f>
        <v>Наполеон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IFERROR(__xludf.DUMMYFUNCTION("""COMPUTED_VALUE"""),"Панда из Руанды")</f>
        <v>Панда из Руанды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IFERROR(__xludf.DUMMYFUNCTION("""COMPUTED_VALUE"""),"Писатель ")</f>
        <v>Писатель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IFERROR(__xludf.DUMMYFUNCTION("""COMPUTED_VALUE"""),"Правда ")</f>
        <v>Правда 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IFERROR(__xludf.DUMMYFUNCTION("""COMPUTED_VALUE"""),"Продюсер")</f>
        <v>Продюсер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IFERROR(__xludf.DUMMYFUNCTION("""COMPUTED_VALUE"""),"РФ")</f>
        <v>РФ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IFERROR(__xludf.DUMMYFUNCTION("""COMPUTED_VALUE"""),"Старый")</f>
        <v>Старый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IFERROR(__xludf.DUMMYFUNCTION("""COMPUTED_VALUE"""),"Coach")</f>
        <v>Coach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IFERROR(__xludf.DUMMYFUNCTION("""COMPUTED_VALUE"""),"Тихий закат")</f>
        <v>Тихий закат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IFERROR(__xludf.DUMMYFUNCTION("""COMPUTED_VALUE"""),"Физик")</f>
        <v>Физик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IFERROR(__xludf.DUMMYFUNCTION("""COMPUTED_VALUE"""),"Шоу Бой")</f>
        <v>Шоу Бой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IFERROR(__xludf.DUMMYFUNCTION("""COMPUTED_VALUE"""),"Шпиц")</f>
        <v>Шпиц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IFERROR(__xludf.DUMMYFUNCTION("""COMPUTED_VALUE"""),"Юрия")</f>
        <v>Юрия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IFERROR(__xludf.DUMMYFUNCTION("""COMPUTED_VALUE"""),"Bublik")</f>
        <v>Bublik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IFERROR(__xludf.DUMMYFUNCTION("""COMPUTED_VALUE"""),"BWDMoscow")</f>
        <v>BWDMoscow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IFERROR(__xludf.DUMMYFUNCTION("""COMPUTED_VALUE"""),"Cristo")</f>
        <v>Cristo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IFERROR(__xludf.DUMMYFUNCTION("""COMPUTED_VALUE"""),"Curly")</f>
        <v>Curly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IFERROR(__xludf.DUMMYFUNCTION("""COMPUTED_VALUE"""),"GALAY")</f>
        <v>GALAY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IFERROR(__xludf.DUMMYFUNCTION("""COMPUTED_VALUE"""),"Helga")</f>
        <v>Helga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IFERROR(__xludf.DUMMYFUNCTION("""COMPUTED_VALUE"""),"Infinity ")</f>
        <v>Infinity 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IFERROR(__xludf.DUMMYFUNCTION("""COMPUTED_VALUE"""),"Ketamin")</f>
        <v>Ketamin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280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280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280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280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280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IFERROR(__xludf.DUMMYFUNCTION("""COMPUTED_VALUE"""),"Ментик")</f>
        <v>Ментик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IFERROR(__xludf.DUMMYFUNCTION("""COMPUTED_VALUE"""),"Мишель ")</f>
        <v>Мишель 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IFERROR(__xludf.DUMMYFUNCTION("""COMPUTED_VALUE"""),"Панда из Руанды")</f>
        <v>Панда из Руанды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279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279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279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IFERROR(__xludf.DUMMYFUNCTION("""COMPUTED_VALUE"""),"Волга")</f>
        <v>Волга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IFERROR(__xludf.DUMMYFUNCTION("""COMPUTED_VALUE"""),"Градиент")</f>
        <v>Градиент</v>
      </c>
      <c r="X1440" s="423"/>
    </row>
    <row r="1441">
      <c r="A1441" s="422" t="s">
        <v>279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IFERROR(__xludf.DUMMYFUNCTION("""COMPUTED_VALUE"""),"Дровосек")</f>
        <v>Дровосек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IFERROR(__xludf.DUMMYFUNCTION("""COMPUTED_VALUE"""),"Зверюга")</f>
        <v>Зверюга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IFERROR(__xludf.DUMMYFUNCTION("""COMPUTED_VALUE"""),"Красавчик")</f>
        <v>Красавчик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IFERROR(__xludf.DUMMYFUNCTION("""COMPUTED_VALUE"""),"Крестный отец (BLR)")</f>
        <v>Крестный отец (BLR)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IFERROR(__xludf.DUMMYFUNCTION("""COMPUTED_VALUE"""),"Крёстный Отец (RU)")</f>
        <v>Крёстный Отец (RU)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IFERROR(__xludf.DUMMYFUNCTION("""COMPUTED_VALUE"""),"Крот")</f>
        <v>Крот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IFERROR(__xludf.DUMMYFUNCTION("""COMPUTED_VALUE"""),"Левша")</f>
        <v>Левша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IFERROR(__xludf.DUMMYFUNCTION("""COMPUTED_VALUE"""),"Лисичка")</f>
        <v>Лисичка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IFERROR(__xludf.DUMMYFUNCTION("""COMPUTED_VALUE"""),"Манекен")</f>
        <v>Манекен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IFERROR(__xludf.DUMMYFUNCTION("""COMPUTED_VALUE"""),"Марго")</f>
        <v>Марго</v>
      </c>
      <c r="X1450" s="423"/>
    </row>
    <row r="1451">
      <c r="A1451" s="422" t="s">
        <v>279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IFERROR(__xludf.DUMMYFUNCTION("""COMPUTED_VALUE"""),"Ментик")</f>
        <v>Ментик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IFERROR(__xludf.DUMMYFUNCTION("""COMPUTED_VALUE"""),"Наполеон")</f>
        <v>Наполеон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IFERROR(__xludf.DUMMYFUNCTION("""COMPUTED_VALUE"""),"Панда из Руанды")</f>
        <v>Панда из Руанды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IFERROR(__xludf.DUMMYFUNCTION("""COMPUTED_VALUE"""),"Писатель ")</f>
        <v>Писатель 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IFERROR(__xludf.DUMMYFUNCTION("""COMPUTED_VALUE"""),"Правда ")</f>
        <v>Правда </v>
      </c>
      <c r="X1455" s="423"/>
    </row>
    <row r="1456">
      <c r="A1456" s="422" t="s">
        <v>279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IFERROR(__xludf.DUMMYFUNCTION("""COMPUTED_VALUE"""),"РФ")</f>
        <v>РФ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IFERROR(__xludf.DUMMYFUNCTION("""COMPUTED_VALUE"""),"Старый")</f>
        <v>Старый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IFERROR(__xludf.DUMMYFUNCTION("""COMPUTED_VALUE"""),"Coach")</f>
        <v>Coach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IFERROR(__xludf.DUMMYFUNCTION("""COMPUTED_VALUE"""),"Тихий закат")</f>
        <v>Тихий закат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IFERROR(__xludf.DUMMYFUNCTION("""COMPUTED_VALUE"""),"Флэш")</f>
        <v>Флэш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IFERROR(__xludf.DUMMYFUNCTION("""COMPUTED_VALUE"""),"Шоу Бой")</f>
        <v>Шоу Бой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IFERROR(__xludf.DUMMYFUNCTION("""COMPUTED_VALUE"""),"Шпиц")</f>
        <v>Шпиц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IFERROR(__xludf.DUMMYFUNCTION("""COMPUTED_VALUE"""),"Юрия")</f>
        <v>Юрия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IFERROR(__xludf.DUMMYFUNCTION("""COMPUTED_VALUE"""),"A1 ")</f>
        <v>A1 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IFERROR(__xludf.DUMMYFUNCTION("""COMPUTED_VALUE"""),"Bublik")</f>
        <v>Bublik</v>
      </c>
      <c r="X1465" s="423"/>
    </row>
    <row r="1466">
      <c r="A1466" s="422" t="s">
        <v>279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IFERROR(__xludf.DUMMYFUNCTION("""COMPUTED_VALUE"""),"BWDMoscow")</f>
        <v>BWDMoscow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IFERROR(__xludf.DUMMYFUNCTION("""COMPUTED_VALUE"""),"Castor Troy ")</f>
        <v>Castor Troy 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IFERROR(__xludf.DUMMYFUNCTION("""COMPUTED_VALUE"""),"Cristo")</f>
        <v>Cristo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IFERROR(__xludf.DUMMYFUNCTION("""COMPUTED_VALUE"""),"Curly")</f>
        <v>Curly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IFERROR(__xludf.DUMMYFUNCTION("""COMPUTED_VALUE"""),"GALAY")</f>
        <v>GALAY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IFERROR(__xludf.DUMMYFUNCTION("""COMPUTED_VALUE"""),"Helga")</f>
        <v>Helga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IFERROR(__xludf.DUMMYFUNCTION("""COMPUTED_VALUE"""),"Infinity ")</f>
        <v>Infinity 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IFERROR(__xludf.DUMMYFUNCTION("""COMPUTED_VALUE"""),"Ketamin")</f>
        <v>Ketamin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IFERROR(__xludf.DUMMYFUNCTION("""COMPUTED_VALUE"""),"Light")</f>
        <v>Light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IFERROR(__xludf.DUMMYFUNCTION("""COMPUTED_VALUE"""),"MSR")</f>
        <v>MSR</v>
      </c>
      <c r="X1475" s="423"/>
    </row>
    <row r="1476">
      <c r="A1476" s="422" t="s">
        <v>279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IFERROR(__xludf.DUMMYFUNCTION("""COMPUTED_VALUE"""),"NLIP")</f>
        <v>NLIP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279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IFERROR(__xludf.DUMMYFUNCTION("""COMPUTED_VALUE"""),"Бамблби")</f>
        <v>Бамблби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IFERROR(__xludf.DUMMYFUNCTION("""COMPUTED_VALUE"""),"Волга")</f>
        <v>Волга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IFERROR(__xludf.DUMMYFUNCTION("""COMPUTED_VALUE"""),"Градиент")</f>
        <v>Градиент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IFERROR(__xludf.DUMMYFUNCTION("""COMPUTED_VALUE"""),"Дровосек")</f>
        <v>Дровосек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IFERROR(__xludf.DUMMYFUNCTION("""COMPUTED_VALUE"""),"Зверюга")</f>
        <v>Зверюга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IFERROR(__xludf.DUMMYFUNCTION("""COMPUTED_VALUE"""),"Инсомнич")</f>
        <v>Инсомнич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IFERROR(__xludf.DUMMYFUNCTION("""COMPUTED_VALUE"""),"Красавчик")</f>
        <v>Красавчик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IFERROR(__xludf.DUMMYFUNCTION("""COMPUTED_VALUE"""),"Крёстный Отец (RU)")</f>
        <v>Крёстный Отец (RU)</v>
      </c>
      <c r="X1495" s="423"/>
    </row>
    <row r="1496">
      <c r="A1496" s="422" t="s">
        <v>279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IFERROR(__xludf.DUMMYFUNCTION("""COMPUTED_VALUE"""),"Крот")</f>
        <v>Крот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IFERROR(__xludf.DUMMYFUNCTION("""COMPUTED_VALUE"""),"Левша")</f>
        <v>Левша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IFERROR(__xludf.DUMMYFUNCTION("""COMPUTED_VALUE"""),"Лисичка")</f>
        <v>Лисичка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IFERROR(__xludf.DUMMYFUNCTION("""COMPUTED_VALUE"""),"Маваши")</f>
        <v>Маваши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IFERROR(__xludf.DUMMYFUNCTION("""COMPUTED_VALUE"""),"Манекен")</f>
        <v>Манекен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IFERROR(__xludf.DUMMYFUNCTION("""COMPUTED_VALUE"""),"Марго")</f>
        <v>Марго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IFERROR(__xludf.DUMMYFUNCTION("""COMPUTED_VALUE"""),"Ментик")</f>
        <v>Ментик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IFERROR(__xludf.DUMMYFUNCTION("""COMPUTED_VALUE"""),"Мишель ")</f>
        <v>Мишель 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IFERROR(__xludf.DUMMYFUNCTION("""COMPUTED_VALUE"""),"Наполеон")</f>
        <v>Наполеон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IFERROR(__xludf.DUMMYFUNCTION("""COMPUTED_VALUE"""),"Панда из Руанды")</f>
        <v>Панда из Руанды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IFERROR(__xludf.DUMMYFUNCTION("""COMPUTED_VALUE"""),"Писатель ")</f>
        <v>Писатель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IFERROR(__xludf.DUMMYFUNCTION("""COMPUTED_VALUE"""),"Правда ")</f>
        <v>Правда 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IFERROR(__xludf.DUMMYFUNCTION("""COMPUTED_VALUE"""),"Продюсер")</f>
        <v>Продюсер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IFERROR(__xludf.DUMMYFUNCTION("""COMPUTED_VALUE"""),"РФ")</f>
        <v>РФ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IFERROR(__xludf.DUMMYFUNCTION("""COMPUTED_VALUE"""),"Старый")</f>
        <v>Старый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IFERROR(__xludf.DUMMYFUNCTION("""COMPUTED_VALUE"""),"Coach")</f>
        <v>Coach</v>
      </c>
      <c r="X1511" s="423"/>
    </row>
    <row r="1512">
      <c r="A1512" s="422" t="s">
        <v>279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IFERROR(__xludf.DUMMYFUNCTION("""COMPUTED_VALUE"""),"Тихий закат")</f>
        <v>Тихий закат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IFERROR(__xludf.DUMMYFUNCTION("""COMPUTED_VALUE"""),"Физик")</f>
        <v>Физик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IFERROR(__xludf.DUMMYFUNCTION("""COMPUTED_VALUE"""),"Шоу Бой")</f>
        <v>Шоу Бой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IFERROR(__xludf.DUMMYFUNCTION("""COMPUTED_VALUE"""),"Шпиц")</f>
        <v>Шпиц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IFERROR(__xludf.DUMMYFUNCTION("""COMPUTED_VALUE"""),"Юрия")</f>
        <v>Юрия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IFERROR(__xludf.DUMMYFUNCTION("""COMPUTED_VALUE"""),"Bublik")</f>
        <v>Bublik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IFERROR(__xludf.DUMMYFUNCTION("""COMPUTED_VALUE"""),"BWDMoscow")</f>
        <v>BWDMoscow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IFERROR(__xludf.DUMMYFUNCTION("""COMPUTED_VALUE"""),"Cristo")</f>
        <v>Cristo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IFERROR(__xludf.DUMMYFUNCTION("""COMPUTED_VALUE"""),"Curly")</f>
        <v>Curly</v>
      </c>
      <c r="X1521" s="423"/>
    </row>
    <row r="1522">
      <c r="A1522" s="422" t="s">
        <v>279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IFERROR(__xludf.DUMMYFUNCTION("""COMPUTED_VALUE"""),"GALAY")</f>
        <v>GALAY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IFERROR(__xludf.DUMMYFUNCTION("""COMPUTED_VALUE"""),"Helga")</f>
        <v>Helga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IFERROR(__xludf.DUMMYFUNCTION("""COMPUTED_VALUE"""),"Infinity ")</f>
        <v>Infinity 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IFERROR(__xludf.DUMMYFUNCTION("""COMPUTED_VALUE"""),"Ketamin")</f>
        <v>Ketamin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279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279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279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279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279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279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279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279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279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279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279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279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279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279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279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279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279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279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279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279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279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279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279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279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279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279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279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279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281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281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281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281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281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282</v>
      </c>
      <c r="B2" s="431">
        <f>'Все игры'!P19</f>
        <v>5</v>
      </c>
      <c r="C2" s="429"/>
      <c r="D2" s="429"/>
      <c r="E2" s="430" t="s">
        <v>283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3</v>
      </c>
      <c r="E3" s="434" t="str">
        <f t="array" ref="E3:F12">'Все игры'!W3:X12</f>
        <v>Шпиц</v>
      </c>
      <c r="F3" s="435">
        <v>29.0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2</v>
      </c>
      <c r="E4" s="438" t="s">
        <v>124</v>
      </c>
      <c r="F4" s="439">
        <v>28.75</v>
      </c>
      <c r="H4" s="440"/>
      <c r="I4" s="440"/>
      <c r="J4" s="441"/>
    </row>
    <row r="5">
      <c r="E5" s="438" t="s">
        <v>82</v>
      </c>
      <c r="F5" s="439">
        <v>27.5</v>
      </c>
    </row>
    <row r="6">
      <c r="E6" s="438" t="s">
        <v>123</v>
      </c>
      <c r="F6" s="439">
        <v>26.5</v>
      </c>
    </row>
    <row r="7">
      <c r="E7" s="438" t="s">
        <v>138</v>
      </c>
      <c r="F7" s="439">
        <v>26.0</v>
      </c>
    </row>
    <row r="8">
      <c r="E8" s="438" t="s">
        <v>110</v>
      </c>
      <c r="F8" s="439">
        <v>25.25</v>
      </c>
    </row>
    <row r="9">
      <c r="E9" s="438" t="s">
        <v>116</v>
      </c>
      <c r="F9" s="439">
        <v>23.75</v>
      </c>
    </row>
    <row r="10">
      <c r="E10" s="438" t="s">
        <v>91</v>
      </c>
      <c r="F10" s="439">
        <v>23.25</v>
      </c>
    </row>
    <row r="11">
      <c r="E11" s="438" t="s">
        <v>131</v>
      </c>
      <c r="F11" s="439">
        <v>23.25</v>
      </c>
    </row>
    <row r="12">
      <c r="E12" s="442" t="s">
        <v>102</v>
      </c>
      <c r="F12" s="443">
        <v>23.0</v>
      </c>
    </row>
    <row r="16">
      <c r="E16" s="430" t="s">
        <v>5</v>
      </c>
    </row>
    <row r="17">
      <c r="E17" s="444">
        <f>'Все игры'!I7</f>
        <v>1.983022071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3"/>
      <c r="T1" s="348"/>
      <c r="U1" s="448"/>
      <c r="V1" s="348"/>
      <c r="W1" s="448"/>
      <c r="X1" s="353"/>
      <c r="Y1" s="353"/>
      <c r="Z1" s="353"/>
      <c r="AA1" s="353"/>
      <c r="AB1" s="353"/>
      <c r="AC1" s="353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desc"")"),"Лисичка")</f>
        <v>Лисичка</v>
      </c>
      <c r="B2" s="445">
        <f>IFERROR(__xludf.DUMMYFUNCTION("""COMPUTED_VALUE"""),0.8)</f>
        <v>0.8</v>
      </c>
      <c r="C2" s="425" t="str">
        <f>IFERROR(__xludf.DUMMYFUNCTION("QUERY('Игроки статистика'!A5:AA65,""select A, V order by V desc"")"),"Young")</f>
        <v>Young</v>
      </c>
      <c r="D2" s="445">
        <f>IFERROR(__xludf.DUMMYFUNCTION("""COMPUTED_VALUE"""),1.0)</f>
        <v>1</v>
      </c>
      <c r="E2" s="425" t="str">
        <f>IFERROR(__xludf.DUMMYFUNCTION("QUERY('Игроки статистика'!A5:AA65,""select A, W order by W desc"")"),"Артик")</f>
        <v>Артик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desc"")"),"Бамблби")</f>
        <v>Бамблби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desc"")"),"Красавчик")</f>
        <v>Красавчик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desc"")"),"Young")</f>
        <v>Young</v>
      </c>
      <c r="N2" s="445">
        <f>IFERROR(__xludf.DUMMYFUNCTION("""COMPUTED_VALUE"""),1.0)</f>
        <v>1</v>
      </c>
    </row>
    <row r="3">
      <c r="A3" s="450" t="str">
        <f>IFERROR(__xludf.DUMMYFUNCTION("""COMPUTED_VALUE"""),"Coach")</f>
        <v>Coach</v>
      </c>
      <c r="B3" s="445">
        <f>IFERROR(__xludf.DUMMYFUNCTION("""COMPUTED_VALUE"""),0.8)</f>
        <v>0.8</v>
      </c>
      <c r="C3" s="422" t="str">
        <f>IFERROR(__xludf.DUMMYFUNCTION("""COMPUTED_VALUE"""),"Лисичка")</f>
        <v>Лисичка</v>
      </c>
      <c r="D3" s="445">
        <f>IFERROR(__xludf.DUMMYFUNCTION("""COMPUTED_VALUE"""),0.75)</f>
        <v>0.75</v>
      </c>
      <c r="E3" s="422" t="str">
        <f>IFERROR(__xludf.DUMMYFUNCTION("""COMPUTED_VALUE"""),"Красавчик")</f>
        <v>Красавчик</v>
      </c>
      <c r="F3" s="445">
        <f>IFERROR(__xludf.DUMMYFUNCTION("""COMPUTED_VALUE"""),1.0)</f>
        <v>1</v>
      </c>
      <c r="G3" s="422" t="str">
        <f>IFERROR(__xludf.DUMMYFUNCTION("""COMPUTED_VALUE"""),"Волга")</f>
        <v>Волга</v>
      </c>
      <c r="H3" s="445">
        <f>IFERROR(__xludf.DUMMYFUNCTION("""COMPUTED_VALUE"""),1.0)</f>
        <v>1</v>
      </c>
      <c r="I3" s="422" t="str">
        <f>IFERROR(__xludf.DUMMYFUNCTION("""COMPUTED_VALUE"""),"Лисичка")</f>
        <v>Лисичка</v>
      </c>
      <c r="J3" s="445">
        <f>IFERROR(__xludf.DUMMYFUNCTION("""COMPUTED_VALUE"""),1.0)</f>
        <v>1</v>
      </c>
      <c r="K3" s="422" t="str">
        <f>IFERROR(__xludf.DUMMYFUNCTION("""COMPUTED_VALUE"""),"Панда из Руанды")</f>
        <v>Панда из Руанды</v>
      </c>
      <c r="L3" s="445">
        <f>IFERROR(__xludf.DUMMYFUNCTION("""COMPUTED_VALUE"""),1.0)</f>
        <v>1</v>
      </c>
      <c r="M3" s="422" t="str">
        <f>IFERROR(__xludf.DUMMYFUNCTION("""COMPUTED_VALUE"""),"Coach")</f>
        <v>Coach</v>
      </c>
      <c r="N3" s="445">
        <f>IFERROR(__xludf.DUMMYFUNCTION("""COMPUTED_VALUE"""),0.75)</f>
        <v>0.75</v>
      </c>
    </row>
    <row r="4">
      <c r="A4" s="450" t="str">
        <f>IFERROR(__xludf.DUMMYFUNCTION("""COMPUTED_VALUE"""),"Шпиц")</f>
        <v>Шпиц</v>
      </c>
      <c r="B4" s="445">
        <f>IFERROR(__xludf.DUMMYFUNCTION("""COMPUTED_VALUE"""),0.8)</f>
        <v>0.8</v>
      </c>
      <c r="C4" s="422" t="str">
        <f>IFERROR(__xludf.DUMMYFUNCTION("""COMPUTED_VALUE"""),"Coach")</f>
        <v>Coach</v>
      </c>
      <c r="D4" s="445">
        <f>IFERROR(__xludf.DUMMYFUNCTION("""COMPUTED_VALUE"""),0.75)</f>
        <v>0.75</v>
      </c>
      <c r="E4" s="422" t="str">
        <f>IFERROR(__xludf.DUMMYFUNCTION("""COMPUTED_VALUE"""),"Лисичка")</f>
        <v>Лисичка</v>
      </c>
      <c r="F4" s="445">
        <f>IFERROR(__xludf.DUMMYFUNCTION("""COMPUTED_VALUE"""),1.0)</f>
        <v>1</v>
      </c>
      <c r="G4" s="422" t="str">
        <f>IFERROR(__xludf.DUMMYFUNCTION("""COMPUTED_VALUE"""),"Красавчик")</f>
        <v>Красавчик</v>
      </c>
      <c r="H4" s="445">
        <f>IFERROR(__xludf.DUMMYFUNCTION("""COMPUTED_VALUE"""),1.0)</f>
        <v>1</v>
      </c>
      <c r="I4" s="422" t="str">
        <f>IFERROR(__xludf.DUMMYFUNCTION("""COMPUTED_VALUE"""),"Панда из Руанды")</f>
        <v>Панда из Руанды</v>
      </c>
      <c r="J4" s="445">
        <f>IFERROR(__xludf.DUMMYFUNCTION("""COMPUTED_VALUE"""),1.0)</f>
        <v>1</v>
      </c>
      <c r="K4" s="422" t="str">
        <f>IFERROR(__xludf.DUMMYFUNCTION("""COMPUTED_VALUE"""),"Старый")</f>
        <v>Старый</v>
      </c>
      <c r="L4" s="445">
        <f>IFERROR(__xludf.DUMMYFUNCTION("""COMPUTED_VALUE"""),1.0)</f>
        <v>1</v>
      </c>
      <c r="M4" s="422" t="str">
        <f>IFERROR(__xludf.DUMMYFUNCTION("""COMPUTED_VALUE"""),"Инсомнич")</f>
        <v>Инсомнич</v>
      </c>
      <c r="N4" s="445">
        <f>IFERROR(__xludf.DUMMYFUNCTION("""COMPUTED_VALUE"""),0.6666666666666666)</f>
        <v>0.6666666667</v>
      </c>
    </row>
    <row r="5">
      <c r="A5" s="450" t="str">
        <f>IFERROR(__xludf.DUMMYFUNCTION("""COMPUTED_VALUE"""),"Young")</f>
        <v>Young</v>
      </c>
      <c r="B5" s="445">
        <f>IFERROR(__xludf.DUMMYFUNCTION("""COMPUTED_VALUE"""),0.8)</f>
        <v>0.8</v>
      </c>
      <c r="C5" s="422" t="str">
        <f>IFERROR(__xludf.DUMMYFUNCTION("""COMPUTED_VALUE"""),"Инсомнич")</f>
        <v>Инсомнич</v>
      </c>
      <c r="D5" s="445">
        <f>IFERROR(__xludf.DUMMYFUNCTION("""COMPUTED_VALUE"""),0.6666666666666666)</f>
        <v>0.6666666667</v>
      </c>
      <c r="E5" s="422" t="str">
        <f>IFERROR(__xludf.DUMMYFUNCTION("""COMPUTED_VALUE"""),"Панда из Руанды")</f>
        <v>Панда из Руанды</v>
      </c>
      <c r="F5" s="445">
        <f>IFERROR(__xludf.DUMMYFUNCTION("""COMPUTED_VALUE"""),1.0)</f>
        <v>1</v>
      </c>
      <c r="G5" s="422" t="str">
        <f>IFERROR(__xludf.DUMMYFUNCTION("""COMPUTED_VALUE"""),"Лисичка")</f>
        <v>Лисичка</v>
      </c>
      <c r="H5" s="445">
        <f>IFERROR(__xludf.DUMMYFUNCTION("""COMPUTED_VALUE"""),1.0)</f>
        <v>1</v>
      </c>
      <c r="I5" s="422" t="str">
        <f>IFERROR(__xludf.DUMMYFUNCTION("""COMPUTED_VALUE"""),"Писатель ")</f>
        <v>Писатель </v>
      </c>
      <c r="J5" s="445">
        <f>IFERROR(__xludf.DUMMYFUNCTION("""COMPUTED_VALUE"""),1.0)</f>
        <v>1</v>
      </c>
      <c r="K5" s="422" t="str">
        <f>IFERROR(__xludf.DUMMYFUNCTION("""COMPUTED_VALUE"""),"Шпиц")</f>
        <v>Шпиц</v>
      </c>
      <c r="L5" s="445">
        <f>IFERROR(__xludf.DUMMYFUNCTION("""COMPUTED_VALUE"""),1.0)</f>
        <v>1</v>
      </c>
      <c r="M5" s="422" t="str">
        <f>IFERROR(__xludf.DUMMYFUNCTION("""COMPUTED_VALUE"""),"Лисичка")</f>
        <v>Лисичка</v>
      </c>
      <c r="N5" s="445">
        <f>IFERROR(__xludf.DUMMYFUNCTION("""COMPUTED_VALUE"""),0.6666666666666666)</f>
        <v>0.6666666667</v>
      </c>
    </row>
    <row r="6">
      <c r="A6" s="450" t="str">
        <f>IFERROR(__xludf.DUMMYFUNCTION("""COMPUTED_VALUE"""),"Cristo")</f>
        <v>Cristo</v>
      </c>
      <c r="B6" s="445">
        <f>IFERROR(__xludf.DUMMYFUNCTION("""COMPUTED_VALUE"""),0.7)</f>
        <v>0.7</v>
      </c>
      <c r="C6" s="422" t="str">
        <f>IFERROR(__xludf.DUMMYFUNCTION("""COMPUTED_VALUE"""),"Наполеон")</f>
        <v>Наполеон</v>
      </c>
      <c r="D6" s="445">
        <f>IFERROR(__xludf.DUMMYFUNCTION("""COMPUTED_VALUE"""),0.6666666666666666)</f>
        <v>0.6666666667</v>
      </c>
      <c r="E6" s="422" t="str">
        <f>IFERROR(__xludf.DUMMYFUNCTION("""COMPUTED_VALUE"""),"Старый")</f>
        <v>Старый</v>
      </c>
      <c r="F6" s="445">
        <f>IFERROR(__xludf.DUMMYFUNCTION("""COMPUTED_VALUE"""),1.0)</f>
        <v>1</v>
      </c>
      <c r="G6" s="422" t="str">
        <f>IFERROR(__xludf.DUMMYFUNCTION("""COMPUTED_VALUE"""),"Правда ")</f>
        <v>Правда </v>
      </c>
      <c r="H6" s="445">
        <f>IFERROR(__xludf.DUMMYFUNCTION("""COMPUTED_VALUE"""),1.0)</f>
        <v>1</v>
      </c>
      <c r="I6" s="422" t="str">
        <f>IFERROR(__xludf.DUMMYFUNCTION("""COMPUTED_VALUE"""),"Продюсер")</f>
        <v>Продюсер</v>
      </c>
      <c r="J6" s="445">
        <f>IFERROR(__xludf.DUMMYFUNCTION("""COMPUTED_VALUE"""),1.0)</f>
        <v>1</v>
      </c>
      <c r="K6" s="422" t="str">
        <f>IFERROR(__xludf.DUMMYFUNCTION("""COMPUTED_VALUE"""),"Cristo")</f>
        <v>Cristo</v>
      </c>
      <c r="L6" s="445">
        <f>IFERROR(__xludf.DUMMYFUNCTION("""COMPUTED_VALUE"""),1.0)</f>
        <v>1</v>
      </c>
      <c r="M6" s="422" t="str">
        <f>IFERROR(__xludf.DUMMYFUNCTION("""COMPUTED_VALUE"""),"Наполеон")</f>
        <v>Наполеон</v>
      </c>
      <c r="N6" s="445">
        <f>IFERROR(__xludf.DUMMYFUNCTION("""COMPUTED_VALUE"""),0.6666666666666666)</f>
        <v>0.6666666667</v>
      </c>
    </row>
    <row r="7">
      <c r="A7" s="450" t="str">
        <f>IFERROR(__xludf.DUMMYFUNCTION("""COMPUTED_VALUE"""),"Curly")</f>
        <v>Curly</v>
      </c>
      <c r="B7" s="445">
        <f>IFERROR(__xludf.DUMMYFUNCTION("""COMPUTED_VALUE"""),0.7)</f>
        <v>0.7</v>
      </c>
      <c r="C7" s="422" t="str">
        <f>IFERROR(__xludf.DUMMYFUNCTION("""COMPUTED_VALUE"""),"Шпиц")</f>
        <v>Шпиц</v>
      </c>
      <c r="D7" s="445">
        <f>IFERROR(__xludf.DUMMYFUNCTION("""COMPUTED_VALUE"""),0.6666666666666666)</f>
        <v>0.6666666667</v>
      </c>
      <c r="E7" s="422" t="str">
        <f>IFERROR(__xludf.DUMMYFUNCTION("""COMPUTED_VALUE"""),"Coach")</f>
        <v>Coach</v>
      </c>
      <c r="F7" s="445">
        <f>IFERROR(__xludf.DUMMYFUNCTION("""COMPUTED_VALUE"""),1.0)</f>
        <v>1</v>
      </c>
      <c r="G7" s="422" t="str">
        <f>IFERROR(__xludf.DUMMYFUNCTION("""COMPUTED_VALUE"""),"Coach")</f>
        <v>Coach</v>
      </c>
      <c r="H7" s="445">
        <f>IFERROR(__xludf.DUMMYFUNCTION("""COMPUTED_VALUE"""),1.0)</f>
        <v>1</v>
      </c>
      <c r="I7" s="422" t="str">
        <f>IFERROR(__xludf.DUMMYFUNCTION("""COMPUTED_VALUE"""),"Cristo")</f>
        <v>Cristo</v>
      </c>
      <c r="J7" s="445">
        <f>IFERROR(__xludf.DUMMYFUNCTION("""COMPUTED_VALUE"""),1.0)</f>
        <v>1</v>
      </c>
      <c r="K7" s="422" t="str">
        <f>IFERROR(__xludf.DUMMYFUNCTION("""COMPUTED_VALUE"""),"Curly")</f>
        <v>Curly</v>
      </c>
      <c r="L7" s="445">
        <f>IFERROR(__xludf.DUMMYFUNCTION("""COMPUTED_VALUE"""),1.0)</f>
        <v>1</v>
      </c>
      <c r="M7" s="422" t="str">
        <f>IFERROR(__xludf.DUMMYFUNCTION("""COMPUTED_VALUE"""),"Шпиц")</f>
        <v>Шпиц</v>
      </c>
      <c r="N7" s="445">
        <f>IFERROR(__xludf.DUMMYFUNCTION("""COMPUTED_VALUE"""),0.6666666666666666)</f>
        <v>0.6666666667</v>
      </c>
    </row>
    <row r="8">
      <c r="A8" s="450" t="str">
        <f>IFERROR(__xludf.DUMMYFUNCTION("""COMPUTED_VALUE"""),"Авраам")</f>
        <v>Авраам</v>
      </c>
      <c r="B8" s="445">
        <f>IFERROR(__xludf.DUMMYFUNCTION("""COMPUTED_VALUE"""),0.6)</f>
        <v>0.6</v>
      </c>
      <c r="C8" s="422" t="str">
        <f>IFERROR(__xludf.DUMMYFUNCTION("""COMPUTED_VALUE"""),"Infinity ")</f>
        <v>Infinity </v>
      </c>
      <c r="D8" s="445">
        <f>IFERROR(__xludf.DUMMYFUNCTION("""COMPUTED_VALUE"""),0.6666666666666666)</f>
        <v>0.6666666667</v>
      </c>
      <c r="E8" s="422" t="str">
        <f>IFERROR(__xludf.DUMMYFUNCTION("""COMPUTED_VALUE"""),"Шпиц")</f>
        <v>Шпиц</v>
      </c>
      <c r="F8" s="445">
        <f>IFERROR(__xludf.DUMMYFUNCTION("""COMPUTED_VALUE"""),1.0)</f>
        <v>1</v>
      </c>
      <c r="G8" s="422" t="str">
        <f>IFERROR(__xludf.DUMMYFUNCTION("""COMPUTED_VALUE"""),"Шпиц")</f>
        <v>Шпиц</v>
      </c>
      <c r="H8" s="445">
        <f>IFERROR(__xludf.DUMMYFUNCTION("""COMPUTED_VALUE"""),1.0)</f>
        <v>1</v>
      </c>
      <c r="I8" s="422" t="str">
        <f>IFERROR(__xludf.DUMMYFUNCTION("""COMPUTED_VALUE"""),"Curly")</f>
        <v>Curly</v>
      </c>
      <c r="J8" s="445">
        <f>IFERROR(__xludf.DUMMYFUNCTION("""COMPUTED_VALUE"""),1.0)</f>
        <v>1</v>
      </c>
      <c r="K8" s="422" t="str">
        <f>IFERROR(__xludf.DUMMYFUNCTION("""COMPUTED_VALUE"""),"NLIP")</f>
        <v>NLIP</v>
      </c>
      <c r="L8" s="445">
        <f>IFERROR(__xludf.DUMMYFUNCTION("""COMPUTED_VALUE"""),1.0)</f>
        <v>1</v>
      </c>
      <c r="M8" s="422" t="str">
        <f>IFERROR(__xludf.DUMMYFUNCTION("""COMPUTED_VALUE"""),"Infinity ")</f>
        <v>Infinity </v>
      </c>
      <c r="N8" s="445">
        <f>IFERROR(__xludf.DUMMYFUNCTION("""COMPUTED_VALUE"""),0.6666666666666666)</f>
        <v>0.6666666667</v>
      </c>
    </row>
    <row r="9">
      <c r="A9" s="450" t="str">
        <f>IFERROR(__xludf.DUMMYFUNCTION("""COMPUTED_VALUE"""),"Инсомнич")</f>
        <v>Инсомнич</v>
      </c>
      <c r="B9" s="445">
        <f>IFERROR(__xludf.DUMMYFUNCTION("""COMPUTED_VALUE"""),0.6)</f>
        <v>0.6</v>
      </c>
      <c r="C9" s="422" t="str">
        <f>IFERROR(__xludf.DUMMYFUNCTION("""COMPUTED_VALUE"""),"Авраам")</f>
        <v>Авраам</v>
      </c>
      <c r="D9" s="445">
        <f>IFERROR(__xludf.DUMMYFUNCTION("""COMPUTED_VALUE"""),0.6)</f>
        <v>0.6</v>
      </c>
      <c r="E9" s="422" t="str">
        <f>IFERROR(__xludf.DUMMYFUNCTION("""COMPUTED_VALUE"""),"Curly")</f>
        <v>Curly</v>
      </c>
      <c r="F9" s="445">
        <f>IFERROR(__xludf.DUMMYFUNCTION("""COMPUTED_VALUE"""),1.0)</f>
        <v>1</v>
      </c>
      <c r="G9" s="422" t="str">
        <f>IFERROR(__xludf.DUMMYFUNCTION("""COMPUTED_VALUE"""),"Curly")</f>
        <v>Curly</v>
      </c>
      <c r="H9" s="445">
        <f>IFERROR(__xludf.DUMMYFUNCTION("""COMPUTED_VALUE"""),1.0)</f>
        <v>1</v>
      </c>
      <c r="I9" s="422" t="str">
        <f>IFERROR(__xludf.DUMMYFUNCTION("""COMPUTED_VALUE"""),"Rocket woman ")</f>
        <v>Rocket woman </v>
      </c>
      <c r="J9" s="445">
        <f>IFERROR(__xludf.DUMMYFUNCTION("""COMPUTED_VALUE"""),1.0)</f>
        <v>1</v>
      </c>
      <c r="K9" s="422" t="str">
        <f>IFERROR(__xludf.DUMMYFUNCTION("""COMPUTED_VALUE"""),"Волга")</f>
        <v>Волга</v>
      </c>
      <c r="L9" s="445">
        <f>IFERROR(__xludf.DUMMYFUNCTION("""COMPUTED_VALUE"""),0.75)</f>
        <v>0.75</v>
      </c>
      <c r="M9" s="422" t="str">
        <f>IFERROR(__xludf.DUMMYFUNCTION("""COMPUTED_VALUE"""),"Авраам")</f>
        <v>Авраам</v>
      </c>
      <c r="N9" s="445">
        <f>IFERROR(__xludf.DUMMYFUNCTION("""COMPUTED_VALUE"""),0.6)</f>
        <v>0.6</v>
      </c>
    </row>
    <row r="10">
      <c r="A10" s="450" t="str">
        <f>IFERROR(__xludf.DUMMYFUNCTION("""COMPUTED_VALUE"""),"Красавчик")</f>
        <v>Красавчик</v>
      </c>
      <c r="B10" s="445">
        <f>IFERROR(__xludf.DUMMYFUNCTION("""COMPUTED_VALUE"""),0.6)</f>
        <v>0.6</v>
      </c>
      <c r="C10" s="422" t="str">
        <f>IFERROR(__xludf.DUMMYFUNCTION("""COMPUTED_VALUE"""),"Манекен")</f>
        <v>Манекен</v>
      </c>
      <c r="D10" s="445">
        <f>IFERROR(__xludf.DUMMYFUNCTION("""COMPUTED_VALUE"""),0.6)</f>
        <v>0.6</v>
      </c>
      <c r="E10" s="422" t="str">
        <f>IFERROR(__xludf.DUMMYFUNCTION("""COMPUTED_VALUE"""),"NLIP")</f>
        <v>NLIP</v>
      </c>
      <c r="F10" s="445">
        <f>IFERROR(__xludf.DUMMYFUNCTION("""COMPUTED_VALUE"""),1.0)</f>
        <v>1</v>
      </c>
      <c r="G10" s="422" t="str">
        <f>IFERROR(__xludf.DUMMYFUNCTION("""COMPUTED_VALUE"""),"Helga")</f>
        <v>Helga</v>
      </c>
      <c r="H10" s="445">
        <f>IFERROR(__xludf.DUMMYFUNCTION("""COMPUTED_VALUE"""),1.0)</f>
        <v>1</v>
      </c>
      <c r="I10" s="422" t="str">
        <f>IFERROR(__xludf.DUMMYFUNCTION("""COMPUTED_VALUE"""),"Stacy")</f>
        <v>Stacy</v>
      </c>
      <c r="J10" s="445">
        <f>IFERROR(__xludf.DUMMYFUNCTION("""COMPUTED_VALUE"""),1.0)</f>
        <v>1</v>
      </c>
      <c r="K10" s="422" t="str">
        <f>IFERROR(__xludf.DUMMYFUNCTION("""COMPUTED_VALUE"""),"Наполеон")</f>
        <v>Наполеон</v>
      </c>
      <c r="L10" s="445">
        <f>IFERROR(__xludf.DUMMYFUNCTION("""COMPUTED_VALUE"""),0.6666666666666666)</f>
        <v>0.6666666667</v>
      </c>
      <c r="M10" s="422" t="str">
        <f>IFERROR(__xludf.DUMMYFUNCTION("""COMPUTED_VALUE"""),"Castor Troy ")</f>
        <v>Castor Troy </v>
      </c>
      <c r="N10" s="445">
        <f>IFERROR(__xludf.DUMMYFUNCTION("""COMPUTED_VALUE"""),0.6)</f>
        <v>0.6</v>
      </c>
    </row>
    <row r="11">
      <c r="A11" s="450" t="str">
        <f>IFERROR(__xludf.DUMMYFUNCTION("""COMPUTED_VALUE"""),"Манекен")</f>
        <v>Манекен</v>
      </c>
      <c r="B11" s="445">
        <f>IFERROR(__xludf.DUMMYFUNCTION("""COMPUTED_VALUE"""),0.6)</f>
        <v>0.6</v>
      </c>
      <c r="C11" s="422" t="str">
        <f>IFERROR(__xludf.DUMMYFUNCTION("""COMPUTED_VALUE"""),"Castor Troy ")</f>
        <v>Castor Troy </v>
      </c>
      <c r="D11" s="445">
        <f>IFERROR(__xludf.DUMMYFUNCTION("""COMPUTED_VALUE"""),0.6)</f>
        <v>0.6</v>
      </c>
      <c r="E11" s="422" t="str">
        <f>IFERROR(__xludf.DUMMYFUNCTION("""COMPUTED_VALUE"""),"Волга")</f>
        <v>Волга</v>
      </c>
      <c r="F11" s="445">
        <f>IFERROR(__xludf.DUMMYFUNCTION("""COMPUTED_VALUE"""),0.8)</f>
        <v>0.8</v>
      </c>
      <c r="G11" s="422" t="str">
        <f>IFERROR(__xludf.DUMMYFUNCTION("""COMPUTED_VALUE"""),"Infinity ")</f>
        <v>Infinity </v>
      </c>
      <c r="H11" s="445">
        <f>IFERROR(__xludf.DUMMYFUNCTION("""COMPUTED_VALUE"""),1.0)</f>
        <v>1</v>
      </c>
      <c r="I11" s="422" t="str">
        <f>IFERROR(__xludf.DUMMYFUNCTION("""COMPUTED_VALUE"""),"Манекен")</f>
        <v>Манекен</v>
      </c>
      <c r="J11" s="445">
        <f>IFERROR(__xludf.DUMMYFUNCTION("""COMPUTED_VALUE"""),0.6666666666666666)</f>
        <v>0.6666666667</v>
      </c>
      <c r="K11" s="422" t="str">
        <f>IFERROR(__xludf.DUMMYFUNCTION("""COMPUTED_VALUE"""),"Левша")</f>
        <v>Левша</v>
      </c>
      <c r="L11" s="445">
        <f>IFERROR(__xludf.DUMMYFUNCTION("""COMPUTED_VALUE"""),0.5)</f>
        <v>0.5</v>
      </c>
      <c r="M11" s="422" t="str">
        <f>IFERROR(__xludf.DUMMYFUNCTION("""COMPUTED_VALUE"""),"SOVEST")</f>
        <v>SOVEST</v>
      </c>
      <c r="N11" s="445">
        <f>IFERROR(__xludf.DUMMYFUNCTION("""COMPUTED_VALUE"""),0.5714285714285714)</f>
        <v>0.5714285714</v>
      </c>
    </row>
    <row r="12">
      <c r="A12" s="450" t="str">
        <f>IFERROR(__xludf.DUMMYFUNCTION("""COMPUTED_VALUE"""),"Наполеон")</f>
        <v>Наполеон</v>
      </c>
      <c r="B12" s="445">
        <f>IFERROR(__xludf.DUMMYFUNCTION("""COMPUTED_VALUE"""),0.6)</f>
        <v>0.6</v>
      </c>
      <c r="C12" s="422" t="str">
        <f>IFERROR(__xludf.DUMMYFUNCTION("""COMPUTED_VALUE"""),"Cristo")</f>
        <v>Cristo</v>
      </c>
      <c r="D12" s="445">
        <f>IFERROR(__xludf.DUMMYFUNCTION("""COMPUTED_VALUE"""),0.6)</f>
        <v>0.6</v>
      </c>
      <c r="E12" s="422" t="str">
        <f>IFERROR(__xludf.DUMMYFUNCTION("""COMPUTED_VALUE"""),"Cristo")</f>
        <v>Cristo</v>
      </c>
      <c r="F12" s="445">
        <f>IFERROR(__xludf.DUMMYFUNCTION("""COMPUTED_VALUE"""),0.8)</f>
        <v>0.8</v>
      </c>
      <c r="G12" s="422" t="str">
        <f>IFERROR(__xludf.DUMMYFUNCTION("""COMPUTED_VALUE"""),"NLIP")</f>
        <v>NLIP</v>
      </c>
      <c r="H12" s="445">
        <f>IFERROR(__xludf.DUMMYFUNCTION("""COMPUTED_VALUE"""),1.0)</f>
        <v>1</v>
      </c>
      <c r="I12" s="422" t="str">
        <f>IFERROR(__xludf.DUMMYFUNCTION("""COMPUTED_VALUE"""),"WhoIsWho")</f>
        <v>WhoIsWho</v>
      </c>
      <c r="J12" s="445">
        <f>IFERROR(__xludf.DUMMYFUNCTION("""COMPUTED_VALUE"""),0.3333333333333333)</f>
        <v>0.3333333333</v>
      </c>
      <c r="K12" s="422" t="str">
        <f>IFERROR(__xludf.DUMMYFUNCTION("""COMPUTED_VALUE"""),"Правда ")</f>
        <v>Правда </v>
      </c>
      <c r="L12" s="445">
        <f>IFERROR(__xludf.DUMMYFUNCTION("""COMPUTED_VALUE"""),0.5)</f>
        <v>0.5</v>
      </c>
      <c r="M12" s="422" t="str">
        <f>IFERROR(__xludf.DUMMYFUNCTION("""COMPUTED_VALUE"""),"Андерсен")</f>
        <v>Андерсен</v>
      </c>
      <c r="N12" s="445">
        <f>IFERROR(__xludf.DUMMYFUNCTION("""COMPUTED_VALUE"""),0.5)</f>
        <v>0.5</v>
      </c>
    </row>
    <row r="13">
      <c r="A13" s="450" t="str">
        <f>IFERROR(__xludf.DUMMYFUNCTION("""COMPUTED_VALUE"""),"Castor Troy ")</f>
        <v>Castor Troy </v>
      </c>
      <c r="B13" s="445">
        <f>IFERROR(__xludf.DUMMYFUNCTION("""COMPUTED_VALUE"""),0.6)</f>
        <v>0.6</v>
      </c>
      <c r="C13" s="422" t="str">
        <f>IFERROR(__xludf.DUMMYFUNCTION("""COMPUTED_VALUE"""),"Curly")</f>
        <v>Curly</v>
      </c>
      <c r="D13" s="445">
        <f>IFERROR(__xludf.DUMMYFUNCTION("""COMPUTED_VALUE"""),0.5714285714285714)</f>
        <v>0.5714285714</v>
      </c>
      <c r="E13" s="422" t="str">
        <f>IFERROR(__xludf.DUMMYFUNCTION("""COMPUTED_VALUE"""),"Мишель ")</f>
        <v>Мишель </v>
      </c>
      <c r="F13" s="445">
        <f>IFERROR(__xludf.DUMMYFUNCTION("""COMPUTED_VALUE"""),0.6666666666666666)</f>
        <v>0.6666666667</v>
      </c>
      <c r="G13" s="422" t="str">
        <f>IFERROR(__xludf.DUMMYFUNCTION("""COMPUTED_VALUE"""),"Мишель ")</f>
        <v>Мишель </v>
      </c>
      <c r="H13" s="445">
        <f>IFERROR(__xludf.DUMMYFUNCTION("""COMPUTED_VALUE"""),0.6666666666666666)</f>
        <v>0.6666666667</v>
      </c>
      <c r="I13" s="422" t="str">
        <f>IFERROR(__xludf.DUMMYFUNCTION("""COMPUTED_VALUE"""),"Авраам")</f>
        <v>Авраам</v>
      </c>
      <c r="J13" s="445">
        <f>IFERROR(__xludf.DUMMYFUNCTION("""COMPUTED_VALUE"""),0.0)</f>
        <v>0</v>
      </c>
      <c r="K13" s="422" t="str">
        <f>IFERROR(__xludf.DUMMYFUNCTION("""COMPUTED_VALUE"""),"Helga")</f>
        <v>Helga</v>
      </c>
      <c r="L13" s="445">
        <f>IFERROR(__xludf.DUMMYFUNCTION("""COMPUTED_VALUE"""),0.5)</f>
        <v>0.5</v>
      </c>
      <c r="M13" s="422" t="str">
        <f>IFERROR(__xludf.DUMMYFUNCTION("""COMPUTED_VALUE"""),"Артик")</f>
        <v>Артик</v>
      </c>
      <c r="N13" s="445">
        <f>IFERROR(__xludf.DUMMYFUNCTION("""COMPUTED_VALUE"""),0.5)</f>
        <v>0.5</v>
      </c>
    </row>
    <row r="14">
      <c r="A14" s="450" t="str">
        <f>IFERROR(__xludf.DUMMYFUNCTION("""COMPUTED_VALUE"""),"Infinity ")</f>
        <v>Infinity </v>
      </c>
      <c r="B14" s="445">
        <f>IFERROR(__xludf.DUMMYFUNCTION("""COMPUTED_VALUE"""),0.6)</f>
        <v>0.6</v>
      </c>
      <c r="C14" s="422" t="str">
        <f>IFERROR(__xludf.DUMMYFUNCTION("""COMPUTED_VALUE"""),"SOVEST")</f>
        <v>SOVEST</v>
      </c>
      <c r="D14" s="445">
        <f>IFERROR(__xludf.DUMMYFUNCTION("""COMPUTED_VALUE"""),0.5714285714285714)</f>
        <v>0.5714285714</v>
      </c>
      <c r="E14" s="422" t="str">
        <f>IFERROR(__xludf.DUMMYFUNCTION("""COMPUTED_VALUE"""),"Правда ")</f>
        <v>Правда </v>
      </c>
      <c r="F14" s="445">
        <f>IFERROR(__xludf.DUMMYFUNCTION("""COMPUTED_VALUE"""),0.6666666666666666)</f>
        <v>0.6666666667</v>
      </c>
      <c r="G14" s="422" t="str">
        <f>IFERROR(__xludf.DUMMYFUNCTION("""COMPUTED_VALUE"""),"Физик")</f>
        <v>Физик</v>
      </c>
      <c r="H14" s="445">
        <f>IFERROR(__xludf.DUMMYFUNCTION("""COMPUTED_VALUE"""),0.6666666666666666)</f>
        <v>0.6666666667</v>
      </c>
      <c r="I14" s="422" t="str">
        <f>IFERROR(__xludf.DUMMYFUNCTION("""COMPUTED_VALUE"""),"Админ")</f>
        <v>Админ</v>
      </c>
      <c r="J14" s="445">
        <f>IFERROR(__xludf.DUMMYFUNCTION("""COMPUTED_VALUE"""),0.0)</f>
        <v>0</v>
      </c>
      <c r="K14" s="422" t="str">
        <f>IFERROR(__xludf.DUMMYFUNCTION("""COMPUTED_VALUE"""),"Бамблби")</f>
        <v>Бамблби</v>
      </c>
      <c r="L14" s="445">
        <f>IFERROR(__xludf.DUMMYFUNCTION("""COMPUTED_VALUE"""),0.3333333333333333)</f>
        <v>0.3333333333</v>
      </c>
      <c r="M14" s="422" t="str">
        <f>IFERROR(__xludf.DUMMYFUNCTION("""COMPUTED_VALUE"""),"Манекен")</f>
        <v>Манекен</v>
      </c>
      <c r="N14" s="445">
        <f>IFERROR(__xludf.DUMMYFUNCTION("""COMPUTED_VALUE"""),0.5)</f>
        <v>0.5</v>
      </c>
    </row>
    <row r="15">
      <c r="A15" s="450" t="str">
        <f>IFERROR(__xludf.DUMMYFUNCTION("""COMPUTED_VALUE"""),"NLIP")</f>
        <v>NLIP</v>
      </c>
      <c r="B15" s="445">
        <f>IFERROR(__xludf.DUMMYFUNCTION("""COMPUTED_VALUE"""),0.6)</f>
        <v>0.6</v>
      </c>
      <c r="C15" s="422" t="str">
        <f>IFERROR(__xludf.DUMMYFUNCTION("""COMPUTED_VALUE"""),"Андерсен")</f>
        <v>Андерсен</v>
      </c>
      <c r="D15" s="445">
        <f>IFERROR(__xludf.DUMMYFUNCTION("""COMPUTED_VALUE"""),0.5)</f>
        <v>0.5</v>
      </c>
      <c r="E15" s="422" t="str">
        <f>IFERROR(__xludf.DUMMYFUNCTION("""COMPUTED_VALUE"""),"Helga")</f>
        <v>Helga</v>
      </c>
      <c r="F15" s="445">
        <f>IFERROR(__xludf.DUMMYFUNCTION("""COMPUTED_VALUE"""),0.6666666666666666)</f>
        <v>0.6666666667</v>
      </c>
      <c r="G15" s="422" t="str">
        <f>IFERROR(__xludf.DUMMYFUNCTION("""COMPUTED_VALUE"""),"Cristo")</f>
        <v>Cristo</v>
      </c>
      <c r="H15" s="445">
        <f>IFERROR(__xludf.DUMMYFUNCTION("""COMPUTED_VALUE"""),0.6666666666666666)</f>
        <v>0.6666666667</v>
      </c>
      <c r="I15" s="422" t="str">
        <f>IFERROR(__xludf.DUMMYFUNCTION("""COMPUTED_VALUE"""),"Андерсен")</f>
        <v>Андерсен</v>
      </c>
      <c r="J15" s="445">
        <f>IFERROR(__xludf.DUMMYFUNCTION("""COMPUTED_VALUE"""),0.0)</f>
        <v>0</v>
      </c>
      <c r="K15" s="422" t="str">
        <f>IFERROR(__xludf.DUMMYFUNCTION("""COMPUTED_VALUE"""),"Авраам")</f>
        <v>Авраам</v>
      </c>
      <c r="L15" s="445">
        <f>IFERROR(__xludf.DUMMYFUNCTION("""COMPUTED_VALUE"""),0.0)</f>
        <v>0</v>
      </c>
      <c r="M15" s="422" t="str">
        <f>IFERROR(__xludf.DUMMYFUNCTION("""COMPUTED_VALUE"""),"Мишель ")</f>
        <v>Мишель </v>
      </c>
      <c r="N15" s="445">
        <f>IFERROR(__xludf.DUMMYFUNCTION("""COMPUTED_VALUE"""),0.5)</f>
        <v>0.5</v>
      </c>
    </row>
    <row r="16">
      <c r="A16" s="450" t="str">
        <f>IFERROR(__xludf.DUMMYFUNCTION("""COMPUTED_VALUE"""),"Артик")</f>
        <v>Артик</v>
      </c>
      <c r="B16" s="445">
        <f>IFERROR(__xludf.DUMMYFUNCTION("""COMPUTED_VALUE"""),0.5)</f>
        <v>0.5</v>
      </c>
      <c r="C16" s="422" t="str">
        <f>IFERROR(__xludf.DUMMYFUNCTION("""COMPUTED_VALUE"""),"Писатель ")</f>
        <v>Писатель </v>
      </c>
      <c r="D16" s="445">
        <f>IFERROR(__xludf.DUMMYFUNCTION("""COMPUTED_VALUE"""),0.5)</f>
        <v>0.5</v>
      </c>
      <c r="E16" s="422" t="str">
        <f>IFERROR(__xludf.DUMMYFUNCTION("""COMPUTED_VALUE"""),"MSR")</f>
        <v>MSR</v>
      </c>
      <c r="F16" s="445">
        <f>IFERROR(__xludf.DUMMYFUNCTION("""COMPUTED_VALUE"""),0.6666666666666666)</f>
        <v>0.6666666667</v>
      </c>
      <c r="G16" s="422" t="str">
        <f>IFERROR(__xludf.DUMMYFUNCTION("""COMPUTED_VALUE"""),"MSR")</f>
        <v>MSR</v>
      </c>
      <c r="H16" s="445">
        <f>IFERROR(__xludf.DUMMYFUNCTION("""COMPUTED_VALUE"""),0.6666666666666666)</f>
        <v>0.6666666667</v>
      </c>
      <c r="I16" s="422" t="str">
        <f>IFERROR(__xludf.DUMMYFUNCTION("""COMPUTED_VALUE"""),"Артик")</f>
        <v>Артик</v>
      </c>
      <c r="J16" s="445">
        <f>IFERROR(__xludf.DUMMYFUNCTION("""COMPUTED_VALUE"""),0.0)</f>
        <v>0</v>
      </c>
      <c r="K16" s="422" t="str">
        <f>IFERROR(__xludf.DUMMYFUNCTION("""COMPUTED_VALUE"""),"Админ")</f>
        <v>Админ</v>
      </c>
      <c r="L16" s="445">
        <f>IFERROR(__xludf.DUMMYFUNCTION("""COMPUTED_VALUE"""),0.0)</f>
        <v>0</v>
      </c>
      <c r="M16" s="422" t="str">
        <f>IFERROR(__xludf.DUMMYFUNCTION("""COMPUTED_VALUE"""),"Правда ")</f>
        <v>Правда </v>
      </c>
      <c r="N16" s="445">
        <f>IFERROR(__xludf.DUMMYFUNCTION("""COMPUTED_VALUE"""),0.5)</f>
        <v>0.5</v>
      </c>
    </row>
    <row r="17">
      <c r="A17" s="450" t="str">
        <f>IFERROR(__xludf.DUMMYFUNCTION("""COMPUTED_VALUE"""),"Волга")</f>
        <v>Волга</v>
      </c>
      <c r="B17" s="445">
        <f>IFERROR(__xludf.DUMMYFUNCTION("""COMPUTED_VALUE"""),0.5)</f>
        <v>0.5</v>
      </c>
      <c r="C17" s="422" t="str">
        <f>IFERROR(__xludf.DUMMYFUNCTION("""COMPUTED_VALUE"""),"Артик")</f>
        <v>Артик</v>
      </c>
      <c r="D17" s="445">
        <f>IFERROR(__xludf.DUMMYFUNCTION("""COMPUTED_VALUE"""),0.4444444444444444)</f>
        <v>0.4444444444</v>
      </c>
      <c r="E17" s="422" t="str">
        <f>IFERROR(__xludf.DUMMYFUNCTION("""COMPUTED_VALUE"""),"Young")</f>
        <v>Young</v>
      </c>
      <c r="F17" s="445">
        <f>IFERROR(__xludf.DUMMYFUNCTION("""COMPUTED_VALUE"""),0.6666666666666666)</f>
        <v>0.6666666667</v>
      </c>
      <c r="G17" s="422" t="str">
        <f>IFERROR(__xludf.DUMMYFUNCTION("""COMPUTED_VALUE"""),"Young")</f>
        <v>Young</v>
      </c>
      <c r="H17" s="445">
        <f>IFERROR(__xludf.DUMMYFUNCTION("""COMPUTED_VALUE"""),0.6666666666666666)</f>
        <v>0.6666666667</v>
      </c>
      <c r="I17" s="422" t="str">
        <f>IFERROR(__xludf.DUMMYFUNCTION("""COMPUTED_VALUE"""),"Астория")</f>
        <v>Астория</v>
      </c>
      <c r="J17" s="445">
        <f>IFERROR(__xludf.DUMMYFUNCTION("""COMPUTED_VALUE"""),0.0)</f>
        <v>0</v>
      </c>
      <c r="K17" s="422" t="str">
        <f>IFERROR(__xludf.DUMMYFUNCTION("""COMPUTED_VALUE"""),"Андерсен")</f>
        <v>Андерсен</v>
      </c>
      <c r="L17" s="445">
        <f>IFERROR(__xludf.DUMMYFUNCTION("""COMPUTED_VALUE"""),0.0)</f>
        <v>0</v>
      </c>
      <c r="M17" s="422" t="str">
        <f>IFERROR(__xludf.DUMMYFUNCTION("""COMPUTED_VALUE"""),"Физик")</f>
        <v>Физик</v>
      </c>
      <c r="N17" s="445">
        <f>IFERROR(__xludf.DUMMYFUNCTION("""COMPUTED_VALUE"""),0.5)</f>
        <v>0.5</v>
      </c>
    </row>
    <row r="18">
      <c r="A18" s="450" t="str">
        <f>IFERROR(__xludf.DUMMYFUNCTION("""COMPUTED_VALUE"""),"Мишель ")</f>
        <v>Мишель </v>
      </c>
      <c r="B18" s="445">
        <f>IFERROR(__xludf.DUMMYFUNCTION("""COMPUTED_VALUE"""),0.5)</f>
        <v>0.5</v>
      </c>
      <c r="C18" s="422" t="str">
        <f>IFERROR(__xludf.DUMMYFUNCTION("""COMPUTED_VALUE"""),"Мишель ")</f>
        <v>Мишель </v>
      </c>
      <c r="D18" s="445">
        <f>IFERROR(__xludf.DUMMYFUNCTION("""COMPUTED_VALUE"""),0.42857142857142855)</f>
        <v>0.4285714286</v>
      </c>
      <c r="E18" s="422" t="str">
        <f>IFERROR(__xludf.DUMMYFUNCTION("""COMPUTED_VALUE"""),"Продюсер")</f>
        <v>Продюсер</v>
      </c>
      <c r="F18" s="445">
        <f>IFERROR(__xludf.DUMMYFUNCTION("""COMPUTED_VALUE"""),0.6)</f>
        <v>0.6</v>
      </c>
      <c r="G18" s="422" t="str">
        <f>IFERROR(__xludf.DUMMYFUNCTION("""COMPUTED_VALUE"""),"Продюсер")</f>
        <v>Продюсер</v>
      </c>
      <c r="H18" s="445">
        <f>IFERROR(__xludf.DUMMYFUNCTION("""COMPUTED_VALUE"""),0.6)</f>
        <v>0.6</v>
      </c>
      <c r="I18" s="422" t="str">
        <f>IFERROR(__xludf.DUMMYFUNCTION("""COMPUTED_VALUE"""),"Аш")</f>
        <v>Аш</v>
      </c>
      <c r="J18" s="445">
        <f>IFERROR(__xludf.DUMMYFUNCTION("""COMPUTED_VALUE"""),0.0)</f>
        <v>0</v>
      </c>
      <c r="K18" s="422" t="str">
        <f>IFERROR(__xludf.DUMMYFUNCTION("""COMPUTED_VALUE"""),"Артик")</f>
        <v>Артик</v>
      </c>
      <c r="L18" s="445">
        <f>IFERROR(__xludf.DUMMYFUNCTION("""COMPUTED_VALUE"""),0.0)</f>
        <v>0</v>
      </c>
      <c r="M18" s="422" t="str">
        <f>IFERROR(__xludf.DUMMYFUNCTION("""COMPUTED_VALUE"""),"Cristo")</f>
        <v>Cristo</v>
      </c>
      <c r="N18" s="445">
        <f>IFERROR(__xludf.DUMMYFUNCTION("""COMPUTED_VALUE"""),0.5)</f>
        <v>0.5</v>
      </c>
    </row>
    <row r="19">
      <c r="A19" s="450" t="str">
        <f>IFERROR(__xludf.DUMMYFUNCTION("""COMPUTED_VALUE"""),"Правда ")</f>
        <v>Правда </v>
      </c>
      <c r="B19" s="445">
        <f>IFERROR(__xludf.DUMMYFUNCTION("""COMPUTED_VALUE"""),0.5)</f>
        <v>0.5</v>
      </c>
      <c r="C19" s="422" t="str">
        <f>IFERROR(__xludf.DUMMYFUNCTION("""COMPUTED_VALUE"""),"Правда ")</f>
        <v>Правда </v>
      </c>
      <c r="D19" s="445">
        <f>IFERROR(__xludf.DUMMYFUNCTION("""COMPUTED_VALUE"""),0.42857142857142855)</f>
        <v>0.4285714286</v>
      </c>
      <c r="E19" s="422" t="str">
        <f>IFERROR(__xludf.DUMMYFUNCTION("""COMPUTED_VALUE"""),"Инсомнич")</f>
        <v>Инсомнич</v>
      </c>
      <c r="F19" s="445">
        <f>IFERROR(__xludf.DUMMYFUNCTION("""COMPUTED_VALUE"""),0.5)</f>
        <v>0.5</v>
      </c>
      <c r="G19" s="422" t="str">
        <f>IFERROR(__xludf.DUMMYFUNCTION("""COMPUTED_VALUE"""),"Инсомнич")</f>
        <v>Инсомнич</v>
      </c>
      <c r="H19" s="445">
        <f>IFERROR(__xludf.DUMMYFUNCTION("""COMPUTED_VALUE"""),0.5)</f>
        <v>0.5</v>
      </c>
      <c r="I19" s="422" t="str">
        <f>IFERROR(__xludf.DUMMYFUNCTION("""COMPUTED_VALUE"""),"Волга")</f>
        <v>Волга</v>
      </c>
      <c r="J19" s="445">
        <f>IFERROR(__xludf.DUMMYFUNCTION("""COMPUTED_VALUE"""),0.0)</f>
        <v>0</v>
      </c>
      <c r="K19" s="422" t="str">
        <f>IFERROR(__xludf.DUMMYFUNCTION("""COMPUTED_VALUE"""),"Астория")</f>
        <v>Астория</v>
      </c>
      <c r="L19" s="445">
        <f>IFERROR(__xludf.DUMMYFUNCTION("""COMPUTED_VALUE"""),0.0)</f>
        <v>0</v>
      </c>
      <c r="M19" s="422" t="str">
        <f>IFERROR(__xludf.DUMMYFUNCTION("""COMPUTED_VALUE"""),"Curly")</f>
        <v>Curly</v>
      </c>
      <c r="N19" s="445">
        <f>IFERROR(__xludf.DUMMYFUNCTION("""COMPUTED_VALUE"""),0.5)</f>
        <v>0.5</v>
      </c>
    </row>
    <row r="20">
      <c r="A20" s="450" t="str">
        <f>IFERROR(__xludf.DUMMYFUNCTION("""COMPUTED_VALUE"""),"Продюсер")</f>
        <v>Продюсер</v>
      </c>
      <c r="B20" s="445">
        <f>IFERROR(__xludf.DUMMYFUNCTION("""COMPUTED_VALUE"""),0.5)</f>
        <v>0.5</v>
      </c>
      <c r="C20" s="422" t="str">
        <f>IFERROR(__xludf.DUMMYFUNCTION("""COMPUTED_VALUE"""),"Продюсер")</f>
        <v>Продюсер</v>
      </c>
      <c r="D20" s="445">
        <f>IFERROR(__xludf.DUMMYFUNCTION("""COMPUTED_VALUE"""),0.4)</f>
        <v>0.4</v>
      </c>
      <c r="E20" s="422" t="str">
        <f>IFERROR(__xludf.DUMMYFUNCTION("""COMPUTED_VALUE"""),"Левша")</f>
        <v>Левша</v>
      </c>
      <c r="F20" s="445">
        <f>IFERROR(__xludf.DUMMYFUNCTION("""COMPUTED_VALUE"""),0.5)</f>
        <v>0.5</v>
      </c>
      <c r="G20" s="422" t="str">
        <f>IFERROR(__xludf.DUMMYFUNCTION("""COMPUTED_VALUE"""),"Левша")</f>
        <v>Левша</v>
      </c>
      <c r="H20" s="445">
        <f>IFERROR(__xludf.DUMMYFUNCTION("""COMPUTED_VALUE"""),0.5)</f>
        <v>0.5</v>
      </c>
      <c r="I20" s="422" t="str">
        <f>IFERROR(__xludf.DUMMYFUNCTION("""COMPUTED_VALUE"""),"Градиент")</f>
        <v>Градиент</v>
      </c>
      <c r="J20" s="445">
        <f>IFERROR(__xludf.DUMMYFUNCTION("""COMPUTED_VALUE"""),0.0)</f>
        <v>0</v>
      </c>
      <c r="K20" s="422" t="str">
        <f>IFERROR(__xludf.DUMMYFUNCTION("""COMPUTED_VALUE"""),"Аш")</f>
        <v>Аш</v>
      </c>
      <c r="L20" s="445">
        <f>IFERROR(__xludf.DUMMYFUNCTION("""COMPUTED_VALUE"""),0.0)</f>
        <v>0</v>
      </c>
      <c r="M20" s="422" t="str">
        <f>IFERROR(__xludf.DUMMYFUNCTION("""COMPUTED_VALUE"""),"NLIP")</f>
        <v>NLIP</v>
      </c>
      <c r="N20" s="445">
        <f>IFERROR(__xludf.DUMMYFUNCTION("""COMPUTED_VALUE"""),0.5)</f>
        <v>0.5</v>
      </c>
    </row>
    <row r="21">
      <c r="A21" s="450" t="str">
        <f>IFERROR(__xludf.DUMMYFUNCTION("""COMPUTED_VALUE"""),"SOVEST")</f>
        <v>SOVEST</v>
      </c>
      <c r="B21" s="445">
        <f>IFERROR(__xludf.DUMMYFUNCTION("""COMPUTED_VALUE"""),0.5)</f>
        <v>0.5</v>
      </c>
      <c r="C21" s="422" t="str">
        <f>IFERROR(__xludf.DUMMYFUNCTION("""COMPUTED_VALUE"""),"Красавчик")</f>
        <v>Красавчик</v>
      </c>
      <c r="D21" s="445">
        <f>IFERROR(__xludf.DUMMYFUNCTION("""COMPUTED_VALUE"""),0.3333333333333333)</f>
        <v>0.3333333333</v>
      </c>
      <c r="E21" s="422" t="str">
        <f>IFERROR(__xludf.DUMMYFUNCTION("""COMPUTED_VALUE"""),"Наполеон")</f>
        <v>Наполеон</v>
      </c>
      <c r="F21" s="445">
        <f>IFERROR(__xludf.DUMMYFUNCTION("""COMPUTED_VALUE"""),0.5)</f>
        <v>0.5</v>
      </c>
      <c r="G21" s="422" t="str">
        <f>IFERROR(__xludf.DUMMYFUNCTION("""COMPUTED_VALUE"""),"Крот")</f>
        <v>Крот</v>
      </c>
      <c r="H21" s="445">
        <f>IFERROR(__xludf.DUMMYFUNCTION("""COMPUTED_VALUE"""),0.4)</f>
        <v>0.4</v>
      </c>
      <c r="I21" s="422" t="str">
        <f>IFERROR(__xludf.DUMMYFUNCTION("""COMPUTED_VALUE"""),"Дровосек")</f>
        <v>Дровосек</v>
      </c>
      <c r="J21" s="445">
        <f>IFERROR(__xludf.DUMMYFUNCTION("""COMPUTED_VALUE"""),0.0)</f>
        <v>0</v>
      </c>
      <c r="K21" s="422" t="str">
        <f>IFERROR(__xludf.DUMMYFUNCTION("""COMPUTED_VALUE"""),"Градиент")</f>
        <v>Градиент</v>
      </c>
      <c r="L21" s="445">
        <f>IFERROR(__xludf.DUMMYFUNCTION("""COMPUTED_VALUE"""),0.0)</f>
        <v>0</v>
      </c>
      <c r="M21" s="422" t="str">
        <f>IFERROR(__xludf.DUMMYFUNCTION("""COMPUTED_VALUE"""),"Красавчик")</f>
        <v>Красавчик</v>
      </c>
      <c r="N21" s="445">
        <f>IFERROR(__xludf.DUMMYFUNCTION("""COMPUTED_VALUE"""),0.3333333333333333)</f>
        <v>0.3333333333</v>
      </c>
    </row>
    <row r="22">
      <c r="A22" s="450" t="str">
        <f>IFERROR(__xludf.DUMMYFUNCTION("""COMPUTED_VALUE"""),"Андерсен")</f>
        <v>Андерсен</v>
      </c>
      <c r="B22" s="445">
        <f>IFERROR(__xludf.DUMMYFUNCTION("""COMPUTED_VALUE"""),0.4)</f>
        <v>0.4</v>
      </c>
      <c r="C22" s="422" t="str">
        <f>IFERROR(__xludf.DUMMYFUNCTION("""COMPUTED_VALUE"""),"Физик")</f>
        <v>Физик</v>
      </c>
      <c r="D22" s="445">
        <f>IFERROR(__xludf.DUMMYFUNCTION("""COMPUTED_VALUE"""),0.3333333333333333)</f>
        <v>0.3333333333</v>
      </c>
      <c r="E22" s="422" t="str">
        <f>IFERROR(__xludf.DUMMYFUNCTION("""COMPUTED_VALUE"""),"Физик")</f>
        <v>Физик</v>
      </c>
      <c r="F22" s="445">
        <f>IFERROR(__xludf.DUMMYFUNCTION("""COMPUTED_VALUE"""),0.5)</f>
        <v>0.5</v>
      </c>
      <c r="G22" s="422" t="str">
        <f>IFERROR(__xludf.DUMMYFUNCTION("""COMPUTED_VALUE"""),"A1 ")</f>
        <v>A1 </v>
      </c>
      <c r="H22" s="445">
        <f>IFERROR(__xludf.DUMMYFUNCTION("""COMPUTED_VALUE"""),0.3333333333333333)</f>
        <v>0.3333333333</v>
      </c>
      <c r="I22" s="422" t="str">
        <f>IFERROR(__xludf.DUMMYFUNCTION("""COMPUTED_VALUE"""),"Зверюга")</f>
        <v>Зверюга</v>
      </c>
      <c r="J22" s="445">
        <f>IFERROR(__xludf.DUMMYFUNCTION("""COMPUTED_VALUE"""),0.0)</f>
        <v>0</v>
      </c>
      <c r="K22" s="422" t="str">
        <f>IFERROR(__xludf.DUMMYFUNCTION("""COMPUTED_VALUE"""),"Дровосек")</f>
        <v>Дровосек</v>
      </c>
      <c r="L22" s="445">
        <f>IFERROR(__xludf.DUMMYFUNCTION("""COMPUTED_VALUE"""),0.0)</f>
        <v>0</v>
      </c>
      <c r="M22" s="422" t="str">
        <f>IFERROR(__xludf.DUMMYFUNCTION("""COMPUTED_VALUE"""),"Крот")</f>
        <v>Крот</v>
      </c>
      <c r="N22" s="445">
        <f>IFERROR(__xludf.DUMMYFUNCTION("""COMPUTED_VALUE"""),0.3333333333333333)</f>
        <v>0.3333333333</v>
      </c>
    </row>
    <row r="23">
      <c r="A23" s="450" t="str">
        <f>IFERROR(__xludf.DUMMYFUNCTION("""COMPUTED_VALUE"""),"Панда из Руанды")</f>
        <v>Панда из Руанды</v>
      </c>
      <c r="B23" s="445">
        <f>IFERROR(__xludf.DUMMYFUNCTION("""COMPUTED_VALUE"""),0.4)</f>
        <v>0.4</v>
      </c>
      <c r="C23" s="422" t="str">
        <f>IFERROR(__xludf.DUMMYFUNCTION("""COMPUTED_VALUE"""),"Alice ")</f>
        <v>Alice </v>
      </c>
      <c r="D23" s="445">
        <f>IFERROR(__xludf.DUMMYFUNCTION("""COMPUTED_VALUE"""),0.3333333333333333)</f>
        <v>0.3333333333</v>
      </c>
      <c r="E23" s="422" t="str">
        <f>IFERROR(__xludf.DUMMYFUNCTION("""COMPUTED_VALUE"""),"Infinity ")</f>
        <v>Infinity </v>
      </c>
      <c r="F23" s="445">
        <f>IFERROR(__xludf.DUMMYFUNCTION("""COMPUTED_VALUE"""),0.5)</f>
        <v>0.5</v>
      </c>
      <c r="G23" s="422" t="str">
        <f>IFERROR(__xludf.DUMMYFUNCTION("""COMPUTED_VALUE"""),"Rocket woman ")</f>
        <v>Rocket woman </v>
      </c>
      <c r="H23" s="445">
        <f>IFERROR(__xludf.DUMMYFUNCTION("""COMPUTED_VALUE"""),0.3333333333333333)</f>
        <v>0.3333333333</v>
      </c>
      <c r="I23" s="422" t="str">
        <f>IFERROR(__xludf.DUMMYFUNCTION("""COMPUTED_VALUE"""),"Инсомнич")</f>
        <v>Инсомнич</v>
      </c>
      <c r="J23" s="445">
        <f>IFERROR(__xludf.DUMMYFUNCTION("""COMPUTED_VALUE"""),0.0)</f>
        <v>0</v>
      </c>
      <c r="K23" s="422" t="str">
        <f>IFERROR(__xludf.DUMMYFUNCTION("""COMPUTED_VALUE"""),"Зверюга")</f>
        <v>Зверюга</v>
      </c>
      <c r="L23" s="445">
        <f>IFERROR(__xludf.DUMMYFUNCTION("""COMPUTED_VALUE"""),0.0)</f>
        <v>0</v>
      </c>
      <c r="M23" s="422" t="str">
        <f>IFERROR(__xludf.DUMMYFUNCTION("""COMPUTED_VALUE"""),"Писатель ")</f>
        <v>Писатель </v>
      </c>
      <c r="N23" s="445">
        <f>IFERROR(__xludf.DUMMYFUNCTION("""COMPUTED_VALUE"""),0.3333333333333333)</f>
        <v>0.3333333333</v>
      </c>
    </row>
    <row r="24">
      <c r="A24" s="450" t="str">
        <f>IFERROR(__xludf.DUMMYFUNCTION("""COMPUTED_VALUE"""),"Писатель ")</f>
        <v>Писатель </v>
      </c>
      <c r="B24" s="445">
        <f>IFERROR(__xludf.DUMMYFUNCTION("""COMPUTED_VALUE"""),0.4)</f>
        <v>0.4</v>
      </c>
      <c r="C24" s="422" t="str">
        <f>IFERROR(__xludf.DUMMYFUNCTION("""COMPUTED_VALUE"""),"NLIP")</f>
        <v>NLIP</v>
      </c>
      <c r="D24" s="445">
        <f>IFERROR(__xludf.DUMMYFUNCTION("""COMPUTED_VALUE"""),0.3333333333333333)</f>
        <v>0.3333333333</v>
      </c>
      <c r="E24" s="422" t="str">
        <f>IFERROR(__xludf.DUMMYFUNCTION("""COMPUTED_VALUE"""),"Крот")</f>
        <v>Крот</v>
      </c>
      <c r="F24" s="445">
        <f>IFERROR(__xludf.DUMMYFUNCTION("""COMPUTED_VALUE"""),0.4)</f>
        <v>0.4</v>
      </c>
      <c r="G24" s="422" t="str">
        <f>IFERROR(__xludf.DUMMYFUNCTION("""COMPUTED_VALUE"""),"SOVEST")</f>
        <v>SOVEST</v>
      </c>
      <c r="H24" s="445">
        <f>IFERROR(__xludf.DUMMYFUNCTION("""COMPUTED_VALUE"""),0.3333333333333333)</f>
        <v>0.3333333333</v>
      </c>
      <c r="I24" s="422" t="str">
        <f>IFERROR(__xludf.DUMMYFUNCTION("""COMPUTED_VALUE"""),"Красавчик")</f>
        <v>Красавчик</v>
      </c>
      <c r="J24" s="445">
        <f>IFERROR(__xludf.DUMMYFUNCTION("""COMPUTED_VALUE"""),0.0)</f>
        <v>0</v>
      </c>
      <c r="K24" s="422" t="str">
        <f>IFERROR(__xludf.DUMMYFUNCTION("""COMPUTED_VALUE"""),"Инсомнич")</f>
        <v>Инсомнич</v>
      </c>
      <c r="L24" s="445">
        <f>IFERROR(__xludf.DUMMYFUNCTION("""COMPUTED_VALUE"""),0.0)</f>
        <v>0</v>
      </c>
      <c r="M24" s="422" t="str">
        <f>IFERROR(__xludf.DUMMYFUNCTION("""COMPUTED_VALUE"""),"Старый")</f>
        <v>Старый</v>
      </c>
      <c r="N24" s="445">
        <f>IFERROR(__xludf.DUMMYFUNCTION("""COMPUTED_VALUE"""),0.3333333333333333)</f>
        <v>0.3333333333</v>
      </c>
    </row>
    <row r="25">
      <c r="A25" s="450" t="str">
        <f>IFERROR(__xludf.DUMMYFUNCTION("""COMPUTED_VALUE"""),"Физик")</f>
        <v>Физик</v>
      </c>
      <c r="B25" s="445">
        <f>IFERROR(__xludf.DUMMYFUNCTION("""COMPUTED_VALUE"""),0.4)</f>
        <v>0.4</v>
      </c>
      <c r="C25" s="422" t="str">
        <f>IFERROR(__xludf.DUMMYFUNCTION("""COMPUTED_VALUE"""),"Бамблби")</f>
        <v>Бамблби</v>
      </c>
      <c r="D25" s="445">
        <f>IFERROR(__xludf.DUMMYFUNCTION("""COMPUTED_VALUE"""),0.3)</f>
        <v>0.3</v>
      </c>
      <c r="E25" s="422" t="str">
        <f>IFERROR(__xludf.DUMMYFUNCTION("""COMPUTED_VALUE"""),"A1 ")</f>
        <v>A1 </v>
      </c>
      <c r="F25" s="445">
        <f>IFERROR(__xludf.DUMMYFUNCTION("""COMPUTED_VALUE"""),0.3333333333333333)</f>
        <v>0.3333333333</v>
      </c>
      <c r="G25" s="422" t="str">
        <f>IFERROR(__xludf.DUMMYFUNCTION("""COMPUTED_VALUE"""),"WhoIsWho")</f>
        <v>WhoIsWho</v>
      </c>
      <c r="H25" s="445">
        <f>IFERROR(__xludf.DUMMYFUNCTION("""COMPUTED_VALUE"""),0.3333333333333333)</f>
        <v>0.3333333333</v>
      </c>
      <c r="I25" s="422" t="str">
        <f>IFERROR(__xludf.DUMMYFUNCTION("""COMPUTED_VALUE"""),"Крестный отец (BLR)")</f>
        <v>Крестный отец (BLR)</v>
      </c>
      <c r="J25" s="445">
        <f>IFERROR(__xludf.DUMMYFUNCTION("""COMPUTED_VALUE"""),0.0)</f>
        <v>0</v>
      </c>
      <c r="K25" s="422" t="str">
        <f>IFERROR(__xludf.DUMMYFUNCTION("""COMPUTED_VALUE"""),"Крестный отец (BLR)")</f>
        <v>Крестный отец (BLR)</v>
      </c>
      <c r="L25" s="445">
        <f>IFERROR(__xludf.DUMMYFUNCTION("""COMPUTED_VALUE"""),0.0)</f>
        <v>0</v>
      </c>
      <c r="M25" s="422" t="str">
        <f>IFERROR(__xludf.DUMMYFUNCTION("""COMPUTED_VALUE"""),"A1 ")</f>
        <v>A1 </v>
      </c>
      <c r="N25" s="445">
        <f>IFERROR(__xludf.DUMMYFUNCTION("""COMPUTED_VALUE"""),0.3333333333333333)</f>
        <v>0.3333333333</v>
      </c>
    </row>
    <row r="26">
      <c r="A26" s="450" t="str">
        <f>IFERROR(__xludf.DUMMYFUNCTION("""COMPUTED_VALUE"""),"Helga")</f>
        <v>Helga</v>
      </c>
      <c r="B26" s="445">
        <f>IFERROR(__xludf.DUMMYFUNCTION("""COMPUTED_VALUE"""),0.4)</f>
        <v>0.4</v>
      </c>
      <c r="C26" s="422" t="str">
        <f>IFERROR(__xludf.DUMMYFUNCTION("""COMPUTED_VALUE"""),"MSR")</f>
        <v>MSR</v>
      </c>
      <c r="D26" s="445">
        <f>IFERROR(__xludf.DUMMYFUNCTION("""COMPUTED_VALUE"""),0.29411764705882354)</f>
        <v>0.2941176471</v>
      </c>
      <c r="E26" s="422" t="str">
        <f>IFERROR(__xludf.DUMMYFUNCTION("""COMPUTED_VALUE"""),"SOVEST")</f>
        <v>SOVEST</v>
      </c>
      <c r="F26" s="445">
        <f>IFERROR(__xludf.DUMMYFUNCTION("""COMPUTED_VALUE"""),0.3333333333333333)</f>
        <v>0.3333333333</v>
      </c>
      <c r="G26" s="422" t="str">
        <f>IFERROR(__xludf.DUMMYFUNCTION("""COMPUTED_VALUE"""),"Авраам")</f>
        <v>Авраам</v>
      </c>
      <c r="H26" s="445">
        <f>IFERROR(__xludf.DUMMYFUNCTION("""COMPUTED_VALUE"""),0.0)</f>
        <v>0</v>
      </c>
      <c r="I26" s="422" t="str">
        <f>IFERROR(__xludf.DUMMYFUNCTION("""COMPUTED_VALUE"""),"Крёстный Отец (RU)")</f>
        <v>Крёстный Отец (RU)</v>
      </c>
      <c r="J26" s="445">
        <f>IFERROR(__xludf.DUMMYFUNCTION("""COMPUTED_VALUE"""),0.0)</f>
        <v>0</v>
      </c>
      <c r="K26" s="422" t="str">
        <f>IFERROR(__xludf.DUMMYFUNCTION("""COMPUTED_VALUE"""),"Крёстный Отец (RU)")</f>
        <v>Крёстный Отец (RU)</v>
      </c>
      <c r="L26" s="445">
        <f>IFERROR(__xludf.DUMMYFUNCTION("""COMPUTED_VALUE"""),0.0)</f>
        <v>0</v>
      </c>
      <c r="M26" s="422" t="str">
        <f>IFERROR(__xludf.DUMMYFUNCTION("""COMPUTED_VALUE"""),"Alice ")</f>
        <v>Alice </v>
      </c>
      <c r="N26" s="445">
        <f>IFERROR(__xludf.DUMMYFUNCTION("""COMPUTED_VALUE"""),0.3333333333333333)</f>
        <v>0.3333333333</v>
      </c>
    </row>
    <row r="27">
      <c r="A27" s="450" t="str">
        <f>IFERROR(__xludf.DUMMYFUNCTION("""COMPUTED_VALUE"""),"MSR")</f>
        <v>MSR</v>
      </c>
      <c r="B27" s="445">
        <f>IFERROR(__xludf.DUMMYFUNCTION("""COMPUTED_VALUE"""),0.35)</f>
        <v>0.35</v>
      </c>
      <c r="C27" s="422" t="str">
        <f>IFERROR(__xludf.DUMMYFUNCTION("""COMPUTED_VALUE"""),"A1 ")</f>
        <v>A1 </v>
      </c>
      <c r="D27" s="445">
        <f>IFERROR(__xludf.DUMMYFUNCTION("""COMPUTED_VALUE"""),0.2857142857142857)</f>
        <v>0.2857142857</v>
      </c>
      <c r="E27" s="422" t="str">
        <f>IFERROR(__xludf.DUMMYFUNCTION("""COMPUTED_VALUE"""),"WhoIsWho")</f>
        <v>WhoIsWho</v>
      </c>
      <c r="F27" s="445">
        <f>IFERROR(__xludf.DUMMYFUNCTION("""COMPUTED_VALUE"""),0.3333333333333333)</f>
        <v>0.3333333333</v>
      </c>
      <c r="G27" s="422" t="str">
        <f>IFERROR(__xludf.DUMMYFUNCTION("""COMPUTED_VALUE"""),"Админ")</f>
        <v>Админ</v>
      </c>
      <c r="H27" s="445">
        <f>IFERROR(__xludf.DUMMYFUNCTION("""COMPUTED_VALUE"""),0.0)</f>
        <v>0</v>
      </c>
      <c r="I27" s="422" t="str">
        <f>IFERROR(__xludf.DUMMYFUNCTION("""COMPUTED_VALUE"""),"Крот")</f>
        <v>Крот</v>
      </c>
      <c r="J27" s="445">
        <f>IFERROR(__xludf.DUMMYFUNCTION("""COMPUTED_VALUE"""),0.0)</f>
        <v>0</v>
      </c>
      <c r="K27" s="422" t="str">
        <f>IFERROR(__xludf.DUMMYFUNCTION("""COMPUTED_VALUE"""),"Крот")</f>
        <v>Крот</v>
      </c>
      <c r="L27" s="445">
        <f>IFERROR(__xludf.DUMMYFUNCTION("""COMPUTED_VALUE"""),0.0)</f>
        <v>0</v>
      </c>
      <c r="M27" s="422" t="str">
        <f>IFERROR(__xludf.DUMMYFUNCTION("""COMPUTED_VALUE"""),"MSR")</f>
        <v>MSR</v>
      </c>
      <c r="N27" s="445">
        <f>IFERROR(__xludf.DUMMYFUNCTION("""COMPUTED_VALUE"""),0.3125)</f>
        <v>0.3125</v>
      </c>
    </row>
    <row r="28">
      <c r="A28" s="450" t="str">
        <f>IFERROR(__xludf.DUMMYFUNCTION("""COMPUTED_VALUE"""),"Крот")</f>
        <v>Крот</v>
      </c>
      <c r="B28" s="445">
        <f>IFERROR(__xludf.DUMMYFUNCTION("""COMPUTED_VALUE"""),0.3)</f>
        <v>0.3</v>
      </c>
      <c r="C28" s="422" t="str">
        <f>IFERROR(__xludf.DUMMYFUNCTION("""COMPUTED_VALUE"""),"WhoIsWho")</f>
        <v>WhoIsWho</v>
      </c>
      <c r="D28" s="445">
        <f>IFERROR(__xludf.DUMMYFUNCTION("""COMPUTED_VALUE"""),0.2857142857142857)</f>
        <v>0.2857142857</v>
      </c>
      <c r="E28" s="422" t="str">
        <f>IFERROR(__xludf.DUMMYFUNCTION("""COMPUTED_VALUE"""),"Rocket woman ")</f>
        <v>Rocket woman </v>
      </c>
      <c r="F28" s="445">
        <f>IFERROR(__xludf.DUMMYFUNCTION("""COMPUTED_VALUE"""),0.25)</f>
        <v>0.25</v>
      </c>
      <c r="G28" s="422" t="str">
        <f>IFERROR(__xludf.DUMMYFUNCTION("""COMPUTED_VALUE"""),"Андерсен")</f>
        <v>Андерсен</v>
      </c>
      <c r="H28" s="445">
        <f>IFERROR(__xludf.DUMMYFUNCTION("""COMPUTED_VALUE"""),0.0)</f>
        <v>0</v>
      </c>
      <c r="I28" s="422" t="str">
        <f>IFERROR(__xludf.DUMMYFUNCTION("""COMPUTED_VALUE"""),"Левша")</f>
        <v>Левша</v>
      </c>
      <c r="J28" s="445">
        <f>IFERROR(__xludf.DUMMYFUNCTION("""COMPUTED_VALUE"""),0.0)</f>
        <v>0</v>
      </c>
      <c r="K28" s="422" t="str">
        <f>IFERROR(__xludf.DUMMYFUNCTION("""COMPUTED_VALUE"""),"Лисичка")</f>
        <v>Лисичка</v>
      </c>
      <c r="L28" s="445">
        <f>IFERROR(__xludf.DUMMYFUNCTION("""COMPUTED_VALUE"""),0.0)</f>
        <v>0</v>
      </c>
      <c r="M28" s="422" t="str">
        <f>IFERROR(__xludf.DUMMYFUNCTION("""COMPUTED_VALUE"""),"Продюсер")</f>
        <v>Продюсер</v>
      </c>
      <c r="N28" s="445">
        <f>IFERROR(__xludf.DUMMYFUNCTION("""COMPUTED_VALUE"""),0.25)</f>
        <v>0.25</v>
      </c>
    </row>
    <row r="29">
      <c r="A29" s="450" t="str">
        <f>IFERROR(__xludf.DUMMYFUNCTION("""COMPUTED_VALUE"""),"Старый")</f>
        <v>Старый</v>
      </c>
      <c r="B29" s="445">
        <f>IFERROR(__xludf.DUMMYFUNCTION("""COMPUTED_VALUE"""),0.3)</f>
        <v>0.3</v>
      </c>
      <c r="C29" s="422" t="str">
        <f>IFERROR(__xludf.DUMMYFUNCTION("""COMPUTED_VALUE"""),"Панда из Руанды")</f>
        <v>Панда из Руанды</v>
      </c>
      <c r="D29" s="445">
        <f>IFERROR(__xludf.DUMMYFUNCTION("""COMPUTED_VALUE"""),0.25)</f>
        <v>0.25</v>
      </c>
      <c r="E29" s="422" t="str">
        <f>IFERROR(__xludf.DUMMYFUNCTION("""COMPUTED_VALUE"""),"Бамблби")</f>
        <v>Бамблби</v>
      </c>
      <c r="F29" s="445">
        <f>IFERROR(__xludf.DUMMYFUNCTION("""COMPUTED_VALUE"""),0.2)</f>
        <v>0.2</v>
      </c>
      <c r="G29" s="422" t="str">
        <f>IFERROR(__xludf.DUMMYFUNCTION("""COMPUTED_VALUE"""),"Астория")</f>
        <v>Астория</v>
      </c>
      <c r="H29" s="445">
        <f>IFERROR(__xludf.DUMMYFUNCTION("""COMPUTED_VALUE"""),0.0)</f>
        <v>0</v>
      </c>
      <c r="I29" s="422" t="str">
        <f>IFERROR(__xludf.DUMMYFUNCTION("""COMPUTED_VALUE"""),"Маваши")</f>
        <v>Маваши</v>
      </c>
      <c r="J29" s="445">
        <f>IFERROR(__xludf.DUMMYFUNCTION("""COMPUTED_VALUE"""),0.0)</f>
        <v>0</v>
      </c>
      <c r="K29" s="422" t="str">
        <f>IFERROR(__xludf.DUMMYFUNCTION("""COMPUTED_VALUE"""),"Маваши")</f>
        <v>Маваши</v>
      </c>
      <c r="L29" s="445">
        <f>IFERROR(__xludf.DUMMYFUNCTION("""COMPUTED_VALUE"""),0.0)</f>
        <v>0</v>
      </c>
      <c r="M29" s="422" t="str">
        <f>IFERROR(__xludf.DUMMYFUNCTION("""COMPUTED_VALUE"""),"WhoIsWho")</f>
        <v>WhoIsWho</v>
      </c>
      <c r="N29" s="445">
        <f>IFERROR(__xludf.DUMMYFUNCTION("""COMPUTED_VALUE"""),0.25)</f>
        <v>0.25</v>
      </c>
    </row>
    <row r="30">
      <c r="A30" s="450" t="str">
        <f>IFERROR(__xludf.DUMMYFUNCTION("""COMPUTED_VALUE"""),"A1 ")</f>
        <v>A1 </v>
      </c>
      <c r="B30" s="445">
        <f>IFERROR(__xludf.DUMMYFUNCTION("""COMPUTED_VALUE"""),0.3)</f>
        <v>0.3</v>
      </c>
      <c r="C30" s="422" t="str">
        <f>IFERROR(__xludf.DUMMYFUNCTION("""COMPUTED_VALUE"""),"Старый")</f>
        <v>Старый</v>
      </c>
      <c r="D30" s="445">
        <f>IFERROR(__xludf.DUMMYFUNCTION("""COMPUTED_VALUE"""),0.2222222222222222)</f>
        <v>0.2222222222</v>
      </c>
      <c r="E30" s="422" t="str">
        <f>IFERROR(__xludf.DUMMYFUNCTION("""COMPUTED_VALUE"""),"Авраам")</f>
        <v>Авраам</v>
      </c>
      <c r="F30" s="445">
        <f>IFERROR(__xludf.DUMMYFUNCTION("""COMPUTED_VALUE"""),0.0)</f>
        <v>0</v>
      </c>
      <c r="G30" s="422" t="str">
        <f>IFERROR(__xludf.DUMMYFUNCTION("""COMPUTED_VALUE"""),"Аш")</f>
        <v>Аш</v>
      </c>
      <c r="H30" s="445">
        <f>IFERROR(__xludf.DUMMYFUNCTION("""COMPUTED_VALUE"""),0.0)</f>
        <v>0</v>
      </c>
      <c r="I30" s="422" t="str">
        <f>IFERROR(__xludf.DUMMYFUNCTION("""COMPUTED_VALUE"""),"Марго")</f>
        <v>Марго</v>
      </c>
      <c r="J30" s="445">
        <f>IFERROR(__xludf.DUMMYFUNCTION("""COMPUTED_VALUE"""),0.0)</f>
        <v>0</v>
      </c>
      <c r="K30" s="422" t="str">
        <f>IFERROR(__xludf.DUMMYFUNCTION("""COMPUTED_VALUE"""),"Манекен")</f>
        <v>Манекен</v>
      </c>
      <c r="L30" s="445">
        <f>IFERROR(__xludf.DUMMYFUNCTION("""COMPUTED_VALUE"""),0.0)</f>
        <v>0</v>
      </c>
      <c r="M30" s="422" t="str">
        <f>IFERROR(__xludf.DUMMYFUNCTION("""COMPUTED_VALUE"""),"Бамблби")</f>
        <v>Бамблби</v>
      </c>
      <c r="N30" s="445">
        <f>IFERROR(__xludf.DUMMYFUNCTION("""COMPUTED_VALUE"""),0.2222222222222222)</f>
        <v>0.2222222222</v>
      </c>
    </row>
    <row r="31">
      <c r="A31" s="450" t="str">
        <f>IFERROR(__xludf.DUMMYFUNCTION("""COMPUTED_VALUE"""),"Alice ")</f>
        <v>Alice </v>
      </c>
      <c r="B31" s="445">
        <f>IFERROR(__xludf.DUMMYFUNCTION("""COMPUTED_VALUE"""),0.3)</f>
        <v>0.3</v>
      </c>
      <c r="C31" s="422" t="str">
        <f>IFERROR(__xludf.DUMMYFUNCTION("""COMPUTED_VALUE"""),"Волга")</f>
        <v>Волга</v>
      </c>
      <c r="D31" s="445">
        <f>IFERROR(__xludf.DUMMYFUNCTION("""COMPUTED_VALUE"""),0.2)</f>
        <v>0.2</v>
      </c>
      <c r="E31" s="422" t="str">
        <f>IFERROR(__xludf.DUMMYFUNCTION("""COMPUTED_VALUE"""),"Админ")</f>
        <v>Админ</v>
      </c>
      <c r="F31" s="445">
        <f>IFERROR(__xludf.DUMMYFUNCTION("""COMPUTED_VALUE"""),0.0)</f>
        <v>0</v>
      </c>
      <c r="G31" s="422" t="str">
        <f>IFERROR(__xludf.DUMMYFUNCTION("""COMPUTED_VALUE"""),"Бамблби")</f>
        <v>Бамблби</v>
      </c>
      <c r="H31" s="445">
        <f>IFERROR(__xludf.DUMMYFUNCTION("""COMPUTED_VALUE"""),0.0)</f>
        <v>0</v>
      </c>
      <c r="I31" s="422" t="str">
        <f>IFERROR(__xludf.DUMMYFUNCTION("""COMPUTED_VALUE"""),"Ментик")</f>
        <v>Ментик</v>
      </c>
      <c r="J31" s="445">
        <f>IFERROR(__xludf.DUMMYFUNCTION("""COMPUTED_VALUE"""),0.0)</f>
        <v>0</v>
      </c>
      <c r="K31" s="422" t="str">
        <f>IFERROR(__xludf.DUMMYFUNCTION("""COMPUTED_VALUE"""),"Марго")</f>
        <v>Марго</v>
      </c>
      <c r="L31" s="445">
        <f>IFERROR(__xludf.DUMMYFUNCTION("""COMPUTED_VALUE"""),0.0)</f>
        <v>0</v>
      </c>
      <c r="M31" s="422" t="str">
        <f>IFERROR(__xludf.DUMMYFUNCTION("""COMPUTED_VALUE"""),"Волга")</f>
        <v>Волга</v>
      </c>
      <c r="N31" s="445">
        <f>IFERROR(__xludf.DUMMYFUNCTION("""COMPUTED_VALUE"""),0.2)</f>
        <v>0.2</v>
      </c>
    </row>
    <row r="32">
      <c r="A32" s="450" t="str">
        <f>IFERROR(__xludf.DUMMYFUNCTION("""COMPUTED_VALUE"""),"WhoIsWho")</f>
        <v>WhoIsWho</v>
      </c>
      <c r="B32" s="445">
        <f>IFERROR(__xludf.DUMMYFUNCTION("""COMPUTED_VALUE"""),0.3)</f>
        <v>0.3</v>
      </c>
      <c r="C32" s="422" t="str">
        <f>IFERROR(__xludf.DUMMYFUNCTION("""COMPUTED_VALUE"""),"Крот")</f>
        <v>Крот</v>
      </c>
      <c r="D32" s="445">
        <f>IFERROR(__xludf.DUMMYFUNCTION("""COMPUTED_VALUE"""),0.2)</f>
        <v>0.2</v>
      </c>
      <c r="E32" s="422" t="str">
        <f>IFERROR(__xludf.DUMMYFUNCTION("""COMPUTED_VALUE"""),"Андерсен")</f>
        <v>Андерсен</v>
      </c>
      <c r="F32" s="445">
        <f>IFERROR(__xludf.DUMMYFUNCTION("""COMPUTED_VALUE"""),0.0)</f>
        <v>0</v>
      </c>
      <c r="G32" s="422" t="str">
        <f>IFERROR(__xludf.DUMMYFUNCTION("""COMPUTED_VALUE"""),"Градиент")</f>
        <v>Градиент</v>
      </c>
      <c r="H32" s="445">
        <f>IFERROR(__xludf.DUMMYFUNCTION("""COMPUTED_VALUE"""),0.0)</f>
        <v>0</v>
      </c>
      <c r="I32" s="422" t="str">
        <f>IFERROR(__xludf.DUMMYFUNCTION("""COMPUTED_VALUE"""),"Мишель ")</f>
        <v>Мишель </v>
      </c>
      <c r="J32" s="445">
        <f>IFERROR(__xludf.DUMMYFUNCTION("""COMPUTED_VALUE"""),0.0)</f>
        <v>0</v>
      </c>
      <c r="K32" s="422" t="str">
        <f>IFERROR(__xludf.DUMMYFUNCTION("""COMPUTED_VALUE"""),"Ментик")</f>
        <v>Ментик</v>
      </c>
      <c r="L32" s="445">
        <f>IFERROR(__xludf.DUMMYFUNCTION("""COMPUTED_VALUE"""),0.0)</f>
        <v>0</v>
      </c>
      <c r="M32" s="422" t="str">
        <f>IFERROR(__xludf.DUMMYFUNCTION("""COMPUTED_VALUE"""),"Юрия")</f>
        <v>Юрия</v>
      </c>
      <c r="N32" s="445">
        <f>IFERROR(__xludf.DUMMYFUNCTION("""COMPUTED_VALUE"""),0.2)</f>
        <v>0.2</v>
      </c>
    </row>
    <row r="33">
      <c r="A33" s="450" t="str">
        <f>IFERROR(__xludf.DUMMYFUNCTION("""COMPUTED_VALUE"""),"Бамблби")</f>
        <v>Бамблби</v>
      </c>
      <c r="B33" s="445">
        <f>IFERROR(__xludf.DUMMYFUNCTION("""COMPUTED_VALUE"""),0.26666666666666666)</f>
        <v>0.2666666667</v>
      </c>
      <c r="C33" s="422" t="str">
        <f>IFERROR(__xludf.DUMMYFUNCTION("""COMPUTED_VALUE"""),"Юрия")</f>
        <v>Юрия</v>
      </c>
      <c r="D33" s="445">
        <f>IFERROR(__xludf.DUMMYFUNCTION("""COMPUTED_VALUE"""),0.2)</f>
        <v>0.2</v>
      </c>
      <c r="E33" s="422" t="str">
        <f>IFERROR(__xludf.DUMMYFUNCTION("""COMPUTED_VALUE"""),"Астория")</f>
        <v>Астория</v>
      </c>
      <c r="F33" s="445">
        <f>IFERROR(__xludf.DUMMYFUNCTION("""COMPUTED_VALUE"""),0.0)</f>
        <v>0</v>
      </c>
      <c r="G33" s="422" t="str">
        <f>IFERROR(__xludf.DUMMYFUNCTION("""COMPUTED_VALUE"""),"Дровосек")</f>
        <v>Дровосек</v>
      </c>
      <c r="H33" s="445">
        <f>IFERROR(__xludf.DUMMYFUNCTION("""COMPUTED_VALUE"""),0.0)</f>
        <v>0</v>
      </c>
      <c r="I33" s="422" t="str">
        <f>IFERROR(__xludf.DUMMYFUNCTION("""COMPUTED_VALUE"""),"Наполеон")</f>
        <v>Наполеон</v>
      </c>
      <c r="J33" s="445">
        <f>IFERROR(__xludf.DUMMYFUNCTION("""COMPUTED_VALUE"""),0.0)</f>
        <v>0</v>
      </c>
      <c r="K33" s="422" t="str">
        <f>IFERROR(__xludf.DUMMYFUNCTION("""COMPUTED_VALUE"""),"Мишель ")</f>
        <v>Мишель </v>
      </c>
      <c r="L33" s="445">
        <f>IFERROR(__xludf.DUMMYFUNCTION("""COMPUTED_VALUE"""),0.0)</f>
        <v>0</v>
      </c>
      <c r="M33" s="422" t="str">
        <f>IFERROR(__xludf.DUMMYFUNCTION("""COMPUTED_VALUE"""),"Админ")</f>
        <v>Админ</v>
      </c>
      <c r="N33" s="445">
        <f>IFERROR(__xludf.DUMMYFUNCTION("""COMPUTED_VALUE"""),0.0)</f>
        <v>0</v>
      </c>
    </row>
    <row r="34">
      <c r="A34" s="450" t="str">
        <f>IFERROR(__xludf.DUMMYFUNCTION("""COMPUTED_VALUE"""),"Левша")</f>
        <v>Левша</v>
      </c>
      <c r="B34" s="445">
        <f>IFERROR(__xludf.DUMMYFUNCTION("""COMPUTED_VALUE"""),0.2)</f>
        <v>0.2</v>
      </c>
      <c r="C34" s="422" t="str">
        <f>IFERROR(__xludf.DUMMYFUNCTION("""COMPUTED_VALUE"""),"Stacy")</f>
        <v>Stacy</v>
      </c>
      <c r="D34" s="445">
        <f>IFERROR(__xludf.DUMMYFUNCTION("""COMPUTED_VALUE"""),0.2)</f>
        <v>0.2</v>
      </c>
      <c r="E34" s="422" t="str">
        <f>IFERROR(__xludf.DUMMYFUNCTION("""COMPUTED_VALUE"""),"Аш")</f>
        <v>Аш</v>
      </c>
      <c r="F34" s="445">
        <f>IFERROR(__xludf.DUMMYFUNCTION("""COMPUTED_VALUE"""),0.0)</f>
        <v>0</v>
      </c>
      <c r="G34" s="422" t="str">
        <f>IFERROR(__xludf.DUMMYFUNCTION("""COMPUTED_VALUE"""),"Зверюга")</f>
        <v>Зверюга</v>
      </c>
      <c r="H34" s="445">
        <f>IFERROR(__xludf.DUMMYFUNCTION("""COMPUTED_VALUE"""),0.0)</f>
        <v>0</v>
      </c>
      <c r="I34" s="422" t="str">
        <f>IFERROR(__xludf.DUMMYFUNCTION("""COMPUTED_VALUE"""),"Правда ")</f>
        <v>Правда </v>
      </c>
      <c r="J34" s="445">
        <f>IFERROR(__xludf.DUMMYFUNCTION("""COMPUTED_VALUE"""),0.0)</f>
        <v>0</v>
      </c>
      <c r="K34" s="422" t="str">
        <f>IFERROR(__xludf.DUMMYFUNCTION("""COMPUTED_VALUE"""),"Писатель ")</f>
        <v>Писатель </v>
      </c>
      <c r="L34" s="445">
        <f>IFERROR(__xludf.DUMMYFUNCTION("""COMPUTED_VALUE"""),0.0)</f>
        <v>0</v>
      </c>
      <c r="M34" s="422" t="str">
        <f>IFERROR(__xludf.DUMMYFUNCTION("""COMPUTED_VALUE"""),"Астория")</f>
        <v>Астория</v>
      </c>
      <c r="N34" s="445">
        <f>IFERROR(__xludf.DUMMYFUNCTION("""COMPUTED_VALUE"""),0.0)</f>
        <v>0</v>
      </c>
    </row>
    <row r="35">
      <c r="A35" s="450" t="str">
        <f>IFERROR(__xludf.DUMMYFUNCTION("""COMPUTED_VALUE"""),"Юрия")</f>
        <v>Юрия</v>
      </c>
      <c r="B35" s="445">
        <f>IFERROR(__xludf.DUMMYFUNCTION("""COMPUTED_VALUE"""),0.2)</f>
        <v>0.2</v>
      </c>
      <c r="C35" s="422" t="str">
        <f>IFERROR(__xludf.DUMMYFUNCTION("""COMPUTED_VALUE"""),"Rocket woman ")</f>
        <v>Rocket woman </v>
      </c>
      <c r="D35" s="445">
        <f>IFERROR(__xludf.DUMMYFUNCTION("""COMPUTED_VALUE"""),0.16666666666666666)</f>
        <v>0.1666666667</v>
      </c>
      <c r="E35" s="422" t="str">
        <f>IFERROR(__xludf.DUMMYFUNCTION("""COMPUTED_VALUE"""),"Градиент")</f>
        <v>Градиент</v>
      </c>
      <c r="F35" s="445">
        <f>IFERROR(__xludf.DUMMYFUNCTION("""COMPUTED_VALUE"""),0.0)</f>
        <v>0</v>
      </c>
      <c r="G35" s="422" t="str">
        <f>IFERROR(__xludf.DUMMYFUNCTION("""COMPUTED_VALUE"""),"Крестный отец (BLR)")</f>
        <v>Крестный отец (BLR)</v>
      </c>
      <c r="H35" s="445">
        <f>IFERROR(__xludf.DUMMYFUNCTION("""COMPUTED_VALUE"""),0.0)</f>
        <v>0</v>
      </c>
      <c r="I35" s="422" t="str">
        <f>IFERROR(__xludf.DUMMYFUNCTION("""COMPUTED_VALUE"""),"РФ")</f>
        <v>РФ</v>
      </c>
      <c r="J35" s="445">
        <f>IFERROR(__xludf.DUMMYFUNCTION("""COMPUTED_VALUE"""),0.0)</f>
        <v>0</v>
      </c>
      <c r="K35" s="422" t="str">
        <f>IFERROR(__xludf.DUMMYFUNCTION("""COMPUTED_VALUE"""),"Продюсер")</f>
        <v>Продюсер</v>
      </c>
      <c r="L35" s="445">
        <f>IFERROR(__xludf.DUMMYFUNCTION("""COMPUTED_VALUE"""),0.0)</f>
        <v>0</v>
      </c>
      <c r="M35" s="422" t="str">
        <f>IFERROR(__xludf.DUMMYFUNCTION("""COMPUTED_VALUE"""),"Аш")</f>
        <v>Аш</v>
      </c>
      <c r="N35" s="445">
        <f>IFERROR(__xludf.DUMMYFUNCTION("""COMPUTED_VALUE"""),0.0)</f>
        <v>0</v>
      </c>
    </row>
    <row r="36">
      <c r="A36" s="450" t="str">
        <f>IFERROR(__xludf.DUMMYFUNCTION("""COMPUTED_VALUE"""),"Rocket woman ")</f>
        <v>Rocket woman </v>
      </c>
      <c r="B36" s="445">
        <f>IFERROR(__xludf.DUMMYFUNCTION("""COMPUTED_VALUE"""),0.2)</f>
        <v>0.2</v>
      </c>
      <c r="C36" s="422" t="str">
        <f>IFERROR(__xludf.DUMMYFUNCTION("""COMPUTED_VALUE"""),"Админ")</f>
        <v>Админ</v>
      </c>
      <c r="D36" s="445">
        <f>IFERROR(__xludf.DUMMYFUNCTION("""COMPUTED_VALUE"""),0.0)</f>
        <v>0</v>
      </c>
      <c r="E36" s="422" t="str">
        <f>IFERROR(__xludf.DUMMYFUNCTION("""COMPUTED_VALUE"""),"Дровосек")</f>
        <v>Дровосек</v>
      </c>
      <c r="F36" s="445">
        <f>IFERROR(__xludf.DUMMYFUNCTION("""COMPUTED_VALUE"""),0.0)</f>
        <v>0</v>
      </c>
      <c r="G36" s="422" t="str">
        <f>IFERROR(__xludf.DUMMYFUNCTION("""COMPUTED_VALUE"""),"Крёстный Отец (RU)")</f>
        <v>Крёстный Отец (RU)</v>
      </c>
      <c r="H36" s="445">
        <f>IFERROR(__xludf.DUMMYFUNCTION("""COMPUTED_VALUE"""),0.0)</f>
        <v>0</v>
      </c>
      <c r="I36" s="422" t="str">
        <f>IFERROR(__xludf.DUMMYFUNCTION("""COMPUTED_VALUE"""),"Старый")</f>
        <v>Старый</v>
      </c>
      <c r="J36" s="445">
        <f>IFERROR(__xludf.DUMMYFUNCTION("""COMPUTED_VALUE"""),0.0)</f>
        <v>0</v>
      </c>
      <c r="K36" s="422" t="str">
        <f>IFERROR(__xludf.DUMMYFUNCTION("""COMPUTED_VALUE"""),"РФ")</f>
        <v>РФ</v>
      </c>
      <c r="L36" s="445">
        <f>IFERROR(__xludf.DUMMYFUNCTION("""COMPUTED_VALUE"""),0.0)</f>
        <v>0</v>
      </c>
      <c r="M36" s="422" t="str">
        <f>IFERROR(__xludf.DUMMYFUNCTION("""COMPUTED_VALUE"""),"Градиент")</f>
        <v>Градиент</v>
      </c>
      <c r="N36" s="445">
        <f>IFERROR(__xludf.DUMMYFUNCTION("""COMPUTED_VALUE"""),0.0)</f>
        <v>0</v>
      </c>
    </row>
    <row r="37">
      <c r="A37" s="450" t="str">
        <f>IFERROR(__xludf.DUMMYFUNCTION("""COMPUTED_VALUE"""),"Stacy")</f>
        <v>Stacy</v>
      </c>
      <c r="B37" s="445">
        <f>IFERROR(__xludf.DUMMYFUNCTION("""COMPUTED_VALUE"""),0.2)</f>
        <v>0.2</v>
      </c>
      <c r="C37" s="422" t="str">
        <f>IFERROR(__xludf.DUMMYFUNCTION("""COMPUTED_VALUE"""),"Астория")</f>
        <v>Астория</v>
      </c>
      <c r="D37" s="445">
        <f>IFERROR(__xludf.DUMMYFUNCTION("""COMPUTED_VALUE"""),0.0)</f>
        <v>0</v>
      </c>
      <c r="E37" s="422" t="str">
        <f>IFERROR(__xludf.DUMMYFUNCTION("""COMPUTED_VALUE"""),"Зверюга")</f>
        <v>Зверюга</v>
      </c>
      <c r="F37" s="445">
        <f>IFERROR(__xludf.DUMMYFUNCTION("""COMPUTED_VALUE"""),0.0)</f>
        <v>0</v>
      </c>
      <c r="G37" s="422" t="str">
        <f>IFERROR(__xludf.DUMMYFUNCTION("""COMPUTED_VALUE"""),"Маваши")</f>
        <v>Маваши</v>
      </c>
      <c r="H37" s="445">
        <f>IFERROR(__xludf.DUMMYFUNCTION("""COMPUTED_VALUE"""),0.0)</f>
        <v>0</v>
      </c>
      <c r="I37" s="422" t="str">
        <f>IFERROR(__xludf.DUMMYFUNCTION("""COMPUTED_VALUE"""),"СЭНСЭЙ")</f>
        <v>СЭНСЭЙ</v>
      </c>
      <c r="J37" s="445">
        <f>IFERROR(__xludf.DUMMYFUNCTION("""COMPUTED_VALUE"""),0.0)</f>
        <v>0</v>
      </c>
      <c r="K37" s="422" t="str">
        <f>IFERROR(__xludf.DUMMYFUNCTION("""COMPUTED_VALUE"""),"СЭНСЭЙ")</f>
        <v>СЭНСЭЙ</v>
      </c>
      <c r="L37" s="445">
        <f>IFERROR(__xludf.DUMMYFUNCTION("""COMPUTED_VALUE"""),0.0)</f>
        <v>0</v>
      </c>
      <c r="M37" s="422" t="str">
        <f>IFERROR(__xludf.DUMMYFUNCTION("""COMPUTED_VALUE"""),"Дровосек")</f>
        <v>Дровосек</v>
      </c>
      <c r="N37" s="445">
        <f>IFERROR(__xludf.DUMMYFUNCTION("""COMPUTED_VALUE"""),0.0)</f>
        <v>0</v>
      </c>
    </row>
    <row r="38">
      <c r="A38" s="450" t="str">
        <f>IFERROR(__xludf.DUMMYFUNCTION("""COMPUTED_VALUE"""),"Админ")</f>
        <v>Админ</v>
      </c>
      <c r="B38" s="445">
        <f>IFERROR(__xludf.DUMMYFUNCTION("""COMPUTED_VALUE"""),0.0)</f>
        <v>0</v>
      </c>
      <c r="C38" s="422" t="str">
        <f>IFERROR(__xludf.DUMMYFUNCTION("""COMPUTED_VALUE"""),"Аш")</f>
        <v>Аш</v>
      </c>
      <c r="D38" s="445">
        <f>IFERROR(__xludf.DUMMYFUNCTION("""COMPUTED_VALUE"""),0.0)</f>
        <v>0</v>
      </c>
      <c r="E38" s="422" t="str">
        <f>IFERROR(__xludf.DUMMYFUNCTION("""COMPUTED_VALUE"""),"Крестный отец (BLR)")</f>
        <v>Крестный отец (BLR)</v>
      </c>
      <c r="F38" s="445">
        <f>IFERROR(__xludf.DUMMYFUNCTION("""COMPUTED_VALUE"""),0.0)</f>
        <v>0</v>
      </c>
      <c r="G38" s="422" t="str">
        <f>IFERROR(__xludf.DUMMYFUNCTION("""COMPUTED_VALUE"""),"Манекен")</f>
        <v>Манекен</v>
      </c>
      <c r="H38" s="445">
        <f>IFERROR(__xludf.DUMMYFUNCTION("""COMPUTED_VALUE"""),0.0)</f>
        <v>0</v>
      </c>
      <c r="I38" s="422" t="str">
        <f>IFERROR(__xludf.DUMMYFUNCTION("""COMPUTED_VALUE"""),"Coach")</f>
        <v>Coach</v>
      </c>
      <c r="J38" s="445">
        <f>IFERROR(__xludf.DUMMYFUNCTION("""COMPUTED_VALUE"""),0.0)</f>
        <v>0</v>
      </c>
      <c r="K38" s="422" t="str">
        <f>IFERROR(__xludf.DUMMYFUNCTION("""COMPUTED_VALUE"""),"Coach")</f>
        <v>Coach</v>
      </c>
      <c r="L38" s="445">
        <f>IFERROR(__xludf.DUMMYFUNCTION("""COMPUTED_VALUE"""),0.0)</f>
        <v>0</v>
      </c>
      <c r="M38" s="422" t="str">
        <f>IFERROR(__xludf.DUMMYFUNCTION("""COMPUTED_VALUE"""),"Зверюга")</f>
        <v>Зверюга</v>
      </c>
      <c r="N38" s="445">
        <f>IFERROR(__xludf.DUMMYFUNCTION("""COMPUTED_VALUE"""),0.0)</f>
        <v>0</v>
      </c>
    </row>
    <row r="39">
      <c r="A39" s="450" t="str">
        <f>IFERROR(__xludf.DUMMYFUNCTION("""COMPUTED_VALUE"""),"Астория")</f>
        <v>Астория</v>
      </c>
      <c r="B39" s="445">
        <f>IFERROR(__xludf.DUMMYFUNCTION("""COMPUTED_VALUE"""),0.0)</f>
        <v>0</v>
      </c>
      <c r="C39" s="422" t="str">
        <f>IFERROR(__xludf.DUMMYFUNCTION("""COMPUTED_VALUE"""),"Градиент")</f>
        <v>Градиент</v>
      </c>
      <c r="D39" s="445">
        <f>IFERROR(__xludf.DUMMYFUNCTION("""COMPUTED_VALUE"""),0.0)</f>
        <v>0</v>
      </c>
      <c r="E39" s="422" t="str">
        <f>IFERROR(__xludf.DUMMYFUNCTION("""COMPUTED_VALUE"""),"Крёстный Отец (RU)")</f>
        <v>Крёстный Отец (RU)</v>
      </c>
      <c r="F39" s="445">
        <f>IFERROR(__xludf.DUMMYFUNCTION("""COMPUTED_VALUE"""),0.0)</f>
        <v>0</v>
      </c>
      <c r="G39" s="422" t="str">
        <f>IFERROR(__xludf.DUMMYFUNCTION("""COMPUTED_VALUE"""),"Марго")</f>
        <v>Марго</v>
      </c>
      <c r="H39" s="445">
        <f>IFERROR(__xludf.DUMMYFUNCTION("""COMPUTED_VALUE"""),0.0)</f>
        <v>0</v>
      </c>
      <c r="I39" s="422" t="str">
        <f>IFERROR(__xludf.DUMMYFUNCTION("""COMPUTED_VALUE"""),"Тихий закат")</f>
        <v>Тихий закат</v>
      </c>
      <c r="J39" s="445">
        <f>IFERROR(__xludf.DUMMYFUNCTION("""COMPUTED_VALUE"""),0.0)</f>
        <v>0</v>
      </c>
      <c r="K39" s="422" t="str">
        <f>IFERROR(__xludf.DUMMYFUNCTION("""COMPUTED_VALUE"""),"Тихий закат")</f>
        <v>Тихий закат</v>
      </c>
      <c r="L39" s="445">
        <f>IFERROR(__xludf.DUMMYFUNCTION("""COMPUTED_VALUE"""),0.0)</f>
        <v>0</v>
      </c>
      <c r="M39" s="422" t="str">
        <f>IFERROR(__xludf.DUMMYFUNCTION("""COMPUTED_VALUE"""),"Крестный отец (BLR)")</f>
        <v>Крестный отец (BLR)</v>
      </c>
      <c r="N39" s="445">
        <f>IFERROR(__xludf.DUMMYFUNCTION("""COMPUTED_VALUE"""),0.0)</f>
        <v>0</v>
      </c>
    </row>
    <row r="40">
      <c r="A40" s="450" t="str">
        <f>IFERROR(__xludf.DUMMYFUNCTION("""COMPUTED_VALUE"""),"Аш")</f>
        <v>Аш</v>
      </c>
      <c r="B40" s="445">
        <f>IFERROR(__xludf.DUMMYFUNCTION("""COMPUTED_VALUE"""),0.0)</f>
        <v>0</v>
      </c>
      <c r="C40" s="422" t="str">
        <f>IFERROR(__xludf.DUMMYFUNCTION("""COMPUTED_VALUE"""),"Дровосек")</f>
        <v>Дровосек</v>
      </c>
      <c r="D40" s="445">
        <f>IFERROR(__xludf.DUMMYFUNCTION("""COMPUTED_VALUE"""),0.0)</f>
        <v>0</v>
      </c>
      <c r="E40" s="422" t="str">
        <f>IFERROR(__xludf.DUMMYFUNCTION("""COMPUTED_VALUE"""),"Маваши")</f>
        <v>Маваши</v>
      </c>
      <c r="F40" s="445">
        <f>IFERROR(__xludf.DUMMYFUNCTION("""COMPUTED_VALUE"""),0.0)</f>
        <v>0</v>
      </c>
      <c r="G40" s="422" t="str">
        <f>IFERROR(__xludf.DUMMYFUNCTION("""COMPUTED_VALUE"""),"Ментик")</f>
        <v>Ментик</v>
      </c>
      <c r="H40" s="445">
        <f>IFERROR(__xludf.DUMMYFUNCTION("""COMPUTED_VALUE"""),0.0)</f>
        <v>0</v>
      </c>
      <c r="I40" s="422" t="str">
        <f>IFERROR(__xludf.DUMMYFUNCTION("""COMPUTED_VALUE"""),"Физик")</f>
        <v>Физик</v>
      </c>
      <c r="J40" s="445">
        <f>IFERROR(__xludf.DUMMYFUNCTION("""COMPUTED_VALUE"""),0.0)</f>
        <v>0</v>
      </c>
      <c r="K40" s="422" t="str">
        <f>IFERROR(__xludf.DUMMYFUNCTION("""COMPUTED_VALUE"""),"Физик")</f>
        <v>Физик</v>
      </c>
      <c r="L40" s="445">
        <f>IFERROR(__xludf.DUMMYFUNCTION("""COMPUTED_VALUE"""),0.0)</f>
        <v>0</v>
      </c>
      <c r="M40" s="422" t="str">
        <f>IFERROR(__xludf.DUMMYFUNCTION("""COMPUTED_VALUE"""),"Крёстный Отец (RU)")</f>
        <v>Крёстный Отец (RU)</v>
      </c>
      <c r="N40" s="445">
        <f>IFERROR(__xludf.DUMMYFUNCTION("""COMPUTED_VALUE"""),0.0)</f>
        <v>0</v>
      </c>
    </row>
    <row r="41">
      <c r="A41" s="450" t="str">
        <f>IFERROR(__xludf.DUMMYFUNCTION("""COMPUTED_VALUE"""),"Градиент")</f>
        <v>Градиент</v>
      </c>
      <c r="B41" s="445">
        <f>IFERROR(__xludf.DUMMYFUNCTION("""COMPUTED_VALUE"""),0.0)</f>
        <v>0</v>
      </c>
      <c r="C41" s="422" t="str">
        <f>IFERROR(__xludf.DUMMYFUNCTION("""COMPUTED_VALUE"""),"Зверюга")</f>
        <v>Зверюга</v>
      </c>
      <c r="D41" s="445">
        <f>IFERROR(__xludf.DUMMYFUNCTION("""COMPUTED_VALUE"""),0.0)</f>
        <v>0</v>
      </c>
      <c r="E41" s="422" t="str">
        <f>IFERROR(__xludf.DUMMYFUNCTION("""COMPUTED_VALUE"""),"Манекен")</f>
        <v>Манекен</v>
      </c>
      <c r="F41" s="445">
        <f>IFERROR(__xludf.DUMMYFUNCTION("""COMPUTED_VALUE"""),0.0)</f>
        <v>0</v>
      </c>
      <c r="G41" s="422" t="str">
        <f>IFERROR(__xludf.DUMMYFUNCTION("""COMPUTED_VALUE"""),"Наполеон")</f>
        <v>Наполеон</v>
      </c>
      <c r="H41" s="445">
        <f>IFERROR(__xludf.DUMMYFUNCTION("""COMPUTED_VALUE"""),0.0)</f>
        <v>0</v>
      </c>
      <c r="I41" s="422" t="str">
        <f>IFERROR(__xludf.DUMMYFUNCTION("""COMPUTED_VALUE"""),"Флэш")</f>
        <v>Флэш</v>
      </c>
      <c r="J41" s="445">
        <f>IFERROR(__xludf.DUMMYFUNCTION("""COMPUTED_VALUE"""),0.0)</f>
        <v>0</v>
      </c>
      <c r="K41" s="422" t="str">
        <f>IFERROR(__xludf.DUMMYFUNCTION("""COMPUTED_VALUE"""),"Флэш")</f>
        <v>Флэш</v>
      </c>
      <c r="L41" s="445">
        <f>IFERROR(__xludf.DUMMYFUNCTION("""COMPUTED_VALUE"""),0.0)</f>
        <v>0</v>
      </c>
      <c r="M41" s="422" t="str">
        <f>IFERROR(__xludf.DUMMYFUNCTION("""COMPUTED_VALUE"""),"Левша")</f>
        <v>Левша</v>
      </c>
      <c r="N41" s="445">
        <f>IFERROR(__xludf.DUMMYFUNCTION("""COMPUTED_VALUE"""),0.0)</f>
        <v>0</v>
      </c>
    </row>
    <row r="42">
      <c r="A42" s="450" t="str">
        <f>IFERROR(__xludf.DUMMYFUNCTION("""COMPUTED_VALUE"""),"Дровосек")</f>
        <v>Дровосек</v>
      </c>
      <c r="B42" s="445">
        <f>IFERROR(__xludf.DUMMYFUNCTION("""COMPUTED_VALUE"""),0.0)</f>
        <v>0</v>
      </c>
      <c r="C42" s="422" t="str">
        <f>IFERROR(__xludf.DUMMYFUNCTION("""COMPUTED_VALUE"""),"Крестный отец (BLR)")</f>
        <v>Крестный отец (BLR)</v>
      </c>
      <c r="D42" s="445">
        <f>IFERROR(__xludf.DUMMYFUNCTION("""COMPUTED_VALUE"""),0.0)</f>
        <v>0</v>
      </c>
      <c r="E42" s="422" t="str">
        <f>IFERROR(__xludf.DUMMYFUNCTION("""COMPUTED_VALUE"""),"Марго")</f>
        <v>Марго</v>
      </c>
      <c r="F42" s="445">
        <f>IFERROR(__xludf.DUMMYFUNCTION("""COMPUTED_VALUE"""),0.0)</f>
        <v>0</v>
      </c>
      <c r="G42" s="422" t="str">
        <f>IFERROR(__xludf.DUMMYFUNCTION("""COMPUTED_VALUE"""),"Панда из Руанды")</f>
        <v>Панда из Руанды</v>
      </c>
      <c r="H42" s="445">
        <f>IFERROR(__xludf.DUMMYFUNCTION("""COMPUTED_VALUE"""),0.0)</f>
        <v>0</v>
      </c>
      <c r="I42" s="422" t="str">
        <f>IFERROR(__xludf.DUMMYFUNCTION("""COMPUTED_VALUE"""),"Фокс")</f>
        <v>Фокс</v>
      </c>
      <c r="J42" s="445">
        <f>IFERROR(__xludf.DUMMYFUNCTION("""COMPUTED_VALUE"""),0.0)</f>
        <v>0</v>
      </c>
      <c r="K42" s="422" t="str">
        <f>IFERROR(__xludf.DUMMYFUNCTION("""COMPUTED_VALUE"""),"Фокс")</f>
        <v>Фокс</v>
      </c>
      <c r="L42" s="445">
        <f>IFERROR(__xludf.DUMMYFUNCTION("""COMPUTED_VALUE"""),0.0)</f>
        <v>0</v>
      </c>
      <c r="M42" s="422" t="str">
        <f>IFERROR(__xludf.DUMMYFUNCTION("""COMPUTED_VALUE"""),"Маваши")</f>
        <v>Маваши</v>
      </c>
      <c r="N42" s="445">
        <f>IFERROR(__xludf.DUMMYFUNCTION("""COMPUTED_VALUE"""),0.0)</f>
        <v>0</v>
      </c>
    </row>
    <row r="43">
      <c r="A43" s="450" t="str">
        <f>IFERROR(__xludf.DUMMYFUNCTION("""COMPUTED_VALUE"""),"Зверюга")</f>
        <v>Зверюга</v>
      </c>
      <c r="B43" s="445">
        <f>IFERROR(__xludf.DUMMYFUNCTION("""COMPUTED_VALUE"""),0.0)</f>
        <v>0</v>
      </c>
      <c r="C43" s="422" t="str">
        <f>IFERROR(__xludf.DUMMYFUNCTION("""COMPUTED_VALUE"""),"Крёстный Отец (RU)")</f>
        <v>Крёстный Отец (RU)</v>
      </c>
      <c r="D43" s="445">
        <f>IFERROR(__xludf.DUMMYFUNCTION("""COMPUTED_VALUE"""),0.0)</f>
        <v>0</v>
      </c>
      <c r="E43" s="422" t="str">
        <f>IFERROR(__xludf.DUMMYFUNCTION("""COMPUTED_VALUE"""),"Ментик")</f>
        <v>Ментик</v>
      </c>
      <c r="F43" s="445">
        <f>IFERROR(__xludf.DUMMYFUNCTION("""COMPUTED_VALUE"""),0.0)</f>
        <v>0</v>
      </c>
      <c r="G43" s="422" t="str">
        <f>IFERROR(__xludf.DUMMYFUNCTION("""COMPUTED_VALUE"""),"Писатель ")</f>
        <v>Писатель </v>
      </c>
      <c r="H43" s="445">
        <f>IFERROR(__xludf.DUMMYFUNCTION("""COMPUTED_VALUE"""),0.0)</f>
        <v>0</v>
      </c>
      <c r="I43" s="422" t="str">
        <f>IFERROR(__xludf.DUMMYFUNCTION("""COMPUTED_VALUE"""),"Шоу Бой")</f>
        <v>Шоу Бой</v>
      </c>
      <c r="J43" s="445">
        <f>IFERROR(__xludf.DUMMYFUNCTION("""COMPUTED_VALUE"""),0.0)</f>
        <v>0</v>
      </c>
      <c r="K43" s="422" t="str">
        <f>IFERROR(__xludf.DUMMYFUNCTION("""COMPUTED_VALUE"""),"Шоу Бой")</f>
        <v>Шоу Бой</v>
      </c>
      <c r="L43" s="445">
        <f>IFERROR(__xludf.DUMMYFUNCTION("""COMPUTED_VALUE"""),0.0)</f>
        <v>0</v>
      </c>
      <c r="M43" s="422" t="str">
        <f>IFERROR(__xludf.DUMMYFUNCTION("""COMPUTED_VALUE"""),"Марго")</f>
        <v>Марго</v>
      </c>
      <c r="N43" s="445">
        <f>IFERROR(__xludf.DUMMYFUNCTION("""COMPUTED_VALUE"""),0.0)</f>
        <v>0</v>
      </c>
    </row>
    <row r="44">
      <c r="A44" s="450" t="str">
        <f>IFERROR(__xludf.DUMMYFUNCTION("""COMPUTED_VALUE"""),"Крестный отец (BLR)")</f>
        <v>Крестный отец (BLR)</v>
      </c>
      <c r="B44" s="445">
        <f>IFERROR(__xludf.DUMMYFUNCTION("""COMPUTED_VALUE"""),0.0)</f>
        <v>0</v>
      </c>
      <c r="C44" s="422" t="str">
        <f>IFERROR(__xludf.DUMMYFUNCTION("""COMPUTED_VALUE"""),"Левша")</f>
        <v>Левша</v>
      </c>
      <c r="D44" s="445">
        <f>IFERROR(__xludf.DUMMYFUNCTION("""COMPUTED_VALUE"""),0.0)</f>
        <v>0</v>
      </c>
      <c r="E44" s="422" t="str">
        <f>IFERROR(__xludf.DUMMYFUNCTION("""COMPUTED_VALUE"""),"Писатель ")</f>
        <v>Писатель </v>
      </c>
      <c r="F44" s="445">
        <f>IFERROR(__xludf.DUMMYFUNCTION("""COMPUTED_VALUE"""),0.0)</f>
        <v>0</v>
      </c>
      <c r="G44" s="422" t="str">
        <f>IFERROR(__xludf.DUMMYFUNCTION("""COMPUTED_VALUE"""),"РФ")</f>
        <v>РФ</v>
      </c>
      <c r="H44" s="445">
        <f>IFERROR(__xludf.DUMMYFUNCTION("""COMPUTED_VALUE"""),0.0)</f>
        <v>0</v>
      </c>
      <c r="I44" s="422" t="str">
        <f>IFERROR(__xludf.DUMMYFUNCTION("""COMPUTED_VALUE"""),"Шпиц")</f>
        <v>Шпиц</v>
      </c>
      <c r="J44" s="445">
        <f>IFERROR(__xludf.DUMMYFUNCTION("""COMPUTED_VALUE"""),0.0)</f>
        <v>0</v>
      </c>
      <c r="K44" s="422" t="str">
        <f>IFERROR(__xludf.DUMMYFUNCTION("""COMPUTED_VALUE"""),"Юрия")</f>
        <v>Юрия</v>
      </c>
      <c r="L44" s="445">
        <f>IFERROR(__xludf.DUMMYFUNCTION("""COMPUTED_VALUE"""),0.0)</f>
        <v>0</v>
      </c>
      <c r="M44" s="422" t="str">
        <f>IFERROR(__xludf.DUMMYFUNCTION("""COMPUTED_VALUE"""),"Ментик")</f>
        <v>Ментик</v>
      </c>
      <c r="N44" s="445">
        <f>IFERROR(__xludf.DUMMYFUNCTION("""COMPUTED_VALUE"""),0.0)</f>
        <v>0</v>
      </c>
    </row>
    <row r="45">
      <c r="A45" s="450" t="str">
        <f>IFERROR(__xludf.DUMMYFUNCTION("""COMPUTED_VALUE"""),"Крёстный Отец (RU)")</f>
        <v>Крёстный Отец (RU)</v>
      </c>
      <c r="B45" s="445">
        <f>IFERROR(__xludf.DUMMYFUNCTION("""COMPUTED_VALUE"""),0.0)</f>
        <v>0</v>
      </c>
      <c r="C45" s="422" t="str">
        <f>IFERROR(__xludf.DUMMYFUNCTION("""COMPUTED_VALUE"""),"Маваши")</f>
        <v>Маваши</v>
      </c>
      <c r="D45" s="445">
        <f>IFERROR(__xludf.DUMMYFUNCTION("""COMPUTED_VALUE"""),0.0)</f>
        <v>0</v>
      </c>
      <c r="E45" s="422" t="str">
        <f>IFERROR(__xludf.DUMMYFUNCTION("""COMPUTED_VALUE"""),"РФ")</f>
        <v>РФ</v>
      </c>
      <c r="F45" s="445">
        <f>IFERROR(__xludf.DUMMYFUNCTION("""COMPUTED_VALUE"""),0.0)</f>
        <v>0</v>
      </c>
      <c r="G45" s="422" t="str">
        <f>IFERROR(__xludf.DUMMYFUNCTION("""COMPUTED_VALUE"""),"Старый")</f>
        <v>Старый</v>
      </c>
      <c r="H45" s="445">
        <f>IFERROR(__xludf.DUMMYFUNCTION("""COMPUTED_VALUE"""),0.0)</f>
        <v>0</v>
      </c>
      <c r="I45" s="422" t="str">
        <f>IFERROR(__xludf.DUMMYFUNCTION("""COMPUTED_VALUE"""),"Юрия")</f>
        <v>Юрия</v>
      </c>
      <c r="J45" s="445">
        <f>IFERROR(__xludf.DUMMYFUNCTION("""COMPUTED_VALUE"""),0.0)</f>
        <v>0</v>
      </c>
      <c r="K45" s="422" t="str">
        <f>IFERROR(__xludf.DUMMYFUNCTION("""COMPUTED_VALUE"""),"A1 ")</f>
        <v>A1 </v>
      </c>
      <c r="L45" s="445">
        <f>IFERROR(__xludf.DUMMYFUNCTION("""COMPUTED_VALUE"""),0.0)</f>
        <v>0</v>
      </c>
      <c r="M45" s="422" t="str">
        <f>IFERROR(__xludf.DUMMYFUNCTION("""COMPUTED_VALUE"""),"Панда из Руанды")</f>
        <v>Панда из Руанды</v>
      </c>
      <c r="N45" s="445">
        <f>IFERROR(__xludf.DUMMYFUNCTION("""COMPUTED_VALUE"""),0.0)</f>
        <v>0</v>
      </c>
    </row>
    <row r="46">
      <c r="A46" s="450" t="str">
        <f>IFERROR(__xludf.DUMMYFUNCTION("""COMPUTED_VALUE"""),"Маваши")</f>
        <v>Маваши</v>
      </c>
      <c r="B46" s="445">
        <f>IFERROR(__xludf.DUMMYFUNCTION("""COMPUTED_VALUE"""),0.0)</f>
        <v>0</v>
      </c>
      <c r="C46" s="422" t="str">
        <f>IFERROR(__xludf.DUMMYFUNCTION("""COMPUTED_VALUE"""),"Марго")</f>
        <v>Марго</v>
      </c>
      <c r="D46" s="445">
        <f>IFERROR(__xludf.DUMMYFUNCTION("""COMPUTED_VALUE"""),0.0)</f>
        <v>0</v>
      </c>
      <c r="E46" s="422" t="str">
        <f>IFERROR(__xludf.DUMMYFUNCTION("""COMPUTED_VALUE"""),"СЭНСЭЙ")</f>
        <v>СЭНСЭЙ</v>
      </c>
      <c r="F46" s="445">
        <f>IFERROR(__xludf.DUMMYFUNCTION("""COMPUTED_VALUE"""),0.0)</f>
        <v>0</v>
      </c>
      <c r="G46" s="422" t="str">
        <f>IFERROR(__xludf.DUMMYFUNCTION("""COMPUTED_VALUE"""),"СЭНСЭЙ")</f>
        <v>СЭНСЭЙ</v>
      </c>
      <c r="H46" s="445">
        <f>IFERROR(__xludf.DUMMYFUNCTION("""COMPUTED_VALUE"""),0.0)</f>
        <v>0</v>
      </c>
      <c r="I46" s="422" t="str">
        <f>IFERROR(__xludf.DUMMYFUNCTION("""COMPUTED_VALUE"""),"A1 ")</f>
        <v>A1 </v>
      </c>
      <c r="J46" s="445">
        <f>IFERROR(__xludf.DUMMYFUNCTION("""COMPUTED_VALUE"""),0.0)</f>
        <v>0</v>
      </c>
      <c r="K46" s="422" t="str">
        <f>IFERROR(__xludf.DUMMYFUNCTION("""COMPUTED_VALUE"""),"Alice ")</f>
        <v>Alice </v>
      </c>
      <c r="L46" s="445">
        <f>IFERROR(__xludf.DUMMYFUNCTION("""COMPUTED_VALUE"""),0.0)</f>
        <v>0</v>
      </c>
      <c r="M46" s="422" t="str">
        <f>IFERROR(__xludf.DUMMYFUNCTION("""COMPUTED_VALUE"""),"РФ")</f>
        <v>РФ</v>
      </c>
      <c r="N46" s="445">
        <f>IFERROR(__xludf.DUMMYFUNCTION("""COMPUTED_VALUE"""),0.0)</f>
        <v>0</v>
      </c>
    </row>
    <row r="47">
      <c r="A47" s="450" t="str">
        <f>IFERROR(__xludf.DUMMYFUNCTION("""COMPUTED_VALUE"""),"Марго")</f>
        <v>Марго</v>
      </c>
      <c r="B47" s="445">
        <f>IFERROR(__xludf.DUMMYFUNCTION("""COMPUTED_VALUE"""),0.0)</f>
        <v>0</v>
      </c>
      <c r="C47" s="422" t="str">
        <f>IFERROR(__xludf.DUMMYFUNCTION("""COMPUTED_VALUE"""),"Ментик")</f>
        <v>Ментик</v>
      </c>
      <c r="D47" s="445">
        <f>IFERROR(__xludf.DUMMYFUNCTION("""COMPUTED_VALUE"""),0.0)</f>
        <v>0</v>
      </c>
      <c r="E47" s="422" t="str">
        <f>IFERROR(__xludf.DUMMYFUNCTION("""COMPUTED_VALUE"""),"Тихий закат")</f>
        <v>Тихий закат</v>
      </c>
      <c r="F47" s="445">
        <f>IFERROR(__xludf.DUMMYFUNCTION("""COMPUTED_VALUE"""),0.0)</f>
        <v>0</v>
      </c>
      <c r="G47" s="422" t="str">
        <f>IFERROR(__xludf.DUMMYFUNCTION("""COMPUTED_VALUE"""),"Тихий закат")</f>
        <v>Тихий закат</v>
      </c>
      <c r="H47" s="445">
        <f>IFERROR(__xludf.DUMMYFUNCTION("""COMPUTED_VALUE"""),0.0)</f>
        <v>0</v>
      </c>
      <c r="I47" s="422" t="str">
        <f>IFERROR(__xludf.DUMMYFUNCTION("""COMPUTED_VALUE"""),"Alice ")</f>
        <v>Alice </v>
      </c>
      <c r="J47" s="445">
        <f>IFERROR(__xludf.DUMMYFUNCTION("""COMPUTED_VALUE"""),0.0)</f>
        <v>0</v>
      </c>
      <c r="K47" s="422" t="str">
        <f>IFERROR(__xludf.DUMMYFUNCTION("""COMPUTED_VALUE"""),"Bublik")</f>
        <v>Bublik</v>
      </c>
      <c r="L47" s="445">
        <f>IFERROR(__xludf.DUMMYFUNCTION("""COMPUTED_VALUE"""),0.0)</f>
        <v>0</v>
      </c>
      <c r="M47" s="422" t="str">
        <f>IFERROR(__xludf.DUMMYFUNCTION("""COMPUTED_VALUE"""),"СЭНСЭЙ")</f>
        <v>СЭНСЭЙ</v>
      </c>
      <c r="N47" s="445">
        <f>IFERROR(__xludf.DUMMYFUNCTION("""COMPUTED_VALUE"""),0.0)</f>
        <v>0</v>
      </c>
    </row>
    <row r="48">
      <c r="A48" s="450" t="str">
        <f>IFERROR(__xludf.DUMMYFUNCTION("""COMPUTED_VALUE"""),"Ментик")</f>
        <v>Ментик</v>
      </c>
      <c r="B48" s="445">
        <f>IFERROR(__xludf.DUMMYFUNCTION("""COMPUTED_VALUE"""),0.0)</f>
        <v>0</v>
      </c>
      <c r="C48" s="422" t="str">
        <f>IFERROR(__xludf.DUMMYFUNCTION("""COMPUTED_VALUE"""),"РФ")</f>
        <v>РФ</v>
      </c>
      <c r="D48" s="445">
        <f>IFERROR(__xludf.DUMMYFUNCTION("""COMPUTED_VALUE"""),0.0)</f>
        <v>0</v>
      </c>
      <c r="E48" s="422" t="str">
        <f>IFERROR(__xludf.DUMMYFUNCTION("""COMPUTED_VALUE"""),"Флэш")</f>
        <v>Флэш</v>
      </c>
      <c r="F48" s="445">
        <f>IFERROR(__xludf.DUMMYFUNCTION("""COMPUTED_VALUE"""),0.0)</f>
        <v>0</v>
      </c>
      <c r="G48" s="422" t="str">
        <f>IFERROR(__xludf.DUMMYFUNCTION("""COMPUTED_VALUE"""),"Флэш")</f>
        <v>Флэш</v>
      </c>
      <c r="H48" s="445">
        <f>IFERROR(__xludf.DUMMYFUNCTION("""COMPUTED_VALUE"""),0.0)</f>
        <v>0</v>
      </c>
      <c r="I48" s="422" t="str">
        <f>IFERROR(__xludf.DUMMYFUNCTION("""COMPUTED_VALUE"""),"Bublik")</f>
        <v>Bublik</v>
      </c>
      <c r="J48" s="445">
        <f>IFERROR(__xludf.DUMMYFUNCTION("""COMPUTED_VALUE"""),0.0)</f>
        <v>0</v>
      </c>
      <c r="K48" s="422" t="str">
        <f>IFERROR(__xludf.DUMMYFUNCTION("""COMPUTED_VALUE"""),"BWDMoscow")</f>
        <v>BWDMoscow</v>
      </c>
      <c r="L48" s="445">
        <f>IFERROR(__xludf.DUMMYFUNCTION("""COMPUTED_VALUE"""),0.0)</f>
        <v>0</v>
      </c>
      <c r="M48" s="422" t="str">
        <f>IFERROR(__xludf.DUMMYFUNCTION("""COMPUTED_VALUE"""),"Тихий закат")</f>
        <v>Тихий закат</v>
      </c>
      <c r="N48" s="445">
        <f>IFERROR(__xludf.DUMMYFUNCTION("""COMPUTED_VALUE"""),0.0)</f>
        <v>0</v>
      </c>
    </row>
    <row r="49">
      <c r="A49" s="450" t="str">
        <f>IFERROR(__xludf.DUMMYFUNCTION("""COMPUTED_VALUE"""),"РФ")</f>
        <v>РФ</v>
      </c>
      <c r="B49" s="445">
        <f>IFERROR(__xludf.DUMMYFUNCTION("""COMPUTED_VALUE"""),0.0)</f>
        <v>0</v>
      </c>
      <c r="C49" s="422" t="str">
        <f>IFERROR(__xludf.DUMMYFUNCTION("""COMPUTED_VALUE"""),"СЭНСЭЙ")</f>
        <v>СЭНСЭЙ</v>
      </c>
      <c r="D49" s="445">
        <f>IFERROR(__xludf.DUMMYFUNCTION("""COMPUTED_VALUE"""),0.0)</f>
        <v>0</v>
      </c>
      <c r="E49" s="422" t="str">
        <f>IFERROR(__xludf.DUMMYFUNCTION("""COMPUTED_VALUE"""),"Фокс")</f>
        <v>Фокс</v>
      </c>
      <c r="F49" s="445">
        <f>IFERROR(__xludf.DUMMYFUNCTION("""COMPUTED_VALUE"""),0.0)</f>
        <v>0</v>
      </c>
      <c r="G49" s="422" t="str">
        <f>IFERROR(__xludf.DUMMYFUNCTION("""COMPUTED_VALUE"""),"Фокс")</f>
        <v>Фокс</v>
      </c>
      <c r="H49" s="445">
        <f>IFERROR(__xludf.DUMMYFUNCTION("""COMPUTED_VALUE"""),0.0)</f>
        <v>0</v>
      </c>
      <c r="I49" s="422" t="str">
        <f>IFERROR(__xludf.DUMMYFUNCTION("""COMPUTED_VALUE"""),"BWDMoscow")</f>
        <v>BWDMoscow</v>
      </c>
      <c r="J49" s="445">
        <f>IFERROR(__xludf.DUMMYFUNCTION("""COMPUTED_VALUE"""),0.0)</f>
        <v>0</v>
      </c>
      <c r="K49" s="422" t="str">
        <f>IFERROR(__xludf.DUMMYFUNCTION("""COMPUTED_VALUE"""),"Castor Troy ")</f>
        <v>Castor Troy </v>
      </c>
      <c r="L49" s="445">
        <f>IFERROR(__xludf.DUMMYFUNCTION("""COMPUTED_VALUE"""),0.0)</f>
        <v>0</v>
      </c>
      <c r="M49" s="422" t="str">
        <f>IFERROR(__xludf.DUMMYFUNCTION("""COMPUTED_VALUE"""),"Флэш")</f>
        <v>Флэш</v>
      </c>
      <c r="N49" s="445">
        <f>IFERROR(__xludf.DUMMYFUNCTION("""COMPUTED_VALUE"""),0.0)</f>
        <v>0</v>
      </c>
    </row>
    <row r="50">
      <c r="A50" s="450" t="str">
        <f>IFERROR(__xludf.DUMMYFUNCTION("""COMPUTED_VALUE"""),"СЭНСЭЙ")</f>
        <v>СЭНСЭЙ</v>
      </c>
      <c r="B50" s="445">
        <f>IFERROR(__xludf.DUMMYFUNCTION("""COMPUTED_VALUE"""),0.0)</f>
        <v>0</v>
      </c>
      <c r="C50" s="422" t="str">
        <f>IFERROR(__xludf.DUMMYFUNCTION("""COMPUTED_VALUE"""),"Тихий закат")</f>
        <v>Тихий закат</v>
      </c>
      <c r="D50" s="445">
        <f>IFERROR(__xludf.DUMMYFUNCTION("""COMPUTED_VALUE"""),0.0)</f>
        <v>0</v>
      </c>
      <c r="E50" s="422" t="str">
        <f>IFERROR(__xludf.DUMMYFUNCTION("""COMPUTED_VALUE"""),"Шоу Бой")</f>
        <v>Шоу Бой</v>
      </c>
      <c r="F50" s="445">
        <f>IFERROR(__xludf.DUMMYFUNCTION("""COMPUTED_VALUE"""),0.0)</f>
        <v>0</v>
      </c>
      <c r="G50" s="422" t="str">
        <f>IFERROR(__xludf.DUMMYFUNCTION("""COMPUTED_VALUE"""),"Шоу Бой")</f>
        <v>Шоу Бой</v>
      </c>
      <c r="H50" s="445">
        <f>IFERROR(__xludf.DUMMYFUNCTION("""COMPUTED_VALUE"""),0.0)</f>
        <v>0</v>
      </c>
      <c r="I50" s="422" t="str">
        <f>IFERROR(__xludf.DUMMYFUNCTION("""COMPUTED_VALUE"""),"Castor Troy ")</f>
        <v>Castor Troy </v>
      </c>
      <c r="J50" s="445">
        <f>IFERROR(__xludf.DUMMYFUNCTION("""COMPUTED_VALUE"""),0.0)</f>
        <v>0</v>
      </c>
      <c r="K50" s="422" t="str">
        <f>IFERROR(__xludf.DUMMYFUNCTION("""COMPUTED_VALUE"""),"GALAY")</f>
        <v>GALAY</v>
      </c>
      <c r="L50" s="445">
        <f>IFERROR(__xludf.DUMMYFUNCTION("""COMPUTED_VALUE"""),0.0)</f>
        <v>0</v>
      </c>
      <c r="M50" s="422" t="str">
        <f>IFERROR(__xludf.DUMMYFUNCTION("""COMPUTED_VALUE"""),"Фокс")</f>
        <v>Фокс</v>
      </c>
      <c r="N50" s="445">
        <f>IFERROR(__xludf.DUMMYFUNCTION("""COMPUTED_VALUE"""),0.0)</f>
        <v>0</v>
      </c>
    </row>
    <row r="51">
      <c r="A51" s="450" t="str">
        <f>IFERROR(__xludf.DUMMYFUNCTION("""COMPUTED_VALUE"""),"Тихий закат")</f>
        <v>Тихий закат</v>
      </c>
      <c r="B51" s="445">
        <f>IFERROR(__xludf.DUMMYFUNCTION("""COMPUTED_VALUE"""),0.0)</f>
        <v>0</v>
      </c>
      <c r="C51" s="422" t="str">
        <f>IFERROR(__xludf.DUMMYFUNCTION("""COMPUTED_VALUE"""),"Флэш")</f>
        <v>Флэш</v>
      </c>
      <c r="D51" s="445">
        <f>IFERROR(__xludf.DUMMYFUNCTION("""COMPUTED_VALUE"""),0.0)</f>
        <v>0</v>
      </c>
      <c r="E51" s="422" t="str">
        <f>IFERROR(__xludf.DUMMYFUNCTION("""COMPUTED_VALUE"""),"Юрия")</f>
        <v>Юрия</v>
      </c>
      <c r="F51" s="445">
        <f>IFERROR(__xludf.DUMMYFUNCTION("""COMPUTED_VALUE"""),0.0)</f>
        <v>0</v>
      </c>
      <c r="G51" s="422" t="str">
        <f>IFERROR(__xludf.DUMMYFUNCTION("""COMPUTED_VALUE"""),"Юрия")</f>
        <v>Юрия</v>
      </c>
      <c r="H51" s="445">
        <f>IFERROR(__xludf.DUMMYFUNCTION("""COMPUTED_VALUE"""),0.0)</f>
        <v>0</v>
      </c>
      <c r="I51" s="422" t="str">
        <f>IFERROR(__xludf.DUMMYFUNCTION("""COMPUTED_VALUE"""),"GALAY")</f>
        <v>GALAY</v>
      </c>
      <c r="J51" s="445">
        <f>IFERROR(__xludf.DUMMYFUNCTION("""COMPUTED_VALUE"""),0.0)</f>
        <v>0</v>
      </c>
      <c r="K51" s="422" t="str">
        <f>IFERROR(__xludf.DUMMYFUNCTION("""COMPUTED_VALUE"""),"Infinity ")</f>
        <v>Infinity </v>
      </c>
      <c r="L51" s="445">
        <f>IFERROR(__xludf.DUMMYFUNCTION("""COMPUTED_VALUE"""),0.0)</f>
        <v>0</v>
      </c>
      <c r="M51" s="422" t="str">
        <f>IFERROR(__xludf.DUMMYFUNCTION("""COMPUTED_VALUE"""),"Шоу Бой")</f>
        <v>Шоу Бой</v>
      </c>
      <c r="N51" s="445">
        <f>IFERROR(__xludf.DUMMYFUNCTION("""COMPUTED_VALUE"""),0.0)</f>
        <v>0</v>
      </c>
    </row>
    <row r="52">
      <c r="A52" s="422" t="str">
        <f>IFERROR(__xludf.DUMMYFUNCTION("""COMPUTED_VALUE"""),"Флэш")</f>
        <v>Флэш</v>
      </c>
      <c r="B52" s="445">
        <f>IFERROR(__xludf.DUMMYFUNCTION("""COMPUTED_VALUE"""),0.0)</f>
        <v>0</v>
      </c>
      <c r="C52" s="422" t="str">
        <f>IFERROR(__xludf.DUMMYFUNCTION("""COMPUTED_VALUE"""),"Фокс")</f>
        <v>Фокс</v>
      </c>
      <c r="D52" s="445">
        <f>IFERROR(__xludf.DUMMYFUNCTION("""COMPUTED_VALUE"""),0.0)</f>
        <v>0</v>
      </c>
      <c r="E52" s="422" t="str">
        <f>IFERROR(__xludf.DUMMYFUNCTION("""COMPUTED_VALUE"""),"Alice ")</f>
        <v>Alice </v>
      </c>
      <c r="F52" s="445">
        <f>IFERROR(__xludf.DUMMYFUNCTION("""COMPUTED_VALUE"""),0.0)</f>
        <v>0</v>
      </c>
      <c r="G52" s="422" t="str">
        <f>IFERROR(__xludf.DUMMYFUNCTION("""COMPUTED_VALUE"""),"Alice ")</f>
        <v>Alice </v>
      </c>
      <c r="H52" s="445">
        <f>IFERROR(__xludf.DUMMYFUNCTION("""COMPUTED_VALUE"""),0.0)</f>
        <v>0</v>
      </c>
      <c r="I52" s="422" t="str">
        <f>IFERROR(__xludf.DUMMYFUNCTION("""COMPUTED_VALUE"""),"Helga")</f>
        <v>Helga</v>
      </c>
      <c r="J52" s="445">
        <f>IFERROR(__xludf.DUMMYFUNCTION("""COMPUTED_VALUE"""),0.0)</f>
        <v>0</v>
      </c>
      <c r="K52" s="422" t="str">
        <f>IFERROR(__xludf.DUMMYFUNCTION("""COMPUTED_VALUE"""),"Ketamin")</f>
        <v>Ketamin</v>
      </c>
      <c r="L52" s="445">
        <f>IFERROR(__xludf.DUMMYFUNCTION("""COMPUTED_VALUE"""),0.0)</f>
        <v>0</v>
      </c>
      <c r="M52" s="422" t="str">
        <f>IFERROR(__xludf.DUMMYFUNCTION("""COMPUTED_VALUE"""),"Bublik")</f>
        <v>Bublik</v>
      </c>
      <c r="N52" s="445">
        <f>IFERROR(__xludf.DUMMYFUNCTION("""COMPUTED_VALUE"""),0.0)</f>
        <v>0</v>
      </c>
    </row>
    <row r="53">
      <c r="A53" s="422" t="str">
        <f>IFERROR(__xludf.DUMMYFUNCTION("""COMPUTED_VALUE"""),"Фокс")</f>
        <v>Фокс</v>
      </c>
      <c r="B53" s="445">
        <f>IFERROR(__xludf.DUMMYFUNCTION("""COMPUTED_VALUE"""),0.0)</f>
        <v>0</v>
      </c>
      <c r="C53" s="422" t="str">
        <f>IFERROR(__xludf.DUMMYFUNCTION("""COMPUTED_VALUE"""),"Шоу Бой")</f>
        <v>Шоу Бой</v>
      </c>
      <c r="D53" s="445">
        <f>IFERROR(__xludf.DUMMYFUNCTION("""COMPUTED_VALUE"""),0.0)</f>
        <v>0</v>
      </c>
      <c r="E53" s="422" t="str">
        <f>IFERROR(__xludf.DUMMYFUNCTION("""COMPUTED_VALUE"""),"Bublik")</f>
        <v>Bublik</v>
      </c>
      <c r="F53" s="445">
        <f>IFERROR(__xludf.DUMMYFUNCTION("""COMPUTED_VALUE"""),0.0)</f>
        <v>0</v>
      </c>
      <c r="G53" s="422" t="str">
        <f>IFERROR(__xludf.DUMMYFUNCTION("""COMPUTED_VALUE"""),"Bublik")</f>
        <v>Bublik</v>
      </c>
      <c r="H53" s="445">
        <f>IFERROR(__xludf.DUMMYFUNCTION("""COMPUTED_VALUE"""),0.0)</f>
        <v>0</v>
      </c>
      <c r="I53" s="422" t="str">
        <f>IFERROR(__xludf.DUMMYFUNCTION("""COMPUTED_VALUE"""),"Infinity ")</f>
        <v>Infinity </v>
      </c>
      <c r="J53" s="445">
        <f>IFERROR(__xludf.DUMMYFUNCTION("""COMPUTED_VALUE"""),0.0)</f>
        <v>0</v>
      </c>
      <c r="K53" s="422" t="str">
        <f>IFERROR(__xludf.DUMMYFUNCTION("""COMPUTED_VALUE"""),"Light")</f>
        <v>Light</v>
      </c>
      <c r="L53" s="445">
        <f>IFERROR(__xludf.DUMMYFUNCTION("""COMPUTED_VALUE"""),0.0)</f>
        <v>0</v>
      </c>
      <c r="M53" s="422" t="str">
        <f>IFERROR(__xludf.DUMMYFUNCTION("""COMPUTED_VALUE"""),"BWDMoscow")</f>
        <v>BWDMoscow</v>
      </c>
      <c r="N53" s="445">
        <f>IFERROR(__xludf.DUMMYFUNCTION("""COMPUTED_VALUE"""),0.0)</f>
        <v>0</v>
      </c>
    </row>
    <row r="54">
      <c r="A54" s="422" t="str">
        <f>IFERROR(__xludf.DUMMYFUNCTION("""COMPUTED_VALUE"""),"Шоу Бой")</f>
        <v>Шоу Бой</v>
      </c>
      <c r="B54" s="445">
        <f>IFERROR(__xludf.DUMMYFUNCTION("""COMPUTED_VALUE"""),0.0)</f>
        <v>0</v>
      </c>
      <c r="C54" s="422" t="str">
        <f>IFERROR(__xludf.DUMMYFUNCTION("""COMPUTED_VALUE"""),"Bublik")</f>
        <v>Bublik</v>
      </c>
      <c r="D54" s="445">
        <f>IFERROR(__xludf.DUMMYFUNCTION("""COMPUTED_VALUE"""),0.0)</f>
        <v>0</v>
      </c>
      <c r="E54" s="422" t="str">
        <f>IFERROR(__xludf.DUMMYFUNCTION("""COMPUTED_VALUE"""),"BWDMoscow")</f>
        <v>BWDMoscow</v>
      </c>
      <c r="F54" s="445">
        <f>IFERROR(__xludf.DUMMYFUNCTION("""COMPUTED_VALUE"""),0.0)</f>
        <v>0</v>
      </c>
      <c r="G54" s="422" t="str">
        <f>IFERROR(__xludf.DUMMYFUNCTION("""COMPUTED_VALUE"""),"BWDMoscow")</f>
        <v>BWDMoscow</v>
      </c>
      <c r="H54" s="445">
        <f>IFERROR(__xludf.DUMMYFUNCTION("""COMPUTED_VALUE"""),0.0)</f>
        <v>0</v>
      </c>
      <c r="I54" s="422" t="str">
        <f>IFERROR(__xludf.DUMMYFUNCTION("""COMPUTED_VALUE"""),"Ketamin")</f>
        <v>Ketamin</v>
      </c>
      <c r="J54" s="445">
        <f>IFERROR(__xludf.DUMMYFUNCTION("""COMPUTED_VALUE"""),0.0)</f>
        <v>0</v>
      </c>
      <c r="K54" s="422" t="str">
        <f>IFERROR(__xludf.DUMMYFUNCTION("""COMPUTED_VALUE"""),"Morti")</f>
        <v>Morti</v>
      </c>
      <c r="L54" s="445">
        <f>IFERROR(__xludf.DUMMYFUNCTION("""COMPUTED_VALUE"""),0.0)</f>
        <v>0</v>
      </c>
      <c r="M54" s="422" t="str">
        <f>IFERROR(__xludf.DUMMYFUNCTION("""COMPUTED_VALUE"""),"GALAY")</f>
        <v>GALAY</v>
      </c>
      <c r="N54" s="445">
        <f>IFERROR(__xludf.DUMMYFUNCTION("""COMPUTED_VALUE"""),0.0)</f>
        <v>0</v>
      </c>
    </row>
    <row r="55">
      <c r="A55" s="422" t="str">
        <f>IFERROR(__xludf.DUMMYFUNCTION("""COMPUTED_VALUE"""),"Bublik")</f>
        <v>Bublik</v>
      </c>
      <c r="B55" s="445">
        <f>IFERROR(__xludf.DUMMYFUNCTION("""COMPUTED_VALUE"""),0.0)</f>
        <v>0</v>
      </c>
      <c r="C55" s="422" t="str">
        <f>IFERROR(__xludf.DUMMYFUNCTION("""COMPUTED_VALUE"""),"BWDMoscow")</f>
        <v>BWDMoscow</v>
      </c>
      <c r="D55" s="445">
        <f>IFERROR(__xludf.DUMMYFUNCTION("""COMPUTED_VALUE"""),0.0)</f>
        <v>0</v>
      </c>
      <c r="E55" s="422" t="str">
        <f>IFERROR(__xludf.DUMMYFUNCTION("""COMPUTED_VALUE"""),"Castor Troy ")</f>
        <v>Castor Troy </v>
      </c>
      <c r="F55" s="445">
        <f>IFERROR(__xludf.DUMMYFUNCTION("""COMPUTED_VALUE"""),0.0)</f>
        <v>0</v>
      </c>
      <c r="G55" s="422" t="str">
        <f>IFERROR(__xludf.DUMMYFUNCTION("""COMPUTED_VALUE"""),"Castor Troy ")</f>
        <v>Castor Troy </v>
      </c>
      <c r="H55" s="445">
        <f>IFERROR(__xludf.DUMMYFUNCTION("""COMPUTED_VALUE"""),0.0)</f>
        <v>0</v>
      </c>
      <c r="I55" s="422" t="str">
        <f>IFERROR(__xludf.DUMMYFUNCTION("""COMPUTED_VALUE"""),"Light")</f>
        <v>Light</v>
      </c>
      <c r="J55" s="445">
        <f>IFERROR(__xludf.DUMMYFUNCTION("""COMPUTED_VALUE"""),0.0)</f>
        <v>0</v>
      </c>
      <c r="K55" s="422" t="str">
        <f>IFERROR(__xludf.DUMMYFUNCTION("""COMPUTED_VALUE"""),"MSR")</f>
        <v>MSR</v>
      </c>
      <c r="L55" s="445">
        <f>IFERROR(__xludf.DUMMYFUNCTION("""COMPUTED_VALUE"""),0.0)</f>
        <v>0</v>
      </c>
      <c r="M55" s="422" t="str">
        <f>IFERROR(__xludf.DUMMYFUNCTION("""COMPUTED_VALUE"""),"Helga")</f>
        <v>Helga</v>
      </c>
      <c r="N55" s="445">
        <f>IFERROR(__xludf.DUMMYFUNCTION("""COMPUTED_VALUE"""),0.0)</f>
        <v>0</v>
      </c>
    </row>
    <row r="56">
      <c r="A56" s="422" t="str">
        <f>IFERROR(__xludf.DUMMYFUNCTION("""COMPUTED_VALUE"""),"BWDMoscow")</f>
        <v>BWDMoscow</v>
      </c>
      <c r="B56" s="445">
        <f>IFERROR(__xludf.DUMMYFUNCTION("""COMPUTED_VALUE"""),0.0)</f>
        <v>0</v>
      </c>
      <c r="C56" s="422" t="str">
        <f>IFERROR(__xludf.DUMMYFUNCTION("""COMPUTED_VALUE"""),"GALAY")</f>
        <v>GALAY</v>
      </c>
      <c r="D56" s="445">
        <f>IFERROR(__xludf.DUMMYFUNCTION("""COMPUTED_VALUE"""),0.0)</f>
        <v>0</v>
      </c>
      <c r="E56" s="422" t="str">
        <f>IFERROR(__xludf.DUMMYFUNCTION("""COMPUTED_VALUE"""),"GALAY")</f>
        <v>GALAY</v>
      </c>
      <c r="F56" s="445">
        <f>IFERROR(__xludf.DUMMYFUNCTION("""COMPUTED_VALUE"""),0.0)</f>
        <v>0</v>
      </c>
      <c r="G56" s="422" t="str">
        <f>IFERROR(__xludf.DUMMYFUNCTION("""COMPUTED_VALUE"""),"GALAY")</f>
        <v>GALAY</v>
      </c>
      <c r="H56" s="445">
        <f>IFERROR(__xludf.DUMMYFUNCTION("""COMPUTED_VALUE"""),0.0)</f>
        <v>0</v>
      </c>
      <c r="I56" s="422" t="str">
        <f>IFERROR(__xludf.DUMMYFUNCTION("""COMPUTED_VALUE"""),"Morti")</f>
        <v>Morti</v>
      </c>
      <c r="J56" s="445">
        <f>IFERROR(__xludf.DUMMYFUNCTION("""COMPUTED_VALUE"""),0.0)</f>
        <v>0</v>
      </c>
      <c r="K56" s="422" t="str">
        <f>IFERROR(__xludf.DUMMYFUNCTION("""COMPUTED_VALUE"""),"Rocket woman ")</f>
        <v>Rocket woman </v>
      </c>
      <c r="L56" s="445">
        <f>IFERROR(__xludf.DUMMYFUNCTION("""COMPUTED_VALUE"""),0.0)</f>
        <v>0</v>
      </c>
      <c r="M56" s="422" t="str">
        <f>IFERROR(__xludf.DUMMYFUNCTION("""COMPUTED_VALUE"""),"Ketamin")</f>
        <v>Ketamin</v>
      </c>
      <c r="N56" s="445">
        <f>IFERROR(__xludf.DUMMYFUNCTION("""COMPUTED_VALUE"""),0.0)</f>
        <v>0</v>
      </c>
    </row>
    <row r="57">
      <c r="A57" s="422" t="str">
        <f>IFERROR(__xludf.DUMMYFUNCTION("""COMPUTED_VALUE"""),"GALAY")</f>
        <v>GALAY</v>
      </c>
      <c r="B57" s="445">
        <f>IFERROR(__xludf.DUMMYFUNCTION("""COMPUTED_VALUE"""),0.0)</f>
        <v>0</v>
      </c>
      <c r="C57" s="422" t="str">
        <f>IFERROR(__xludf.DUMMYFUNCTION("""COMPUTED_VALUE"""),"Helga")</f>
        <v>Helga</v>
      </c>
      <c r="D57" s="445">
        <f>IFERROR(__xludf.DUMMYFUNCTION("""COMPUTED_VALUE"""),0.0)</f>
        <v>0</v>
      </c>
      <c r="E57" s="422" t="str">
        <f>IFERROR(__xludf.DUMMYFUNCTION("""COMPUTED_VALUE"""),"Ketamin")</f>
        <v>Ketamin</v>
      </c>
      <c r="F57" s="445">
        <f>IFERROR(__xludf.DUMMYFUNCTION("""COMPUTED_VALUE"""),0.0)</f>
        <v>0</v>
      </c>
      <c r="G57" s="422" t="str">
        <f>IFERROR(__xludf.DUMMYFUNCTION("""COMPUTED_VALUE"""),"Ketamin")</f>
        <v>Ketamin</v>
      </c>
      <c r="H57" s="445">
        <f>IFERROR(__xludf.DUMMYFUNCTION("""COMPUTED_VALUE"""),0.0)</f>
        <v>0</v>
      </c>
      <c r="I57" s="422" t="str">
        <f>IFERROR(__xludf.DUMMYFUNCTION("""COMPUTED_VALUE"""),"MSR")</f>
        <v>MSR</v>
      </c>
      <c r="J57" s="445">
        <f>IFERROR(__xludf.DUMMYFUNCTION("""COMPUTED_VALUE"""),0.0)</f>
        <v>0</v>
      </c>
      <c r="K57" s="422" t="str">
        <f>IFERROR(__xludf.DUMMYFUNCTION("""COMPUTED_VALUE"""),"SCHOKK ")</f>
        <v>SCHOKK </v>
      </c>
      <c r="L57" s="445">
        <f>IFERROR(__xludf.DUMMYFUNCTION("""COMPUTED_VALUE"""),0.0)</f>
        <v>0</v>
      </c>
      <c r="M57" s="422" t="str">
        <f>IFERROR(__xludf.DUMMYFUNCTION("""COMPUTED_VALUE"""),"Light")</f>
        <v>Light</v>
      </c>
      <c r="N57" s="445">
        <f>IFERROR(__xludf.DUMMYFUNCTION("""COMPUTED_VALUE"""),0.0)</f>
        <v>0</v>
      </c>
    </row>
    <row r="58">
      <c r="A58" s="422" t="str">
        <f>IFERROR(__xludf.DUMMYFUNCTION("""COMPUTED_VALUE"""),"Ketamin")</f>
        <v>Ketamin</v>
      </c>
      <c r="B58" s="445">
        <f>IFERROR(__xludf.DUMMYFUNCTION("""COMPUTED_VALUE"""),0.0)</f>
        <v>0</v>
      </c>
      <c r="C58" s="422" t="str">
        <f>IFERROR(__xludf.DUMMYFUNCTION("""COMPUTED_VALUE"""),"Ketamin")</f>
        <v>Ketamin</v>
      </c>
      <c r="D58" s="445">
        <f>IFERROR(__xludf.DUMMYFUNCTION("""COMPUTED_VALUE"""),0.0)</f>
        <v>0</v>
      </c>
      <c r="E58" s="422" t="str">
        <f>IFERROR(__xludf.DUMMYFUNCTION("""COMPUTED_VALUE"""),"Light")</f>
        <v>Light</v>
      </c>
      <c r="F58" s="445">
        <f>IFERROR(__xludf.DUMMYFUNCTION("""COMPUTED_VALUE"""),0.0)</f>
        <v>0</v>
      </c>
      <c r="G58" s="422" t="str">
        <f>IFERROR(__xludf.DUMMYFUNCTION("""COMPUTED_VALUE"""),"Light")</f>
        <v>Light</v>
      </c>
      <c r="H58" s="445">
        <f>IFERROR(__xludf.DUMMYFUNCTION("""COMPUTED_VALUE"""),0.0)</f>
        <v>0</v>
      </c>
      <c r="I58" s="422" t="str">
        <f>IFERROR(__xludf.DUMMYFUNCTION("""COMPUTED_VALUE"""),"NLIP")</f>
        <v>NLIP</v>
      </c>
      <c r="J58" s="445">
        <f>IFERROR(__xludf.DUMMYFUNCTION("""COMPUTED_VALUE"""),0.0)</f>
        <v>0</v>
      </c>
      <c r="K58" s="422" t="str">
        <f>IFERROR(__xludf.DUMMYFUNCTION("""COMPUTED_VALUE"""),"SOVEST")</f>
        <v>SOVEST</v>
      </c>
      <c r="L58" s="445">
        <f>IFERROR(__xludf.DUMMYFUNCTION("""COMPUTED_VALUE"""),0.0)</f>
        <v>0</v>
      </c>
      <c r="M58" s="422" t="str">
        <f>IFERROR(__xludf.DUMMYFUNCTION("""COMPUTED_VALUE"""),"Morti")</f>
        <v>Morti</v>
      </c>
      <c r="N58" s="445">
        <f>IFERROR(__xludf.DUMMYFUNCTION("""COMPUTED_VALUE"""),0.0)</f>
        <v>0</v>
      </c>
    </row>
    <row r="59">
      <c r="A59" s="422" t="str">
        <f>IFERROR(__xludf.DUMMYFUNCTION("""COMPUTED_VALUE"""),"Light")</f>
        <v>Light</v>
      </c>
      <c r="B59" s="445">
        <f>IFERROR(__xludf.DUMMYFUNCTION("""COMPUTED_VALUE"""),0.0)</f>
        <v>0</v>
      </c>
      <c r="C59" s="422" t="str">
        <f>IFERROR(__xludf.DUMMYFUNCTION("""COMPUTED_VALUE"""),"Light")</f>
        <v>Light</v>
      </c>
      <c r="D59" s="445">
        <f>IFERROR(__xludf.DUMMYFUNCTION("""COMPUTED_VALUE"""),0.0)</f>
        <v>0</v>
      </c>
      <c r="E59" s="422" t="str">
        <f>IFERROR(__xludf.DUMMYFUNCTION("""COMPUTED_VALUE"""),"Morti")</f>
        <v>Morti</v>
      </c>
      <c r="F59" s="445">
        <f>IFERROR(__xludf.DUMMYFUNCTION("""COMPUTED_VALUE"""),0.0)</f>
        <v>0</v>
      </c>
      <c r="G59" s="422" t="str">
        <f>IFERROR(__xludf.DUMMYFUNCTION("""COMPUTED_VALUE"""),"Morti")</f>
        <v>Morti</v>
      </c>
      <c r="H59" s="445">
        <f>IFERROR(__xludf.DUMMYFUNCTION("""COMPUTED_VALUE"""),0.0)</f>
        <v>0</v>
      </c>
      <c r="I59" s="422" t="str">
        <f>IFERROR(__xludf.DUMMYFUNCTION("""COMPUTED_VALUE"""),"SCHOKK ")</f>
        <v>SCHOKK </v>
      </c>
      <c r="J59" s="445">
        <f>IFERROR(__xludf.DUMMYFUNCTION("""COMPUTED_VALUE"""),0.0)</f>
        <v>0</v>
      </c>
      <c r="K59" s="422" t="str">
        <f>IFERROR(__xludf.DUMMYFUNCTION("""COMPUTED_VALUE"""),"Stacy")</f>
        <v>Stacy</v>
      </c>
      <c r="L59" s="445">
        <f>IFERROR(__xludf.DUMMYFUNCTION("""COMPUTED_VALUE"""),0.0)</f>
        <v>0</v>
      </c>
      <c r="M59" s="422" t="str">
        <f>IFERROR(__xludf.DUMMYFUNCTION("""COMPUTED_VALUE"""),"Rocket woman ")</f>
        <v>Rocket woman </v>
      </c>
      <c r="N59" s="445">
        <f>IFERROR(__xludf.DUMMYFUNCTION("""COMPUTED_VALUE"""),0.0)</f>
        <v>0</v>
      </c>
    </row>
    <row r="60">
      <c r="A60" s="422" t="str">
        <f>IFERROR(__xludf.DUMMYFUNCTION("""COMPUTED_VALUE"""),"Morti")</f>
        <v>Morti</v>
      </c>
      <c r="B60" s="445">
        <f>IFERROR(__xludf.DUMMYFUNCTION("""COMPUTED_VALUE"""),0.0)</f>
        <v>0</v>
      </c>
      <c r="C60" s="422" t="str">
        <f>IFERROR(__xludf.DUMMYFUNCTION("""COMPUTED_VALUE"""),"Morti")</f>
        <v>Morti</v>
      </c>
      <c r="D60" s="445">
        <f>IFERROR(__xludf.DUMMYFUNCTION("""COMPUTED_VALUE"""),0.0)</f>
        <v>0</v>
      </c>
      <c r="E60" s="422" t="str">
        <f>IFERROR(__xludf.DUMMYFUNCTION("""COMPUTED_VALUE"""),"SCHOKK ")</f>
        <v>SCHOKK </v>
      </c>
      <c r="F60" s="445">
        <f>IFERROR(__xludf.DUMMYFUNCTION("""COMPUTED_VALUE"""),0.0)</f>
        <v>0</v>
      </c>
      <c r="G60" s="422" t="str">
        <f>IFERROR(__xludf.DUMMYFUNCTION("""COMPUTED_VALUE"""),"SCHOKK ")</f>
        <v>SCHOKK </v>
      </c>
      <c r="H60" s="445">
        <f>IFERROR(__xludf.DUMMYFUNCTION("""COMPUTED_VALUE"""),0.0)</f>
        <v>0</v>
      </c>
      <c r="I60" s="422" t="str">
        <f>IFERROR(__xludf.DUMMYFUNCTION("""COMPUTED_VALUE"""),"SOVEST")</f>
        <v>SOVEST</v>
      </c>
      <c r="J60" s="445">
        <f>IFERROR(__xludf.DUMMYFUNCTION("""COMPUTED_VALUE"""),0.0)</f>
        <v>0</v>
      </c>
      <c r="K60" s="422" t="str">
        <f>IFERROR(__xludf.DUMMYFUNCTION("""COMPUTED_VALUE"""),"WhoIsWho")</f>
        <v>WhoIsWho</v>
      </c>
      <c r="L60" s="445">
        <f>IFERROR(__xludf.DUMMYFUNCTION("""COMPUTED_VALUE"""),0.0)</f>
        <v>0</v>
      </c>
      <c r="M60" s="422" t="str">
        <f>IFERROR(__xludf.DUMMYFUNCTION("""COMPUTED_VALUE"""),"SCHOKK ")</f>
        <v>SCHOKK </v>
      </c>
      <c r="N60" s="445">
        <f>IFERROR(__xludf.DUMMYFUNCTION("""COMPUTED_VALUE"""),0.0)</f>
        <v>0</v>
      </c>
    </row>
    <row r="61">
      <c r="A61" s="422" t="str">
        <f>IFERROR(__xludf.DUMMYFUNCTION("""COMPUTED_VALUE"""),"SCHOKK ")</f>
        <v>SCHOKK </v>
      </c>
      <c r="B61" s="445">
        <f>IFERROR(__xludf.DUMMYFUNCTION("""COMPUTED_VALUE"""),0.0)</f>
        <v>0</v>
      </c>
      <c r="C61" s="422" t="str">
        <f>IFERROR(__xludf.DUMMYFUNCTION("""COMPUTED_VALUE"""),"SCHOKK ")</f>
        <v>SCHOKK </v>
      </c>
      <c r="D61" s="445">
        <f>IFERROR(__xludf.DUMMYFUNCTION("""COMPUTED_VALUE"""),0.0)</f>
        <v>0</v>
      </c>
      <c r="E61" s="422" t="str">
        <f>IFERROR(__xludf.DUMMYFUNCTION("""COMPUTED_VALUE"""),"Stacy")</f>
        <v>Stacy</v>
      </c>
      <c r="F61" s="445">
        <f>IFERROR(__xludf.DUMMYFUNCTION("""COMPUTED_VALUE"""),0.0)</f>
        <v>0</v>
      </c>
      <c r="G61" s="422" t="str">
        <f>IFERROR(__xludf.DUMMYFUNCTION("""COMPUTED_VALUE"""),"Stacy")</f>
        <v>Stacy</v>
      </c>
      <c r="H61" s="445">
        <f>IFERROR(__xludf.DUMMYFUNCTION("""COMPUTED_VALUE"""),0.0)</f>
        <v>0</v>
      </c>
      <c r="I61" s="422" t="str">
        <f>IFERROR(__xludf.DUMMYFUNCTION("""COMPUTED_VALUE"""),"Young")</f>
        <v>Young</v>
      </c>
      <c r="J61" s="445">
        <f>IFERROR(__xludf.DUMMYFUNCTION("""COMPUTED_VALUE"""),0.0)</f>
        <v>0</v>
      </c>
      <c r="K61" s="422" t="str">
        <f>IFERROR(__xludf.DUMMYFUNCTION("""COMPUTED_VALUE"""),"Young")</f>
        <v>Young</v>
      </c>
      <c r="L61" s="445">
        <f>IFERROR(__xludf.DUMMYFUNCTION("""COMPUTED_VALUE"""),0.0)</f>
        <v>0</v>
      </c>
      <c r="M61" s="422" t="str">
        <f>IFERROR(__xludf.DUMMYFUNCTION("""COMPUTED_VALUE"""),"Stacy")</f>
        <v>Stacy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284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285</v>
      </c>
      <c r="B4" s="459" t="s">
        <v>286</v>
      </c>
      <c r="C4" s="460" t="s">
        <v>287</v>
      </c>
      <c r="D4" s="461" t="s">
        <v>15</v>
      </c>
      <c r="E4" s="462" t="s">
        <v>288</v>
      </c>
      <c r="F4" s="463" t="s">
        <v>16</v>
      </c>
      <c r="G4" s="464" t="s">
        <v>289</v>
      </c>
      <c r="H4" s="465" t="s">
        <v>290</v>
      </c>
      <c r="I4" s="466" t="s">
        <v>291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292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287</v>
      </c>
      <c r="C4" s="510" t="s">
        <v>294</v>
      </c>
      <c r="D4" s="511" t="s">
        <v>12</v>
      </c>
      <c r="E4" s="512" t="s">
        <v>7</v>
      </c>
      <c r="F4" s="513" t="s">
        <v>295</v>
      </c>
      <c r="G4" s="514" t="s">
        <v>249</v>
      </c>
      <c r="H4" s="185"/>
      <c r="I4" s="185"/>
      <c r="J4" s="185"/>
      <c r="K4" s="185"/>
      <c r="L4" s="515"/>
      <c r="M4" s="514" t="s">
        <v>296</v>
      </c>
      <c r="N4" s="185"/>
      <c r="O4" s="185"/>
      <c r="P4" s="185"/>
      <c r="Q4" s="185"/>
      <c r="R4" s="515"/>
      <c r="S4" s="514" t="s">
        <v>297</v>
      </c>
      <c r="T4" s="185"/>
      <c r="U4" s="185"/>
      <c r="V4" s="185"/>
      <c r="W4" s="185"/>
      <c r="X4" s="515"/>
      <c r="Y4" s="514" t="s">
        <v>298</v>
      </c>
      <c r="Z4" s="185"/>
      <c r="AA4" s="185"/>
      <c r="AB4" s="185"/>
      <c r="AC4" s="185"/>
      <c r="AD4" s="515"/>
      <c r="AE4" s="514" t="s">
        <v>299</v>
      </c>
      <c r="AF4" s="185"/>
      <c r="AG4" s="185"/>
      <c r="AH4" s="185"/>
      <c r="AI4" s="185"/>
      <c r="AJ4" s="515"/>
      <c r="AK4" s="418" t="s">
        <v>300</v>
      </c>
      <c r="AL4" s="183"/>
      <c r="AM4" s="183"/>
      <c r="AN4" s="183"/>
      <c r="AO4" s="183"/>
      <c r="AP4" s="184"/>
      <c r="AQ4" s="418" t="s">
        <v>301</v>
      </c>
      <c r="AR4" s="183"/>
      <c r="AS4" s="183"/>
      <c r="AT4" s="183"/>
      <c r="AU4" s="183"/>
      <c r="AV4" s="184"/>
      <c r="AW4" s="418" t="s">
        <v>302</v>
      </c>
      <c r="AX4" s="183"/>
      <c r="AY4" s="183"/>
      <c r="AZ4" s="183"/>
      <c r="BA4" s="183"/>
      <c r="BB4" s="184"/>
      <c r="BC4" s="418" t="s">
        <v>303</v>
      </c>
      <c r="BD4" s="183"/>
      <c r="BE4" s="183"/>
      <c r="BF4" s="183"/>
      <c r="BG4" s="183"/>
      <c r="BH4" s="184"/>
      <c r="BI4" s="418" t="s">
        <v>304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254</v>
      </c>
      <c r="H5" s="420" t="s">
        <v>7</v>
      </c>
      <c r="I5" s="420" t="s">
        <v>8</v>
      </c>
      <c r="J5" s="420" t="s">
        <v>255</v>
      </c>
      <c r="K5" s="420" t="s">
        <v>9</v>
      </c>
      <c r="L5" s="518" t="s">
        <v>10</v>
      </c>
      <c r="M5" s="420" t="s">
        <v>254</v>
      </c>
      <c r="N5" s="420" t="s">
        <v>7</v>
      </c>
      <c r="O5" s="420" t="s">
        <v>8</v>
      </c>
      <c r="P5" s="420" t="s">
        <v>255</v>
      </c>
      <c r="Q5" s="420" t="s">
        <v>9</v>
      </c>
      <c r="R5" s="518" t="s">
        <v>10</v>
      </c>
      <c r="S5" s="420" t="s">
        <v>254</v>
      </c>
      <c r="T5" s="420" t="s">
        <v>7</v>
      </c>
      <c r="U5" s="420" t="s">
        <v>8</v>
      </c>
      <c r="V5" s="420" t="s">
        <v>255</v>
      </c>
      <c r="W5" s="420" t="s">
        <v>9</v>
      </c>
      <c r="X5" s="518" t="s">
        <v>10</v>
      </c>
      <c r="Y5" s="420" t="s">
        <v>254</v>
      </c>
      <c r="Z5" s="420" t="s">
        <v>7</v>
      </c>
      <c r="AA5" s="420" t="s">
        <v>8</v>
      </c>
      <c r="AB5" s="420" t="s">
        <v>305</v>
      </c>
      <c r="AC5" s="420" t="s">
        <v>9</v>
      </c>
      <c r="AD5" s="518" t="s">
        <v>10</v>
      </c>
      <c r="AE5" s="420" t="s">
        <v>254</v>
      </c>
      <c r="AF5" s="420" t="s">
        <v>7</v>
      </c>
      <c r="AG5" s="420" t="s">
        <v>8</v>
      </c>
      <c r="AH5" s="420" t="s">
        <v>255</v>
      </c>
      <c r="AI5" s="420" t="s">
        <v>9</v>
      </c>
      <c r="AJ5" s="518" t="s">
        <v>10</v>
      </c>
      <c r="AK5" s="420" t="s">
        <v>254</v>
      </c>
      <c r="AL5" s="420" t="s">
        <v>7</v>
      </c>
      <c r="AM5" s="420" t="s">
        <v>8</v>
      </c>
      <c r="AN5" s="420" t="s">
        <v>255</v>
      </c>
      <c r="AO5" s="420" t="s">
        <v>9</v>
      </c>
      <c r="AP5" s="518" t="s">
        <v>10</v>
      </c>
      <c r="AQ5" s="420" t="s">
        <v>254</v>
      </c>
      <c r="AR5" s="420" t="s">
        <v>7</v>
      </c>
      <c r="AS5" s="420" t="s">
        <v>8</v>
      </c>
      <c r="AT5" s="420" t="s">
        <v>255</v>
      </c>
      <c r="AU5" s="420" t="s">
        <v>9</v>
      </c>
      <c r="AV5" s="518" t="s">
        <v>10</v>
      </c>
      <c r="AW5" s="420" t="s">
        <v>254</v>
      </c>
      <c r="AX5" s="420" t="s">
        <v>7</v>
      </c>
      <c r="AY5" s="420" t="s">
        <v>8</v>
      </c>
      <c r="AZ5" s="420" t="s">
        <v>255</v>
      </c>
      <c r="BA5" s="420" t="s">
        <v>9</v>
      </c>
      <c r="BB5" s="518" t="s">
        <v>10</v>
      </c>
      <c r="BC5" s="420" t="s">
        <v>254</v>
      </c>
      <c r="BD5" s="420" t="s">
        <v>7</v>
      </c>
      <c r="BE5" s="420" t="s">
        <v>8</v>
      </c>
      <c r="BF5" s="420" t="s">
        <v>255</v>
      </c>
      <c r="BG5" s="420" t="s">
        <v>9</v>
      </c>
      <c r="BH5" s="518" t="s">
        <v>10</v>
      </c>
      <c r="BI5" s="420" t="s">
        <v>254</v>
      </c>
      <c r="BJ5" s="420" t="s">
        <v>7</v>
      </c>
      <c r="BK5" s="420" t="s">
        <v>8</v>
      </c>
      <c r="BL5" s="420" t="s">
        <v>255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268</v>
      </c>
      <c r="H6" s="526">
        <v>2.5</v>
      </c>
      <c r="I6" s="527">
        <v>4.25</v>
      </c>
      <c r="J6" s="528" t="s">
        <v>259</v>
      </c>
      <c r="K6" s="527"/>
      <c r="L6" s="529"/>
      <c r="M6" s="525" t="s">
        <v>264</v>
      </c>
      <c r="N6" s="526">
        <v>2.5</v>
      </c>
      <c r="O6" s="527">
        <v>2.75</v>
      </c>
      <c r="P6" s="58"/>
      <c r="Q6" s="530"/>
      <c r="R6" s="529"/>
      <c r="S6" s="528" t="s">
        <v>270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260</v>
      </c>
      <c r="Z6" s="526"/>
      <c r="AA6" s="527">
        <v>2.0</v>
      </c>
      <c r="AB6" s="58"/>
      <c r="AC6" s="530"/>
      <c r="AD6" s="529"/>
      <c r="AE6" s="528" t="s">
        <v>270</v>
      </c>
      <c r="AF6" s="526">
        <v>2.5</v>
      </c>
      <c r="AG6" s="527">
        <v>3.75</v>
      </c>
      <c r="AH6" s="58"/>
      <c r="AI6" s="530"/>
      <c r="AJ6" s="529"/>
      <c r="AK6" s="528" t="s">
        <v>268</v>
      </c>
      <c r="AL6" s="526">
        <v>2.5</v>
      </c>
      <c r="AM6" s="527">
        <v>3.25</v>
      </c>
      <c r="AN6" s="58"/>
      <c r="AO6" s="530"/>
      <c r="AP6" s="529"/>
      <c r="AQ6" s="528" t="s">
        <v>260</v>
      </c>
      <c r="AR6" s="526"/>
      <c r="AS6" s="527">
        <v>2.5</v>
      </c>
      <c r="AT6" s="528" t="s">
        <v>262</v>
      </c>
      <c r="AU6" s="530"/>
      <c r="AV6" s="529"/>
      <c r="AW6" s="528" t="s">
        <v>270</v>
      </c>
      <c r="AX6" s="526">
        <v>2.5</v>
      </c>
      <c r="AY6" s="527">
        <v>3.5</v>
      </c>
      <c r="AZ6" s="58"/>
      <c r="BA6" s="530"/>
      <c r="BB6" s="529"/>
      <c r="BC6" s="528" t="s">
        <v>260</v>
      </c>
      <c r="BD6" s="526"/>
      <c r="BE6" s="527">
        <v>3.25</v>
      </c>
      <c r="BF6" s="58"/>
      <c r="BG6" s="530"/>
      <c r="BH6" s="529"/>
      <c r="BI6" s="528" t="s">
        <v>260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260</v>
      </c>
      <c r="H7" s="532"/>
      <c r="I7" s="527">
        <v>1.75</v>
      </c>
      <c r="J7" s="528" t="s">
        <v>262</v>
      </c>
      <c r="K7" s="530"/>
      <c r="L7" s="529"/>
      <c r="M7" s="525" t="s">
        <v>268</v>
      </c>
      <c r="N7" s="533">
        <v>2.5</v>
      </c>
      <c r="O7" s="527">
        <v>4.0</v>
      </c>
      <c r="P7" s="528" t="s">
        <v>259</v>
      </c>
      <c r="Q7" s="530"/>
      <c r="R7" s="529"/>
      <c r="S7" s="528" t="s">
        <v>260</v>
      </c>
      <c r="T7" s="526">
        <v>2.5</v>
      </c>
      <c r="U7" s="527">
        <v>3.75</v>
      </c>
      <c r="V7" s="58"/>
      <c r="W7" s="530"/>
      <c r="X7" s="529"/>
      <c r="Y7" s="528" t="s">
        <v>268</v>
      </c>
      <c r="Z7" s="526">
        <v>2.5</v>
      </c>
      <c r="AA7" s="527">
        <v>3.75</v>
      </c>
      <c r="AB7" s="528"/>
      <c r="AC7" s="530"/>
      <c r="AD7" s="529"/>
      <c r="AE7" s="528" t="s">
        <v>260</v>
      </c>
      <c r="AF7" s="526">
        <v>2.5</v>
      </c>
      <c r="AG7" s="527">
        <v>4.0</v>
      </c>
      <c r="AH7" s="58"/>
      <c r="AI7" s="530"/>
      <c r="AJ7" s="529"/>
      <c r="AK7" s="528" t="s">
        <v>260</v>
      </c>
      <c r="AL7" s="526"/>
      <c r="AM7" s="527">
        <v>2.0</v>
      </c>
      <c r="AN7" s="58"/>
      <c r="AO7" s="530"/>
      <c r="AP7" s="529"/>
      <c r="AQ7" s="528" t="s">
        <v>260</v>
      </c>
      <c r="AR7" s="526"/>
      <c r="AS7" s="527">
        <v>3.5</v>
      </c>
      <c r="AT7" s="58"/>
      <c r="AU7" s="530"/>
      <c r="AV7" s="529"/>
      <c r="AW7" s="528" t="s">
        <v>260</v>
      </c>
      <c r="AX7" s="526">
        <v>2.5</v>
      </c>
      <c r="AY7" s="527">
        <v>3.0</v>
      </c>
      <c r="AZ7" s="58"/>
      <c r="BA7" s="530"/>
      <c r="BB7" s="529"/>
      <c r="BC7" s="528" t="s">
        <v>260</v>
      </c>
      <c r="BD7" s="526"/>
      <c r="BE7" s="527">
        <v>2.75</v>
      </c>
      <c r="BF7" s="58"/>
      <c r="BG7" s="530"/>
      <c r="BH7" s="529"/>
      <c r="BI7" s="528" t="s">
        <v>270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260</v>
      </c>
      <c r="H8" s="526"/>
      <c r="I8" s="534">
        <v>2.75</v>
      </c>
      <c r="J8" s="528"/>
      <c r="K8" s="530"/>
      <c r="L8" s="531"/>
      <c r="M8" s="525" t="s">
        <v>268</v>
      </c>
      <c r="N8" s="526">
        <v>2.5</v>
      </c>
      <c r="O8" s="534">
        <v>2.75</v>
      </c>
      <c r="P8" s="528"/>
      <c r="Q8" s="527"/>
      <c r="R8" s="531"/>
      <c r="S8" s="528" t="s">
        <v>260</v>
      </c>
      <c r="T8" s="526">
        <v>2.5</v>
      </c>
      <c r="U8" s="527">
        <v>3.0</v>
      </c>
      <c r="V8" s="528"/>
      <c r="W8" s="527"/>
      <c r="X8" s="531"/>
      <c r="Y8" s="528" t="s">
        <v>260</v>
      </c>
      <c r="Z8" s="535"/>
      <c r="AA8" s="527">
        <v>1.5</v>
      </c>
      <c r="AB8" s="58"/>
      <c r="AC8" s="530"/>
      <c r="AD8" s="529"/>
      <c r="AE8" s="528" t="s">
        <v>260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264</v>
      </c>
      <c r="AL8" s="526">
        <v>2.5</v>
      </c>
      <c r="AM8" s="527">
        <v>3.25</v>
      </c>
      <c r="AN8" s="58"/>
      <c r="AO8" s="530"/>
      <c r="AP8" s="529"/>
      <c r="AQ8" s="528" t="s">
        <v>270</v>
      </c>
      <c r="AR8" s="526"/>
      <c r="AS8" s="527">
        <v>3.25</v>
      </c>
      <c r="AT8" s="58"/>
      <c r="AU8" s="530"/>
      <c r="AV8" s="529"/>
      <c r="AW8" s="528" t="s">
        <v>260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270</v>
      </c>
      <c r="BD8" s="526"/>
      <c r="BE8" s="527">
        <v>2.0</v>
      </c>
      <c r="BF8" s="58"/>
      <c r="BG8" s="530"/>
      <c r="BH8" s="529"/>
      <c r="BI8" s="528" t="s">
        <v>268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268</v>
      </c>
      <c r="H9" s="526">
        <v>2.5</v>
      </c>
      <c r="I9" s="527">
        <v>2.25</v>
      </c>
      <c r="J9" s="58"/>
      <c r="K9" s="530"/>
      <c r="L9" s="529"/>
      <c r="M9" s="525" t="s">
        <v>260</v>
      </c>
      <c r="N9" s="526"/>
      <c r="O9" s="527">
        <v>1.75</v>
      </c>
      <c r="P9" s="58"/>
      <c r="Q9" s="530"/>
      <c r="R9" s="529"/>
      <c r="S9" s="528" t="s">
        <v>260</v>
      </c>
      <c r="T9" s="526">
        <v>2.5</v>
      </c>
      <c r="U9" s="527">
        <v>2.5</v>
      </c>
      <c r="V9" s="528"/>
      <c r="W9" s="530"/>
      <c r="X9" s="529"/>
      <c r="Y9" s="528" t="s">
        <v>264</v>
      </c>
      <c r="Z9" s="526">
        <v>2.5</v>
      </c>
      <c r="AA9" s="527">
        <v>4.0</v>
      </c>
      <c r="AB9" s="528"/>
      <c r="AC9" s="530"/>
      <c r="AD9" s="529"/>
      <c r="AE9" s="528" t="s">
        <v>264</v>
      </c>
      <c r="AF9" s="526"/>
      <c r="AG9" s="527">
        <v>2.25</v>
      </c>
      <c r="AH9" s="58"/>
      <c r="AI9" s="530"/>
      <c r="AJ9" s="529"/>
      <c r="AK9" s="528" t="s">
        <v>268</v>
      </c>
      <c r="AL9" s="526">
        <v>2.5</v>
      </c>
      <c r="AM9" s="527">
        <v>3.25</v>
      </c>
      <c r="AN9" s="58"/>
      <c r="AO9" s="530"/>
      <c r="AP9" s="529"/>
      <c r="AQ9" s="528" t="s">
        <v>260</v>
      </c>
      <c r="AR9" s="526"/>
      <c r="AS9" s="527">
        <v>3.25</v>
      </c>
      <c r="AT9" s="58"/>
      <c r="AU9" s="530"/>
      <c r="AV9" s="529"/>
      <c r="AW9" s="528" t="s">
        <v>260</v>
      </c>
      <c r="AX9" s="526">
        <v>2.5</v>
      </c>
      <c r="AY9" s="527">
        <v>4.0</v>
      </c>
      <c r="AZ9" s="58"/>
      <c r="BA9" s="530"/>
      <c r="BB9" s="529"/>
      <c r="BC9" s="528" t="s">
        <v>260</v>
      </c>
      <c r="BD9" s="526"/>
      <c r="BE9" s="527">
        <v>1.25</v>
      </c>
      <c r="BF9" s="58"/>
      <c r="BG9" s="530"/>
      <c r="BH9" s="529"/>
      <c r="BI9" s="528" t="s">
        <v>260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260</v>
      </c>
      <c r="H10" s="532"/>
      <c r="I10" s="527">
        <v>2.0</v>
      </c>
      <c r="J10" s="528" t="s">
        <v>262</v>
      </c>
      <c r="K10" s="527"/>
      <c r="L10" s="531"/>
      <c r="M10" s="525" t="s">
        <v>260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260</v>
      </c>
      <c r="T10" s="526">
        <v>2.5</v>
      </c>
      <c r="U10" s="527">
        <v>4.0</v>
      </c>
      <c r="V10" s="528" t="s">
        <v>259</v>
      </c>
      <c r="W10" s="530"/>
      <c r="X10" s="529"/>
      <c r="Y10" s="528" t="s">
        <v>260</v>
      </c>
      <c r="Z10" s="526"/>
      <c r="AA10" s="527">
        <v>2.75</v>
      </c>
      <c r="AB10" s="528"/>
      <c r="AC10" s="530"/>
      <c r="AD10" s="531"/>
      <c r="AE10" s="528" t="s">
        <v>260</v>
      </c>
      <c r="AF10" s="526">
        <v>2.5</v>
      </c>
      <c r="AG10" s="527">
        <v>3.25</v>
      </c>
      <c r="AH10" s="58"/>
      <c r="AI10" s="530"/>
      <c r="AJ10" s="529"/>
      <c r="AK10" s="528" t="s">
        <v>260</v>
      </c>
      <c r="AL10" s="526"/>
      <c r="AM10" s="527">
        <v>2.0</v>
      </c>
      <c r="AN10" s="58"/>
      <c r="AO10" s="530"/>
      <c r="AP10" s="529"/>
      <c r="AQ10" s="528" t="s">
        <v>260</v>
      </c>
      <c r="AR10" s="526"/>
      <c r="AS10" s="527">
        <v>1.5</v>
      </c>
      <c r="AT10" s="528" t="s">
        <v>262</v>
      </c>
      <c r="AU10" s="530"/>
      <c r="AV10" s="529"/>
      <c r="AW10" s="528" t="s">
        <v>264</v>
      </c>
      <c r="AX10" s="526"/>
      <c r="AY10" s="527">
        <v>1.75</v>
      </c>
      <c r="AZ10" s="58"/>
      <c r="BA10" s="530"/>
      <c r="BB10" s="529"/>
      <c r="BC10" s="528" t="s">
        <v>268</v>
      </c>
      <c r="BD10" s="526">
        <v>2.5</v>
      </c>
      <c r="BE10" s="527">
        <v>4.0</v>
      </c>
      <c r="BF10" s="58"/>
      <c r="BG10" s="530"/>
      <c r="BH10" s="529"/>
      <c r="BI10" s="528" t="s">
        <v>264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270</v>
      </c>
      <c r="H11" s="526"/>
      <c r="I11" s="527">
        <v>2.75</v>
      </c>
      <c r="J11" s="58"/>
      <c r="K11" s="530"/>
      <c r="L11" s="529"/>
      <c r="M11" s="525" t="s">
        <v>260</v>
      </c>
      <c r="N11" s="533"/>
      <c r="O11" s="527">
        <v>3.75</v>
      </c>
      <c r="P11" s="528" t="s">
        <v>262</v>
      </c>
      <c r="Q11" s="530"/>
      <c r="R11" s="529"/>
      <c r="S11" s="528" t="s">
        <v>260</v>
      </c>
      <c r="T11" s="526">
        <v>2.5</v>
      </c>
      <c r="U11" s="527">
        <v>2.75</v>
      </c>
      <c r="V11" s="58"/>
      <c r="W11" s="530"/>
      <c r="X11" s="529"/>
      <c r="Y11" s="528" t="s">
        <v>260</v>
      </c>
      <c r="Z11" s="526"/>
      <c r="AA11" s="527">
        <v>3.0</v>
      </c>
      <c r="AB11" s="58"/>
      <c r="AC11" s="530"/>
      <c r="AD11" s="529"/>
      <c r="AE11" s="528" t="s">
        <v>260</v>
      </c>
      <c r="AF11" s="526">
        <v>2.5</v>
      </c>
      <c r="AG11" s="527">
        <v>2.0</v>
      </c>
      <c r="AH11" s="58"/>
      <c r="AI11" s="530"/>
      <c r="AJ11" s="529"/>
      <c r="AK11" s="528" t="s">
        <v>260</v>
      </c>
      <c r="AL11" s="526"/>
      <c r="AM11" s="527">
        <v>2.5</v>
      </c>
      <c r="AN11" s="58"/>
      <c r="AO11" s="530"/>
      <c r="AP11" s="529"/>
      <c r="AQ11" s="528" t="s">
        <v>260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260</v>
      </c>
      <c r="AX11" s="526">
        <v>2.5</v>
      </c>
      <c r="AY11" s="527">
        <v>3.75</v>
      </c>
      <c r="AZ11" s="58"/>
      <c r="BA11" s="530"/>
      <c r="BB11" s="529"/>
      <c r="BC11" s="528" t="s">
        <v>260</v>
      </c>
      <c r="BD11" s="526"/>
      <c r="BE11" s="527">
        <v>3.0</v>
      </c>
      <c r="BF11" s="58"/>
      <c r="BG11" s="530"/>
      <c r="BH11" s="529"/>
      <c r="BI11" s="528" t="s">
        <v>260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264</v>
      </c>
      <c r="H12" s="526">
        <v>2.5</v>
      </c>
      <c r="I12" s="527">
        <v>1.5</v>
      </c>
      <c r="J12" s="528"/>
      <c r="K12" s="530"/>
      <c r="L12" s="529"/>
      <c r="M12" s="525" t="s">
        <v>260</v>
      </c>
      <c r="N12" s="526"/>
      <c r="O12" s="527">
        <v>1.75</v>
      </c>
      <c r="P12" s="528" t="s">
        <v>262</v>
      </c>
      <c r="Q12" s="530"/>
      <c r="R12" s="529"/>
      <c r="S12" s="528" t="s">
        <v>264</v>
      </c>
      <c r="T12" s="526"/>
      <c r="U12" s="527">
        <v>2.25</v>
      </c>
      <c r="V12" s="58"/>
      <c r="W12" s="530"/>
      <c r="X12" s="529"/>
      <c r="Y12" s="528" t="s">
        <v>260</v>
      </c>
      <c r="Z12" s="535"/>
      <c r="AA12" s="527">
        <v>3.5</v>
      </c>
      <c r="AB12" s="58"/>
      <c r="AC12" s="530"/>
      <c r="AD12" s="529"/>
      <c r="AE12" s="528" t="s">
        <v>260</v>
      </c>
      <c r="AF12" s="526">
        <v>2.5</v>
      </c>
      <c r="AG12" s="527">
        <v>2.75</v>
      </c>
      <c r="AH12" s="528"/>
      <c r="AI12" s="527"/>
      <c r="AJ12" s="531"/>
      <c r="AK12" s="528" t="s">
        <v>260</v>
      </c>
      <c r="AL12" s="526"/>
      <c r="AM12" s="527">
        <v>2.5</v>
      </c>
      <c r="AN12" s="528"/>
      <c r="AO12" s="527"/>
      <c r="AP12" s="531"/>
      <c r="AQ12" s="528" t="s">
        <v>268</v>
      </c>
      <c r="AR12" s="526">
        <v>2.5</v>
      </c>
      <c r="AS12" s="527">
        <v>3.75</v>
      </c>
      <c r="AT12" s="528" t="s">
        <v>259</v>
      </c>
      <c r="AU12" s="527"/>
      <c r="AV12" s="531"/>
      <c r="AW12" s="528" t="s">
        <v>268</v>
      </c>
      <c r="AX12" s="526"/>
      <c r="AY12" s="527">
        <v>2.5</v>
      </c>
      <c r="AZ12" s="528"/>
      <c r="BA12" s="527"/>
      <c r="BB12" s="531"/>
      <c r="BC12" s="528" t="s">
        <v>264</v>
      </c>
      <c r="BD12" s="526">
        <v>2.5</v>
      </c>
      <c r="BE12" s="527">
        <v>2.5</v>
      </c>
      <c r="BF12" s="528"/>
      <c r="BG12" s="527"/>
      <c r="BH12" s="531"/>
      <c r="BI12" s="528" t="s">
        <v>260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260</v>
      </c>
      <c r="H13" s="533"/>
      <c r="I13" s="527">
        <v>2.5</v>
      </c>
      <c r="J13" s="528" t="s">
        <v>262</v>
      </c>
      <c r="K13" s="530"/>
      <c r="L13" s="529"/>
      <c r="M13" s="525" t="s">
        <v>260</v>
      </c>
      <c r="N13" s="526"/>
      <c r="O13" s="527">
        <v>2.75</v>
      </c>
      <c r="P13" s="528"/>
      <c r="Q13" s="530"/>
      <c r="R13" s="529"/>
      <c r="S13" s="528" t="s">
        <v>260</v>
      </c>
      <c r="T13" s="526">
        <v>2.5</v>
      </c>
      <c r="U13" s="527">
        <v>2.75</v>
      </c>
      <c r="V13" s="528" t="s">
        <v>259</v>
      </c>
      <c r="W13" s="530"/>
      <c r="X13" s="529"/>
      <c r="Y13" s="528" t="s">
        <v>260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268</v>
      </c>
      <c r="AF13" s="535"/>
      <c r="AG13" s="527">
        <v>2.25</v>
      </c>
      <c r="AH13" s="58"/>
      <c r="AI13" s="530"/>
      <c r="AJ13" s="529"/>
      <c r="AK13" s="528" t="s">
        <v>260</v>
      </c>
      <c r="AL13" s="535"/>
      <c r="AM13" s="527">
        <v>2.5</v>
      </c>
      <c r="AN13" s="58"/>
      <c r="AO13" s="530"/>
      <c r="AP13" s="529"/>
      <c r="AQ13" s="528" t="s">
        <v>264</v>
      </c>
      <c r="AR13" s="526">
        <v>2.5</v>
      </c>
      <c r="AS13" s="527">
        <v>3.0</v>
      </c>
      <c r="AT13" s="58"/>
      <c r="AU13" s="530"/>
      <c r="AV13" s="529"/>
      <c r="AW13" s="528" t="s">
        <v>260</v>
      </c>
      <c r="AX13" s="526">
        <v>2.5</v>
      </c>
      <c r="AY13" s="527">
        <v>3.5</v>
      </c>
      <c r="AZ13" s="58"/>
      <c r="BA13" s="530"/>
      <c r="BB13" s="529"/>
      <c r="BC13" s="528" t="s">
        <v>260</v>
      </c>
      <c r="BD13" s="535"/>
      <c r="BE13" s="527">
        <v>2.75</v>
      </c>
      <c r="BF13" s="58"/>
      <c r="BG13" s="530"/>
      <c r="BH13" s="529"/>
      <c r="BI13" s="528" t="s">
        <v>260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260</v>
      </c>
      <c r="H14" s="532"/>
      <c r="I14" s="527">
        <v>2.5</v>
      </c>
      <c r="J14" s="58"/>
      <c r="K14" s="530"/>
      <c r="L14" s="529"/>
      <c r="M14" s="525" t="s">
        <v>260</v>
      </c>
      <c r="N14" s="533"/>
      <c r="O14" s="527">
        <v>3.0</v>
      </c>
      <c r="P14" s="58"/>
      <c r="Q14" s="530"/>
      <c r="R14" s="529"/>
      <c r="S14" s="528" t="s">
        <v>268</v>
      </c>
      <c r="T14" s="526"/>
      <c r="U14" s="527">
        <v>2.75</v>
      </c>
      <c r="V14" s="528" t="s">
        <v>262</v>
      </c>
      <c r="W14" s="530"/>
      <c r="X14" s="529"/>
      <c r="Y14" s="528" t="s">
        <v>268</v>
      </c>
      <c r="Z14" s="526">
        <v>2.5</v>
      </c>
      <c r="AA14" s="527">
        <v>2.5</v>
      </c>
      <c r="AB14" s="58"/>
      <c r="AC14" s="530"/>
      <c r="AD14" s="529"/>
      <c r="AE14" s="528" t="s">
        <v>268</v>
      </c>
      <c r="AF14" s="526"/>
      <c r="AG14" s="527">
        <v>2.25</v>
      </c>
      <c r="AH14" s="58"/>
      <c r="AI14" s="530"/>
      <c r="AJ14" s="529"/>
      <c r="AK14" s="528" t="s">
        <v>270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268</v>
      </c>
      <c r="AR14" s="526">
        <v>2.5</v>
      </c>
      <c r="AS14" s="527">
        <v>2.0</v>
      </c>
      <c r="AT14" s="58"/>
      <c r="AU14" s="530"/>
      <c r="AV14" s="529"/>
      <c r="AW14" s="528" t="s">
        <v>268</v>
      </c>
      <c r="AX14" s="526"/>
      <c r="AY14" s="527">
        <v>2.0</v>
      </c>
      <c r="AZ14" s="58"/>
      <c r="BA14" s="530"/>
      <c r="BB14" s="529"/>
      <c r="BC14" s="528" t="s">
        <v>260</v>
      </c>
      <c r="BD14" s="526"/>
      <c r="BE14" s="527">
        <v>2.25</v>
      </c>
      <c r="BF14" s="58"/>
      <c r="BG14" s="530"/>
      <c r="BH14" s="529"/>
      <c r="BI14" s="528" t="s">
        <v>268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260</v>
      </c>
      <c r="H15" s="542"/>
      <c r="I15" s="543">
        <v>2.75</v>
      </c>
      <c r="J15" s="544"/>
      <c r="K15" s="545"/>
      <c r="L15" s="546"/>
      <c r="M15" s="541" t="s">
        <v>270</v>
      </c>
      <c r="N15" s="542"/>
      <c r="O15" s="543">
        <v>3.25</v>
      </c>
      <c r="P15" s="547"/>
      <c r="Q15" s="545"/>
      <c r="R15" s="546"/>
      <c r="S15" s="547" t="s">
        <v>268</v>
      </c>
      <c r="T15" s="542"/>
      <c r="U15" s="543">
        <v>2.0</v>
      </c>
      <c r="V15" s="547"/>
      <c r="W15" s="545"/>
      <c r="X15" s="546"/>
      <c r="Y15" s="547" t="s">
        <v>270</v>
      </c>
      <c r="Z15" s="542"/>
      <c r="AA15" s="543">
        <v>2.5</v>
      </c>
      <c r="AB15" s="547"/>
      <c r="AC15" s="545"/>
      <c r="AD15" s="546"/>
      <c r="AE15" s="547" t="s">
        <v>260</v>
      </c>
      <c r="AF15" s="542">
        <v>2.5</v>
      </c>
      <c r="AG15" s="543">
        <v>3.5</v>
      </c>
      <c r="AH15" s="544"/>
      <c r="AI15" s="545"/>
      <c r="AJ15" s="546"/>
      <c r="AK15" s="547" t="s">
        <v>260</v>
      </c>
      <c r="AL15" s="542"/>
      <c r="AM15" s="548">
        <v>-2.5</v>
      </c>
      <c r="AN15" s="544"/>
      <c r="AO15" s="545"/>
      <c r="AP15" s="546"/>
      <c r="AQ15" s="547" t="s">
        <v>260</v>
      </c>
      <c r="AR15" s="542"/>
      <c r="AS15" s="543">
        <v>2.0</v>
      </c>
      <c r="AT15" s="544"/>
      <c r="AU15" s="545"/>
      <c r="AV15" s="546"/>
      <c r="AW15" s="547" t="s">
        <v>260</v>
      </c>
      <c r="AX15" s="542">
        <v>2.5</v>
      </c>
      <c r="AY15" s="543">
        <v>3.5</v>
      </c>
      <c r="AZ15" s="544"/>
      <c r="BA15" s="545"/>
      <c r="BB15" s="546"/>
      <c r="BC15" s="547" t="s">
        <v>268</v>
      </c>
      <c r="BD15" s="542">
        <v>2.5</v>
      </c>
      <c r="BE15" s="543">
        <v>3.5</v>
      </c>
      <c r="BF15" s="544"/>
      <c r="BG15" s="545"/>
      <c r="BH15" s="546"/>
      <c r="BI15" s="547" t="s">
        <v>260</v>
      </c>
      <c r="BJ15" s="542"/>
      <c r="BK15" s="543">
        <v>2.75</v>
      </c>
      <c r="BL15" s="544"/>
      <c r="BM15" s="545"/>
      <c r="BN15" s="546"/>
    </row>
    <row r="16">
      <c r="A16" s="549" t="s">
        <v>306</v>
      </c>
      <c r="B16" s="1"/>
      <c r="C16" s="1"/>
      <c r="D16" s="1"/>
      <c r="E16" s="1"/>
      <c r="F16" s="1"/>
      <c r="G16" s="550" t="s">
        <v>307</v>
      </c>
      <c r="L16" s="551"/>
      <c r="M16" s="552" t="s">
        <v>308</v>
      </c>
      <c r="R16" s="551"/>
      <c r="S16" s="552" t="s">
        <v>309</v>
      </c>
      <c r="X16" s="551"/>
      <c r="Y16" s="552" t="s">
        <v>310</v>
      </c>
      <c r="AD16" s="551"/>
      <c r="AE16" s="552" t="s">
        <v>311</v>
      </c>
      <c r="AJ16" s="551"/>
      <c r="AK16" s="552" t="s">
        <v>312</v>
      </c>
      <c r="AP16" s="551"/>
      <c r="AQ16" s="552" t="s">
        <v>313</v>
      </c>
      <c r="AV16" s="551"/>
      <c r="AW16" s="552" t="s">
        <v>314</v>
      </c>
      <c r="BB16" s="551"/>
      <c r="BC16" s="552" t="s">
        <v>315</v>
      </c>
      <c r="BH16" s="551"/>
      <c r="BI16" s="552" t="s">
        <v>316</v>
      </c>
      <c r="BN16" s="551"/>
    </row>
    <row r="17">
      <c r="A17" s="553" t="s">
        <v>268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270</v>
      </c>
      <c r="B18" s="1"/>
      <c r="C18" s="1"/>
      <c r="D18" s="1"/>
      <c r="E18" s="1"/>
      <c r="F18" s="1"/>
      <c r="G18" s="555" t="s">
        <v>271</v>
      </c>
      <c r="H18" s="556"/>
      <c r="I18" s="556"/>
      <c r="J18" s="556"/>
      <c r="K18" s="556"/>
      <c r="L18" s="557"/>
      <c r="M18" s="558" t="s">
        <v>271</v>
      </c>
      <c r="N18" s="556"/>
      <c r="O18" s="556"/>
      <c r="P18" s="556"/>
      <c r="Q18" s="556"/>
      <c r="R18" s="557"/>
      <c r="S18" s="558" t="s">
        <v>266</v>
      </c>
      <c r="T18" s="556"/>
      <c r="U18" s="556"/>
      <c r="V18" s="556"/>
      <c r="W18" s="556"/>
      <c r="X18" s="557"/>
      <c r="Y18" s="558" t="s">
        <v>258</v>
      </c>
      <c r="Z18" s="556"/>
      <c r="AA18" s="556"/>
      <c r="AB18" s="556"/>
      <c r="AC18" s="556"/>
      <c r="AD18" s="557"/>
      <c r="AE18" s="558" t="s">
        <v>256</v>
      </c>
      <c r="AF18" s="556"/>
      <c r="AG18" s="556"/>
      <c r="AH18" s="556"/>
      <c r="AI18" s="556"/>
      <c r="AJ18" s="557"/>
      <c r="AK18" s="558" t="s">
        <v>275</v>
      </c>
      <c r="AL18" s="556"/>
      <c r="AM18" s="556"/>
      <c r="AN18" s="556"/>
      <c r="AO18" s="556"/>
      <c r="AP18" s="557"/>
      <c r="AQ18" s="558" t="s">
        <v>271</v>
      </c>
      <c r="AR18" s="556"/>
      <c r="AS18" s="556"/>
      <c r="AT18" s="556"/>
      <c r="AU18" s="556"/>
      <c r="AV18" s="557"/>
      <c r="AW18" s="558" t="s">
        <v>256</v>
      </c>
      <c r="AX18" s="556"/>
      <c r="AY18" s="556"/>
      <c r="AZ18" s="556"/>
      <c r="BA18" s="556"/>
      <c r="BB18" s="557"/>
      <c r="BC18" s="558" t="s">
        <v>258</v>
      </c>
      <c r="BD18" s="556"/>
      <c r="BE18" s="556"/>
      <c r="BF18" s="556"/>
      <c r="BG18" s="556"/>
      <c r="BH18" s="557"/>
      <c r="BI18" s="558" t="s">
        <v>258</v>
      </c>
      <c r="BJ18" s="556"/>
      <c r="BK18" s="556"/>
      <c r="BL18" s="556"/>
      <c r="BM18" s="556"/>
      <c r="BN18" s="557"/>
    </row>
    <row r="19">
      <c r="A19" s="559" t="s">
        <v>264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286</v>
      </c>
      <c r="B24" s="563" t="s">
        <v>144</v>
      </c>
      <c r="C24" s="564" t="s">
        <v>319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287</v>
      </c>
      <c r="C4" s="510" t="s">
        <v>294</v>
      </c>
      <c r="D4" s="511" t="s">
        <v>12</v>
      </c>
      <c r="E4" s="512" t="s">
        <v>7</v>
      </c>
      <c r="F4" s="513" t="s">
        <v>295</v>
      </c>
      <c r="G4" s="514" t="s">
        <v>249</v>
      </c>
      <c r="H4" s="185"/>
      <c r="I4" s="185"/>
      <c r="J4" s="185"/>
      <c r="K4" s="185"/>
      <c r="L4" s="515"/>
      <c r="M4" s="514" t="s">
        <v>296</v>
      </c>
      <c r="N4" s="185"/>
      <c r="O4" s="185"/>
      <c r="P4" s="185"/>
      <c r="Q4" s="185"/>
      <c r="R4" s="515"/>
      <c r="S4" s="514" t="s">
        <v>297</v>
      </c>
      <c r="T4" s="185"/>
      <c r="U4" s="185"/>
      <c r="V4" s="185"/>
      <c r="W4" s="185"/>
      <c r="X4" s="515"/>
      <c r="Y4" s="514" t="s">
        <v>298</v>
      </c>
      <c r="Z4" s="185"/>
      <c r="AA4" s="185"/>
      <c r="AB4" s="185"/>
      <c r="AC4" s="185"/>
      <c r="AD4" s="515"/>
      <c r="AE4" s="514" t="s">
        <v>299</v>
      </c>
      <c r="AF4" s="185"/>
      <c r="AG4" s="185"/>
      <c r="AH4" s="185"/>
      <c r="AI4" s="185"/>
      <c r="AJ4" s="515"/>
      <c r="AK4" s="418" t="s">
        <v>300</v>
      </c>
      <c r="AL4" s="183"/>
      <c r="AM4" s="183"/>
      <c r="AN4" s="183"/>
      <c r="AO4" s="183"/>
      <c r="AP4" s="184"/>
      <c r="AQ4" s="418" t="s">
        <v>301</v>
      </c>
      <c r="AR4" s="183"/>
      <c r="AS4" s="183"/>
      <c r="AT4" s="183"/>
      <c r="AU4" s="183"/>
      <c r="AV4" s="184"/>
      <c r="AW4" s="418" t="s">
        <v>302</v>
      </c>
      <c r="AX4" s="183"/>
      <c r="AY4" s="183"/>
      <c r="AZ4" s="183"/>
      <c r="BA4" s="183"/>
      <c r="BB4" s="184"/>
      <c r="BC4" s="418" t="s">
        <v>303</v>
      </c>
      <c r="BD4" s="183"/>
      <c r="BE4" s="183"/>
      <c r="BF4" s="183"/>
      <c r="BG4" s="183"/>
      <c r="BH4" s="184"/>
      <c r="BI4" s="418" t="s">
        <v>304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254</v>
      </c>
      <c r="H5" s="420" t="s">
        <v>7</v>
      </c>
      <c r="I5" s="420" t="s">
        <v>8</v>
      </c>
      <c r="J5" s="420" t="s">
        <v>255</v>
      </c>
      <c r="K5" s="420" t="s">
        <v>9</v>
      </c>
      <c r="L5" s="518" t="s">
        <v>10</v>
      </c>
      <c r="M5" s="420" t="s">
        <v>254</v>
      </c>
      <c r="N5" s="420" t="s">
        <v>7</v>
      </c>
      <c r="O5" s="420" t="s">
        <v>8</v>
      </c>
      <c r="P5" s="420" t="s">
        <v>255</v>
      </c>
      <c r="Q5" s="420" t="s">
        <v>9</v>
      </c>
      <c r="R5" s="518" t="s">
        <v>10</v>
      </c>
      <c r="S5" s="420" t="s">
        <v>254</v>
      </c>
      <c r="T5" s="420" t="s">
        <v>7</v>
      </c>
      <c r="U5" s="420" t="s">
        <v>8</v>
      </c>
      <c r="V5" s="420" t="s">
        <v>255</v>
      </c>
      <c r="W5" s="420" t="s">
        <v>9</v>
      </c>
      <c r="X5" s="518" t="s">
        <v>10</v>
      </c>
      <c r="Y5" s="420" t="s">
        <v>254</v>
      </c>
      <c r="Z5" s="420" t="s">
        <v>7</v>
      </c>
      <c r="AA5" s="420" t="s">
        <v>8</v>
      </c>
      <c r="AB5" s="420" t="s">
        <v>305</v>
      </c>
      <c r="AC5" s="420" t="s">
        <v>9</v>
      </c>
      <c r="AD5" s="518" t="s">
        <v>10</v>
      </c>
      <c r="AE5" s="420" t="s">
        <v>254</v>
      </c>
      <c r="AF5" s="420" t="s">
        <v>7</v>
      </c>
      <c r="AG5" s="420" t="s">
        <v>8</v>
      </c>
      <c r="AH5" s="420" t="s">
        <v>255</v>
      </c>
      <c r="AI5" s="420" t="s">
        <v>9</v>
      </c>
      <c r="AJ5" s="518" t="s">
        <v>10</v>
      </c>
      <c r="AK5" s="420" t="s">
        <v>254</v>
      </c>
      <c r="AL5" s="420" t="s">
        <v>7</v>
      </c>
      <c r="AM5" s="420" t="s">
        <v>8</v>
      </c>
      <c r="AN5" s="420" t="s">
        <v>255</v>
      </c>
      <c r="AO5" s="420" t="s">
        <v>9</v>
      </c>
      <c r="AP5" s="518" t="s">
        <v>10</v>
      </c>
      <c r="AQ5" s="420" t="s">
        <v>254</v>
      </c>
      <c r="AR5" s="420" t="s">
        <v>7</v>
      </c>
      <c r="AS5" s="420" t="s">
        <v>8</v>
      </c>
      <c r="AT5" s="420" t="s">
        <v>255</v>
      </c>
      <c r="AU5" s="420" t="s">
        <v>9</v>
      </c>
      <c r="AV5" s="518" t="s">
        <v>10</v>
      </c>
      <c r="AW5" s="420" t="s">
        <v>254</v>
      </c>
      <c r="AX5" s="420" t="s">
        <v>7</v>
      </c>
      <c r="AY5" s="420" t="s">
        <v>8</v>
      </c>
      <c r="AZ5" s="420" t="s">
        <v>255</v>
      </c>
      <c r="BA5" s="420" t="s">
        <v>9</v>
      </c>
      <c r="BB5" s="518" t="s">
        <v>10</v>
      </c>
      <c r="BC5" s="420" t="s">
        <v>254</v>
      </c>
      <c r="BD5" s="420" t="s">
        <v>7</v>
      </c>
      <c r="BE5" s="420" t="s">
        <v>8</v>
      </c>
      <c r="BF5" s="420" t="s">
        <v>255</v>
      </c>
      <c r="BG5" s="420" t="s">
        <v>9</v>
      </c>
      <c r="BH5" s="518" t="s">
        <v>10</v>
      </c>
      <c r="BI5" s="420" t="s">
        <v>254</v>
      </c>
      <c r="BJ5" s="420" t="s">
        <v>7</v>
      </c>
      <c r="BK5" s="420" t="s">
        <v>8</v>
      </c>
      <c r="BL5" s="420" t="s">
        <v>255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260</v>
      </c>
      <c r="H6" s="526">
        <v>2.5</v>
      </c>
      <c r="I6" s="527">
        <v>3.75</v>
      </c>
      <c r="J6" s="528"/>
      <c r="K6" s="530"/>
      <c r="L6" s="529"/>
      <c r="M6" s="525" t="s">
        <v>260</v>
      </c>
      <c r="N6" s="526">
        <v>2.5</v>
      </c>
      <c r="O6" s="527">
        <v>3.5</v>
      </c>
      <c r="P6" s="528"/>
      <c r="Q6" s="527"/>
      <c r="R6" s="529"/>
      <c r="S6" s="528" t="s">
        <v>268</v>
      </c>
      <c r="T6" s="526">
        <v>2.5</v>
      </c>
      <c r="U6" s="527">
        <v>2.5</v>
      </c>
      <c r="V6" s="58"/>
      <c r="W6" s="530"/>
      <c r="X6" s="529"/>
      <c r="Y6" s="528" t="s">
        <v>260</v>
      </c>
      <c r="Z6" s="526">
        <v>2.5</v>
      </c>
      <c r="AA6" s="527">
        <v>3.25</v>
      </c>
      <c r="AB6" s="58"/>
      <c r="AC6" s="530"/>
      <c r="AD6" s="529"/>
      <c r="AE6" s="528" t="s">
        <v>260</v>
      </c>
      <c r="AF6" s="526"/>
      <c r="AG6" s="527">
        <v>2.0</v>
      </c>
      <c r="AH6" s="528"/>
      <c r="AI6" s="527"/>
      <c r="AJ6" s="531"/>
      <c r="AK6" s="528" t="s">
        <v>260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268</v>
      </c>
      <c r="AR6" s="526">
        <v>2.5</v>
      </c>
      <c r="AS6" s="527">
        <v>3.75</v>
      </c>
      <c r="AT6" s="528"/>
      <c r="AU6" s="527"/>
      <c r="AV6" s="531"/>
      <c r="AW6" s="528" t="s">
        <v>260</v>
      </c>
      <c r="AX6" s="526">
        <v>2.5</v>
      </c>
      <c r="AY6" s="527">
        <v>3.75</v>
      </c>
      <c r="AZ6" s="528"/>
      <c r="BA6" s="527"/>
      <c r="BB6" s="531"/>
      <c r="BC6" s="528" t="s">
        <v>260</v>
      </c>
      <c r="BD6" s="526"/>
      <c r="BE6" s="527">
        <v>2.0</v>
      </c>
      <c r="BF6" s="528"/>
      <c r="BG6" s="527"/>
      <c r="BH6" s="531"/>
      <c r="BI6" s="528" t="s">
        <v>260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260</v>
      </c>
      <c r="H7" s="526">
        <v>2.5</v>
      </c>
      <c r="I7" s="534">
        <v>4.0</v>
      </c>
      <c r="J7" s="528"/>
      <c r="K7" s="530"/>
      <c r="L7" s="531"/>
      <c r="M7" s="525" t="s">
        <v>260</v>
      </c>
      <c r="N7" s="526">
        <v>2.5</v>
      </c>
      <c r="O7" s="534">
        <v>3.75</v>
      </c>
      <c r="P7" s="528" t="s">
        <v>259</v>
      </c>
      <c r="Q7" s="527"/>
      <c r="R7" s="531"/>
      <c r="S7" s="528" t="s">
        <v>264</v>
      </c>
      <c r="T7" s="526">
        <v>2.5</v>
      </c>
      <c r="U7" s="527">
        <v>2.5</v>
      </c>
      <c r="V7" s="528"/>
      <c r="W7" s="527"/>
      <c r="X7" s="531"/>
      <c r="Y7" s="528" t="s">
        <v>260</v>
      </c>
      <c r="Z7" s="526">
        <v>2.5</v>
      </c>
      <c r="AA7" s="527">
        <v>3.5</v>
      </c>
      <c r="AB7" s="58"/>
      <c r="AC7" s="530"/>
      <c r="AD7" s="529"/>
      <c r="AE7" s="528" t="s">
        <v>260</v>
      </c>
      <c r="AF7" s="526"/>
      <c r="AG7" s="527">
        <v>2.75</v>
      </c>
      <c r="AH7" s="528"/>
      <c r="AI7" s="530"/>
      <c r="AJ7" s="531"/>
      <c r="AK7" s="528" t="s">
        <v>268</v>
      </c>
      <c r="AL7" s="526"/>
      <c r="AM7" s="527">
        <v>2.75</v>
      </c>
      <c r="AN7" s="58"/>
      <c r="AO7" s="530"/>
      <c r="AP7" s="529"/>
      <c r="AQ7" s="528" t="s">
        <v>260</v>
      </c>
      <c r="AR7" s="526"/>
      <c r="AS7" s="527">
        <v>1.75</v>
      </c>
      <c r="AT7" s="58"/>
      <c r="AU7" s="530"/>
      <c r="AV7" s="529"/>
      <c r="AW7" s="528" t="s">
        <v>260</v>
      </c>
      <c r="AX7" s="526">
        <v>2.5</v>
      </c>
      <c r="AY7" s="527">
        <v>2.75</v>
      </c>
      <c r="AZ7" s="528"/>
      <c r="BA7" s="530"/>
      <c r="BB7" s="531"/>
      <c r="BC7" s="528" t="s">
        <v>264</v>
      </c>
      <c r="BD7" s="526">
        <v>2.5</v>
      </c>
      <c r="BE7" s="527">
        <v>1.75</v>
      </c>
      <c r="BF7" s="58"/>
      <c r="BG7" s="530"/>
      <c r="BH7" s="529"/>
      <c r="BI7" s="528" t="s">
        <v>268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264</v>
      </c>
      <c r="H8" s="526"/>
      <c r="I8" s="527">
        <v>2.5</v>
      </c>
      <c r="J8" s="58"/>
      <c r="K8" s="530"/>
      <c r="L8" s="529"/>
      <c r="M8" s="525" t="s">
        <v>268</v>
      </c>
      <c r="N8" s="533"/>
      <c r="O8" s="527">
        <v>2.5</v>
      </c>
      <c r="P8" s="528"/>
      <c r="Q8" s="527"/>
      <c r="R8" s="529"/>
      <c r="S8" s="528" t="s">
        <v>268</v>
      </c>
      <c r="T8" s="526">
        <v>2.5</v>
      </c>
      <c r="U8" s="527">
        <v>4.0</v>
      </c>
      <c r="V8" s="528" t="s">
        <v>259</v>
      </c>
      <c r="W8" s="530"/>
      <c r="X8" s="529"/>
      <c r="Y8" s="528" t="s">
        <v>260</v>
      </c>
      <c r="Z8" s="526">
        <v>2.5</v>
      </c>
      <c r="AA8" s="527">
        <v>3.5</v>
      </c>
      <c r="AB8" s="528" t="s">
        <v>259</v>
      </c>
      <c r="AC8" s="530"/>
      <c r="AD8" s="529"/>
      <c r="AE8" s="528" t="s">
        <v>264</v>
      </c>
      <c r="AF8" s="526">
        <v>2.5</v>
      </c>
      <c r="AG8" s="527">
        <v>2.75</v>
      </c>
      <c r="AH8" s="58"/>
      <c r="AI8" s="530"/>
      <c r="AJ8" s="529"/>
      <c r="AK8" s="528" t="s">
        <v>260</v>
      </c>
      <c r="AL8" s="526">
        <v>2.5</v>
      </c>
      <c r="AM8" s="527">
        <v>3.0</v>
      </c>
      <c r="AN8" s="58"/>
      <c r="AO8" s="530"/>
      <c r="AP8" s="529"/>
      <c r="AQ8" s="528" t="s">
        <v>268</v>
      </c>
      <c r="AR8" s="526">
        <v>2.5</v>
      </c>
      <c r="AS8" s="527">
        <v>3.75</v>
      </c>
      <c r="AT8" s="528"/>
      <c r="AU8" s="530"/>
      <c r="AV8" s="531"/>
      <c r="AW8" s="528" t="s">
        <v>260</v>
      </c>
      <c r="AX8" s="526">
        <v>2.5</v>
      </c>
      <c r="AY8" s="527">
        <v>4.0</v>
      </c>
      <c r="AZ8" s="58"/>
      <c r="BA8" s="530"/>
      <c r="BB8" s="529"/>
      <c r="BC8" s="528" t="s">
        <v>270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260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260</v>
      </c>
      <c r="H9" s="533">
        <v>2.5</v>
      </c>
      <c r="I9" s="527">
        <v>3.0</v>
      </c>
      <c r="J9" s="528"/>
      <c r="K9" s="530"/>
      <c r="L9" s="529"/>
      <c r="M9" s="525" t="s">
        <v>260</v>
      </c>
      <c r="N9" s="526">
        <v>2.5</v>
      </c>
      <c r="O9" s="527">
        <v>3.5</v>
      </c>
      <c r="P9" s="528"/>
      <c r="Q9" s="527"/>
      <c r="R9" s="529"/>
      <c r="S9" s="528" t="s">
        <v>260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268</v>
      </c>
      <c r="Z9" s="526"/>
      <c r="AA9" s="527">
        <v>2.75</v>
      </c>
      <c r="AB9" s="528" t="s">
        <v>262</v>
      </c>
      <c r="AC9" s="527"/>
      <c r="AD9" s="531"/>
      <c r="AE9" s="528" t="s">
        <v>270</v>
      </c>
      <c r="AF9" s="535"/>
      <c r="AG9" s="527">
        <v>2.75</v>
      </c>
      <c r="AH9" s="58"/>
      <c r="AI9" s="530"/>
      <c r="AJ9" s="529"/>
      <c r="AK9" s="528" t="s">
        <v>260</v>
      </c>
      <c r="AL9" s="526">
        <v>2.5</v>
      </c>
      <c r="AM9" s="527">
        <v>2.75</v>
      </c>
      <c r="AN9" s="58"/>
      <c r="AO9" s="530"/>
      <c r="AP9" s="529"/>
      <c r="AQ9" s="528" t="s">
        <v>260</v>
      </c>
      <c r="AR9" s="526"/>
      <c r="AS9" s="527">
        <v>2.25</v>
      </c>
      <c r="AT9" s="58"/>
      <c r="AU9" s="530"/>
      <c r="AV9" s="529"/>
      <c r="AW9" s="528" t="s">
        <v>260</v>
      </c>
      <c r="AX9" s="526">
        <v>2.5</v>
      </c>
      <c r="AY9" s="527">
        <v>2.75</v>
      </c>
      <c r="AZ9" s="58"/>
      <c r="BA9" s="530"/>
      <c r="BB9" s="529"/>
      <c r="BC9" s="528" t="s">
        <v>268</v>
      </c>
      <c r="BD9" s="526">
        <v>2.5</v>
      </c>
      <c r="BE9" s="527">
        <v>2.5</v>
      </c>
      <c r="BF9" s="58"/>
      <c r="BG9" s="530"/>
      <c r="BH9" s="529"/>
      <c r="BI9" s="528" t="s">
        <v>270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270</v>
      </c>
      <c r="H10" s="532">
        <v>2.5</v>
      </c>
      <c r="I10" s="527">
        <v>4.0</v>
      </c>
      <c r="J10" s="528"/>
      <c r="K10" s="527"/>
      <c r="L10" s="529"/>
      <c r="M10" s="525" t="s">
        <v>264</v>
      </c>
      <c r="N10" s="533"/>
      <c r="O10" s="527">
        <v>2.0</v>
      </c>
      <c r="P10" s="528"/>
      <c r="Q10" s="527"/>
      <c r="R10" s="529"/>
      <c r="S10" s="528" t="s">
        <v>260</v>
      </c>
      <c r="T10" s="526"/>
      <c r="U10" s="527">
        <v>2.75</v>
      </c>
      <c r="V10" s="58"/>
      <c r="W10" s="530"/>
      <c r="X10" s="529"/>
      <c r="Y10" s="528" t="s">
        <v>268</v>
      </c>
      <c r="Z10" s="526"/>
      <c r="AA10" s="527">
        <v>2.5</v>
      </c>
      <c r="AB10" s="528"/>
      <c r="AC10" s="530"/>
      <c r="AD10" s="529"/>
      <c r="AE10" s="528" t="s">
        <v>260</v>
      </c>
      <c r="AF10" s="526"/>
      <c r="AG10" s="527">
        <v>2.5</v>
      </c>
      <c r="AH10" s="528" t="s">
        <v>262</v>
      </c>
      <c r="AI10" s="530"/>
      <c r="AJ10" s="529"/>
      <c r="AK10" s="528" t="s">
        <v>260</v>
      </c>
      <c r="AL10" s="526">
        <v>2.5</v>
      </c>
      <c r="AM10" s="527">
        <v>3.75</v>
      </c>
      <c r="AN10" s="58"/>
      <c r="AO10" s="530"/>
      <c r="AP10" s="529"/>
      <c r="AQ10" s="528" t="s">
        <v>264</v>
      </c>
      <c r="AR10" s="526">
        <v>2.5</v>
      </c>
      <c r="AS10" s="527">
        <v>4.0</v>
      </c>
      <c r="AT10" s="58"/>
      <c r="AU10" s="530"/>
      <c r="AV10" s="529"/>
      <c r="AW10" s="528" t="s">
        <v>260</v>
      </c>
      <c r="AX10" s="526">
        <v>2.5</v>
      </c>
      <c r="AY10" s="527">
        <v>3.25</v>
      </c>
      <c r="AZ10" s="528"/>
      <c r="BA10" s="530"/>
      <c r="BB10" s="529"/>
      <c r="BC10" s="528" t="s">
        <v>260</v>
      </c>
      <c r="BD10" s="526"/>
      <c r="BE10" s="527">
        <v>2.0</v>
      </c>
      <c r="BF10" s="58"/>
      <c r="BG10" s="530"/>
      <c r="BH10" s="529"/>
      <c r="BI10" s="528" t="s">
        <v>260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260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260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270</v>
      </c>
      <c r="T11" s="526"/>
      <c r="U11" s="527">
        <v>2.75</v>
      </c>
      <c r="V11" s="528"/>
      <c r="W11" s="530"/>
      <c r="X11" s="529"/>
      <c r="Y11" s="528" t="s">
        <v>260</v>
      </c>
      <c r="Z11" s="526">
        <v>2.5</v>
      </c>
      <c r="AA11" s="527">
        <v>3.25</v>
      </c>
      <c r="AB11" s="528"/>
      <c r="AC11" s="530"/>
      <c r="AD11" s="529"/>
      <c r="AE11" s="528" t="s">
        <v>260</v>
      </c>
      <c r="AF11" s="526"/>
      <c r="AG11" s="527">
        <v>2.0</v>
      </c>
      <c r="AH11" s="58"/>
      <c r="AI11" s="530"/>
      <c r="AJ11" s="529"/>
      <c r="AK11" s="528" t="s">
        <v>270</v>
      </c>
      <c r="AL11" s="526">
        <v>2.5</v>
      </c>
      <c r="AM11" s="527">
        <v>3.0</v>
      </c>
      <c r="AN11" s="58"/>
      <c r="AO11" s="530"/>
      <c r="AP11" s="529"/>
      <c r="AQ11" s="528" t="s">
        <v>260</v>
      </c>
      <c r="AR11" s="526"/>
      <c r="AS11" s="527">
        <v>1.75</v>
      </c>
      <c r="AT11" s="58"/>
      <c r="AU11" s="530"/>
      <c r="AV11" s="529"/>
      <c r="AW11" s="528" t="s">
        <v>268</v>
      </c>
      <c r="AX11" s="526"/>
      <c r="AY11" s="527">
        <v>2.5</v>
      </c>
      <c r="AZ11" s="58"/>
      <c r="BA11" s="530"/>
      <c r="BB11" s="529"/>
      <c r="BC11" s="528" t="s">
        <v>260</v>
      </c>
      <c r="BD11" s="526"/>
      <c r="BE11" s="527">
        <v>2.25</v>
      </c>
      <c r="BF11" s="58"/>
      <c r="BG11" s="530"/>
      <c r="BH11" s="529"/>
      <c r="BI11" s="528" t="s">
        <v>264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260</v>
      </c>
      <c r="H12" s="526">
        <v>2.5</v>
      </c>
      <c r="I12" s="527">
        <v>3.5</v>
      </c>
      <c r="J12" s="58"/>
      <c r="K12" s="530"/>
      <c r="L12" s="529"/>
      <c r="M12" s="525" t="s">
        <v>260</v>
      </c>
      <c r="N12" s="526">
        <v>2.5</v>
      </c>
      <c r="O12" s="527">
        <v>1.5</v>
      </c>
      <c r="P12" s="528"/>
      <c r="Q12" s="527"/>
      <c r="R12" s="529"/>
      <c r="S12" s="528" t="s">
        <v>260</v>
      </c>
      <c r="T12" s="526"/>
      <c r="U12" s="527">
        <v>2.0</v>
      </c>
      <c r="V12" s="528" t="s">
        <v>262</v>
      </c>
      <c r="W12" s="530"/>
      <c r="X12" s="529"/>
      <c r="Y12" s="528" t="s">
        <v>260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268</v>
      </c>
      <c r="AF12" s="526">
        <v>2.5</v>
      </c>
      <c r="AG12" s="527">
        <v>3.75</v>
      </c>
      <c r="AH12" s="528" t="s">
        <v>259</v>
      </c>
      <c r="AI12" s="530"/>
      <c r="AJ12" s="529"/>
      <c r="AK12" s="528" t="s">
        <v>260</v>
      </c>
      <c r="AL12" s="526">
        <v>2.5</v>
      </c>
      <c r="AM12" s="527">
        <v>3.75</v>
      </c>
      <c r="AN12" s="58"/>
      <c r="AO12" s="530"/>
      <c r="AP12" s="529"/>
      <c r="AQ12" s="528" t="s">
        <v>260</v>
      </c>
      <c r="AR12" s="526"/>
      <c r="AS12" s="527">
        <v>2.5</v>
      </c>
      <c r="AT12" s="58"/>
      <c r="AU12" s="530"/>
      <c r="AV12" s="529"/>
      <c r="AW12" s="528" t="s">
        <v>268</v>
      </c>
      <c r="AX12" s="526"/>
      <c r="AY12" s="527">
        <v>2.5</v>
      </c>
      <c r="AZ12" s="58"/>
      <c r="BA12" s="530"/>
      <c r="BB12" s="529"/>
      <c r="BC12" s="528" t="s">
        <v>260</v>
      </c>
      <c r="BD12" s="526"/>
      <c r="BE12" s="527">
        <v>1.75</v>
      </c>
      <c r="BF12" s="58"/>
      <c r="BG12" s="530"/>
      <c r="BH12" s="529"/>
      <c r="BI12" s="528" t="s">
        <v>260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260</v>
      </c>
      <c r="H13" s="532">
        <v>2.5</v>
      </c>
      <c r="I13" s="527">
        <v>3.5</v>
      </c>
      <c r="J13" s="528"/>
      <c r="K13" s="527"/>
      <c r="L13" s="531"/>
      <c r="M13" s="525" t="s">
        <v>270</v>
      </c>
      <c r="N13" s="533">
        <v>2.5</v>
      </c>
      <c r="O13" s="527">
        <v>2.75</v>
      </c>
      <c r="P13" s="528"/>
      <c r="Q13" s="527"/>
      <c r="R13" s="531"/>
      <c r="S13" s="528" t="s">
        <v>260</v>
      </c>
      <c r="T13" s="526"/>
      <c r="U13" s="527">
        <v>2.75</v>
      </c>
      <c r="V13" s="528"/>
      <c r="W13" s="530"/>
      <c r="X13" s="529"/>
      <c r="Y13" s="528" t="s">
        <v>264</v>
      </c>
      <c r="Z13" s="526"/>
      <c r="AA13" s="527">
        <v>2.0</v>
      </c>
      <c r="AB13" s="528"/>
      <c r="AC13" s="530"/>
      <c r="AD13" s="531"/>
      <c r="AE13" s="528" t="s">
        <v>268</v>
      </c>
      <c r="AF13" s="526">
        <v>2.5</v>
      </c>
      <c r="AG13" s="527">
        <v>2.25</v>
      </c>
      <c r="AH13" s="58"/>
      <c r="AI13" s="530"/>
      <c r="AJ13" s="529"/>
      <c r="AK13" s="528" t="s">
        <v>268</v>
      </c>
      <c r="AL13" s="526"/>
      <c r="AM13" s="527">
        <v>2.25</v>
      </c>
      <c r="AN13" s="58"/>
      <c r="AO13" s="530"/>
      <c r="AP13" s="529"/>
      <c r="AQ13" s="528" t="s">
        <v>270</v>
      </c>
      <c r="AR13" s="526"/>
      <c r="AS13" s="527">
        <v>2.25</v>
      </c>
      <c r="AT13" s="528"/>
      <c r="AU13" s="530"/>
      <c r="AV13" s="529"/>
      <c r="AW13" s="528" t="s">
        <v>264</v>
      </c>
      <c r="AX13" s="526"/>
      <c r="AY13" s="527">
        <v>2.0</v>
      </c>
      <c r="AZ13" s="58"/>
      <c r="BA13" s="530"/>
      <c r="BB13" s="529"/>
      <c r="BC13" s="528" t="s">
        <v>268</v>
      </c>
      <c r="BD13" s="526">
        <v>2.5</v>
      </c>
      <c r="BE13" s="527">
        <v>4.25</v>
      </c>
      <c r="BF13" s="58"/>
      <c r="BG13" s="530"/>
      <c r="BH13" s="529"/>
      <c r="BI13" s="528" t="s">
        <v>260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268</v>
      </c>
      <c r="H14" s="532"/>
      <c r="I14" s="527">
        <v>2.0</v>
      </c>
      <c r="J14" s="58"/>
      <c r="K14" s="530"/>
      <c r="L14" s="529"/>
      <c r="M14" s="525" t="s">
        <v>260</v>
      </c>
      <c r="N14" s="533">
        <v>2.5</v>
      </c>
      <c r="O14" s="527">
        <v>4.0</v>
      </c>
      <c r="P14" s="528" t="s">
        <v>259</v>
      </c>
      <c r="Q14" s="527"/>
      <c r="R14" s="529"/>
      <c r="S14" s="528" t="s">
        <v>260</v>
      </c>
      <c r="T14" s="526"/>
      <c r="U14" s="527">
        <v>1.75</v>
      </c>
      <c r="V14" s="528" t="s">
        <v>262</v>
      </c>
      <c r="W14" s="530"/>
      <c r="X14" s="529"/>
      <c r="Y14" s="528" t="s">
        <v>260</v>
      </c>
      <c r="Z14" s="526">
        <v>2.5</v>
      </c>
      <c r="AA14" s="527">
        <v>3.25</v>
      </c>
      <c r="AB14" s="58"/>
      <c r="AC14" s="530"/>
      <c r="AD14" s="529"/>
      <c r="AE14" s="528" t="s">
        <v>260</v>
      </c>
      <c r="AF14" s="526"/>
      <c r="AG14" s="527">
        <v>2.0</v>
      </c>
      <c r="AH14" s="528" t="s">
        <v>262</v>
      </c>
      <c r="AI14" s="530"/>
      <c r="AJ14" s="529"/>
      <c r="AK14" s="528" t="s">
        <v>260</v>
      </c>
      <c r="AL14" s="526">
        <v>2.5</v>
      </c>
      <c r="AM14" s="527">
        <v>2.5</v>
      </c>
      <c r="AN14" s="528"/>
      <c r="AO14" s="527"/>
      <c r="AP14" s="531"/>
      <c r="AQ14" s="528" t="s">
        <v>260</v>
      </c>
      <c r="AR14" s="526"/>
      <c r="AS14" s="527">
        <v>2.25</v>
      </c>
      <c r="AT14" s="58"/>
      <c r="AU14" s="530"/>
      <c r="AV14" s="529"/>
      <c r="AW14" s="528" t="s">
        <v>260</v>
      </c>
      <c r="AX14" s="526">
        <v>2.5</v>
      </c>
      <c r="AY14" s="527">
        <v>3.5</v>
      </c>
      <c r="AZ14" s="58"/>
      <c r="BA14" s="530"/>
      <c r="BB14" s="529"/>
      <c r="BC14" s="528" t="s">
        <v>260</v>
      </c>
      <c r="BD14" s="526"/>
      <c r="BE14" s="527">
        <v>2.0</v>
      </c>
      <c r="BF14" s="58"/>
      <c r="BG14" s="530"/>
      <c r="BH14" s="529"/>
      <c r="BI14" s="528" t="s">
        <v>260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268</v>
      </c>
      <c r="H15" s="542"/>
      <c r="I15" s="543">
        <v>2.0</v>
      </c>
      <c r="J15" s="547"/>
      <c r="K15" s="543"/>
      <c r="L15" s="546"/>
      <c r="M15" s="541" t="s">
        <v>268</v>
      </c>
      <c r="N15" s="542"/>
      <c r="O15" s="543">
        <v>2.0</v>
      </c>
      <c r="P15" s="547" t="s">
        <v>262</v>
      </c>
      <c r="Q15" s="543"/>
      <c r="R15" s="546"/>
      <c r="S15" s="547" t="s">
        <v>260</v>
      </c>
      <c r="T15" s="542"/>
      <c r="U15" s="543">
        <v>2.75</v>
      </c>
      <c r="V15" s="547"/>
      <c r="W15" s="543"/>
      <c r="X15" s="568"/>
      <c r="Y15" s="547" t="s">
        <v>270</v>
      </c>
      <c r="Z15" s="542">
        <v>2.5</v>
      </c>
      <c r="AA15" s="543">
        <v>3.75</v>
      </c>
      <c r="AB15" s="547" t="s">
        <v>259</v>
      </c>
      <c r="AC15" s="545"/>
      <c r="AD15" s="546"/>
      <c r="AE15" s="547" t="s">
        <v>260</v>
      </c>
      <c r="AF15" s="542"/>
      <c r="AG15" s="543">
        <v>2.0</v>
      </c>
      <c r="AH15" s="544"/>
      <c r="AI15" s="545"/>
      <c r="AJ15" s="546"/>
      <c r="AK15" s="547" t="s">
        <v>264</v>
      </c>
      <c r="AL15" s="542"/>
      <c r="AM15" s="543">
        <v>1.75</v>
      </c>
      <c r="AN15" s="544"/>
      <c r="AO15" s="545"/>
      <c r="AP15" s="546"/>
      <c r="AQ15" s="547" t="s">
        <v>260</v>
      </c>
      <c r="AR15" s="542"/>
      <c r="AS15" s="543">
        <v>2.0</v>
      </c>
      <c r="AT15" s="547"/>
      <c r="AU15" s="545"/>
      <c r="AV15" s="568"/>
      <c r="AW15" s="547" t="s">
        <v>270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260</v>
      </c>
      <c r="BD15" s="542"/>
      <c r="BE15" s="543">
        <v>1.75</v>
      </c>
      <c r="BF15" s="544"/>
      <c r="BG15" s="545"/>
      <c r="BH15" s="546"/>
      <c r="BI15" s="547" t="s">
        <v>268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306</v>
      </c>
      <c r="B16" s="1"/>
      <c r="C16" s="1"/>
      <c r="D16" s="1"/>
      <c r="E16" s="1"/>
      <c r="F16" s="1"/>
      <c r="G16" s="550" t="s">
        <v>321</v>
      </c>
      <c r="L16" s="551"/>
      <c r="M16" s="552" t="s">
        <v>322</v>
      </c>
      <c r="R16" s="551"/>
      <c r="S16" s="552" t="s">
        <v>323</v>
      </c>
      <c r="X16" s="551"/>
      <c r="Y16" s="552" t="s">
        <v>324</v>
      </c>
      <c r="AD16" s="551"/>
      <c r="AE16" s="552" t="s">
        <v>325</v>
      </c>
      <c r="AJ16" s="551"/>
      <c r="AK16" s="552" t="s">
        <v>326</v>
      </c>
      <c r="AP16" s="551"/>
      <c r="AQ16" s="552" t="s">
        <v>327</v>
      </c>
      <c r="AV16" s="551"/>
      <c r="AW16" s="552" t="s">
        <v>328</v>
      </c>
      <c r="BB16" s="551"/>
      <c r="BC16" s="552" t="s">
        <v>329</v>
      </c>
      <c r="BH16" s="551"/>
      <c r="BI16" s="552" t="s">
        <v>330</v>
      </c>
      <c r="BN16" s="551"/>
    </row>
    <row r="17">
      <c r="A17" s="553" t="s">
        <v>268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270</v>
      </c>
      <c r="B18" s="1"/>
      <c r="C18" s="1"/>
      <c r="D18" s="1"/>
      <c r="E18" s="1"/>
      <c r="F18" s="1"/>
      <c r="G18" s="555" t="s">
        <v>256</v>
      </c>
      <c r="H18" s="556"/>
      <c r="I18" s="556"/>
      <c r="J18" s="556"/>
      <c r="K18" s="556"/>
      <c r="L18" s="557"/>
      <c r="M18" s="558" t="s">
        <v>266</v>
      </c>
      <c r="N18" s="556"/>
      <c r="O18" s="556"/>
      <c r="P18" s="556"/>
      <c r="Q18" s="556"/>
      <c r="R18" s="557"/>
      <c r="S18" s="558" t="s">
        <v>271</v>
      </c>
      <c r="T18" s="556"/>
      <c r="U18" s="556"/>
      <c r="V18" s="556"/>
      <c r="W18" s="556"/>
      <c r="X18" s="557"/>
      <c r="Y18" s="558" t="s">
        <v>266</v>
      </c>
      <c r="Z18" s="556"/>
      <c r="AA18" s="556"/>
      <c r="AB18" s="556"/>
      <c r="AC18" s="556"/>
      <c r="AD18" s="557"/>
      <c r="AE18" s="558" t="s">
        <v>271</v>
      </c>
      <c r="AF18" s="556"/>
      <c r="AG18" s="556"/>
      <c r="AH18" s="556"/>
      <c r="AI18" s="556"/>
      <c r="AJ18" s="557"/>
      <c r="AK18" s="558" t="s">
        <v>263</v>
      </c>
      <c r="AL18" s="556"/>
      <c r="AM18" s="556"/>
      <c r="AN18" s="556"/>
      <c r="AO18" s="556"/>
      <c r="AP18" s="557"/>
      <c r="AQ18" s="558" t="s">
        <v>258</v>
      </c>
      <c r="AR18" s="556"/>
      <c r="AS18" s="556"/>
      <c r="AT18" s="556"/>
      <c r="AU18" s="556"/>
      <c r="AV18" s="557"/>
      <c r="AW18" s="558" t="s">
        <v>256</v>
      </c>
      <c r="AX18" s="556"/>
      <c r="AY18" s="556"/>
      <c r="AZ18" s="556"/>
      <c r="BA18" s="556"/>
      <c r="BB18" s="557"/>
      <c r="BC18" s="558" t="s">
        <v>271</v>
      </c>
      <c r="BD18" s="556"/>
      <c r="BE18" s="556"/>
      <c r="BF18" s="556"/>
      <c r="BG18" s="556"/>
      <c r="BH18" s="557"/>
      <c r="BI18" s="558" t="s">
        <v>258</v>
      </c>
      <c r="BJ18" s="556"/>
      <c r="BK18" s="556"/>
      <c r="BL18" s="556"/>
      <c r="BM18" s="556"/>
      <c r="BN18" s="557"/>
    </row>
    <row r="19">
      <c r="A19" s="559" t="s">
        <v>264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286</v>
      </c>
      <c r="B24" s="563" t="s">
        <v>144</v>
      </c>
      <c r="C24" s="564" t="s">
        <v>319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260</v>
      </c>
      <c r="H6" s="593">
        <v>2.5</v>
      </c>
      <c r="I6" s="593">
        <v>2.5</v>
      </c>
      <c r="J6" s="594"/>
      <c r="K6" s="593"/>
      <c r="L6" s="595"/>
      <c r="M6" s="592" t="s">
        <v>264</v>
      </c>
      <c r="N6" s="593">
        <v>2.5</v>
      </c>
      <c r="O6" s="593">
        <v>3.75</v>
      </c>
      <c r="P6" s="594"/>
      <c r="Q6" s="593"/>
      <c r="R6" s="596"/>
      <c r="S6" s="594" t="s">
        <v>270</v>
      </c>
      <c r="T6" s="593">
        <v>2.5</v>
      </c>
      <c r="U6" s="593">
        <v>3.75</v>
      </c>
      <c r="V6" s="597"/>
      <c r="W6" s="598"/>
      <c r="X6" s="596"/>
      <c r="Y6" s="594" t="s">
        <v>260</v>
      </c>
      <c r="Z6" s="593">
        <v>2.5</v>
      </c>
      <c r="AA6" s="599">
        <v>2.25</v>
      </c>
      <c r="AB6" s="597"/>
      <c r="AC6" s="598"/>
      <c r="AD6" s="596"/>
      <c r="AE6" s="594" t="s">
        <v>264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260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270</v>
      </c>
      <c r="N7" s="606"/>
      <c r="O7" s="593">
        <v>4.0</v>
      </c>
      <c r="P7" s="597"/>
      <c r="Q7" s="598"/>
      <c r="R7" s="596"/>
      <c r="S7" s="594" t="s">
        <v>260</v>
      </c>
      <c r="T7" s="605">
        <v>2.5</v>
      </c>
      <c r="U7" s="593">
        <v>3.75</v>
      </c>
      <c r="V7" s="594"/>
      <c r="W7" s="598"/>
      <c r="X7" s="596"/>
      <c r="Y7" s="594" t="s">
        <v>260</v>
      </c>
      <c r="Z7" s="605">
        <v>2.5</v>
      </c>
      <c r="AA7" s="599">
        <v>3.75</v>
      </c>
      <c r="AB7" s="597"/>
      <c r="AC7" s="598"/>
      <c r="AD7" s="596"/>
      <c r="AE7" s="594" t="s">
        <v>268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260</v>
      </c>
      <c r="H8" s="593">
        <v>2.5</v>
      </c>
      <c r="I8" s="593">
        <v>3.75</v>
      </c>
      <c r="J8" s="597"/>
      <c r="K8" s="598"/>
      <c r="L8" s="596"/>
      <c r="M8" s="592" t="s">
        <v>260</v>
      </c>
      <c r="N8" s="598"/>
      <c r="O8" s="593">
        <v>1.5</v>
      </c>
      <c r="P8" s="597"/>
      <c r="Q8" s="598"/>
      <c r="R8" s="596"/>
      <c r="S8" s="594" t="s">
        <v>260</v>
      </c>
      <c r="T8" s="593">
        <v>2.5</v>
      </c>
      <c r="U8" s="593">
        <v>3.0</v>
      </c>
      <c r="V8" s="594"/>
      <c r="W8" s="598"/>
      <c r="X8" s="596"/>
      <c r="Y8" s="594" t="s">
        <v>268</v>
      </c>
      <c r="Z8" s="598"/>
      <c r="AA8" s="599">
        <v>2.5</v>
      </c>
      <c r="AB8" s="597"/>
      <c r="AC8" s="598"/>
      <c r="AD8" s="596"/>
      <c r="AE8" s="594" t="s">
        <v>268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260</v>
      </c>
      <c r="H9" s="605">
        <v>2.5</v>
      </c>
      <c r="I9" s="593">
        <v>1.75</v>
      </c>
      <c r="J9" s="594"/>
      <c r="K9" s="598"/>
      <c r="L9" s="596"/>
      <c r="M9" s="592" t="s">
        <v>260</v>
      </c>
      <c r="N9" s="606"/>
      <c r="O9" s="593">
        <v>3.5</v>
      </c>
      <c r="P9" s="597"/>
      <c r="Q9" s="598"/>
      <c r="R9" s="596"/>
      <c r="S9" s="594" t="s">
        <v>260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260</v>
      </c>
      <c r="Z9" s="605">
        <v>2.5</v>
      </c>
      <c r="AA9" s="599">
        <v>3.25</v>
      </c>
      <c r="AB9" s="594"/>
      <c r="AC9" s="593"/>
      <c r="AD9" s="595"/>
      <c r="AE9" s="594" t="s">
        <v>260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264</v>
      </c>
      <c r="H10" s="598"/>
      <c r="I10" s="593">
        <v>2.5</v>
      </c>
      <c r="J10" s="594"/>
      <c r="K10" s="598"/>
      <c r="L10" s="596"/>
      <c r="M10" s="592" t="s">
        <v>260</v>
      </c>
      <c r="N10" s="598"/>
      <c r="O10" s="593">
        <v>3.25</v>
      </c>
      <c r="P10" s="594"/>
      <c r="Q10" s="593"/>
      <c r="R10" s="595"/>
      <c r="S10" s="594" t="s">
        <v>260</v>
      </c>
      <c r="T10" s="593">
        <v>2.5</v>
      </c>
      <c r="U10" s="593">
        <v>4.0</v>
      </c>
      <c r="V10" s="597"/>
      <c r="W10" s="598"/>
      <c r="X10" s="596"/>
      <c r="Y10" s="594" t="s">
        <v>270</v>
      </c>
      <c r="Z10" s="593">
        <v>2.5</v>
      </c>
      <c r="AA10" s="599">
        <v>4.0</v>
      </c>
      <c r="AB10" s="597"/>
      <c r="AC10" s="598"/>
      <c r="AD10" s="596"/>
      <c r="AE10" s="594" t="s">
        <v>260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270</v>
      </c>
      <c r="H11" s="593">
        <v>2.5</v>
      </c>
      <c r="I11" s="593">
        <v>3.25</v>
      </c>
      <c r="J11" s="594"/>
      <c r="K11" s="598"/>
      <c r="L11" s="596"/>
      <c r="M11" s="592" t="s">
        <v>268</v>
      </c>
      <c r="N11" s="593">
        <v>2.5</v>
      </c>
      <c r="O11" s="593">
        <v>2.75</v>
      </c>
      <c r="P11" s="597"/>
      <c r="Q11" s="598"/>
      <c r="R11" s="596"/>
      <c r="S11" s="594" t="s">
        <v>260</v>
      </c>
      <c r="T11" s="593">
        <v>2.5</v>
      </c>
      <c r="U11" s="593">
        <v>3.0</v>
      </c>
      <c r="V11" s="594"/>
      <c r="W11" s="598"/>
      <c r="X11" s="595"/>
      <c r="Y11" s="594" t="s">
        <v>268</v>
      </c>
      <c r="Z11" s="598"/>
      <c r="AA11" s="593">
        <v>1.5</v>
      </c>
      <c r="AB11" s="597"/>
      <c r="AC11" s="598"/>
      <c r="AD11" s="596"/>
      <c r="AE11" s="594" t="s">
        <v>260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260</v>
      </c>
      <c r="H12" s="593">
        <v>2.5</v>
      </c>
      <c r="I12" s="593">
        <v>2.5</v>
      </c>
      <c r="J12" s="594"/>
      <c r="K12" s="598"/>
      <c r="L12" s="596"/>
      <c r="M12" s="592" t="s">
        <v>268</v>
      </c>
      <c r="N12" s="593">
        <v>2.5</v>
      </c>
      <c r="O12" s="593">
        <v>3.75</v>
      </c>
      <c r="P12" s="594"/>
      <c r="Q12" s="598"/>
      <c r="R12" s="596"/>
      <c r="S12" s="594" t="s">
        <v>268</v>
      </c>
      <c r="T12" s="598"/>
      <c r="U12" s="593">
        <v>2.0</v>
      </c>
      <c r="V12" s="594"/>
      <c r="W12" s="598"/>
      <c r="X12" s="596"/>
      <c r="Y12" s="594" t="s">
        <v>264</v>
      </c>
      <c r="Z12" s="598"/>
      <c r="AA12" s="599">
        <v>2.0</v>
      </c>
      <c r="AB12" s="597"/>
      <c r="AC12" s="598"/>
      <c r="AD12" s="596"/>
      <c r="AE12" s="594" t="s">
        <v>260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268</v>
      </c>
      <c r="H13" s="598"/>
      <c r="I13" s="608">
        <v>0.5</v>
      </c>
      <c r="J13" s="597"/>
      <c r="K13" s="598"/>
      <c r="L13" s="596"/>
      <c r="M13" s="592" t="s">
        <v>260</v>
      </c>
      <c r="N13" s="598"/>
      <c r="O13" s="593">
        <v>2.75</v>
      </c>
      <c r="P13" s="594"/>
      <c r="Q13" s="598"/>
      <c r="R13" s="595"/>
      <c r="S13" s="594" t="s">
        <v>260</v>
      </c>
      <c r="T13" s="593">
        <v>2.5</v>
      </c>
      <c r="U13" s="593">
        <v>4.0</v>
      </c>
      <c r="V13" s="594"/>
      <c r="W13" s="598"/>
      <c r="X13" s="596"/>
      <c r="Y13" s="594" t="s">
        <v>260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260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268</v>
      </c>
      <c r="H14" s="605"/>
      <c r="I14" s="593">
        <v>2.75</v>
      </c>
      <c r="J14" s="594"/>
      <c r="K14" s="598"/>
      <c r="L14" s="596"/>
      <c r="M14" s="592" t="s">
        <v>260</v>
      </c>
      <c r="N14" s="606"/>
      <c r="O14" s="593">
        <v>3.0</v>
      </c>
      <c r="P14" s="597"/>
      <c r="Q14" s="598"/>
      <c r="R14" s="596"/>
      <c r="S14" s="594" t="s">
        <v>268</v>
      </c>
      <c r="T14" s="606"/>
      <c r="U14" s="593">
        <v>2.25</v>
      </c>
      <c r="V14" s="594"/>
      <c r="W14" s="598"/>
      <c r="X14" s="596"/>
      <c r="Y14" s="594" t="s">
        <v>260</v>
      </c>
      <c r="Z14" s="605">
        <v>2.5</v>
      </c>
      <c r="AA14" s="599">
        <v>3.25</v>
      </c>
      <c r="AB14" s="597"/>
      <c r="AC14" s="598"/>
      <c r="AD14" s="596"/>
      <c r="AE14" s="594" t="s">
        <v>260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260</v>
      </c>
      <c r="H15" s="615">
        <v>2.5</v>
      </c>
      <c r="I15" s="615">
        <v>2.5</v>
      </c>
      <c r="J15" s="616"/>
      <c r="K15" s="617"/>
      <c r="L15" s="618"/>
      <c r="M15" s="614" t="s">
        <v>260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264</v>
      </c>
      <c r="T15" s="617"/>
      <c r="U15" s="615">
        <v>1.25</v>
      </c>
      <c r="V15" s="619"/>
      <c r="W15" s="617"/>
      <c r="X15" s="620"/>
      <c r="Y15" s="619" t="s">
        <v>260</v>
      </c>
      <c r="Z15" s="615">
        <v>2.5</v>
      </c>
      <c r="AA15" s="615">
        <v>2.0</v>
      </c>
      <c r="AB15" s="616"/>
      <c r="AC15" s="617"/>
      <c r="AD15" s="618"/>
      <c r="AE15" s="619" t="s">
        <v>270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334</v>
      </c>
      <c r="L16" s="551"/>
      <c r="M16" s="624" t="s">
        <v>335</v>
      </c>
      <c r="R16" s="551"/>
      <c r="S16" s="624" t="s">
        <v>336</v>
      </c>
      <c r="X16" s="551"/>
      <c r="Y16" s="624" t="s">
        <v>337</v>
      </c>
      <c r="AD16" s="551"/>
      <c r="AE16" s="624" t="s">
        <v>338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 t="s">
        <v>261</v>
      </c>
      <c r="H18" s="556"/>
      <c r="I18" s="556"/>
      <c r="J18" s="556"/>
      <c r="K18" s="556"/>
      <c r="L18" s="557"/>
      <c r="M18" s="629" t="s">
        <v>258</v>
      </c>
      <c r="N18" s="556"/>
      <c r="O18" s="556"/>
      <c r="P18" s="556"/>
      <c r="Q18" s="556"/>
      <c r="R18" s="557"/>
      <c r="S18" s="629" t="s">
        <v>261</v>
      </c>
      <c r="T18" s="556"/>
      <c r="U18" s="556"/>
      <c r="V18" s="556"/>
      <c r="W18" s="556"/>
      <c r="X18" s="557"/>
      <c r="Y18" s="629" t="s">
        <v>263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6">
        <v>1.0</v>
      </c>
      <c r="B26" s="637" t="s">
        <v>101</v>
      </c>
      <c r="C26" s="637" t="s">
        <v>288</v>
      </c>
      <c r="D26" s="636">
        <v>1.0</v>
      </c>
      <c r="E26" s="638"/>
      <c r="F26" s="638"/>
      <c r="AK26" s="59"/>
    </row>
    <row r="27">
      <c r="A27" s="637">
        <v>5.0</v>
      </c>
      <c r="B27" s="637" t="s">
        <v>105</v>
      </c>
      <c r="C27" s="637" t="s">
        <v>16</v>
      </c>
      <c r="D27" s="637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260</v>
      </c>
      <c r="H6" s="605">
        <v>2.5</v>
      </c>
      <c r="I6" s="593">
        <v>3.25</v>
      </c>
      <c r="J6" s="594"/>
      <c r="K6" s="598"/>
      <c r="L6" s="596"/>
      <c r="M6" s="592" t="s">
        <v>260</v>
      </c>
      <c r="N6" s="605">
        <v>2.5</v>
      </c>
      <c r="O6" s="593">
        <v>3.75</v>
      </c>
      <c r="P6" s="597"/>
      <c r="Q6" s="598"/>
      <c r="R6" s="596"/>
      <c r="S6" s="594" t="s">
        <v>264</v>
      </c>
      <c r="T6" s="605">
        <v>2.5</v>
      </c>
      <c r="U6" s="593">
        <v>3.5</v>
      </c>
      <c r="V6" s="594"/>
      <c r="W6" s="598"/>
      <c r="X6" s="596"/>
      <c r="Y6" s="594" t="s">
        <v>260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268</v>
      </c>
      <c r="AF6" s="606"/>
      <c r="AG6" s="593">
        <v>2.0</v>
      </c>
      <c r="AH6" s="594" t="s">
        <v>262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260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264</v>
      </c>
      <c r="N7" s="606"/>
      <c r="O7" s="593">
        <v>2.25</v>
      </c>
      <c r="P7" s="597"/>
      <c r="Q7" s="598"/>
      <c r="R7" s="596"/>
      <c r="S7" s="594" t="s">
        <v>268</v>
      </c>
      <c r="T7" s="605">
        <v>2.5</v>
      </c>
      <c r="U7" s="593">
        <v>3.75</v>
      </c>
      <c r="V7" s="594" t="s">
        <v>259</v>
      </c>
      <c r="W7" s="598"/>
      <c r="X7" s="596"/>
      <c r="Y7" s="594" t="s">
        <v>260</v>
      </c>
      <c r="Z7" s="606"/>
      <c r="AA7" s="599">
        <v>2.0</v>
      </c>
      <c r="AB7" s="594"/>
      <c r="AC7" s="593"/>
      <c r="AD7" s="595"/>
      <c r="AE7" s="594" t="s">
        <v>260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268</v>
      </c>
      <c r="H8" s="593"/>
      <c r="I8" s="593">
        <v>2.0</v>
      </c>
      <c r="J8" s="597"/>
      <c r="K8" s="598"/>
      <c r="L8" s="596"/>
      <c r="M8" s="592" t="s">
        <v>270</v>
      </c>
      <c r="N8" s="593">
        <v>2.5</v>
      </c>
      <c r="O8" s="593">
        <v>4.25</v>
      </c>
      <c r="P8" s="597"/>
      <c r="Q8" s="598"/>
      <c r="R8" s="596"/>
      <c r="S8" s="594" t="s">
        <v>270</v>
      </c>
      <c r="T8" s="598"/>
      <c r="U8" s="593">
        <v>3.25</v>
      </c>
      <c r="V8" s="594"/>
      <c r="W8" s="598"/>
      <c r="X8" s="595"/>
      <c r="Y8" s="594" t="s">
        <v>260</v>
      </c>
      <c r="Z8" s="598"/>
      <c r="AA8" s="593">
        <v>1.5</v>
      </c>
      <c r="AB8" s="597"/>
      <c r="AC8" s="598"/>
      <c r="AD8" s="596"/>
      <c r="AE8" s="594" t="s">
        <v>268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260</v>
      </c>
      <c r="H9" s="593">
        <v>2.5</v>
      </c>
      <c r="I9" s="593">
        <v>4.0</v>
      </c>
      <c r="J9" s="594"/>
      <c r="K9" s="598"/>
      <c r="L9" s="596"/>
      <c r="M9" s="592" t="s">
        <v>260</v>
      </c>
      <c r="N9" s="593">
        <v>2.5</v>
      </c>
      <c r="O9" s="593">
        <v>2.0</v>
      </c>
      <c r="P9" s="594"/>
      <c r="Q9" s="598"/>
      <c r="R9" s="596"/>
      <c r="S9" s="594" t="s">
        <v>260</v>
      </c>
      <c r="T9" s="598"/>
      <c r="U9" s="593">
        <v>1.25</v>
      </c>
      <c r="V9" s="594" t="s">
        <v>262</v>
      </c>
      <c r="W9" s="598"/>
      <c r="X9" s="596"/>
      <c r="Y9" s="594" t="s">
        <v>264</v>
      </c>
      <c r="Z9" s="593">
        <v>2.5</v>
      </c>
      <c r="AA9" s="599">
        <v>3.25</v>
      </c>
      <c r="AB9" s="597"/>
      <c r="AC9" s="598"/>
      <c r="AD9" s="596"/>
      <c r="AE9" s="594" t="s">
        <v>260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270</v>
      </c>
      <c r="H10" s="593">
        <v>2.5</v>
      </c>
      <c r="I10" s="593">
        <v>2.5</v>
      </c>
      <c r="J10" s="597"/>
      <c r="K10" s="598"/>
      <c r="L10" s="596"/>
      <c r="M10" s="592" t="s">
        <v>260</v>
      </c>
      <c r="N10" s="593">
        <v>2.5</v>
      </c>
      <c r="O10" s="593">
        <v>1.5</v>
      </c>
      <c r="P10" s="594"/>
      <c r="Q10" s="598"/>
      <c r="R10" s="595"/>
      <c r="S10" s="594" t="s">
        <v>260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270</v>
      </c>
      <c r="Z10" s="598"/>
      <c r="AA10" s="599">
        <v>2.0</v>
      </c>
      <c r="AB10" s="594"/>
      <c r="AC10" s="598"/>
      <c r="AD10" s="595"/>
      <c r="AE10" s="594" t="s">
        <v>270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268</v>
      </c>
      <c r="H11" s="598"/>
      <c r="I11" s="593">
        <v>1.75</v>
      </c>
      <c r="J11" s="594"/>
      <c r="K11" s="598"/>
      <c r="L11" s="596"/>
      <c r="M11" s="592" t="s">
        <v>260</v>
      </c>
      <c r="N11" s="593">
        <v>2.5</v>
      </c>
      <c r="O11" s="593">
        <v>2.5</v>
      </c>
      <c r="P11" s="594"/>
      <c r="Q11" s="593"/>
      <c r="R11" s="595"/>
      <c r="S11" s="594" t="s">
        <v>260</v>
      </c>
      <c r="T11" s="598"/>
      <c r="U11" s="593">
        <v>3.75</v>
      </c>
      <c r="V11" s="597"/>
      <c r="W11" s="598"/>
      <c r="X11" s="596"/>
      <c r="Y11" s="594" t="s">
        <v>260</v>
      </c>
      <c r="Z11" s="598"/>
      <c r="AA11" s="599">
        <v>2.0</v>
      </c>
      <c r="AB11" s="597"/>
      <c r="AC11" s="598"/>
      <c r="AD11" s="596"/>
      <c r="AE11" s="594" t="s">
        <v>264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260</v>
      </c>
      <c r="H12" s="593">
        <v>2.5</v>
      </c>
      <c r="I12" s="593">
        <v>3.5</v>
      </c>
      <c r="J12" s="594"/>
      <c r="K12" s="598"/>
      <c r="L12" s="596"/>
      <c r="M12" s="592" t="s">
        <v>268</v>
      </c>
      <c r="N12" s="598"/>
      <c r="O12" s="593">
        <v>3.0</v>
      </c>
      <c r="P12" s="597"/>
      <c r="Q12" s="598"/>
      <c r="R12" s="596"/>
      <c r="S12" s="594" t="s">
        <v>260</v>
      </c>
      <c r="T12" s="598"/>
      <c r="U12" s="593">
        <v>1.75</v>
      </c>
      <c r="V12" s="594"/>
      <c r="W12" s="598"/>
      <c r="X12" s="595"/>
      <c r="Y12" s="594" t="s">
        <v>260</v>
      </c>
      <c r="Z12" s="598"/>
      <c r="AA12" s="593">
        <v>1.75</v>
      </c>
      <c r="AB12" s="597"/>
      <c r="AC12" s="598"/>
      <c r="AD12" s="596"/>
      <c r="AE12" s="594" t="s">
        <v>260</v>
      </c>
      <c r="AF12" s="593">
        <v>2.5</v>
      </c>
      <c r="AG12" s="593">
        <v>3.0</v>
      </c>
      <c r="AH12" s="594" t="s">
        <v>259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260</v>
      </c>
      <c r="H13" s="605">
        <v>2.5</v>
      </c>
      <c r="I13" s="593">
        <v>2.5</v>
      </c>
      <c r="J13" s="594"/>
      <c r="K13" s="593"/>
      <c r="L13" s="596"/>
      <c r="M13" s="592" t="s">
        <v>260</v>
      </c>
      <c r="N13" s="605">
        <v>2.5</v>
      </c>
      <c r="O13" s="593">
        <v>2.0</v>
      </c>
      <c r="P13" s="597"/>
      <c r="Q13" s="598"/>
      <c r="R13" s="596"/>
      <c r="S13" s="594" t="s">
        <v>260</v>
      </c>
      <c r="T13" s="606"/>
      <c r="U13" s="593">
        <v>3.25</v>
      </c>
      <c r="V13" s="594"/>
      <c r="W13" s="598"/>
      <c r="X13" s="596"/>
      <c r="Y13" s="594" t="s">
        <v>268</v>
      </c>
      <c r="Z13" s="605">
        <v>2.5</v>
      </c>
      <c r="AA13" s="599">
        <v>3.5</v>
      </c>
      <c r="AB13" s="597"/>
      <c r="AC13" s="598"/>
      <c r="AD13" s="596"/>
      <c r="AE13" s="594" t="s">
        <v>260</v>
      </c>
      <c r="AF13" s="605">
        <v>2.5</v>
      </c>
      <c r="AG13" s="593">
        <v>4.0</v>
      </c>
      <c r="AH13" s="594" t="s">
        <v>259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260</v>
      </c>
      <c r="H14" s="593">
        <v>2.5</v>
      </c>
      <c r="I14" s="593">
        <v>3.0</v>
      </c>
      <c r="J14" s="594"/>
      <c r="K14" s="593"/>
      <c r="L14" s="595"/>
      <c r="M14" s="592" t="s">
        <v>268</v>
      </c>
      <c r="N14" s="598"/>
      <c r="O14" s="593">
        <v>2.25</v>
      </c>
      <c r="P14" s="594"/>
      <c r="Q14" s="593"/>
      <c r="R14" s="596"/>
      <c r="S14" s="594" t="s">
        <v>268</v>
      </c>
      <c r="T14" s="593">
        <v>2.5</v>
      </c>
      <c r="U14" s="593">
        <v>3.0</v>
      </c>
      <c r="V14" s="597"/>
      <c r="W14" s="598"/>
      <c r="X14" s="596"/>
      <c r="Y14" s="594" t="s">
        <v>268</v>
      </c>
      <c r="Z14" s="593">
        <v>2.5</v>
      </c>
      <c r="AA14" s="599">
        <v>4.0</v>
      </c>
      <c r="AB14" s="597"/>
      <c r="AC14" s="598"/>
      <c r="AD14" s="596"/>
      <c r="AE14" s="594" t="s">
        <v>260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264</v>
      </c>
      <c r="H15" s="617"/>
      <c r="I15" s="615">
        <v>2.0</v>
      </c>
      <c r="J15" s="616"/>
      <c r="K15" s="617"/>
      <c r="L15" s="618"/>
      <c r="M15" s="614" t="s">
        <v>260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260</v>
      </c>
      <c r="T15" s="617"/>
      <c r="U15" s="615">
        <v>4.25</v>
      </c>
      <c r="V15" s="619" t="s">
        <v>262</v>
      </c>
      <c r="W15" s="617"/>
      <c r="X15" s="618"/>
      <c r="Y15" s="619" t="s">
        <v>260</v>
      </c>
      <c r="Z15" s="617"/>
      <c r="AA15" s="639">
        <v>1.5</v>
      </c>
      <c r="AB15" s="616"/>
      <c r="AC15" s="617"/>
      <c r="AD15" s="618"/>
      <c r="AE15" s="619" t="s">
        <v>260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341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 t="s">
        <v>261</v>
      </c>
      <c r="H18" s="556"/>
      <c r="I18" s="556"/>
      <c r="J18" s="556"/>
      <c r="K18" s="556"/>
      <c r="L18" s="557"/>
      <c r="M18" s="629" t="s">
        <v>263</v>
      </c>
      <c r="N18" s="556"/>
      <c r="O18" s="556"/>
      <c r="P18" s="556"/>
      <c r="Q18" s="556"/>
      <c r="R18" s="557"/>
      <c r="S18" s="629" t="s">
        <v>271</v>
      </c>
      <c r="T18" s="556"/>
      <c r="U18" s="556"/>
      <c r="V18" s="556"/>
      <c r="W18" s="556"/>
      <c r="X18" s="557"/>
      <c r="Y18" s="629" t="s">
        <v>258</v>
      </c>
      <c r="Z18" s="556"/>
      <c r="AA18" s="556"/>
      <c r="AB18" s="556"/>
      <c r="AC18" s="556"/>
      <c r="AD18" s="557"/>
      <c r="AE18" s="629" t="s">
        <v>266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268</v>
      </c>
      <c r="H6" s="605">
        <v>2.5</v>
      </c>
      <c r="I6" s="593">
        <v>2.25</v>
      </c>
      <c r="J6" s="594"/>
      <c r="K6" s="598"/>
      <c r="L6" s="596"/>
      <c r="M6" s="592" t="s">
        <v>260</v>
      </c>
      <c r="N6" s="606"/>
      <c r="O6" s="593">
        <v>3.25</v>
      </c>
      <c r="P6" s="597"/>
      <c r="Q6" s="598"/>
      <c r="R6" s="596"/>
      <c r="S6" s="594" t="s">
        <v>260</v>
      </c>
      <c r="T6" s="605">
        <v>2.5</v>
      </c>
      <c r="U6" s="593">
        <v>2.0</v>
      </c>
      <c r="V6" s="594"/>
      <c r="W6" s="598"/>
      <c r="X6" s="596"/>
      <c r="Y6" s="594" t="s">
        <v>260</v>
      </c>
      <c r="Z6" s="606"/>
      <c r="AA6" s="599">
        <v>2.0</v>
      </c>
      <c r="AB6" s="597"/>
      <c r="AC6" s="598"/>
      <c r="AD6" s="596"/>
      <c r="AE6" s="594" t="s">
        <v>270</v>
      </c>
      <c r="AF6" s="606"/>
      <c r="AG6" s="593">
        <v>2.5</v>
      </c>
      <c r="AH6" s="594" t="s">
        <v>11</v>
      </c>
      <c r="AI6" s="598"/>
      <c r="AJ6" s="595">
        <v>0.5</v>
      </c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22.25</v>
      </c>
      <c r="D7" s="602">
        <f t="shared" si="2"/>
        <v>3</v>
      </c>
      <c r="E7" s="603">
        <f t="shared" si="3"/>
        <v>7.5</v>
      </c>
      <c r="F7" s="604">
        <f t="shared" si="4"/>
        <v>14.75</v>
      </c>
      <c r="G7" s="592" t="s">
        <v>270</v>
      </c>
      <c r="H7" s="606"/>
      <c r="I7" s="593">
        <v>2.25</v>
      </c>
      <c r="J7" s="594"/>
      <c r="K7" s="598"/>
      <c r="L7" s="596"/>
      <c r="M7" s="592" t="s">
        <v>268</v>
      </c>
      <c r="N7" s="605">
        <v>2.5</v>
      </c>
      <c r="O7" s="593">
        <v>4.0</v>
      </c>
      <c r="P7" s="597"/>
      <c r="Q7" s="598"/>
      <c r="R7" s="596"/>
      <c r="S7" s="594" t="s">
        <v>260</v>
      </c>
      <c r="T7" s="605">
        <v>2.5</v>
      </c>
      <c r="U7" s="593">
        <v>3.5</v>
      </c>
      <c r="V7" s="594" t="s">
        <v>259</v>
      </c>
      <c r="W7" s="598"/>
      <c r="X7" s="596"/>
      <c r="Y7" s="594" t="s">
        <v>264</v>
      </c>
      <c r="Z7" s="605">
        <v>2.5</v>
      </c>
      <c r="AA7" s="599">
        <v>3.5</v>
      </c>
      <c r="AB7" s="594"/>
      <c r="AC7" s="593"/>
      <c r="AD7" s="595"/>
      <c r="AE7" s="594" t="s">
        <v>260</v>
      </c>
      <c r="AF7" s="606"/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91</v>
      </c>
      <c r="C8" s="588">
        <f t="shared" si="1"/>
        <v>23.25</v>
      </c>
      <c r="D8" s="602">
        <f t="shared" si="2"/>
        <v>3</v>
      </c>
      <c r="E8" s="603">
        <f t="shared" si="3"/>
        <v>7.5</v>
      </c>
      <c r="F8" s="604">
        <f t="shared" si="4"/>
        <v>15.75</v>
      </c>
      <c r="G8" s="592" t="s">
        <v>268</v>
      </c>
      <c r="H8" s="593">
        <v>2.5</v>
      </c>
      <c r="I8" s="593">
        <v>4.25</v>
      </c>
      <c r="J8" s="597"/>
      <c r="K8" s="598"/>
      <c r="L8" s="596"/>
      <c r="M8" s="592" t="s">
        <v>260</v>
      </c>
      <c r="N8" s="598"/>
      <c r="O8" s="593">
        <v>2.0</v>
      </c>
      <c r="P8" s="597"/>
      <c r="Q8" s="598"/>
      <c r="R8" s="595">
        <v>0.5</v>
      </c>
      <c r="S8" s="594" t="s">
        <v>260</v>
      </c>
      <c r="T8" s="593">
        <v>2.5</v>
      </c>
      <c r="U8" s="593">
        <v>3.75</v>
      </c>
      <c r="V8" s="594" t="s">
        <v>259</v>
      </c>
      <c r="W8" s="598"/>
      <c r="X8" s="595"/>
      <c r="Y8" s="594" t="s">
        <v>260</v>
      </c>
      <c r="Z8" s="598"/>
      <c r="AA8" s="593">
        <v>2.0</v>
      </c>
      <c r="AB8" s="597"/>
      <c r="AC8" s="598"/>
      <c r="AD8" s="596"/>
      <c r="AE8" s="594" t="s">
        <v>268</v>
      </c>
      <c r="AF8" s="593">
        <v>2.5</v>
      </c>
      <c r="AG8" s="593">
        <v>3.25</v>
      </c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260</v>
      </c>
      <c r="H9" s="598"/>
      <c r="I9" s="593">
        <v>1.75</v>
      </c>
      <c r="J9" s="594"/>
      <c r="K9" s="598"/>
      <c r="L9" s="596"/>
      <c r="M9" s="592" t="s">
        <v>260</v>
      </c>
      <c r="N9" s="598"/>
      <c r="O9" s="593">
        <v>2.25</v>
      </c>
      <c r="P9" s="594"/>
      <c r="Q9" s="598"/>
      <c r="R9" s="596"/>
      <c r="S9" s="594" t="s">
        <v>260</v>
      </c>
      <c r="T9" s="593">
        <v>2.5</v>
      </c>
      <c r="U9" s="593">
        <v>2.25</v>
      </c>
      <c r="V9" s="594"/>
      <c r="W9" s="598"/>
      <c r="X9" s="596"/>
      <c r="Y9" s="594" t="s">
        <v>260</v>
      </c>
      <c r="Z9" s="598"/>
      <c r="AA9" s="599">
        <v>2.75</v>
      </c>
      <c r="AB9" s="594" t="s">
        <v>11</v>
      </c>
      <c r="AC9" s="593">
        <v>0.5</v>
      </c>
      <c r="AD9" s="595">
        <v>0.5</v>
      </c>
      <c r="AE9" s="594" t="s">
        <v>260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15</v>
      </c>
      <c r="D10" s="602">
        <f t="shared" si="2"/>
        <v>1</v>
      </c>
      <c r="E10" s="603">
        <f t="shared" si="3"/>
        <v>2.5</v>
      </c>
      <c r="F10" s="604">
        <f t="shared" si="4"/>
        <v>12.5</v>
      </c>
      <c r="G10" s="592" t="s">
        <v>260</v>
      </c>
      <c r="H10" s="598"/>
      <c r="I10" s="593">
        <v>1.75</v>
      </c>
      <c r="J10" s="597"/>
      <c r="K10" s="598"/>
      <c r="L10" s="596"/>
      <c r="M10" s="592" t="s">
        <v>260</v>
      </c>
      <c r="N10" s="598"/>
      <c r="O10" s="593">
        <v>2.5</v>
      </c>
      <c r="P10" s="594"/>
      <c r="Q10" s="598"/>
      <c r="R10" s="595"/>
      <c r="S10" s="594" t="s">
        <v>268</v>
      </c>
      <c r="T10" s="598"/>
      <c r="U10" s="593">
        <v>2.5</v>
      </c>
      <c r="V10" s="594"/>
      <c r="W10" s="598"/>
      <c r="X10" s="596"/>
      <c r="Y10" s="594" t="s">
        <v>260</v>
      </c>
      <c r="Z10" s="598"/>
      <c r="AA10" s="599">
        <v>2.25</v>
      </c>
      <c r="AB10" s="594"/>
      <c r="AC10" s="598"/>
      <c r="AD10" s="595"/>
      <c r="AE10" s="594" t="s">
        <v>268</v>
      </c>
      <c r="AF10" s="593">
        <v>2.5</v>
      </c>
      <c r="AG10" s="593">
        <v>3.5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264</v>
      </c>
      <c r="H11" s="593">
        <v>2.5</v>
      </c>
      <c r="I11" s="593">
        <v>3.75</v>
      </c>
      <c r="J11" s="594"/>
      <c r="K11" s="598"/>
      <c r="L11" s="596"/>
      <c r="M11" s="592" t="s">
        <v>260</v>
      </c>
      <c r="N11" s="598"/>
      <c r="O11" s="593">
        <v>2.0</v>
      </c>
      <c r="P11" s="594"/>
      <c r="Q11" s="593"/>
      <c r="R11" s="595"/>
      <c r="S11" s="594" t="s">
        <v>264</v>
      </c>
      <c r="T11" s="598"/>
      <c r="U11" s="593">
        <v>3.0</v>
      </c>
      <c r="V11" s="597"/>
      <c r="W11" s="598"/>
      <c r="X11" s="596"/>
      <c r="Y11" s="594" t="s">
        <v>268</v>
      </c>
      <c r="Z11" s="593">
        <v>2.5</v>
      </c>
      <c r="AA11" s="599">
        <v>3.0</v>
      </c>
      <c r="AB11" s="597"/>
      <c r="AC11" s="598"/>
      <c r="AD11" s="596"/>
      <c r="AE11" s="594" t="s">
        <v>260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260</v>
      </c>
      <c r="H12" s="598"/>
      <c r="I12" s="593">
        <v>2.0</v>
      </c>
      <c r="J12" s="594"/>
      <c r="K12" s="598"/>
      <c r="L12" s="595">
        <v>0.5</v>
      </c>
      <c r="M12" s="592" t="s">
        <v>270</v>
      </c>
      <c r="N12" s="598"/>
      <c r="O12" s="608">
        <v>2.75</v>
      </c>
      <c r="P12" s="597"/>
      <c r="Q12" s="598"/>
      <c r="R12" s="596"/>
      <c r="S12" s="594" t="s">
        <v>268</v>
      </c>
      <c r="T12" s="598"/>
      <c r="U12" s="593">
        <v>1.75</v>
      </c>
      <c r="V12" s="594" t="s">
        <v>262</v>
      </c>
      <c r="W12" s="598"/>
      <c r="X12" s="595"/>
      <c r="Y12" s="594" t="s">
        <v>260</v>
      </c>
      <c r="Z12" s="598"/>
      <c r="AA12" s="593">
        <v>2.25</v>
      </c>
      <c r="AB12" s="597"/>
      <c r="AC12" s="598"/>
      <c r="AD12" s="596"/>
      <c r="AE12" s="594" t="s">
        <v>264</v>
      </c>
      <c r="AF12" s="593">
        <v>2.5</v>
      </c>
      <c r="AG12" s="593">
        <v>3.75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14.5</v>
      </c>
      <c r="D13" s="602">
        <f t="shared" si="2"/>
        <v>1</v>
      </c>
      <c r="E13" s="603">
        <f t="shared" si="3"/>
        <v>2.5</v>
      </c>
      <c r="F13" s="604">
        <f t="shared" si="4"/>
        <v>12</v>
      </c>
      <c r="G13" s="592" t="s">
        <v>260</v>
      </c>
      <c r="H13" s="606"/>
      <c r="I13" s="593">
        <v>2.25</v>
      </c>
      <c r="J13" s="594"/>
      <c r="K13" s="593"/>
      <c r="L13" s="596"/>
      <c r="M13" s="592" t="s">
        <v>260</v>
      </c>
      <c r="N13" s="606"/>
      <c r="O13" s="593">
        <v>2.5</v>
      </c>
      <c r="P13" s="597"/>
      <c r="Q13" s="598"/>
      <c r="R13" s="596"/>
      <c r="S13" s="594" t="s">
        <v>270</v>
      </c>
      <c r="T13" s="605">
        <v>2.5</v>
      </c>
      <c r="U13" s="593">
        <v>2.5</v>
      </c>
      <c r="V13" s="594"/>
      <c r="W13" s="598"/>
      <c r="X13" s="596"/>
      <c r="Y13" s="594" t="s">
        <v>260</v>
      </c>
      <c r="Z13" s="606"/>
      <c r="AA13" s="599">
        <v>2.75</v>
      </c>
      <c r="AB13" s="597"/>
      <c r="AC13" s="598"/>
      <c r="AD13" s="596"/>
      <c r="AE13" s="594" t="s">
        <v>260</v>
      </c>
      <c r="AF13" s="606"/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260</v>
      </c>
      <c r="H14" s="598"/>
      <c r="I14" s="593">
        <v>2.75</v>
      </c>
      <c r="J14" s="594"/>
      <c r="K14" s="593"/>
      <c r="L14" s="595"/>
      <c r="M14" s="592" t="s">
        <v>268</v>
      </c>
      <c r="N14" s="593">
        <v>2.5</v>
      </c>
      <c r="O14" s="593">
        <v>3.0</v>
      </c>
      <c r="P14" s="594"/>
      <c r="Q14" s="593"/>
      <c r="R14" s="596"/>
      <c r="S14" s="594" t="s">
        <v>260</v>
      </c>
      <c r="T14" s="593">
        <v>2.5</v>
      </c>
      <c r="U14" s="593">
        <v>2.5</v>
      </c>
      <c r="V14" s="594" t="s">
        <v>259</v>
      </c>
      <c r="W14" s="598"/>
      <c r="X14" s="596"/>
      <c r="Y14" s="594" t="s">
        <v>270</v>
      </c>
      <c r="Z14" s="598"/>
      <c r="AA14" s="599">
        <v>2.25</v>
      </c>
      <c r="AB14" s="597"/>
      <c r="AC14" s="598"/>
      <c r="AD14" s="596"/>
      <c r="AE14" s="594" t="s">
        <v>260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22.75</v>
      </c>
      <c r="D15" s="611">
        <f t="shared" si="2"/>
        <v>3</v>
      </c>
      <c r="E15" s="612">
        <f t="shared" si="3"/>
        <v>7.5</v>
      </c>
      <c r="F15" s="613">
        <f t="shared" si="4"/>
        <v>15.25</v>
      </c>
      <c r="G15" s="614" t="s">
        <v>260</v>
      </c>
      <c r="H15" s="617"/>
      <c r="I15" s="615">
        <v>3.0</v>
      </c>
      <c r="J15" s="616"/>
      <c r="K15" s="617"/>
      <c r="L15" s="618"/>
      <c r="M15" s="614" t="s">
        <v>264</v>
      </c>
      <c r="N15" s="615">
        <v>2.5</v>
      </c>
      <c r="O15" s="615">
        <v>3.75</v>
      </c>
      <c r="P15" s="616"/>
      <c r="Q15" s="617"/>
      <c r="R15" s="618"/>
      <c r="S15" s="619" t="s">
        <v>260</v>
      </c>
      <c r="T15" s="615">
        <v>2.5</v>
      </c>
      <c r="U15" s="615">
        <v>2.75</v>
      </c>
      <c r="V15" s="619"/>
      <c r="W15" s="617"/>
      <c r="X15" s="620">
        <v>0.5</v>
      </c>
      <c r="Y15" s="619" t="s">
        <v>268</v>
      </c>
      <c r="Z15" s="615">
        <v>2.5</v>
      </c>
      <c r="AA15" s="639">
        <v>3.5</v>
      </c>
      <c r="AB15" s="616"/>
      <c r="AC15" s="617"/>
      <c r="AD15" s="618"/>
      <c r="AE15" s="619" t="s">
        <v>260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343</v>
      </c>
      <c r="L16" s="551"/>
      <c r="M16" s="624" t="s">
        <v>342</v>
      </c>
      <c r="R16" s="551"/>
      <c r="S16" s="624" t="s">
        <v>344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 t="s">
        <v>258</v>
      </c>
      <c r="H18" s="556"/>
      <c r="I18" s="556"/>
      <c r="J18" s="556"/>
      <c r="K18" s="556"/>
      <c r="L18" s="557"/>
      <c r="M18" s="629" t="s">
        <v>258</v>
      </c>
      <c r="N18" s="556"/>
      <c r="O18" s="556"/>
      <c r="P18" s="556"/>
      <c r="Q18" s="556"/>
      <c r="R18" s="557"/>
      <c r="S18" s="629" t="s">
        <v>266</v>
      </c>
      <c r="T18" s="556"/>
      <c r="U18" s="556"/>
      <c r="V18" s="556"/>
      <c r="W18" s="556"/>
      <c r="X18" s="557"/>
      <c r="Y18" s="629" t="s">
        <v>258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6">
        <v>2.0</v>
      </c>
      <c r="B26" s="637" t="s">
        <v>95</v>
      </c>
      <c r="C26" s="637" t="s">
        <v>16</v>
      </c>
      <c r="D26" s="636">
        <v>0.5</v>
      </c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22.75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15.25</v>
      </c>
      <c r="G6" s="592" t="s">
        <v>260</v>
      </c>
      <c r="H6" s="606"/>
      <c r="I6" s="593">
        <v>1.75</v>
      </c>
      <c r="J6" s="594"/>
      <c r="K6" s="598"/>
      <c r="L6" s="596"/>
      <c r="M6" s="592" t="s">
        <v>260</v>
      </c>
      <c r="N6" s="605">
        <v>2.5</v>
      </c>
      <c r="O6" s="593">
        <v>3.75</v>
      </c>
      <c r="P6" s="597"/>
      <c r="Q6" s="598"/>
      <c r="R6" s="596"/>
      <c r="S6" s="594" t="s">
        <v>260</v>
      </c>
      <c r="T6" s="605">
        <v>2.5</v>
      </c>
      <c r="U6" s="593">
        <v>4.0</v>
      </c>
      <c r="V6" s="594"/>
      <c r="W6" s="598"/>
      <c r="X6" s="596"/>
      <c r="Y6" s="594" t="s">
        <v>260</v>
      </c>
      <c r="Z6" s="606"/>
      <c r="AA6" s="599">
        <v>2.25</v>
      </c>
      <c r="AB6" s="597"/>
      <c r="AC6" s="598"/>
      <c r="AD6" s="596"/>
      <c r="AE6" s="594" t="s">
        <v>260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20.75</v>
      </c>
      <c r="D7" s="602">
        <f t="shared" si="2"/>
        <v>3</v>
      </c>
      <c r="E7" s="603">
        <f t="shared" si="3"/>
        <v>7.5</v>
      </c>
      <c r="F7" s="604">
        <f t="shared" si="4"/>
        <v>13.25</v>
      </c>
      <c r="G7" s="592" t="s">
        <v>260</v>
      </c>
      <c r="H7" s="606"/>
      <c r="I7" s="593">
        <v>2.5</v>
      </c>
      <c r="J7" s="594" t="s">
        <v>11</v>
      </c>
      <c r="K7" s="598"/>
      <c r="L7" s="595">
        <v>0.5</v>
      </c>
      <c r="M7" s="592" t="s">
        <v>260</v>
      </c>
      <c r="N7" s="605">
        <v>2.5</v>
      </c>
      <c r="O7" s="593">
        <v>4.25</v>
      </c>
      <c r="P7" s="597"/>
      <c r="Q7" s="598"/>
      <c r="R7" s="596"/>
      <c r="S7" s="594" t="s">
        <v>260</v>
      </c>
      <c r="T7" s="605">
        <v>2.5</v>
      </c>
      <c r="U7" s="593">
        <v>2.5</v>
      </c>
      <c r="V7" s="594"/>
      <c r="W7" s="598"/>
      <c r="X7" s="596"/>
      <c r="Y7" s="594" t="s">
        <v>260</v>
      </c>
      <c r="Z7" s="606"/>
      <c r="AA7" s="599">
        <v>2.0</v>
      </c>
      <c r="AB7" s="594"/>
      <c r="AC7" s="593"/>
      <c r="AD7" s="595"/>
      <c r="AE7" s="594" t="s">
        <v>260</v>
      </c>
      <c r="AF7" s="605">
        <v>2.5</v>
      </c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16.5</v>
      </c>
      <c r="D8" s="602">
        <f t="shared" si="2"/>
        <v>1</v>
      </c>
      <c r="E8" s="603">
        <f t="shared" si="3"/>
        <v>2.5</v>
      </c>
      <c r="F8" s="604">
        <f t="shared" si="4"/>
        <v>14</v>
      </c>
      <c r="G8" s="592" t="s">
        <v>260</v>
      </c>
      <c r="H8" s="598"/>
      <c r="I8" s="593">
        <v>2.0</v>
      </c>
      <c r="J8" s="597"/>
      <c r="K8" s="598"/>
      <c r="L8" s="596"/>
      <c r="M8" s="592" t="s">
        <v>264</v>
      </c>
      <c r="N8" s="598"/>
      <c r="O8" s="593">
        <v>2.25</v>
      </c>
      <c r="P8" s="597"/>
      <c r="Q8" s="598"/>
      <c r="R8" s="596"/>
      <c r="S8" s="594" t="s">
        <v>260</v>
      </c>
      <c r="T8" s="593">
        <v>2.5</v>
      </c>
      <c r="U8" s="593">
        <v>5.0</v>
      </c>
      <c r="V8" s="594"/>
      <c r="W8" s="598"/>
      <c r="X8" s="595"/>
      <c r="Y8" s="594" t="s">
        <v>260</v>
      </c>
      <c r="Z8" s="598"/>
      <c r="AA8" s="593">
        <v>2.0</v>
      </c>
      <c r="AB8" s="597"/>
      <c r="AC8" s="598"/>
      <c r="AD8" s="596"/>
      <c r="AE8" s="594" t="s">
        <v>268</v>
      </c>
      <c r="AF8" s="598"/>
      <c r="AG8" s="593">
        <v>2.75</v>
      </c>
      <c r="AH8" s="594" t="s">
        <v>262</v>
      </c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16.5</v>
      </c>
      <c r="D9" s="602">
        <f t="shared" si="2"/>
        <v>1</v>
      </c>
      <c r="E9" s="603">
        <f t="shared" si="3"/>
        <v>2.5</v>
      </c>
      <c r="F9" s="604">
        <f t="shared" si="4"/>
        <v>14</v>
      </c>
      <c r="G9" s="592" t="s">
        <v>260</v>
      </c>
      <c r="H9" s="598"/>
      <c r="I9" s="593">
        <v>2.0</v>
      </c>
      <c r="J9" s="594"/>
      <c r="K9" s="598"/>
      <c r="L9" s="596"/>
      <c r="M9" s="592" t="s">
        <v>270</v>
      </c>
      <c r="N9" s="593">
        <v>2.5</v>
      </c>
      <c r="O9" s="593">
        <v>4.0</v>
      </c>
      <c r="P9" s="594"/>
      <c r="Q9" s="598"/>
      <c r="R9" s="596"/>
      <c r="S9" s="594" t="s">
        <v>268</v>
      </c>
      <c r="T9" s="598"/>
      <c r="U9" s="593">
        <v>2.5</v>
      </c>
      <c r="V9" s="594"/>
      <c r="W9" s="598"/>
      <c r="X9" s="596"/>
      <c r="Y9" s="594" t="s">
        <v>260</v>
      </c>
      <c r="Z9" s="598"/>
      <c r="AA9" s="599">
        <v>2.25</v>
      </c>
      <c r="AB9" s="594" t="s">
        <v>11</v>
      </c>
      <c r="AC9" s="598"/>
      <c r="AD9" s="595">
        <v>0.5</v>
      </c>
      <c r="AE9" s="594" t="s">
        <v>264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18.25</v>
      </c>
      <c r="D10" s="602">
        <f t="shared" si="2"/>
        <v>2</v>
      </c>
      <c r="E10" s="603">
        <f t="shared" si="3"/>
        <v>5</v>
      </c>
      <c r="F10" s="604">
        <f t="shared" si="4"/>
        <v>13.25</v>
      </c>
      <c r="G10" s="592" t="s">
        <v>268</v>
      </c>
      <c r="H10" s="593">
        <v>2.5</v>
      </c>
      <c r="I10" s="593">
        <v>2.75</v>
      </c>
      <c r="J10" s="597"/>
      <c r="K10" s="598"/>
      <c r="L10" s="596"/>
      <c r="M10" s="592" t="s">
        <v>268</v>
      </c>
      <c r="N10" s="598"/>
      <c r="O10" s="593">
        <v>2.5</v>
      </c>
      <c r="P10" s="594"/>
      <c r="Q10" s="598"/>
      <c r="R10" s="595"/>
      <c r="S10" s="594" t="s">
        <v>260</v>
      </c>
      <c r="T10" s="593">
        <v>2.5</v>
      </c>
      <c r="U10" s="593">
        <v>3.0</v>
      </c>
      <c r="V10" s="594"/>
      <c r="W10" s="598"/>
      <c r="X10" s="596"/>
      <c r="Y10" s="594" t="s">
        <v>270</v>
      </c>
      <c r="Z10" s="598"/>
      <c r="AA10" s="599">
        <v>3.25</v>
      </c>
      <c r="AB10" s="594"/>
      <c r="AC10" s="598"/>
      <c r="AD10" s="595"/>
      <c r="AE10" s="594" t="s">
        <v>268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123</v>
      </c>
      <c r="C11" s="588">
        <f t="shared" si="1"/>
        <v>26.5</v>
      </c>
      <c r="D11" s="602">
        <f t="shared" si="2"/>
        <v>4</v>
      </c>
      <c r="E11" s="603">
        <f t="shared" si="3"/>
        <v>10</v>
      </c>
      <c r="F11" s="604">
        <f t="shared" si="4"/>
        <v>16.5</v>
      </c>
      <c r="G11" s="592" t="s">
        <v>268</v>
      </c>
      <c r="H11" s="593">
        <v>2.5</v>
      </c>
      <c r="I11" s="593">
        <v>3.75</v>
      </c>
      <c r="J11" s="594"/>
      <c r="K11" s="598"/>
      <c r="L11" s="596"/>
      <c r="M11" s="592" t="s">
        <v>260</v>
      </c>
      <c r="N11" s="593">
        <v>2.5</v>
      </c>
      <c r="O11" s="593">
        <v>4.5</v>
      </c>
      <c r="P11" s="594"/>
      <c r="Q11" s="593"/>
      <c r="R11" s="595"/>
      <c r="S11" s="594" t="s">
        <v>268</v>
      </c>
      <c r="T11" s="598"/>
      <c r="U11" s="593">
        <v>2.5</v>
      </c>
      <c r="V11" s="597"/>
      <c r="W11" s="598"/>
      <c r="X11" s="596"/>
      <c r="Y11" s="594" t="s">
        <v>264</v>
      </c>
      <c r="Z11" s="593">
        <v>2.5</v>
      </c>
      <c r="AA11" s="599">
        <v>3.25</v>
      </c>
      <c r="AB11" s="597"/>
      <c r="AC11" s="598"/>
      <c r="AD11" s="596"/>
      <c r="AE11" s="594" t="s">
        <v>270</v>
      </c>
      <c r="AF11" s="593">
        <v>2.5</v>
      </c>
      <c r="AG11" s="608">
        <v>2.5</v>
      </c>
      <c r="AH11" s="594" t="s">
        <v>259</v>
      </c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22.5</v>
      </c>
      <c r="D12" s="602">
        <f t="shared" si="2"/>
        <v>4</v>
      </c>
      <c r="E12" s="603">
        <f t="shared" si="3"/>
        <v>10</v>
      </c>
      <c r="F12" s="604">
        <f t="shared" si="4"/>
        <v>12.5</v>
      </c>
      <c r="G12" s="592" t="s">
        <v>260</v>
      </c>
      <c r="H12" s="598"/>
      <c r="I12" s="608">
        <v>2.5</v>
      </c>
      <c r="J12" s="594"/>
      <c r="K12" s="598"/>
      <c r="L12" s="596"/>
      <c r="M12" s="592" t="s">
        <v>260</v>
      </c>
      <c r="N12" s="593">
        <v>2.5</v>
      </c>
      <c r="O12" s="593">
        <v>2.75</v>
      </c>
      <c r="P12" s="594" t="s">
        <v>11</v>
      </c>
      <c r="Q12" s="598"/>
      <c r="R12" s="595">
        <v>0.5</v>
      </c>
      <c r="S12" s="594" t="s">
        <v>270</v>
      </c>
      <c r="T12" s="593">
        <v>2.5</v>
      </c>
      <c r="U12" s="593">
        <v>3.25</v>
      </c>
      <c r="V12" s="594"/>
      <c r="W12" s="598"/>
      <c r="X12" s="595"/>
      <c r="Y12" s="594" t="s">
        <v>268</v>
      </c>
      <c r="Z12" s="593">
        <v>2.5</v>
      </c>
      <c r="AA12" s="593">
        <v>2.25</v>
      </c>
      <c r="AB12" s="597"/>
      <c r="AC12" s="598"/>
      <c r="AD12" s="596"/>
      <c r="AE12" s="594" t="s">
        <v>260</v>
      </c>
      <c r="AF12" s="593">
        <v>2.5</v>
      </c>
      <c r="AG12" s="593">
        <v>1.25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19</v>
      </c>
      <c r="D13" s="602">
        <f t="shared" si="2"/>
        <v>3</v>
      </c>
      <c r="E13" s="603">
        <f t="shared" si="3"/>
        <v>7.5</v>
      </c>
      <c r="F13" s="604">
        <f t="shared" si="4"/>
        <v>11.5</v>
      </c>
      <c r="G13" s="592" t="s">
        <v>260</v>
      </c>
      <c r="H13" s="606"/>
      <c r="I13" s="593">
        <v>1.75</v>
      </c>
      <c r="J13" s="594"/>
      <c r="K13" s="593"/>
      <c r="L13" s="596"/>
      <c r="M13" s="592" t="s">
        <v>268</v>
      </c>
      <c r="N13" s="606"/>
      <c r="O13" s="593">
        <v>1.75</v>
      </c>
      <c r="P13" s="597"/>
      <c r="Q13" s="598"/>
      <c r="R13" s="596"/>
      <c r="S13" s="594" t="s">
        <v>260</v>
      </c>
      <c r="T13" s="605">
        <v>2.5</v>
      </c>
      <c r="U13" s="593">
        <v>2.5</v>
      </c>
      <c r="V13" s="594"/>
      <c r="W13" s="598"/>
      <c r="X13" s="596"/>
      <c r="Y13" s="594" t="s">
        <v>268</v>
      </c>
      <c r="Z13" s="605">
        <v>2.5</v>
      </c>
      <c r="AA13" s="640">
        <v>3.5</v>
      </c>
      <c r="AB13" s="594" t="s">
        <v>259</v>
      </c>
      <c r="AC13" s="598"/>
      <c r="AD13" s="596"/>
      <c r="AE13" s="594" t="s">
        <v>260</v>
      </c>
      <c r="AF13" s="605">
        <v>2.5</v>
      </c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23.25</v>
      </c>
      <c r="D14" s="602">
        <f t="shared" si="2"/>
        <v>3</v>
      </c>
      <c r="E14" s="603">
        <f t="shared" si="3"/>
        <v>7.5</v>
      </c>
      <c r="F14" s="604">
        <f t="shared" si="4"/>
        <v>15.75</v>
      </c>
      <c r="G14" s="592" t="s">
        <v>270</v>
      </c>
      <c r="H14" s="598"/>
      <c r="I14" s="593">
        <v>2.0</v>
      </c>
      <c r="J14" s="594"/>
      <c r="K14" s="593"/>
      <c r="L14" s="595"/>
      <c r="M14" s="592" t="s">
        <v>260</v>
      </c>
      <c r="N14" s="593">
        <v>2.5</v>
      </c>
      <c r="O14" s="593">
        <v>3.0</v>
      </c>
      <c r="P14" s="594"/>
      <c r="Q14" s="593"/>
      <c r="R14" s="596"/>
      <c r="S14" s="594" t="s">
        <v>260</v>
      </c>
      <c r="T14" s="593">
        <v>2.5</v>
      </c>
      <c r="U14" s="593">
        <v>3.25</v>
      </c>
      <c r="V14" s="594" t="s">
        <v>11</v>
      </c>
      <c r="W14" s="593">
        <v>0.5</v>
      </c>
      <c r="X14" s="595">
        <v>0.5</v>
      </c>
      <c r="Y14" s="594" t="s">
        <v>260</v>
      </c>
      <c r="Z14" s="598"/>
      <c r="AA14" s="599">
        <v>2.0</v>
      </c>
      <c r="AB14" s="594" t="s">
        <v>262</v>
      </c>
      <c r="AC14" s="598"/>
      <c r="AD14" s="596"/>
      <c r="AE14" s="594" t="s">
        <v>260</v>
      </c>
      <c r="AF14" s="593">
        <v>2.5</v>
      </c>
      <c r="AG14" s="593">
        <v>4.5</v>
      </c>
      <c r="AH14" s="594" t="s">
        <v>259</v>
      </c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22.5</v>
      </c>
      <c r="D15" s="611">
        <f t="shared" si="2"/>
        <v>3</v>
      </c>
      <c r="E15" s="612">
        <f t="shared" si="3"/>
        <v>7.5</v>
      </c>
      <c r="F15" s="613">
        <f t="shared" si="4"/>
        <v>15</v>
      </c>
      <c r="G15" s="614" t="s">
        <v>264</v>
      </c>
      <c r="H15" s="615">
        <v>2.5</v>
      </c>
      <c r="I15" s="615">
        <v>4.0</v>
      </c>
      <c r="J15" s="616"/>
      <c r="K15" s="617"/>
      <c r="L15" s="618"/>
      <c r="M15" s="614" t="s">
        <v>260</v>
      </c>
      <c r="N15" s="615">
        <v>2.5</v>
      </c>
      <c r="O15" s="615">
        <v>3.5</v>
      </c>
      <c r="P15" s="616"/>
      <c r="Q15" s="617"/>
      <c r="R15" s="618"/>
      <c r="S15" s="619" t="s">
        <v>264</v>
      </c>
      <c r="T15" s="617"/>
      <c r="U15" s="615">
        <v>1.5</v>
      </c>
      <c r="V15" s="619"/>
      <c r="W15" s="617"/>
      <c r="X15" s="618"/>
      <c r="Y15" s="619" t="s">
        <v>260</v>
      </c>
      <c r="Z15" s="617"/>
      <c r="AA15" s="639">
        <v>2.0</v>
      </c>
      <c r="AB15" s="619" t="s">
        <v>262</v>
      </c>
      <c r="AC15" s="617"/>
      <c r="AD15" s="618"/>
      <c r="AE15" s="619" t="s">
        <v>260</v>
      </c>
      <c r="AF15" s="615">
        <v>2.5</v>
      </c>
      <c r="AG15" s="615">
        <v>4.0</v>
      </c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 t="s">
        <v>258</v>
      </c>
      <c r="H18" s="556"/>
      <c r="I18" s="556"/>
      <c r="J18" s="556"/>
      <c r="K18" s="556"/>
      <c r="L18" s="557"/>
      <c r="M18" s="629" t="s">
        <v>256</v>
      </c>
      <c r="N18" s="556"/>
      <c r="O18" s="556"/>
      <c r="P18" s="556"/>
      <c r="Q18" s="556"/>
      <c r="R18" s="557"/>
      <c r="S18" s="629" t="s">
        <v>256</v>
      </c>
      <c r="T18" s="556"/>
      <c r="U18" s="556"/>
      <c r="V18" s="556"/>
      <c r="W18" s="556"/>
      <c r="X18" s="557"/>
      <c r="Y18" s="629" t="s">
        <v>271</v>
      </c>
      <c r="Z18" s="556"/>
      <c r="AA18" s="556"/>
      <c r="AB18" s="556"/>
      <c r="AC18" s="556"/>
      <c r="AD18" s="557"/>
      <c r="AE18" s="629" t="s">
        <v>266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6">
        <v>1.0</v>
      </c>
      <c r="B26" s="637" t="s">
        <v>96</v>
      </c>
      <c r="C26" s="637" t="s">
        <v>16</v>
      </c>
      <c r="D26" s="636">
        <v>-0.5</v>
      </c>
      <c r="E26" s="638"/>
      <c r="F26" s="638"/>
      <c r="AK26" s="59"/>
    </row>
    <row r="27">
      <c r="A27" s="637">
        <v>4.0</v>
      </c>
      <c r="B27" s="637" t="s">
        <v>135</v>
      </c>
      <c r="C27" s="637" t="s">
        <v>16</v>
      </c>
      <c r="D27" s="637">
        <v>-0.5</v>
      </c>
      <c r="E27" s="59"/>
      <c r="F27" s="59"/>
      <c r="AK27" s="59"/>
    </row>
    <row r="28">
      <c r="A28" s="637">
        <v>5.0</v>
      </c>
      <c r="B28" s="637" t="s">
        <v>123</v>
      </c>
      <c r="C28" s="637" t="s">
        <v>16</v>
      </c>
      <c r="D28" s="637">
        <v>-0.5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17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</v>
      </c>
      <c r="G6" s="592" t="s">
        <v>260</v>
      </c>
      <c r="H6" s="606"/>
      <c r="I6" s="593">
        <v>1.75</v>
      </c>
      <c r="J6" s="594"/>
      <c r="K6" s="598"/>
      <c r="L6" s="596"/>
      <c r="M6" s="592" t="s">
        <v>268</v>
      </c>
      <c r="N6" s="605">
        <v>2.5</v>
      </c>
      <c r="O6" s="593">
        <v>2.5</v>
      </c>
      <c r="P6" s="597"/>
      <c r="Q6" s="598"/>
      <c r="R6" s="596"/>
      <c r="S6" s="594" t="s">
        <v>260</v>
      </c>
      <c r="T6" s="606"/>
      <c r="U6" s="593">
        <v>2.25</v>
      </c>
      <c r="V6" s="594" t="s">
        <v>262</v>
      </c>
      <c r="W6" s="598"/>
      <c r="X6" s="596"/>
      <c r="Y6" s="594" t="s">
        <v>260</v>
      </c>
      <c r="Z6" s="606"/>
      <c r="AA6" s="599">
        <v>1.5</v>
      </c>
      <c r="AB6" s="597"/>
      <c r="AC6" s="598"/>
      <c r="AD6" s="596"/>
      <c r="AE6" s="594" t="s">
        <v>260</v>
      </c>
      <c r="AF6" s="605">
        <v>2.5</v>
      </c>
      <c r="AG6" s="593">
        <v>4.0</v>
      </c>
      <c r="AH6" s="594" t="s">
        <v>259</v>
      </c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22.5</v>
      </c>
      <c r="D7" s="602">
        <f t="shared" si="2"/>
        <v>3</v>
      </c>
      <c r="E7" s="603">
        <f t="shared" si="3"/>
        <v>7.5</v>
      </c>
      <c r="F7" s="604">
        <f t="shared" si="4"/>
        <v>15</v>
      </c>
      <c r="G7" s="592" t="s">
        <v>260</v>
      </c>
      <c r="H7" s="606"/>
      <c r="I7" s="593">
        <v>2.75</v>
      </c>
      <c r="J7" s="594"/>
      <c r="K7" s="598"/>
      <c r="L7" s="596"/>
      <c r="M7" s="592" t="s">
        <v>260</v>
      </c>
      <c r="N7" s="606"/>
      <c r="O7" s="593">
        <v>3.25</v>
      </c>
      <c r="P7" s="597"/>
      <c r="Q7" s="598"/>
      <c r="R7" s="596"/>
      <c r="S7" s="594" t="s">
        <v>268</v>
      </c>
      <c r="T7" s="605">
        <v>2.5</v>
      </c>
      <c r="U7" s="593">
        <v>2.5</v>
      </c>
      <c r="V7" s="594"/>
      <c r="W7" s="598"/>
      <c r="X7" s="596"/>
      <c r="Y7" s="594" t="s">
        <v>264</v>
      </c>
      <c r="Z7" s="605">
        <v>2.5</v>
      </c>
      <c r="AA7" s="599">
        <v>4.0</v>
      </c>
      <c r="AB7" s="594"/>
      <c r="AC7" s="593"/>
      <c r="AD7" s="595"/>
      <c r="AE7" s="594" t="s">
        <v>260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14</v>
      </c>
      <c r="D8" s="602">
        <f t="shared" si="2"/>
        <v>2</v>
      </c>
      <c r="E8" s="603">
        <f t="shared" si="3"/>
        <v>5</v>
      </c>
      <c r="F8" s="604">
        <f t="shared" si="4"/>
        <v>9</v>
      </c>
      <c r="G8" s="592" t="s">
        <v>264</v>
      </c>
      <c r="H8" s="593">
        <v>2.5</v>
      </c>
      <c r="I8" s="593">
        <v>3.0</v>
      </c>
      <c r="J8" s="597"/>
      <c r="K8" s="598"/>
      <c r="L8" s="596"/>
      <c r="M8" s="592" t="s">
        <v>260</v>
      </c>
      <c r="N8" s="598"/>
      <c r="O8" s="608">
        <v>0.0</v>
      </c>
      <c r="P8" s="597"/>
      <c r="Q8" s="598"/>
      <c r="R8" s="596"/>
      <c r="S8" s="594" t="s">
        <v>260</v>
      </c>
      <c r="T8" s="598"/>
      <c r="U8" s="608">
        <v>1.0</v>
      </c>
      <c r="V8" s="594"/>
      <c r="W8" s="598"/>
      <c r="X8" s="595"/>
      <c r="Y8" s="594" t="s">
        <v>260</v>
      </c>
      <c r="Z8" s="598"/>
      <c r="AA8" s="593">
        <v>2.25</v>
      </c>
      <c r="AB8" s="597"/>
      <c r="AC8" s="598"/>
      <c r="AD8" s="596"/>
      <c r="AE8" s="594" t="s">
        <v>270</v>
      </c>
      <c r="AF8" s="593">
        <v>2.5</v>
      </c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19.25</v>
      </c>
      <c r="D9" s="602">
        <f t="shared" si="2"/>
        <v>2</v>
      </c>
      <c r="E9" s="603">
        <f t="shared" si="3"/>
        <v>5</v>
      </c>
      <c r="F9" s="604">
        <f t="shared" si="4"/>
        <v>14.25</v>
      </c>
      <c r="G9" s="592" t="s">
        <v>268</v>
      </c>
      <c r="H9" s="593">
        <v>2.5</v>
      </c>
      <c r="I9" s="641">
        <v>3.5</v>
      </c>
      <c r="J9" s="594"/>
      <c r="K9" s="598"/>
      <c r="L9" s="596"/>
      <c r="M9" s="592" t="s">
        <v>260</v>
      </c>
      <c r="N9" s="598"/>
      <c r="O9" s="593">
        <v>3.5</v>
      </c>
      <c r="P9" s="594"/>
      <c r="Q9" s="598"/>
      <c r="R9" s="596"/>
      <c r="S9" s="594" t="s">
        <v>268</v>
      </c>
      <c r="T9" s="593">
        <v>2.5</v>
      </c>
      <c r="U9" s="593">
        <v>3.0</v>
      </c>
      <c r="V9" s="594"/>
      <c r="W9" s="598"/>
      <c r="X9" s="596"/>
      <c r="Y9" s="594" t="s">
        <v>260</v>
      </c>
      <c r="Z9" s="598"/>
      <c r="AA9" s="599">
        <v>1.75</v>
      </c>
      <c r="AB9" s="597"/>
      <c r="AC9" s="598"/>
      <c r="AD9" s="596"/>
      <c r="AE9" s="594" t="s">
        <v>268</v>
      </c>
      <c r="AF9" s="598"/>
      <c r="AG9" s="593">
        <v>2.5</v>
      </c>
      <c r="AH9" s="594" t="s">
        <v>262</v>
      </c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17.5</v>
      </c>
      <c r="D10" s="602">
        <f t="shared" si="2"/>
        <v>2</v>
      </c>
      <c r="E10" s="603">
        <f t="shared" si="3"/>
        <v>5</v>
      </c>
      <c r="F10" s="604">
        <f t="shared" si="4"/>
        <v>12.5</v>
      </c>
      <c r="G10" s="592" t="s">
        <v>270</v>
      </c>
      <c r="H10" s="598"/>
      <c r="I10" s="593">
        <v>2.0</v>
      </c>
      <c r="J10" s="597"/>
      <c r="K10" s="598"/>
      <c r="L10" s="596"/>
      <c r="M10" s="592" t="s">
        <v>268</v>
      </c>
      <c r="N10" s="593">
        <v>2.5</v>
      </c>
      <c r="O10" s="593">
        <v>2.0</v>
      </c>
      <c r="P10" s="594"/>
      <c r="Q10" s="598"/>
      <c r="R10" s="595"/>
      <c r="S10" s="594" t="s">
        <v>260</v>
      </c>
      <c r="T10" s="598"/>
      <c r="U10" s="593">
        <v>3.0</v>
      </c>
      <c r="V10" s="594"/>
      <c r="W10" s="598"/>
      <c r="X10" s="596"/>
      <c r="Y10" s="594" t="s">
        <v>270</v>
      </c>
      <c r="Z10" s="598"/>
      <c r="AA10" s="599">
        <v>2.25</v>
      </c>
      <c r="AB10" s="594"/>
      <c r="AC10" s="598"/>
      <c r="AD10" s="595"/>
      <c r="AE10" s="594" t="s">
        <v>260</v>
      </c>
      <c r="AF10" s="593">
        <v>2.5</v>
      </c>
      <c r="AG10" s="593">
        <v>3.25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15.25</v>
      </c>
      <c r="D11" s="602">
        <f t="shared" si="2"/>
        <v>1</v>
      </c>
      <c r="E11" s="603">
        <f t="shared" si="3"/>
        <v>2.5</v>
      </c>
      <c r="F11" s="604">
        <f t="shared" si="4"/>
        <v>12.75</v>
      </c>
      <c r="G11" s="592" t="s">
        <v>260</v>
      </c>
      <c r="H11" s="598"/>
      <c r="I11" s="593">
        <v>2.25</v>
      </c>
      <c r="J11" s="594"/>
      <c r="K11" s="598"/>
      <c r="L11" s="596"/>
      <c r="M11" s="592" t="s">
        <v>260</v>
      </c>
      <c r="N11" s="598"/>
      <c r="O11" s="593">
        <v>2.0</v>
      </c>
      <c r="P11" s="594"/>
      <c r="Q11" s="593"/>
      <c r="R11" s="595"/>
      <c r="S11" s="594" t="s">
        <v>270</v>
      </c>
      <c r="T11" s="598"/>
      <c r="U11" s="593">
        <v>2.0</v>
      </c>
      <c r="V11" s="597"/>
      <c r="W11" s="598"/>
      <c r="X11" s="596"/>
      <c r="Y11" s="594" t="s">
        <v>260</v>
      </c>
      <c r="Z11" s="598"/>
      <c r="AA11" s="599">
        <v>2.5</v>
      </c>
      <c r="AB11" s="597"/>
      <c r="AC11" s="598"/>
      <c r="AD11" s="595">
        <v>0.5</v>
      </c>
      <c r="AE11" s="594" t="s">
        <v>260</v>
      </c>
      <c r="AF11" s="593">
        <v>2.5</v>
      </c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21.75</v>
      </c>
      <c r="D12" s="602">
        <f t="shared" si="2"/>
        <v>3</v>
      </c>
      <c r="E12" s="603">
        <f t="shared" si="3"/>
        <v>7.5</v>
      </c>
      <c r="F12" s="604">
        <f t="shared" si="4"/>
        <v>14.25</v>
      </c>
      <c r="G12" s="592" t="s">
        <v>260</v>
      </c>
      <c r="H12" s="598"/>
      <c r="I12" s="593">
        <v>2.0</v>
      </c>
      <c r="J12" s="594"/>
      <c r="K12" s="598"/>
      <c r="L12" s="596"/>
      <c r="M12" s="592" t="s">
        <v>260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264</v>
      </c>
      <c r="T12" s="593">
        <v>2.5</v>
      </c>
      <c r="U12" s="593">
        <v>3.5</v>
      </c>
      <c r="V12" s="594" t="s">
        <v>259</v>
      </c>
      <c r="W12" s="598"/>
      <c r="X12" s="595"/>
      <c r="Y12" s="594" t="s">
        <v>268</v>
      </c>
      <c r="Z12" s="593">
        <v>2.5</v>
      </c>
      <c r="AA12" s="593">
        <v>3.5</v>
      </c>
      <c r="AB12" s="597"/>
      <c r="AC12" s="598"/>
      <c r="AD12" s="596"/>
      <c r="AE12" s="594" t="s">
        <v>260</v>
      </c>
      <c r="AF12" s="593">
        <v>2.5</v>
      </c>
      <c r="AG12" s="593">
        <v>2.5</v>
      </c>
      <c r="AH12" s="594" t="s">
        <v>259</v>
      </c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16.75</v>
      </c>
      <c r="D13" s="602">
        <f t="shared" si="2"/>
        <v>1</v>
      </c>
      <c r="E13" s="603">
        <f t="shared" si="3"/>
        <v>2.5</v>
      </c>
      <c r="F13" s="604">
        <f t="shared" si="4"/>
        <v>14.25</v>
      </c>
      <c r="G13" s="592" t="s">
        <v>260</v>
      </c>
      <c r="H13" s="606"/>
      <c r="I13" s="593">
        <v>1.75</v>
      </c>
      <c r="J13" s="594"/>
      <c r="K13" s="593"/>
      <c r="L13" s="596"/>
      <c r="M13" s="592" t="s">
        <v>270</v>
      </c>
      <c r="N13" s="606"/>
      <c r="O13" s="593">
        <v>3.0</v>
      </c>
      <c r="P13" s="597"/>
      <c r="Q13" s="598"/>
      <c r="R13" s="596"/>
      <c r="S13" s="594" t="s">
        <v>260</v>
      </c>
      <c r="T13" s="606"/>
      <c r="U13" s="593">
        <v>2.75</v>
      </c>
      <c r="V13" s="594" t="s">
        <v>11</v>
      </c>
      <c r="W13" s="593">
        <v>0.5</v>
      </c>
      <c r="X13" s="595">
        <v>0.5</v>
      </c>
      <c r="Y13" s="594" t="s">
        <v>268</v>
      </c>
      <c r="Z13" s="605">
        <v>2.5</v>
      </c>
      <c r="AA13" s="599">
        <v>3.5</v>
      </c>
      <c r="AB13" s="597"/>
      <c r="AC13" s="598"/>
      <c r="AD13" s="596"/>
      <c r="AE13" s="594" t="s">
        <v>264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20.5</v>
      </c>
      <c r="D14" s="602">
        <f t="shared" si="2"/>
        <v>3</v>
      </c>
      <c r="E14" s="603">
        <f t="shared" si="3"/>
        <v>7.5</v>
      </c>
      <c r="F14" s="604">
        <f t="shared" si="4"/>
        <v>13</v>
      </c>
      <c r="G14" s="592" t="s">
        <v>268</v>
      </c>
      <c r="H14" s="593">
        <v>2.5</v>
      </c>
      <c r="I14" s="593">
        <v>3.5</v>
      </c>
      <c r="J14" s="594"/>
      <c r="K14" s="593"/>
      <c r="L14" s="595"/>
      <c r="M14" s="592" t="s">
        <v>264</v>
      </c>
      <c r="N14" s="593">
        <v>2.5</v>
      </c>
      <c r="O14" s="593">
        <v>2.5</v>
      </c>
      <c r="P14" s="594"/>
      <c r="Q14" s="593"/>
      <c r="R14" s="596"/>
      <c r="S14" s="594" t="s">
        <v>260</v>
      </c>
      <c r="T14" s="598"/>
      <c r="U14" s="593">
        <v>2.75</v>
      </c>
      <c r="V14" s="597"/>
      <c r="W14" s="598"/>
      <c r="X14" s="596"/>
      <c r="Y14" s="594" t="s">
        <v>260</v>
      </c>
      <c r="Z14" s="598"/>
      <c r="AA14" s="640">
        <v>1.5</v>
      </c>
      <c r="AB14" s="597"/>
      <c r="AC14" s="598"/>
      <c r="AD14" s="596"/>
      <c r="AE14" s="594" t="s">
        <v>260</v>
      </c>
      <c r="AF14" s="593">
        <v>2.5</v>
      </c>
      <c r="AG14" s="593">
        <v>2.25</v>
      </c>
      <c r="AH14" s="594" t="s">
        <v>11</v>
      </c>
      <c r="AI14" s="593"/>
      <c r="AJ14" s="595">
        <v>0.5</v>
      </c>
      <c r="AK14" s="596"/>
      <c r="AL14" s="601"/>
    </row>
    <row r="15">
      <c r="A15" s="609">
        <v>10.0</v>
      </c>
      <c r="B15" s="610" t="s">
        <v>119</v>
      </c>
      <c r="C15" s="588">
        <f t="shared" si="1"/>
        <v>14.75</v>
      </c>
      <c r="D15" s="611">
        <f t="shared" si="2"/>
        <v>0</v>
      </c>
      <c r="E15" s="612">
        <f t="shared" si="3"/>
        <v>0</v>
      </c>
      <c r="F15" s="613">
        <f t="shared" si="4"/>
        <v>14.75</v>
      </c>
      <c r="G15" s="614" t="s">
        <v>260</v>
      </c>
      <c r="H15" s="617"/>
      <c r="I15" s="615">
        <v>3.25</v>
      </c>
      <c r="J15" s="619" t="s">
        <v>11</v>
      </c>
      <c r="K15" s="615">
        <v>1.0</v>
      </c>
      <c r="L15" s="620">
        <v>0.5</v>
      </c>
      <c r="M15" s="614" t="s">
        <v>260</v>
      </c>
      <c r="N15" s="617"/>
      <c r="O15" s="615">
        <v>3.25</v>
      </c>
      <c r="P15" s="616"/>
      <c r="Q15" s="617"/>
      <c r="R15" s="618"/>
      <c r="S15" s="619" t="s">
        <v>260</v>
      </c>
      <c r="T15" s="617"/>
      <c r="U15" s="615">
        <v>1.75</v>
      </c>
      <c r="V15" s="619" t="s">
        <v>262</v>
      </c>
      <c r="W15" s="617"/>
      <c r="X15" s="618"/>
      <c r="Y15" s="619" t="s">
        <v>260</v>
      </c>
      <c r="Z15" s="617"/>
      <c r="AA15" s="639">
        <v>2.75</v>
      </c>
      <c r="AB15" s="616"/>
      <c r="AC15" s="617"/>
      <c r="AD15" s="618"/>
      <c r="AE15" s="619" t="s">
        <v>268</v>
      </c>
      <c r="AF15" s="617"/>
      <c r="AG15" s="615">
        <v>2.25</v>
      </c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 t="s">
        <v>258</v>
      </c>
      <c r="H18" s="556"/>
      <c r="I18" s="556"/>
      <c r="J18" s="556"/>
      <c r="K18" s="556"/>
      <c r="L18" s="557"/>
      <c r="M18" s="629" t="s">
        <v>258</v>
      </c>
      <c r="N18" s="556"/>
      <c r="O18" s="556"/>
      <c r="P18" s="556"/>
      <c r="Q18" s="556"/>
      <c r="R18" s="557"/>
      <c r="S18" s="629" t="s">
        <v>271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266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6">
        <v>2.0</v>
      </c>
      <c r="B26" s="637" t="s">
        <v>103</v>
      </c>
      <c r="C26" s="637" t="s">
        <v>288</v>
      </c>
      <c r="D26" s="636">
        <v>-1.0</v>
      </c>
      <c r="E26" s="638"/>
      <c r="F26" s="638"/>
      <c r="AK26" s="59"/>
    </row>
    <row r="27">
      <c r="A27" s="637">
        <v>3.0</v>
      </c>
      <c r="B27" s="637" t="s">
        <v>103</v>
      </c>
      <c r="C27" s="637" t="s">
        <v>16</v>
      </c>
      <c r="D27" s="637">
        <v>0.5</v>
      </c>
      <c r="E27" s="59"/>
      <c r="F27" s="59"/>
      <c r="AK27" s="59"/>
    </row>
    <row r="28">
      <c r="A28" s="637">
        <v>4.0</v>
      </c>
      <c r="B28" s="637" t="s">
        <v>91</v>
      </c>
      <c r="C28" s="637" t="s">
        <v>16</v>
      </c>
      <c r="D28" s="637">
        <v>0.5</v>
      </c>
      <c r="E28" s="59"/>
      <c r="F28" s="59"/>
      <c r="AK28" s="59"/>
    </row>
    <row r="29">
      <c r="A29" s="59"/>
      <c r="B29" s="59"/>
      <c r="C29" s="59"/>
      <c r="D29" s="637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16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13.5</v>
      </c>
      <c r="G6" s="592" t="s">
        <v>268</v>
      </c>
      <c r="H6" s="606"/>
      <c r="I6" s="593">
        <v>2.5</v>
      </c>
      <c r="J6" s="594"/>
      <c r="K6" s="598"/>
      <c r="L6" s="596"/>
      <c r="M6" s="592" t="s">
        <v>260</v>
      </c>
      <c r="N6" s="606"/>
      <c r="O6" s="593">
        <v>3.0</v>
      </c>
      <c r="P6" s="594" t="s">
        <v>262</v>
      </c>
      <c r="Q6" s="598"/>
      <c r="R6" s="596"/>
      <c r="S6" s="594" t="s">
        <v>260</v>
      </c>
      <c r="T6" s="606"/>
      <c r="U6" s="593">
        <v>2.25</v>
      </c>
      <c r="V6" s="594"/>
      <c r="W6" s="598"/>
      <c r="X6" s="596"/>
      <c r="Y6" s="594" t="s">
        <v>260</v>
      </c>
      <c r="Z6" s="606"/>
      <c r="AA6" s="599">
        <v>2.0</v>
      </c>
      <c r="AB6" s="597"/>
      <c r="AC6" s="598"/>
      <c r="AD6" s="596"/>
      <c r="AE6" s="594" t="s">
        <v>268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15.5</v>
      </c>
      <c r="D7" s="602">
        <f t="shared" si="2"/>
        <v>1</v>
      </c>
      <c r="E7" s="603">
        <f t="shared" si="3"/>
        <v>2.5</v>
      </c>
      <c r="F7" s="604">
        <f t="shared" si="4"/>
        <v>13</v>
      </c>
      <c r="G7" s="592" t="s">
        <v>260</v>
      </c>
      <c r="H7" s="605">
        <v>2.5</v>
      </c>
      <c r="I7" s="593">
        <v>3.0</v>
      </c>
      <c r="J7" s="594" t="s">
        <v>11</v>
      </c>
      <c r="K7" s="593">
        <v>0.5</v>
      </c>
      <c r="L7" s="595">
        <v>0.5</v>
      </c>
      <c r="M7" s="592" t="s">
        <v>260</v>
      </c>
      <c r="N7" s="606"/>
      <c r="O7" s="593">
        <v>2.25</v>
      </c>
      <c r="P7" s="597"/>
      <c r="Q7" s="598"/>
      <c r="R7" s="596"/>
      <c r="S7" s="594" t="s">
        <v>260</v>
      </c>
      <c r="T7" s="606"/>
      <c r="U7" s="593">
        <v>1.75</v>
      </c>
      <c r="V7" s="594"/>
      <c r="W7" s="598"/>
      <c r="X7" s="596"/>
      <c r="Y7" s="594" t="s">
        <v>260</v>
      </c>
      <c r="Z7" s="606"/>
      <c r="AA7" s="599">
        <v>1.75</v>
      </c>
      <c r="AB7" s="594"/>
      <c r="AC7" s="593"/>
      <c r="AD7" s="595"/>
      <c r="AE7" s="594" t="s">
        <v>260</v>
      </c>
      <c r="AF7" s="606"/>
      <c r="AG7" s="593">
        <v>2.25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94</v>
      </c>
      <c r="C8" s="588">
        <f t="shared" si="1"/>
        <v>14.25</v>
      </c>
      <c r="D8" s="602">
        <f t="shared" si="2"/>
        <v>1</v>
      </c>
      <c r="E8" s="603">
        <f t="shared" si="3"/>
        <v>2.5</v>
      </c>
      <c r="F8" s="604">
        <f t="shared" si="4"/>
        <v>11.75</v>
      </c>
      <c r="G8" s="592" t="s">
        <v>268</v>
      </c>
      <c r="H8" s="598"/>
      <c r="I8" s="593">
        <v>2.0</v>
      </c>
      <c r="J8" s="597"/>
      <c r="K8" s="598"/>
      <c r="L8" s="596"/>
      <c r="M8" s="592" t="s">
        <v>260</v>
      </c>
      <c r="N8" s="598"/>
      <c r="O8" s="593">
        <v>3.0</v>
      </c>
      <c r="P8" s="597"/>
      <c r="Q8" s="598"/>
      <c r="R8" s="596"/>
      <c r="S8" s="594" t="s">
        <v>270</v>
      </c>
      <c r="T8" s="598"/>
      <c r="U8" s="593">
        <v>2.0</v>
      </c>
      <c r="V8" s="594"/>
      <c r="W8" s="598"/>
      <c r="X8" s="595"/>
      <c r="Y8" s="594" t="s">
        <v>268</v>
      </c>
      <c r="Z8" s="593">
        <v>2.5</v>
      </c>
      <c r="AA8" s="593">
        <v>3.75</v>
      </c>
      <c r="AB8" s="597"/>
      <c r="AC8" s="598"/>
      <c r="AD8" s="596"/>
      <c r="AE8" s="594" t="s">
        <v>260</v>
      </c>
      <c r="AF8" s="598"/>
      <c r="AG8" s="593">
        <v>1.0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29</v>
      </c>
      <c r="D9" s="602">
        <f t="shared" si="2"/>
        <v>4</v>
      </c>
      <c r="E9" s="603">
        <f t="shared" si="3"/>
        <v>10</v>
      </c>
      <c r="F9" s="604">
        <f t="shared" si="4"/>
        <v>19</v>
      </c>
      <c r="G9" s="592" t="s">
        <v>260</v>
      </c>
      <c r="H9" s="593">
        <v>2.5</v>
      </c>
      <c r="I9" s="593">
        <v>4.0</v>
      </c>
      <c r="J9" s="594"/>
      <c r="K9" s="598"/>
      <c r="L9" s="596"/>
      <c r="M9" s="592" t="s">
        <v>268</v>
      </c>
      <c r="N9" s="593">
        <v>2.5</v>
      </c>
      <c r="O9" s="593">
        <v>2.5</v>
      </c>
      <c r="P9" s="594"/>
      <c r="Q9" s="598"/>
      <c r="R9" s="596"/>
      <c r="S9" s="594" t="s">
        <v>268</v>
      </c>
      <c r="T9" s="593">
        <v>2.5</v>
      </c>
      <c r="U9" s="593">
        <v>4.0</v>
      </c>
      <c r="V9" s="594"/>
      <c r="W9" s="598"/>
      <c r="X9" s="596"/>
      <c r="Y9" s="594" t="s">
        <v>260</v>
      </c>
      <c r="Z9" s="598"/>
      <c r="AA9" s="599">
        <v>3.5</v>
      </c>
      <c r="AB9" s="594" t="s">
        <v>11</v>
      </c>
      <c r="AC9" s="593">
        <v>0.5</v>
      </c>
      <c r="AD9" s="595">
        <v>0.5</v>
      </c>
      <c r="AE9" s="594" t="s">
        <v>268</v>
      </c>
      <c r="AF9" s="593">
        <v>2.5</v>
      </c>
      <c r="AG9" s="593">
        <v>4.0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17</v>
      </c>
      <c r="D10" s="602">
        <f t="shared" si="2"/>
        <v>1</v>
      </c>
      <c r="E10" s="603">
        <f t="shared" si="3"/>
        <v>2.5</v>
      </c>
      <c r="F10" s="604">
        <f t="shared" si="4"/>
        <v>14.5</v>
      </c>
      <c r="G10" s="592" t="s">
        <v>260</v>
      </c>
      <c r="H10" s="593">
        <v>2.5</v>
      </c>
      <c r="I10" s="593">
        <v>4.25</v>
      </c>
      <c r="J10" s="597"/>
      <c r="K10" s="598"/>
      <c r="L10" s="596"/>
      <c r="M10" s="592" t="s">
        <v>260</v>
      </c>
      <c r="N10" s="598"/>
      <c r="O10" s="593">
        <v>2.25</v>
      </c>
      <c r="P10" s="594"/>
      <c r="Q10" s="598"/>
      <c r="R10" s="595"/>
      <c r="S10" s="594" t="s">
        <v>260</v>
      </c>
      <c r="T10" s="598"/>
      <c r="U10" s="593">
        <v>1.75</v>
      </c>
      <c r="V10" s="594" t="s">
        <v>11</v>
      </c>
      <c r="W10" s="598"/>
      <c r="X10" s="595">
        <v>0.5</v>
      </c>
      <c r="Y10" s="594" t="s">
        <v>260</v>
      </c>
      <c r="Z10" s="598"/>
      <c r="AA10" s="599">
        <v>1.75</v>
      </c>
      <c r="AB10" s="594"/>
      <c r="AC10" s="598"/>
      <c r="AD10" s="595"/>
      <c r="AE10" s="594" t="s">
        <v>260</v>
      </c>
      <c r="AF10" s="598"/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19.5</v>
      </c>
      <c r="D11" s="602">
        <f t="shared" si="2"/>
        <v>2</v>
      </c>
      <c r="E11" s="603">
        <f t="shared" si="3"/>
        <v>5</v>
      </c>
      <c r="F11" s="604">
        <f t="shared" si="4"/>
        <v>14.5</v>
      </c>
      <c r="G11" s="592" t="s">
        <v>264</v>
      </c>
      <c r="H11" s="598"/>
      <c r="I11" s="593">
        <v>1.75</v>
      </c>
      <c r="J11" s="594"/>
      <c r="K11" s="598"/>
      <c r="L11" s="596"/>
      <c r="M11" s="592" t="s">
        <v>264</v>
      </c>
      <c r="N11" s="593">
        <v>2.5</v>
      </c>
      <c r="O11" s="593">
        <v>4.0</v>
      </c>
      <c r="P11" s="594" t="s">
        <v>259</v>
      </c>
      <c r="Q11" s="593"/>
      <c r="R11" s="595"/>
      <c r="S11" s="594" t="s">
        <v>260</v>
      </c>
      <c r="T11" s="598"/>
      <c r="U11" s="593">
        <v>1.75</v>
      </c>
      <c r="V11" s="597"/>
      <c r="W11" s="598"/>
      <c r="X11" s="596"/>
      <c r="Y11" s="594" t="s">
        <v>260</v>
      </c>
      <c r="Z11" s="598"/>
      <c r="AA11" s="599">
        <v>2.5</v>
      </c>
      <c r="AB11" s="597"/>
      <c r="AC11" s="598"/>
      <c r="AD11" s="596"/>
      <c r="AE11" s="594" t="s">
        <v>264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15.75</v>
      </c>
      <c r="D12" s="602">
        <f t="shared" si="2"/>
        <v>2</v>
      </c>
      <c r="E12" s="603">
        <f t="shared" si="3"/>
        <v>5</v>
      </c>
      <c r="F12" s="604">
        <f t="shared" si="4"/>
        <v>10.75</v>
      </c>
      <c r="G12" s="592" t="s">
        <v>270</v>
      </c>
      <c r="H12" s="593">
        <v>2.5</v>
      </c>
      <c r="I12" s="593">
        <v>4.0</v>
      </c>
      <c r="J12" s="594"/>
      <c r="K12" s="598"/>
      <c r="L12" s="596"/>
      <c r="M12" s="592" t="s">
        <v>260</v>
      </c>
      <c r="N12" s="598"/>
      <c r="O12" s="593">
        <v>1.5</v>
      </c>
      <c r="P12" s="597"/>
      <c r="Q12" s="598"/>
      <c r="R12" s="596"/>
      <c r="S12" s="594" t="s">
        <v>260</v>
      </c>
      <c r="T12" s="598"/>
      <c r="U12" s="593">
        <v>2.25</v>
      </c>
      <c r="V12" s="594"/>
      <c r="W12" s="598"/>
      <c r="X12" s="595"/>
      <c r="Y12" s="594" t="s">
        <v>264</v>
      </c>
      <c r="Z12" s="593">
        <v>2.5</v>
      </c>
      <c r="AA12" s="593">
        <v>2.0</v>
      </c>
      <c r="AB12" s="597"/>
      <c r="AC12" s="598"/>
      <c r="AD12" s="596"/>
      <c r="AE12" s="594" t="s">
        <v>260</v>
      </c>
      <c r="AF12" s="598"/>
      <c r="AG12" s="593">
        <v>1.0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17.5</v>
      </c>
      <c r="D13" s="602">
        <f t="shared" si="2"/>
        <v>2</v>
      </c>
      <c r="E13" s="603">
        <f t="shared" si="3"/>
        <v>5</v>
      </c>
      <c r="F13" s="604">
        <f t="shared" si="4"/>
        <v>12.5</v>
      </c>
      <c r="G13" s="592" t="s">
        <v>260</v>
      </c>
      <c r="H13" s="605">
        <v>2.5</v>
      </c>
      <c r="I13" s="593">
        <v>3.75</v>
      </c>
      <c r="J13" s="594"/>
      <c r="K13" s="593"/>
      <c r="L13" s="596"/>
      <c r="M13" s="592" t="s">
        <v>260</v>
      </c>
      <c r="N13" s="606"/>
      <c r="O13" s="593">
        <v>2.0</v>
      </c>
      <c r="P13" s="594" t="s">
        <v>262</v>
      </c>
      <c r="Q13" s="598"/>
      <c r="R13" s="596"/>
      <c r="S13" s="594" t="s">
        <v>268</v>
      </c>
      <c r="T13" s="605">
        <v>2.5</v>
      </c>
      <c r="U13" s="593">
        <v>3.75</v>
      </c>
      <c r="V13" s="594"/>
      <c r="W13" s="598"/>
      <c r="X13" s="596"/>
      <c r="Y13" s="594" t="s">
        <v>260</v>
      </c>
      <c r="Z13" s="606"/>
      <c r="AA13" s="599">
        <v>2.0</v>
      </c>
      <c r="AB13" s="597"/>
      <c r="AC13" s="598"/>
      <c r="AD13" s="596"/>
      <c r="AE13" s="594" t="s">
        <v>260</v>
      </c>
      <c r="AF13" s="606"/>
      <c r="AG13" s="593">
        <v>1.0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19</v>
      </c>
      <c r="D14" s="602">
        <f t="shared" si="2"/>
        <v>2</v>
      </c>
      <c r="E14" s="603">
        <f t="shared" si="3"/>
        <v>5</v>
      </c>
      <c r="F14" s="604">
        <f t="shared" si="4"/>
        <v>14</v>
      </c>
      <c r="G14" s="592" t="s">
        <v>260</v>
      </c>
      <c r="H14" s="593">
        <v>2.5</v>
      </c>
      <c r="I14" s="593">
        <v>3.25</v>
      </c>
      <c r="J14" s="594"/>
      <c r="K14" s="593"/>
      <c r="L14" s="595"/>
      <c r="M14" s="592" t="s">
        <v>270</v>
      </c>
      <c r="N14" s="598"/>
      <c r="O14" s="593">
        <v>3.25</v>
      </c>
      <c r="P14" s="594" t="s">
        <v>11</v>
      </c>
      <c r="Q14" s="593">
        <v>0.5</v>
      </c>
      <c r="R14" s="595">
        <v>0.5</v>
      </c>
      <c r="S14" s="594" t="s">
        <v>264</v>
      </c>
      <c r="T14" s="593">
        <v>2.5</v>
      </c>
      <c r="U14" s="593">
        <v>3.75</v>
      </c>
      <c r="V14" s="597"/>
      <c r="W14" s="598"/>
      <c r="X14" s="596"/>
      <c r="Y14" s="594" t="s">
        <v>270</v>
      </c>
      <c r="Z14" s="598"/>
      <c r="AA14" s="599">
        <v>1.75</v>
      </c>
      <c r="AB14" s="597"/>
      <c r="AC14" s="598"/>
      <c r="AD14" s="596"/>
      <c r="AE14" s="594" t="s">
        <v>260</v>
      </c>
      <c r="AF14" s="598"/>
      <c r="AG14" s="593">
        <v>1.0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21</v>
      </c>
      <c r="D15" s="611">
        <f t="shared" si="2"/>
        <v>3</v>
      </c>
      <c r="E15" s="612">
        <f t="shared" si="3"/>
        <v>7.5</v>
      </c>
      <c r="F15" s="613">
        <f t="shared" si="4"/>
        <v>13.5</v>
      </c>
      <c r="G15" s="614" t="s">
        <v>260</v>
      </c>
      <c r="H15" s="615">
        <v>2.5</v>
      </c>
      <c r="I15" s="615">
        <v>3.5</v>
      </c>
      <c r="J15" s="616"/>
      <c r="K15" s="617"/>
      <c r="L15" s="618"/>
      <c r="M15" s="614" t="s">
        <v>268</v>
      </c>
      <c r="N15" s="615">
        <v>2.5</v>
      </c>
      <c r="O15" s="615">
        <v>2.25</v>
      </c>
      <c r="P15" s="616"/>
      <c r="Q15" s="617"/>
      <c r="R15" s="618"/>
      <c r="S15" s="619" t="s">
        <v>260</v>
      </c>
      <c r="T15" s="617"/>
      <c r="U15" s="615">
        <v>2.25</v>
      </c>
      <c r="V15" s="619"/>
      <c r="W15" s="617"/>
      <c r="X15" s="618"/>
      <c r="Y15" s="619" t="s">
        <v>268</v>
      </c>
      <c r="Z15" s="615">
        <v>2.5</v>
      </c>
      <c r="AA15" s="639">
        <v>3.5</v>
      </c>
      <c r="AB15" s="616"/>
      <c r="AC15" s="617"/>
      <c r="AD15" s="618"/>
      <c r="AE15" s="619" t="s">
        <v>270</v>
      </c>
      <c r="AF15" s="617"/>
      <c r="AG15" s="621">
        <v>2.0</v>
      </c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345</v>
      </c>
      <c r="L16" s="551"/>
      <c r="M16" s="624" t="s">
        <v>346</v>
      </c>
      <c r="R16" s="551"/>
      <c r="S16" s="624" t="s">
        <v>347</v>
      </c>
      <c r="X16" s="551"/>
      <c r="Y16" s="624" t="s">
        <v>348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 t="s">
        <v>256</v>
      </c>
      <c r="H18" s="556"/>
      <c r="I18" s="556"/>
      <c r="J18" s="556"/>
      <c r="K18" s="556"/>
      <c r="L18" s="557"/>
      <c r="M18" s="629" t="s">
        <v>271</v>
      </c>
      <c r="N18" s="556"/>
      <c r="O18" s="556"/>
      <c r="P18" s="556"/>
      <c r="Q18" s="556"/>
      <c r="R18" s="557"/>
      <c r="S18" s="629" t="s">
        <v>258</v>
      </c>
      <c r="T18" s="556"/>
      <c r="U18" s="556"/>
      <c r="V18" s="556"/>
      <c r="W18" s="556"/>
      <c r="X18" s="557"/>
      <c r="Y18" s="629" t="s">
        <v>258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6">
        <v>5.0</v>
      </c>
      <c r="B26" s="637" t="s">
        <v>101</v>
      </c>
      <c r="C26" s="637" t="s">
        <v>16</v>
      </c>
      <c r="D26" s="636">
        <v>-0.5</v>
      </c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107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279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576" t="s">
        <v>12</v>
      </c>
      <c r="E4" s="577" t="s">
        <v>7</v>
      </c>
      <c r="F4" s="578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279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279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279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279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279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279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279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340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287</v>
      </c>
      <c r="C4" s="575" t="s">
        <v>294</v>
      </c>
      <c r="D4" s="642" t="s">
        <v>12</v>
      </c>
      <c r="E4" s="643" t="s">
        <v>7</v>
      </c>
      <c r="F4" s="644" t="s">
        <v>332</v>
      </c>
      <c r="G4" s="579" t="s">
        <v>249</v>
      </c>
      <c r="H4" s="185"/>
      <c r="I4" s="185"/>
      <c r="J4" s="185"/>
      <c r="K4" s="185"/>
      <c r="L4" s="515"/>
      <c r="M4" s="579" t="s">
        <v>296</v>
      </c>
      <c r="N4" s="185"/>
      <c r="O4" s="185"/>
      <c r="P4" s="185"/>
      <c r="Q4" s="185"/>
      <c r="R4" s="515"/>
      <c r="S4" s="579" t="s">
        <v>297</v>
      </c>
      <c r="T4" s="185"/>
      <c r="U4" s="185"/>
      <c r="V4" s="185"/>
      <c r="W4" s="185"/>
      <c r="X4" s="515"/>
      <c r="Y4" s="579" t="s">
        <v>298</v>
      </c>
      <c r="Z4" s="185"/>
      <c r="AA4" s="185"/>
      <c r="AB4" s="185"/>
      <c r="AC4" s="185"/>
      <c r="AD4" s="515"/>
      <c r="AE4" s="579" t="s">
        <v>299</v>
      </c>
      <c r="AF4" s="185"/>
      <c r="AG4" s="185"/>
      <c r="AH4" s="185"/>
      <c r="AI4" s="185"/>
      <c r="AJ4" s="515"/>
      <c r="AK4" s="580" t="s">
        <v>333</v>
      </c>
      <c r="AL4" s="581"/>
    </row>
    <row r="5">
      <c r="A5" s="419"/>
      <c r="B5" s="515"/>
      <c r="C5" s="515"/>
      <c r="D5" s="419"/>
      <c r="E5" s="582"/>
      <c r="F5" s="185"/>
      <c r="G5" s="583" t="s">
        <v>254</v>
      </c>
      <c r="H5" s="583" t="s">
        <v>7</v>
      </c>
      <c r="I5" s="583" t="s">
        <v>8</v>
      </c>
      <c r="J5" s="583" t="s">
        <v>255</v>
      </c>
      <c r="K5" s="583" t="s">
        <v>9</v>
      </c>
      <c r="L5" s="584" t="s">
        <v>10</v>
      </c>
      <c r="M5" s="583" t="s">
        <v>254</v>
      </c>
      <c r="N5" s="583" t="s">
        <v>7</v>
      </c>
      <c r="O5" s="583" t="s">
        <v>8</v>
      </c>
      <c r="P5" s="583" t="s">
        <v>255</v>
      </c>
      <c r="Q5" s="583" t="s">
        <v>9</v>
      </c>
      <c r="R5" s="584" t="s">
        <v>10</v>
      </c>
      <c r="S5" s="583" t="s">
        <v>254</v>
      </c>
      <c r="T5" s="583" t="s">
        <v>7</v>
      </c>
      <c r="U5" s="583" t="s">
        <v>8</v>
      </c>
      <c r="V5" s="583" t="s">
        <v>255</v>
      </c>
      <c r="W5" s="583" t="s">
        <v>9</v>
      </c>
      <c r="X5" s="584" t="s">
        <v>10</v>
      </c>
      <c r="Y5" s="583" t="s">
        <v>254</v>
      </c>
      <c r="Z5" s="583" t="s">
        <v>7</v>
      </c>
      <c r="AA5" s="583" t="s">
        <v>8</v>
      </c>
      <c r="AB5" s="583" t="s">
        <v>305</v>
      </c>
      <c r="AC5" s="583" t="s">
        <v>9</v>
      </c>
      <c r="AD5" s="584" t="s">
        <v>10</v>
      </c>
      <c r="AE5" s="583" t="s">
        <v>254</v>
      </c>
      <c r="AF5" s="583" t="s">
        <v>7</v>
      </c>
      <c r="AG5" s="583" t="s">
        <v>8</v>
      </c>
      <c r="AH5" s="583" t="s">
        <v>255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39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306</v>
      </c>
      <c r="B16" s="623"/>
      <c r="C16" s="623"/>
      <c r="D16" s="623"/>
      <c r="E16" s="623"/>
      <c r="F16" s="623"/>
      <c r="G16" s="624" t="s">
        <v>342</v>
      </c>
      <c r="L16" s="551"/>
      <c r="M16" s="624" t="s">
        <v>342</v>
      </c>
      <c r="R16" s="551"/>
      <c r="S16" s="624" t="s">
        <v>342</v>
      </c>
      <c r="X16" s="551"/>
      <c r="Y16" s="624" t="s">
        <v>342</v>
      </c>
      <c r="AD16" s="551"/>
      <c r="AE16" s="624" t="s">
        <v>342</v>
      </c>
      <c r="AJ16" s="551"/>
      <c r="AK16" s="625"/>
      <c r="AL16" s="585"/>
    </row>
    <row r="17">
      <c r="A17" s="626" t="s">
        <v>268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270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264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317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318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3"/>
    </row>
    <row r="24">
      <c r="A24" s="634" t="s">
        <v>286</v>
      </c>
      <c r="B24" s="634" t="s">
        <v>144</v>
      </c>
      <c r="C24" s="634" t="s">
        <v>319</v>
      </c>
      <c r="D24" s="634" t="s">
        <v>339</v>
      </c>
      <c r="AK24" s="59"/>
    </row>
    <row r="25">
      <c r="A25" s="635"/>
      <c r="B25" s="635"/>
      <c r="C25" s="635"/>
      <c r="D25" s="635"/>
      <c r="AK25" s="59"/>
    </row>
    <row r="26">
      <c r="A26" s="638"/>
      <c r="B26" s="59"/>
      <c r="C26" s="59"/>
      <c r="D26" s="638"/>
      <c r="E26" s="638"/>
      <c r="F26" s="638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