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te\Documents\"/>
    </mc:Choice>
  </mc:AlternateContent>
  <bookViews>
    <workbookView xWindow="180" yWindow="30" windowWidth="21360" windowHeight="12840" activeTab="3"/>
  </bookViews>
  <sheets>
    <sheet name="Ing y Eg" sheetId="2" r:id="rId1"/>
    <sheet name="Deuda" sheetId="4" r:id="rId2"/>
    <sheet name="Estado de Resultado Integral" sheetId="6" r:id="rId3"/>
    <sheet name="Flujos de Efectivo" sheetId="7" r:id="rId4"/>
    <sheet name="Equilibrio" sheetId="3" r:id="rId5"/>
  </sheets>
  <externalReferences>
    <externalReference r:id="rId6"/>
  </externalReferences>
  <definedNames>
    <definedName name="Credito_en_M.E.">[1]DATOS!$B$30</definedName>
    <definedName name="EgresosOperación">[1]DATOS!$B$24</definedName>
    <definedName name="Incremento_anual_en_ventas">[1]DATOS!$B$18</definedName>
    <definedName name="Tasa">[1]DATOS!$B$31</definedName>
    <definedName name="VENTAS">[1]DATOS!$B$16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2" l="1"/>
  <c r="K7" i="2"/>
  <c r="K8" i="2"/>
  <c r="K9" i="2"/>
  <c r="K10" i="2"/>
  <c r="K11" i="2"/>
  <c r="K12" i="2"/>
  <c r="K13" i="2"/>
  <c r="K14" i="2"/>
  <c r="K15" i="2"/>
  <c r="D103" i="2" l="1"/>
  <c r="D71" i="2" l="1"/>
  <c r="C103" i="2"/>
  <c r="E72" i="2"/>
  <c r="E50" i="2"/>
  <c r="E73" i="2"/>
  <c r="C66" i="2"/>
  <c r="E66" i="2" s="1"/>
  <c r="C68" i="2"/>
  <c r="E68" i="2"/>
  <c r="E67" i="2"/>
  <c r="E65" i="2"/>
  <c r="E64" i="2"/>
  <c r="E42" i="2"/>
  <c r="E43" i="2"/>
  <c r="E44" i="2"/>
  <c r="E28" i="2"/>
  <c r="E27" i="2"/>
  <c r="E31" i="2"/>
  <c r="E30" i="2"/>
  <c r="E29" i="2"/>
  <c r="E26" i="2"/>
  <c r="E31" i="6"/>
  <c r="D31" i="6"/>
  <c r="E11" i="6"/>
  <c r="D11" i="6"/>
  <c r="E69" i="2" l="1"/>
  <c r="J66" i="3"/>
  <c r="L66" i="3"/>
  <c r="J67" i="3"/>
  <c r="L67" i="3"/>
  <c r="J68" i="3"/>
  <c r="L68" i="3"/>
  <c r="J69" i="3"/>
  <c r="L69" i="3"/>
  <c r="J70" i="3"/>
  <c r="L70" i="3"/>
  <c r="J71" i="3"/>
  <c r="L71" i="3"/>
  <c r="J72" i="3"/>
  <c r="L72" i="3"/>
  <c r="J73" i="3"/>
  <c r="L73" i="3"/>
  <c r="J74" i="3"/>
  <c r="L74" i="3"/>
  <c r="J75" i="3"/>
  <c r="L75" i="3"/>
  <c r="J76" i="3"/>
  <c r="L76" i="3"/>
  <c r="J77" i="3"/>
  <c r="L77" i="3"/>
  <c r="J78" i="3"/>
  <c r="L78" i="3"/>
  <c r="J79" i="3"/>
  <c r="L79" i="3"/>
  <c r="J80" i="3"/>
  <c r="L80" i="3"/>
  <c r="J81" i="3"/>
  <c r="L81" i="3"/>
  <c r="J82" i="3"/>
  <c r="L82" i="3"/>
  <c r="J83" i="3"/>
  <c r="L83" i="3"/>
  <c r="J84" i="3"/>
  <c r="L84" i="3"/>
  <c r="J85" i="3"/>
  <c r="L85" i="3"/>
  <c r="J86" i="3"/>
  <c r="L86" i="3"/>
  <c r="J87" i="3"/>
  <c r="L87" i="3"/>
  <c r="J88" i="3"/>
  <c r="L88" i="3"/>
  <c r="J89" i="3"/>
  <c r="L89" i="3"/>
  <c r="J90" i="3"/>
  <c r="L90" i="3"/>
  <c r="J91" i="3"/>
  <c r="L91" i="3"/>
  <c r="J58" i="3"/>
  <c r="L58" i="3"/>
  <c r="J59" i="3"/>
  <c r="L59" i="3"/>
  <c r="J60" i="3"/>
  <c r="L60" i="3"/>
  <c r="J61" i="3"/>
  <c r="L61" i="3"/>
  <c r="J62" i="3"/>
  <c r="L62" i="3"/>
  <c r="J63" i="3"/>
  <c r="L63" i="3"/>
  <c r="J64" i="3"/>
  <c r="L64" i="3"/>
  <c r="J65" i="3"/>
  <c r="L65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38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39" i="3"/>
  <c r="J38" i="3"/>
  <c r="C4" i="4"/>
  <c r="E8" i="2" l="1"/>
  <c r="E9" i="2"/>
  <c r="E10" i="2"/>
  <c r="E7" i="2"/>
  <c r="D22" i="2"/>
  <c r="D23" i="2"/>
  <c r="D21" i="2"/>
  <c r="D20" i="2"/>
  <c r="D19" i="2"/>
  <c r="E21" i="2" l="1"/>
  <c r="E19" i="2"/>
  <c r="E20" i="2"/>
  <c r="E25" i="2"/>
  <c r="E17" i="2"/>
  <c r="E24" i="2"/>
  <c r="E22" i="2"/>
  <c r="E41" i="2"/>
  <c r="C46" i="2"/>
  <c r="E46" i="2" s="1"/>
  <c r="C45" i="2"/>
  <c r="E45" i="2" s="1"/>
  <c r="E40" i="3"/>
  <c r="F40" i="3" s="1"/>
  <c r="G40" i="3" s="1"/>
  <c r="E38" i="3"/>
  <c r="F38" i="3" s="1"/>
  <c r="G38" i="3" s="1"/>
  <c r="E34" i="3"/>
  <c r="D29" i="3"/>
  <c r="D26" i="3"/>
  <c r="E26" i="3" s="1"/>
  <c r="E24" i="3"/>
  <c r="D21" i="3"/>
  <c r="E21" i="3" s="1"/>
  <c r="D20" i="3"/>
  <c r="E20" i="3" s="1"/>
  <c r="E15" i="3"/>
  <c r="E13" i="3"/>
  <c r="E12" i="3"/>
  <c r="E9" i="3"/>
  <c r="E8" i="3"/>
  <c r="E7" i="3"/>
  <c r="E47" i="2" l="1"/>
  <c r="E16" i="3"/>
  <c r="E10" i="3"/>
  <c r="E27" i="3"/>
  <c r="E22" i="3"/>
  <c r="D61" i="2"/>
  <c r="E61" i="2" s="1"/>
  <c r="D60" i="2"/>
  <c r="E60" i="2" s="1"/>
  <c r="E51" i="2"/>
  <c r="E6" i="2"/>
  <c r="E11" i="2"/>
  <c r="E12" i="2"/>
  <c r="D77" i="2"/>
  <c r="E77" i="2" s="1"/>
  <c r="E71" i="2"/>
  <c r="D80" i="2"/>
  <c r="E23" i="2"/>
  <c r="E18" i="2"/>
  <c r="E14" i="2"/>
  <c r="E13" i="2"/>
  <c r="E91" i="2"/>
  <c r="F91" i="2" s="1"/>
  <c r="G91" i="2" s="1"/>
  <c r="E85" i="2"/>
  <c r="E38" i="2"/>
  <c r="C7" i="6" l="1"/>
  <c r="E17" i="3"/>
  <c r="F27" i="6"/>
  <c r="J27" i="6"/>
  <c r="D27" i="6"/>
  <c r="L27" i="6"/>
  <c r="E27" i="6"/>
  <c r="I27" i="6"/>
  <c r="C27" i="6"/>
  <c r="G27" i="6"/>
  <c r="K27" i="6"/>
  <c r="H27" i="6"/>
  <c r="E32" i="2"/>
  <c r="C7" i="7" s="1"/>
  <c r="D18" i="7" s="1"/>
  <c r="D7" i="6"/>
  <c r="H7" i="6"/>
  <c r="E7" i="6"/>
  <c r="I7" i="6"/>
  <c r="G7" i="6"/>
  <c r="K7" i="6"/>
  <c r="L7" i="6"/>
  <c r="F7" i="6"/>
  <c r="J7" i="6"/>
  <c r="E30" i="3"/>
  <c r="J15" i="2"/>
  <c r="L24" i="6" s="1"/>
  <c r="J7" i="2"/>
  <c r="D24" i="6" s="1"/>
  <c r="J14" i="2"/>
  <c r="K24" i="6" s="1"/>
  <c r="J13" i="2"/>
  <c r="J24" i="6" s="1"/>
  <c r="J9" i="2"/>
  <c r="F24" i="6" s="1"/>
  <c r="J10" i="2"/>
  <c r="G24" i="6" s="1"/>
  <c r="J6" i="2"/>
  <c r="C24" i="6" s="1"/>
  <c r="J12" i="2"/>
  <c r="I24" i="6" s="1"/>
  <c r="J8" i="2"/>
  <c r="E24" i="6" s="1"/>
  <c r="J11" i="2"/>
  <c r="H24" i="6" s="1"/>
  <c r="E15" i="2"/>
  <c r="C6" i="7" s="1"/>
  <c r="C18" i="7" s="1"/>
  <c r="E62" i="2"/>
  <c r="K5" i="2" l="1"/>
  <c r="C11" i="4"/>
  <c r="C6" i="4" s="1"/>
  <c r="I5" i="2"/>
  <c r="I11" i="4"/>
  <c r="C7" i="4" l="1"/>
  <c r="E53" i="2" s="1"/>
  <c r="D53" i="2" s="1"/>
  <c r="J11" i="4"/>
  <c r="C13" i="6" s="1"/>
  <c r="D11" i="4"/>
  <c r="C33" i="6" s="1"/>
  <c r="L11" i="4" l="1"/>
  <c r="L20" i="4"/>
  <c r="L16" i="4"/>
  <c r="L17" i="4"/>
  <c r="L21" i="4"/>
  <c r="L12" i="4"/>
  <c r="L18" i="4"/>
  <c r="L13" i="4"/>
  <c r="L15" i="4"/>
  <c r="L19" i="4"/>
  <c r="L14" i="4"/>
  <c r="F15" i="4"/>
  <c r="F19" i="4"/>
  <c r="F12" i="4"/>
  <c r="F16" i="4"/>
  <c r="F20" i="4"/>
  <c r="F14" i="4"/>
  <c r="F11" i="4"/>
  <c r="F13" i="4"/>
  <c r="F17" i="4"/>
  <c r="F21" i="4"/>
  <c r="F18" i="4"/>
  <c r="E75" i="2"/>
  <c r="E55" i="2"/>
  <c r="E49" i="2"/>
  <c r="E36" i="2"/>
  <c r="E37" i="2"/>
  <c r="L22" i="4" l="1"/>
  <c r="I12" i="4"/>
  <c r="D75" i="2"/>
  <c r="E78" i="2"/>
  <c r="E81" i="2" s="1"/>
  <c r="F22" i="4"/>
  <c r="C12" i="4"/>
  <c r="E56" i="2"/>
  <c r="E39" i="2"/>
  <c r="L25" i="6" l="1"/>
  <c r="H25" i="6"/>
  <c r="D25" i="6"/>
  <c r="K25" i="6"/>
  <c r="G25" i="6"/>
  <c r="C25" i="6"/>
  <c r="J25" i="6"/>
  <c r="F25" i="6"/>
  <c r="I25" i="6"/>
  <c r="K41" i="3"/>
  <c r="K45" i="3"/>
  <c r="K49" i="3"/>
  <c r="K53" i="3"/>
  <c r="K57" i="3"/>
  <c r="K61" i="3"/>
  <c r="K65" i="3"/>
  <c r="K69" i="3"/>
  <c r="K73" i="3"/>
  <c r="K77" i="3"/>
  <c r="K81" i="3"/>
  <c r="K85" i="3"/>
  <c r="K89" i="3"/>
  <c r="K42" i="3"/>
  <c r="K46" i="3"/>
  <c r="K50" i="3"/>
  <c r="K54" i="3"/>
  <c r="K58" i="3"/>
  <c r="K62" i="3"/>
  <c r="K66" i="3"/>
  <c r="K70" i="3"/>
  <c r="K74" i="3"/>
  <c r="K78" i="3"/>
  <c r="K82" i="3"/>
  <c r="K86" i="3"/>
  <c r="K90" i="3"/>
  <c r="K39" i="3"/>
  <c r="K43" i="3"/>
  <c r="K47" i="3"/>
  <c r="K51" i="3"/>
  <c r="K55" i="3"/>
  <c r="K59" i="3"/>
  <c r="K63" i="3"/>
  <c r="K67" i="3"/>
  <c r="K71" i="3"/>
  <c r="K75" i="3"/>
  <c r="K79" i="3"/>
  <c r="K83" i="3"/>
  <c r="K87" i="3"/>
  <c r="K91" i="3"/>
  <c r="K40" i="3"/>
  <c r="K44" i="3"/>
  <c r="K48" i="3"/>
  <c r="K52" i="3"/>
  <c r="K56" i="3"/>
  <c r="K60" i="3"/>
  <c r="K64" i="3"/>
  <c r="K68" i="3"/>
  <c r="K72" i="3"/>
  <c r="K76" i="3"/>
  <c r="K80" i="3"/>
  <c r="K84" i="3"/>
  <c r="K88" i="3"/>
  <c r="K38" i="3"/>
  <c r="J12" i="4"/>
  <c r="D13" i="6" s="1"/>
  <c r="K12" i="4"/>
  <c r="C8" i="6" s="1"/>
  <c r="E57" i="2"/>
  <c r="I13" i="2" s="1"/>
  <c r="J5" i="6" s="1"/>
  <c r="E12" i="4"/>
  <c r="C28" i="6" s="1"/>
  <c r="D12" i="4"/>
  <c r="N66" i="3"/>
  <c r="M67" i="3"/>
  <c r="N70" i="3"/>
  <c r="M71" i="3"/>
  <c r="N74" i="3"/>
  <c r="M75" i="3"/>
  <c r="N78" i="3"/>
  <c r="M79" i="3"/>
  <c r="N82" i="3"/>
  <c r="M83" i="3"/>
  <c r="N86" i="3"/>
  <c r="M87" i="3"/>
  <c r="N90" i="3"/>
  <c r="M91" i="3"/>
  <c r="N41" i="3"/>
  <c r="N45" i="3"/>
  <c r="N49" i="3"/>
  <c r="N53" i="3"/>
  <c r="N57" i="3"/>
  <c r="N61" i="3"/>
  <c r="N65" i="3"/>
  <c r="M41" i="3"/>
  <c r="M45" i="3"/>
  <c r="M49" i="3"/>
  <c r="M53" i="3"/>
  <c r="M57" i="3"/>
  <c r="N77" i="3"/>
  <c r="N81" i="3"/>
  <c r="N89" i="3"/>
  <c r="N48" i="3"/>
  <c r="N60" i="3"/>
  <c r="M44" i="3"/>
  <c r="M56" i="3"/>
  <c r="N67" i="3"/>
  <c r="M68" i="3"/>
  <c r="N71" i="3"/>
  <c r="M72" i="3"/>
  <c r="N75" i="3"/>
  <c r="M76" i="3"/>
  <c r="N79" i="3"/>
  <c r="M80" i="3"/>
  <c r="N83" i="3"/>
  <c r="M84" i="3"/>
  <c r="N87" i="3"/>
  <c r="M88" i="3"/>
  <c r="N91" i="3"/>
  <c r="N42" i="3"/>
  <c r="N46" i="3"/>
  <c r="N50" i="3"/>
  <c r="N54" i="3"/>
  <c r="N58" i="3"/>
  <c r="N62" i="3"/>
  <c r="N38" i="3"/>
  <c r="M58" i="3"/>
  <c r="M59" i="3"/>
  <c r="M60" i="3"/>
  <c r="M61" i="3"/>
  <c r="M62" i="3"/>
  <c r="M63" i="3"/>
  <c r="M64" i="3"/>
  <c r="M65" i="3"/>
  <c r="M42" i="3"/>
  <c r="M46" i="3"/>
  <c r="M50" i="3"/>
  <c r="M54" i="3"/>
  <c r="M38" i="3"/>
  <c r="M66" i="3"/>
  <c r="M70" i="3"/>
  <c r="N73" i="3"/>
  <c r="M82" i="3"/>
  <c r="N85" i="3"/>
  <c r="M90" i="3"/>
  <c r="N44" i="3"/>
  <c r="N56" i="3"/>
  <c r="M48" i="3"/>
  <c r="N68" i="3"/>
  <c r="M69" i="3"/>
  <c r="N72" i="3"/>
  <c r="M73" i="3"/>
  <c r="N76" i="3"/>
  <c r="M77" i="3"/>
  <c r="N80" i="3"/>
  <c r="M81" i="3"/>
  <c r="N84" i="3"/>
  <c r="M85" i="3"/>
  <c r="N88" i="3"/>
  <c r="M89" i="3"/>
  <c r="N39" i="3"/>
  <c r="N43" i="3"/>
  <c r="N47" i="3"/>
  <c r="N51" i="3"/>
  <c r="N55" i="3"/>
  <c r="N59" i="3"/>
  <c r="N63" i="3"/>
  <c r="M39" i="3"/>
  <c r="M43" i="3"/>
  <c r="M47" i="3"/>
  <c r="M51" i="3"/>
  <c r="M55" i="3"/>
  <c r="N69" i="3"/>
  <c r="M74" i="3"/>
  <c r="M78" i="3"/>
  <c r="M86" i="3"/>
  <c r="N40" i="3"/>
  <c r="N52" i="3"/>
  <c r="N64" i="3"/>
  <c r="M40" i="3"/>
  <c r="M52" i="3"/>
  <c r="E25" i="6"/>
  <c r="C30" i="6" l="1"/>
  <c r="C34" i="6" s="1"/>
  <c r="C35" i="6" s="1"/>
  <c r="C36" i="6" s="1"/>
  <c r="C37" i="6" s="1"/>
  <c r="I15" i="2"/>
  <c r="L5" i="6" s="1"/>
  <c r="C13" i="4"/>
  <c r="E13" i="4" s="1"/>
  <c r="D28" i="6" s="1"/>
  <c r="D30" i="6" s="1"/>
  <c r="D33" i="6"/>
  <c r="I11" i="2"/>
  <c r="H5" i="6" s="1"/>
  <c r="I12" i="2"/>
  <c r="I5" i="6" s="1"/>
  <c r="I13" i="4"/>
  <c r="K13" i="4" s="1"/>
  <c r="D8" i="6" s="1"/>
  <c r="I8" i="2"/>
  <c r="E5" i="6" s="1"/>
  <c r="I9" i="2"/>
  <c r="F5" i="6" s="1"/>
  <c r="I10" i="2"/>
  <c r="G5" i="6" s="1"/>
  <c r="I7" i="2"/>
  <c r="D5" i="6" s="1"/>
  <c r="I14" i="2"/>
  <c r="K5" i="6" s="1"/>
  <c r="I6" i="2"/>
  <c r="C5" i="6" s="1"/>
  <c r="M5" i="2"/>
  <c r="E89" i="2"/>
  <c r="L5" i="2"/>
  <c r="D7" i="7" l="1"/>
  <c r="D19" i="7" s="1"/>
  <c r="D34" i="6"/>
  <c r="D35" i="6" s="1"/>
  <c r="D36" i="6" s="1"/>
  <c r="D37" i="6" s="1"/>
  <c r="D38" i="6" s="1"/>
  <c r="J13" i="4"/>
  <c r="I14" i="4" s="1"/>
  <c r="K14" i="4" s="1"/>
  <c r="E8" i="6" s="1"/>
  <c r="D13" i="4"/>
  <c r="C38" i="6"/>
  <c r="F89" i="2"/>
  <c r="G89" i="2" s="1"/>
  <c r="M12" i="2"/>
  <c r="M7" i="2"/>
  <c r="M14" i="2"/>
  <c r="M10" i="2"/>
  <c r="M6" i="2"/>
  <c r="M11" i="2"/>
  <c r="M13" i="2"/>
  <c r="M8" i="2"/>
  <c r="M9" i="2"/>
  <c r="M15" i="2"/>
  <c r="E7" i="7" l="1"/>
  <c r="D20" i="7" s="1"/>
  <c r="E13" i="6"/>
  <c r="J14" i="4"/>
  <c r="F13" i="6" s="1"/>
  <c r="C39" i="6"/>
  <c r="C40" i="6" s="1"/>
  <c r="D39" i="6"/>
  <c r="D40" i="6" s="1"/>
  <c r="C14" i="4"/>
  <c r="E33" i="6"/>
  <c r="H8" i="2"/>
  <c r="E4" i="6" s="1"/>
  <c r="H12" i="2"/>
  <c r="H6" i="2"/>
  <c r="C4" i="6" s="1"/>
  <c r="H14" i="2"/>
  <c r="H7" i="2"/>
  <c r="H11" i="2"/>
  <c r="H15" i="2"/>
  <c r="H9" i="2"/>
  <c r="H13" i="2"/>
  <c r="H10" i="2"/>
  <c r="I15" i="4" l="1"/>
  <c r="K15" i="4" s="1"/>
  <c r="F8" i="6" s="1"/>
  <c r="L13" i="2"/>
  <c r="J4" i="6"/>
  <c r="L9" i="2"/>
  <c r="F4" i="6"/>
  <c r="L14" i="2"/>
  <c r="K4" i="6"/>
  <c r="L15" i="2"/>
  <c r="L4" i="6"/>
  <c r="L10" i="2"/>
  <c r="G4" i="6"/>
  <c r="L11" i="2"/>
  <c r="H4" i="6"/>
  <c r="L12" i="2"/>
  <c r="I4" i="6"/>
  <c r="E14" i="4"/>
  <c r="E28" i="6" s="1"/>
  <c r="E30" i="6" s="1"/>
  <c r="E34" i="6" s="1"/>
  <c r="E35" i="6" s="1"/>
  <c r="E36" i="6" s="1"/>
  <c r="D14" i="4"/>
  <c r="L6" i="2"/>
  <c r="L8" i="2"/>
  <c r="L7" i="2"/>
  <c r="D4" i="6"/>
  <c r="F10" i="6" l="1"/>
  <c r="F14" i="6" s="1"/>
  <c r="F15" i="6" s="1"/>
  <c r="F16" i="6" s="1"/>
  <c r="J15" i="4"/>
  <c r="G13" i="6" s="1"/>
  <c r="C15" i="4"/>
  <c r="F33" i="6"/>
  <c r="F7" i="7"/>
  <c r="D21" i="7" s="1"/>
  <c r="E37" i="6"/>
  <c r="I16" i="4" l="1"/>
  <c r="K16" i="4" s="1"/>
  <c r="G8" i="6" s="1"/>
  <c r="G10" i="6" s="1"/>
  <c r="G14" i="6" s="1"/>
  <c r="G15" i="6" s="1"/>
  <c r="G16" i="6" s="1"/>
  <c r="G17" i="6" s="1"/>
  <c r="G18" i="6" s="1"/>
  <c r="G6" i="7"/>
  <c r="C22" i="7" s="1"/>
  <c r="F17" i="6"/>
  <c r="F18" i="6" s="1"/>
  <c r="E15" i="4"/>
  <c r="F28" i="6" s="1"/>
  <c r="F30" i="6" s="1"/>
  <c r="F34" i="6" s="1"/>
  <c r="F35" i="6" s="1"/>
  <c r="F36" i="6" s="1"/>
  <c r="D15" i="4"/>
  <c r="E38" i="6"/>
  <c r="H6" i="7" l="1"/>
  <c r="C23" i="7" s="1"/>
  <c r="J16" i="4"/>
  <c r="H13" i="6" s="1"/>
  <c r="E39" i="6"/>
  <c r="E40" i="6" s="1"/>
  <c r="C16" i="4"/>
  <c r="G33" i="6"/>
  <c r="F19" i="6"/>
  <c r="F20" i="6" s="1"/>
  <c r="G19" i="6"/>
  <c r="G20" i="6" s="1"/>
  <c r="G7" i="7"/>
  <c r="D22" i="7" s="1"/>
  <c r="F37" i="6"/>
  <c r="I17" i="4" l="1"/>
  <c r="K17" i="4" s="1"/>
  <c r="H8" i="6" s="1"/>
  <c r="H10" i="6" s="1"/>
  <c r="H14" i="6" s="1"/>
  <c r="H15" i="6" s="1"/>
  <c r="H16" i="6" s="1"/>
  <c r="I6" i="7" s="1"/>
  <c r="C24" i="7" s="1"/>
  <c r="F38" i="6"/>
  <c r="E16" i="4"/>
  <c r="G28" i="6" s="1"/>
  <c r="G30" i="6" s="1"/>
  <c r="G34" i="6" s="1"/>
  <c r="G35" i="6" s="1"/>
  <c r="G36" i="6" s="1"/>
  <c r="D16" i="4"/>
  <c r="J17" i="4" l="1"/>
  <c r="I13" i="6" s="1"/>
  <c r="H17" i="6"/>
  <c r="H18" i="6" s="1"/>
  <c r="H19" i="6" s="1"/>
  <c r="H20" i="6" s="1"/>
  <c r="H7" i="7"/>
  <c r="D23" i="7" s="1"/>
  <c r="G37" i="6"/>
  <c r="F39" i="6"/>
  <c r="F40" i="6" s="1"/>
  <c r="C17" i="4"/>
  <c r="H33" i="6"/>
  <c r="I18" i="4" l="1"/>
  <c r="K18" i="4" s="1"/>
  <c r="I8" i="6" s="1"/>
  <c r="I10" i="6" s="1"/>
  <c r="I14" i="6" s="1"/>
  <c r="I15" i="6" s="1"/>
  <c r="I16" i="6" s="1"/>
  <c r="J6" i="7" s="1"/>
  <c r="C25" i="7" s="1"/>
  <c r="G38" i="6"/>
  <c r="E17" i="4"/>
  <c r="H28" i="6" s="1"/>
  <c r="H30" i="6" s="1"/>
  <c r="H34" i="6" s="1"/>
  <c r="H35" i="6" s="1"/>
  <c r="H36" i="6" s="1"/>
  <c r="D17" i="4"/>
  <c r="C10" i="6"/>
  <c r="C14" i="6" s="1"/>
  <c r="C15" i="6" s="1"/>
  <c r="J18" i="4" l="1"/>
  <c r="J13" i="6" s="1"/>
  <c r="I17" i="6"/>
  <c r="I18" i="6" s="1"/>
  <c r="I19" i="6" s="1"/>
  <c r="I20" i="6" s="1"/>
  <c r="I19" i="4"/>
  <c r="J19" i="4" s="1"/>
  <c r="G39" i="6"/>
  <c r="G40" i="6" s="1"/>
  <c r="C18" i="4"/>
  <c r="I33" i="6"/>
  <c r="I7" i="7"/>
  <c r="D24" i="7" s="1"/>
  <c r="H37" i="6"/>
  <c r="C16" i="6"/>
  <c r="D6" i="7" s="1"/>
  <c r="C19" i="7" s="1"/>
  <c r="K19" i="4" l="1"/>
  <c r="J8" i="6" s="1"/>
  <c r="J10" i="6" s="1"/>
  <c r="J14" i="6" s="1"/>
  <c r="J15" i="6" s="1"/>
  <c r="J16" i="6" s="1"/>
  <c r="K6" i="7" s="1"/>
  <c r="C26" i="7" s="1"/>
  <c r="I20" i="4"/>
  <c r="K13" i="6"/>
  <c r="H38" i="6"/>
  <c r="E18" i="4"/>
  <c r="I28" i="6" s="1"/>
  <c r="I30" i="6" s="1"/>
  <c r="I34" i="6" s="1"/>
  <c r="I35" i="6" s="1"/>
  <c r="I36" i="6" s="1"/>
  <c r="D18" i="4"/>
  <c r="C17" i="6"/>
  <c r="C18" i="6" s="1"/>
  <c r="C19" i="6" s="1"/>
  <c r="J17" i="6" l="1"/>
  <c r="J18" i="6" s="1"/>
  <c r="J19" i="6" s="1"/>
  <c r="J20" i="6" s="1"/>
  <c r="J20" i="4"/>
  <c r="K20" i="4"/>
  <c r="K8" i="6" s="1"/>
  <c r="K10" i="6" s="1"/>
  <c r="K14" i="6" s="1"/>
  <c r="K15" i="6" s="1"/>
  <c r="K16" i="6" s="1"/>
  <c r="C19" i="4"/>
  <c r="J33" i="6"/>
  <c r="J7" i="7"/>
  <c r="D25" i="7" s="1"/>
  <c r="I37" i="6"/>
  <c r="I38" i="6" s="1"/>
  <c r="H39" i="6"/>
  <c r="H40" i="6" s="1"/>
  <c r="C20" i="6"/>
  <c r="K17" i="6" l="1"/>
  <c r="K18" i="6" s="1"/>
  <c r="K19" i="6" s="1"/>
  <c r="K20" i="6" s="1"/>
  <c r="L6" i="7"/>
  <c r="C27" i="7" s="1"/>
  <c r="L13" i="6"/>
  <c r="I21" i="4"/>
  <c r="I39" i="6"/>
  <c r="I40" i="6" s="1"/>
  <c r="E19" i="4"/>
  <c r="J28" i="6" s="1"/>
  <c r="J30" i="6" s="1"/>
  <c r="J34" i="6" s="1"/>
  <c r="J35" i="6" s="1"/>
  <c r="J36" i="6" s="1"/>
  <c r="D19" i="4"/>
  <c r="K21" i="4" l="1"/>
  <c r="L8" i="6" s="1"/>
  <c r="L10" i="6" s="1"/>
  <c r="L14" i="6" s="1"/>
  <c r="L15" i="6" s="1"/>
  <c r="L16" i="6" s="1"/>
  <c r="J21" i="4"/>
  <c r="C20" i="4"/>
  <c r="K33" i="6"/>
  <c r="K7" i="7"/>
  <c r="D26" i="7" s="1"/>
  <c r="J37" i="6"/>
  <c r="J38" i="6" s="1"/>
  <c r="M6" i="7" l="1"/>
  <c r="C28" i="7" s="1"/>
  <c r="L17" i="6"/>
  <c r="L18" i="6" s="1"/>
  <c r="L19" i="6" s="1"/>
  <c r="L20" i="6" s="1"/>
  <c r="J39" i="6"/>
  <c r="J40" i="6" s="1"/>
  <c r="D20" i="4"/>
  <c r="E20" i="4"/>
  <c r="K28" i="6" s="1"/>
  <c r="K30" i="6" s="1"/>
  <c r="K34" i="6" s="1"/>
  <c r="K35" i="6" s="1"/>
  <c r="K36" i="6" s="1"/>
  <c r="D10" i="6"/>
  <c r="D14" i="6" s="1"/>
  <c r="E10" i="6"/>
  <c r="E14" i="6" s="1"/>
  <c r="C21" i="4" l="1"/>
  <c r="L33" i="6"/>
  <c r="L7" i="7"/>
  <c r="D27" i="7" s="1"/>
  <c r="K37" i="6"/>
  <c r="K38" i="6" s="1"/>
  <c r="E15" i="6"/>
  <c r="E16" i="6" s="1"/>
  <c r="F6" i="7" s="1"/>
  <c r="C21" i="7" s="1"/>
  <c r="D15" i="6"/>
  <c r="D16" i="6" s="1"/>
  <c r="E6" i="7" s="1"/>
  <c r="C20" i="7" s="1"/>
  <c r="K39" i="6" l="1"/>
  <c r="K40" i="6" s="1"/>
  <c r="D21" i="4"/>
  <c r="E21" i="4"/>
  <c r="L28" i="6" s="1"/>
  <c r="L30" i="6" s="1"/>
  <c r="L34" i="6" s="1"/>
  <c r="L35" i="6" s="1"/>
  <c r="L36" i="6" s="1"/>
  <c r="E17" i="6"/>
  <c r="E18" i="6" s="1"/>
  <c r="E19" i="6" s="1"/>
  <c r="D17" i="6"/>
  <c r="D18" i="6" s="1"/>
  <c r="D19" i="6" s="1"/>
  <c r="M7" i="7" l="1"/>
  <c r="D28" i="7" s="1"/>
  <c r="L37" i="6"/>
  <c r="E20" i="6"/>
  <c r="D20" i="6"/>
  <c r="N6" i="7" l="1"/>
  <c r="L38" i="6"/>
  <c r="D12" i="7" l="1"/>
  <c r="C29" i="7"/>
  <c r="C12" i="7"/>
  <c r="L39" i="6"/>
  <c r="L40" i="6" s="1"/>
  <c r="N7" i="7" s="1"/>
  <c r="D29" i="7" s="1"/>
  <c r="D13" i="7" l="1"/>
  <c r="C13" i="7"/>
</calcChain>
</file>

<file path=xl/sharedStrings.xml><?xml version="1.0" encoding="utf-8"?>
<sst xmlns="http://schemas.openxmlformats.org/spreadsheetml/2006/main" count="278" uniqueCount="138">
  <si>
    <t>Períodos</t>
  </si>
  <si>
    <t>Ingresos</t>
  </si>
  <si>
    <t>TIR</t>
  </si>
  <si>
    <t>Inversión Inicial</t>
  </si>
  <si>
    <t>VPN</t>
  </si>
  <si>
    <t>Automatización</t>
  </si>
  <si>
    <t>SIN Automatización</t>
  </si>
  <si>
    <t>Egresos</t>
  </si>
  <si>
    <t>Precio Por Pedido</t>
  </si>
  <si>
    <t>Inflación Anual</t>
  </si>
  <si>
    <t>Flujo de Caja SIN</t>
  </si>
  <si>
    <t>Flujo de Caja CON</t>
  </si>
  <si>
    <t>Operarios</t>
  </si>
  <si>
    <t>Administrador</t>
  </si>
  <si>
    <t>Supervisor</t>
  </si>
  <si>
    <t>Cantidad</t>
  </si>
  <si>
    <t>Precio</t>
  </si>
  <si>
    <t>Precio Mensual</t>
  </si>
  <si>
    <t>Precio Anual</t>
  </si>
  <si>
    <t>Empleados</t>
  </si>
  <si>
    <t>Costos Fijos</t>
  </si>
  <si>
    <t xml:space="preserve">Servicios </t>
  </si>
  <si>
    <t>Servicios Publicos</t>
  </si>
  <si>
    <t>Arriendo</t>
  </si>
  <si>
    <t>Servicios</t>
  </si>
  <si>
    <t>Mantenimiento</t>
  </si>
  <si>
    <t>Mantenimientos</t>
  </si>
  <si>
    <t>Electricidad</t>
  </si>
  <si>
    <t>Por # de Pedidos</t>
  </si>
  <si>
    <t>Precio por Pedido</t>
  </si>
  <si>
    <t>SIN Auto</t>
  </si>
  <si>
    <t>Pedidos Diarios</t>
  </si>
  <si>
    <t>Pedidos Realizados/Operador</t>
  </si>
  <si>
    <t>Total</t>
  </si>
  <si>
    <t>Total Diario</t>
  </si>
  <si>
    <t>Total Mensual</t>
  </si>
  <si>
    <t>Total Anual</t>
  </si>
  <si>
    <t>CON Auto</t>
  </si>
  <si>
    <t>Pedidos Realizados/Linea</t>
  </si>
  <si>
    <t>Costo Inicial</t>
  </si>
  <si>
    <t>Capacitación</t>
  </si>
  <si>
    <t>Costos Legales por Contrato</t>
  </si>
  <si>
    <t>Precio Maquinaria BOM</t>
  </si>
  <si>
    <t>Instalación</t>
  </si>
  <si>
    <t>Precio (USD)</t>
  </si>
  <si>
    <t>Precio Total</t>
  </si>
  <si>
    <t>Precio Dólar</t>
  </si>
  <si>
    <t>Subtotal</t>
  </si>
  <si>
    <t>Costos Variables (Unicamente CON Auto)</t>
  </si>
  <si>
    <t>Estanteria</t>
  </si>
  <si>
    <t>Computadores</t>
  </si>
  <si>
    <t>Aseo</t>
  </si>
  <si>
    <t>Prospecto de Crecimiento</t>
  </si>
  <si>
    <t>Precio por Pedido Competencia</t>
  </si>
  <si>
    <t>Margen de Crecimiento en Eficiencia (OEE)</t>
  </si>
  <si>
    <t>Papeleria</t>
  </si>
  <si>
    <t>Consumibles</t>
  </si>
  <si>
    <t>Dotacion Operario</t>
  </si>
  <si>
    <t>Dotacion Admin</t>
  </si>
  <si>
    <t>Transporte Maquinaria</t>
  </si>
  <si>
    <t>Configuración</t>
  </si>
  <si>
    <t>Validación</t>
  </si>
  <si>
    <t>Software</t>
  </si>
  <si>
    <t>Mobiliario</t>
  </si>
  <si>
    <t>Sistemas de Vigilancia</t>
  </si>
  <si>
    <t>Vinculacion a Aseguradoras Laborales</t>
  </si>
  <si>
    <t>Conexión a Servicios Publicos</t>
  </si>
  <si>
    <t>Adecuación Bodega</t>
  </si>
  <si>
    <t>Capacitación de Personal</t>
  </si>
  <si>
    <t>Tasa</t>
  </si>
  <si>
    <t>Inflacion</t>
  </si>
  <si>
    <t>Capital</t>
  </si>
  <si>
    <t>Interes</t>
  </si>
  <si>
    <t>Amortizacion</t>
  </si>
  <si>
    <t>Pago</t>
  </si>
  <si>
    <t>Deuda</t>
  </si>
  <si>
    <t>Cuota Deuda</t>
  </si>
  <si>
    <t>CON Auto y Deuda</t>
  </si>
  <si>
    <t>Impuestos</t>
  </si>
  <si>
    <t>ESTADO DE RESULTADO INTEGRAL</t>
  </si>
  <si>
    <t>AÑO 1</t>
  </si>
  <si>
    <t>AÑO 2</t>
  </si>
  <si>
    <t>AÑO 3</t>
  </si>
  <si>
    <t>Ventas</t>
  </si>
  <si>
    <t>Egresos de Operación</t>
  </si>
  <si>
    <t>Depreciaciones y Amortizaciones:</t>
  </si>
  <si>
    <t xml:space="preserve"> -Depreciaciones</t>
  </si>
  <si>
    <t xml:space="preserve"> -Amortizaciones</t>
  </si>
  <si>
    <t xml:space="preserve"> +Ganacia o Perd. X Exposic. Inf.</t>
  </si>
  <si>
    <t>Utilidad Operacional</t>
  </si>
  <si>
    <t xml:space="preserve"> +Otros Ingresos</t>
  </si>
  <si>
    <t>Gastos Financieros</t>
  </si>
  <si>
    <t xml:space="preserve"> -Gasto Intereses LP</t>
  </si>
  <si>
    <t>Utilidad Antes de Impuestos</t>
  </si>
  <si>
    <t xml:space="preserve"> -Impuestos</t>
  </si>
  <si>
    <t>Utilidad Neta del Periodo</t>
  </si>
  <si>
    <t>Reserva Legal</t>
  </si>
  <si>
    <t>Superavit de Utilidades del Período</t>
  </si>
  <si>
    <t>Dividendos</t>
  </si>
  <si>
    <t>Utilidades Retenidas del período</t>
  </si>
  <si>
    <t>AÑO 4</t>
  </si>
  <si>
    <t>AÑO 5</t>
  </si>
  <si>
    <t>AÑO 6</t>
  </si>
  <si>
    <t>AÑO 7</t>
  </si>
  <si>
    <t>AÑO 8</t>
  </si>
  <si>
    <t>AÑO 9</t>
  </si>
  <si>
    <t>AÑO 10</t>
  </si>
  <si>
    <t>Depreciacion Anual</t>
  </si>
  <si>
    <t>Cuota Automatizacion</t>
  </si>
  <si>
    <t>Cuota SIN Automatizacion</t>
  </si>
  <si>
    <t>SIN AUTO</t>
  </si>
  <si>
    <t>CON AUTO</t>
  </si>
  <si>
    <t xml:space="preserve"> - Egresos de Operación</t>
  </si>
  <si>
    <t>CON Automatización</t>
  </si>
  <si>
    <t>INV Inicial</t>
  </si>
  <si>
    <t>Valor Final</t>
  </si>
  <si>
    <t>Utilidad Empresa de Solución</t>
  </si>
  <si>
    <t>Suministros Aseo</t>
  </si>
  <si>
    <t>Suministros Empleados</t>
  </si>
  <si>
    <t>Vigilancia</t>
  </si>
  <si>
    <t>Comisión a Ingenieros</t>
  </si>
  <si>
    <t>Factor Crecimiento</t>
  </si>
  <si>
    <t>Deuda SIN Automatización</t>
  </si>
  <si>
    <t>Deuda CON Automatización</t>
  </si>
  <si>
    <t>Interes Anual Bancoldex (Inf + Tasa)</t>
  </si>
  <si>
    <t>Datos Supuestos</t>
  </si>
  <si>
    <t>Datos</t>
  </si>
  <si>
    <t>Crecimiento en Ventas</t>
  </si>
  <si>
    <t>Resultados</t>
  </si>
  <si>
    <t>Periodos</t>
  </si>
  <si>
    <t>Inv. Inicial</t>
  </si>
  <si>
    <t>Flujo de Efectivo</t>
  </si>
  <si>
    <t>Inflacion Anual SUPUESTA</t>
  </si>
  <si>
    <t>Ingresos (SIN)</t>
  </si>
  <si>
    <t>Gastos (SIN)</t>
  </si>
  <si>
    <t>Ingresos (CON)</t>
  </si>
  <si>
    <t>Gastos (CON)</t>
  </si>
  <si>
    <t>Gastos (CON) DEUDA PAGA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</si>
</sst>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#,##0.00;[Red]\-&quot;$&quot;#,##0.00"/>
    <numFmt numFmtId="42" formatCode="_-&quot;$&quot;* #,##0_-;\-&quot;$&quot;* #,##0_-;_-&quot;$&quot;* &quot;-&quot;_-;_-@_-"/>
    <numFmt numFmtId="164" formatCode="&quot;$&quot;#,##0.00_);[Red]\(&quot;$&quot;#,##0.00\)"/>
    <numFmt numFmtId="165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0" fillId="0" borderId="0" xfId="0" applyAlignment="1">
      <alignment horizontal="right"/>
    </xf>
    <xf numFmtId="0" fontId="0" fillId="0" borderId="0" xfId="0" applyBorder="1"/>
    <xf numFmtId="0" fontId="0" fillId="0" borderId="6" xfId="0" applyBorder="1"/>
    <xf numFmtId="0" fontId="2" fillId="5" borderId="5" xfId="0" applyFont="1" applyFill="1" applyBorder="1"/>
    <xf numFmtId="0" fontId="0" fillId="5" borderId="0" xfId="0" applyFill="1" applyBorder="1"/>
    <xf numFmtId="0" fontId="0" fillId="5" borderId="6" xfId="0" applyFill="1" applyBorder="1"/>
    <xf numFmtId="0" fontId="0" fillId="0" borderId="5" xfId="0" applyBorder="1"/>
    <xf numFmtId="42" fontId="0" fillId="0" borderId="0" xfId="2" applyFont="1" applyBorder="1"/>
    <xf numFmtId="42" fontId="0" fillId="0" borderId="6" xfId="2" applyFont="1" applyBorder="1"/>
    <xf numFmtId="0" fontId="2" fillId="0" borderId="5" xfId="0" applyFont="1" applyBorder="1"/>
    <xf numFmtId="0" fontId="2" fillId="6" borderId="5" xfId="0" applyFont="1" applyFill="1" applyBorder="1"/>
    <xf numFmtId="0" fontId="0" fillId="6" borderId="0" xfId="0" applyFill="1" applyBorder="1"/>
    <xf numFmtId="42" fontId="0" fillId="6" borderId="6" xfId="2" applyFont="1" applyFill="1" applyBorder="1"/>
    <xf numFmtId="42" fontId="0" fillId="0" borderId="6" xfId="2" applyNumberFormat="1" applyFont="1" applyBorder="1"/>
    <xf numFmtId="0" fontId="2" fillId="3" borderId="5" xfId="0" applyFont="1" applyFill="1" applyBorder="1"/>
    <xf numFmtId="0" fontId="0" fillId="3" borderId="0" xfId="0" applyFill="1" applyBorder="1"/>
    <xf numFmtId="0" fontId="0" fillId="3" borderId="6" xfId="0" applyFill="1" applyBorder="1"/>
    <xf numFmtId="42" fontId="0" fillId="0" borderId="6" xfId="2" applyFont="1" applyBorder="1" applyAlignment="1">
      <alignment horizontal="center"/>
    </xf>
    <xf numFmtId="0" fontId="0" fillId="0" borderId="0" xfId="0" applyBorder="1" applyAlignment="1">
      <alignment horizontal="right"/>
    </xf>
    <xf numFmtId="42" fontId="0" fillId="0" borderId="0" xfId="2" applyFont="1" applyBorder="1" applyAlignment="1">
      <alignment horizontal="center"/>
    </xf>
    <xf numFmtId="42" fontId="0" fillId="3" borderId="6" xfId="0" applyNumberFormat="1" applyFill="1" applyBorder="1"/>
    <xf numFmtId="0" fontId="2" fillId="4" borderId="5" xfId="0" applyFont="1" applyFill="1" applyBorder="1"/>
    <xf numFmtId="0" fontId="0" fillId="4" borderId="0" xfId="0" applyFill="1" applyBorder="1"/>
    <xf numFmtId="0" fontId="0" fillId="4" borderId="6" xfId="0" applyFill="1" applyBorder="1"/>
    <xf numFmtId="42" fontId="0" fillId="0" borderId="6" xfId="0" applyNumberFormat="1" applyBorder="1"/>
    <xf numFmtId="42" fontId="0" fillId="4" borderId="6" xfId="0" applyNumberFormat="1" applyFill="1" applyBorder="1"/>
    <xf numFmtId="0" fontId="0" fillId="6" borderId="6" xfId="0" applyFill="1" applyBorder="1"/>
    <xf numFmtId="0" fontId="2" fillId="2" borderId="5" xfId="0" applyFont="1" applyFill="1" applyBorder="1"/>
    <xf numFmtId="0" fontId="0" fillId="2" borderId="0" xfId="0" applyFill="1" applyBorder="1"/>
    <xf numFmtId="0" fontId="0" fillId="2" borderId="6" xfId="0" applyFill="1" applyBorder="1"/>
    <xf numFmtId="42" fontId="0" fillId="0" borderId="0" xfId="0" applyNumberFormat="1" applyBorder="1"/>
    <xf numFmtId="42" fontId="0" fillId="2" borderId="6" xfId="2" applyFont="1" applyFill="1" applyBorder="1"/>
    <xf numFmtId="0" fontId="0" fillId="0" borderId="7" xfId="0" applyBorder="1"/>
    <xf numFmtId="0" fontId="0" fillId="0" borderId="8" xfId="0" applyBorder="1"/>
    <xf numFmtId="42" fontId="0" fillId="0" borderId="8" xfId="2" applyFont="1" applyBorder="1"/>
    <xf numFmtId="42" fontId="0" fillId="6" borderId="9" xfId="0" applyNumberFormat="1" applyFill="1" applyBorder="1"/>
    <xf numFmtId="0" fontId="2" fillId="0" borderId="7" xfId="0" applyFont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2" fillId="5" borderId="2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2" fillId="0" borderId="13" xfId="0" applyFont="1" applyBorder="1"/>
    <xf numFmtId="0" fontId="0" fillId="0" borderId="14" xfId="0" applyBorder="1"/>
    <xf numFmtId="42" fontId="0" fillId="5" borderId="1" xfId="0" applyNumberFormat="1" applyFill="1" applyBorder="1"/>
    <xf numFmtId="42" fontId="0" fillId="6" borderId="1" xfId="0" applyNumberFormat="1" applyFill="1" applyBorder="1"/>
    <xf numFmtId="42" fontId="0" fillId="0" borderId="8" xfId="2" applyFont="1" applyBorder="1" applyAlignment="1">
      <alignment horizontal="center"/>
    </xf>
    <xf numFmtId="42" fontId="0" fillId="0" borderId="8" xfId="0" applyNumberFormat="1" applyBorder="1" applyAlignment="1">
      <alignment horizontal="center"/>
    </xf>
    <xf numFmtId="42" fontId="0" fillId="0" borderId="8" xfId="0" applyNumberFormat="1" applyBorder="1"/>
    <xf numFmtId="0" fontId="0" fillId="0" borderId="8" xfId="0" applyBorder="1" applyAlignment="1">
      <alignment horizontal="right"/>
    </xf>
    <xf numFmtId="42" fontId="0" fillId="0" borderId="1" xfId="0" applyNumberFormat="1" applyBorder="1"/>
    <xf numFmtId="0" fontId="2" fillId="6" borderId="5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0" borderId="0" xfId="0" applyFill="1" applyBorder="1"/>
    <xf numFmtId="0" fontId="0" fillId="0" borderId="5" xfId="0" applyFont="1" applyFill="1" applyBorder="1"/>
    <xf numFmtId="42" fontId="0" fillId="0" borderId="0" xfId="2" applyFont="1" applyFill="1" applyBorder="1"/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42" fontId="0" fillId="0" borderId="9" xfId="0" applyNumberFormat="1" applyBorder="1"/>
    <xf numFmtId="42" fontId="0" fillId="0" borderId="5" xfId="0" applyNumberFormat="1" applyBorder="1"/>
    <xf numFmtId="42" fontId="0" fillId="0" borderId="7" xfId="0" applyNumberFormat="1" applyBorder="1"/>
    <xf numFmtId="0" fontId="0" fillId="0" borderId="9" xfId="0" applyBorder="1"/>
    <xf numFmtId="0" fontId="0" fillId="0" borderId="5" xfId="0" applyFont="1" applyBorder="1"/>
    <xf numFmtId="0" fontId="2" fillId="7" borderId="5" xfId="0" applyFont="1" applyFill="1" applyBorder="1"/>
    <xf numFmtId="0" fontId="0" fillId="7" borderId="0" xfId="0" applyFill="1" applyBorder="1"/>
    <xf numFmtId="42" fontId="0" fillId="7" borderId="6" xfId="0" applyNumberFormat="1" applyFill="1" applyBorder="1"/>
    <xf numFmtId="42" fontId="0" fillId="0" borderId="6" xfId="2" applyFont="1" applyFill="1" applyBorder="1"/>
    <xf numFmtId="0" fontId="0" fillId="0" borderId="5" xfId="0" applyFill="1" applyBorder="1"/>
    <xf numFmtId="8" fontId="0" fillId="0" borderId="0" xfId="0" applyNumberFormat="1"/>
    <xf numFmtId="42" fontId="1" fillId="0" borderId="0" xfId="2" applyFont="1" applyBorder="1"/>
    <xf numFmtId="42" fontId="0" fillId="0" borderId="0" xfId="2" applyFont="1"/>
    <xf numFmtId="42" fontId="0" fillId="0" borderId="0" xfId="0" applyNumberFormat="1" applyFont="1" applyFill="1" applyBorder="1"/>
    <xf numFmtId="0" fontId="0" fillId="0" borderId="12" xfId="0" applyBorder="1" applyAlignment="1"/>
    <xf numFmtId="0" fontId="3" fillId="0" borderId="15" xfId="0" applyFont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/>
    <xf numFmtId="3" fontId="3" fillId="0" borderId="19" xfId="0" applyNumberFormat="1" applyFont="1" applyBorder="1"/>
    <xf numFmtId="0" fontId="0" fillId="0" borderId="18" xfId="0" applyBorder="1"/>
    <xf numFmtId="3" fontId="0" fillId="0" borderId="19" xfId="0" applyNumberFormat="1" applyBorder="1"/>
    <xf numFmtId="0" fontId="0" fillId="9" borderId="18" xfId="0" applyFill="1" applyBorder="1"/>
    <xf numFmtId="3" fontId="0" fillId="9" borderId="19" xfId="0" applyNumberFormat="1" applyFill="1" applyBorder="1"/>
    <xf numFmtId="3" fontId="0" fillId="0" borderId="19" xfId="0" applyNumberFormat="1" applyFill="1" applyBorder="1"/>
    <xf numFmtId="3" fontId="0" fillId="0" borderId="23" xfId="0" applyNumberFormat="1" applyFill="1" applyBorder="1"/>
    <xf numFmtId="0" fontId="3" fillId="10" borderId="18" xfId="0" applyFont="1" applyFill="1" applyBorder="1"/>
    <xf numFmtId="3" fontId="3" fillId="10" borderId="19" xfId="0" applyNumberFormat="1" applyFont="1" applyFill="1" applyBorder="1"/>
    <xf numFmtId="3" fontId="3" fillId="10" borderId="23" xfId="0" applyNumberFormat="1" applyFont="1" applyFill="1" applyBorder="1"/>
    <xf numFmtId="3" fontId="0" fillId="8" borderId="19" xfId="0" applyNumberFormat="1" applyFill="1" applyBorder="1"/>
    <xf numFmtId="0" fontId="0" fillId="0" borderId="24" xfId="0" applyBorder="1"/>
    <xf numFmtId="3" fontId="0" fillId="0" borderId="25" xfId="0" applyNumberFormat="1" applyFill="1" applyBorder="1"/>
    <xf numFmtId="0" fontId="4" fillId="10" borderId="26" xfId="0" applyFont="1" applyFill="1" applyBorder="1"/>
    <xf numFmtId="3" fontId="0" fillId="10" borderId="27" xfId="0" applyNumberFormat="1" applyFill="1" applyBorder="1"/>
    <xf numFmtId="3" fontId="0" fillId="10" borderId="28" xfId="0" applyNumberFormat="1" applyFill="1" applyBorder="1"/>
    <xf numFmtId="0" fontId="2" fillId="0" borderId="0" xfId="0" applyFont="1" applyAlignment="1"/>
    <xf numFmtId="10" fontId="0" fillId="0" borderId="0" xfId="0" applyNumberFormat="1" applyFill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164" fontId="0" fillId="0" borderId="6" xfId="0" applyNumberFormat="1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9" xfId="0" applyNumberFormat="1" applyBorder="1"/>
    <xf numFmtId="165" fontId="0" fillId="0" borderId="6" xfId="1" applyFont="1" applyBorder="1"/>
    <xf numFmtId="165" fontId="0" fillId="0" borderId="9" xfId="1" applyFont="1" applyBorder="1"/>
    <xf numFmtId="0" fontId="2" fillId="0" borderId="26" xfId="0" applyFont="1" applyBorder="1" applyAlignment="1">
      <alignment horizontal="center"/>
    </xf>
    <xf numFmtId="165" fontId="0" fillId="0" borderId="29" xfId="1" applyFont="1" applyBorder="1"/>
    <xf numFmtId="165" fontId="0" fillId="0" borderId="30" xfId="1" applyFont="1" applyBorder="1"/>
    <xf numFmtId="0" fontId="0" fillId="0" borderId="29" xfId="0" applyBorder="1"/>
    <xf numFmtId="164" fontId="0" fillId="0" borderId="29" xfId="0" applyNumberFormat="1" applyBorder="1"/>
    <xf numFmtId="164" fontId="0" fillId="0" borderId="30" xfId="0" applyNumberFormat="1" applyBorder="1"/>
    <xf numFmtId="0" fontId="2" fillId="0" borderId="2" xfId="0" applyFont="1" applyBorder="1"/>
    <xf numFmtId="0" fontId="2" fillId="0" borderId="31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42" fontId="0" fillId="0" borderId="11" xfId="2" applyFont="1" applyBorder="1"/>
    <xf numFmtId="42" fontId="0" fillId="0" borderId="11" xfId="0" applyNumberFormat="1" applyBorder="1"/>
    <xf numFmtId="9" fontId="0" fillId="0" borderId="4" xfId="0" applyNumberFormat="1" applyBorder="1"/>
    <xf numFmtId="0" fontId="0" fillId="0" borderId="5" xfId="0" applyBorder="1" applyAlignment="1">
      <alignment wrapText="1"/>
    </xf>
    <xf numFmtId="9" fontId="0" fillId="0" borderId="6" xfId="0" applyNumberFormat="1" applyBorder="1"/>
    <xf numFmtId="42" fontId="0" fillId="0" borderId="9" xfId="2" applyFont="1" applyBorder="1"/>
    <xf numFmtId="0" fontId="0" fillId="0" borderId="31" xfId="0" applyBorder="1"/>
    <xf numFmtId="0" fontId="0" fillId="0" borderId="32" xfId="0" applyBorder="1" applyAlignment="1">
      <alignment wrapText="1"/>
    </xf>
    <xf numFmtId="0" fontId="0" fillId="0" borderId="32" xfId="0" applyBorder="1"/>
    <xf numFmtId="0" fontId="2" fillId="0" borderId="4" xfId="0" applyFont="1" applyBorder="1"/>
    <xf numFmtId="0" fontId="0" fillId="0" borderId="33" xfId="0" applyBorder="1" applyAlignment="1">
      <alignment wrapText="1"/>
    </xf>
    <xf numFmtId="42" fontId="0" fillId="3" borderId="1" xfId="0" applyNumberFormat="1" applyFill="1" applyBorder="1"/>
    <xf numFmtId="10" fontId="0" fillId="0" borderId="6" xfId="3" applyNumberFormat="1" applyFont="1" applyBorder="1"/>
    <xf numFmtId="0" fontId="2" fillId="0" borderId="32" xfId="0" applyFont="1" applyBorder="1" applyAlignment="1"/>
    <xf numFmtId="0" fontId="2" fillId="0" borderId="33" xfId="0" applyFont="1" applyBorder="1" applyAlignment="1"/>
    <xf numFmtId="42" fontId="0" fillId="0" borderId="10" xfId="2" applyFont="1" applyBorder="1" applyAlignment="1">
      <alignment horizontal="center"/>
    </xf>
    <xf numFmtId="42" fontId="0" fillId="0" borderId="12" xfId="2" applyFont="1" applyBorder="1"/>
    <xf numFmtId="0" fontId="2" fillId="5" borderId="0" xfId="0" applyFont="1" applyFill="1"/>
    <xf numFmtId="0" fontId="2" fillId="6" borderId="0" xfId="0" applyFont="1" applyFill="1"/>
    <xf numFmtId="0" fontId="0" fillId="0" borderId="1" xfId="0" applyBorder="1" applyAlignment="1">
      <alignment horizontal="center"/>
    </xf>
    <xf numFmtId="10" fontId="0" fillId="0" borderId="32" xfId="0" applyNumberFormat="1" applyBorder="1"/>
    <xf numFmtId="10" fontId="0" fillId="2" borderId="32" xfId="0" applyNumberFormat="1" applyFill="1" applyBorder="1"/>
    <xf numFmtId="8" fontId="0" fillId="0" borderId="32" xfId="0" applyNumberFormat="1" applyBorder="1"/>
    <xf numFmtId="42" fontId="1" fillId="0" borderId="0" xfId="2" applyFont="1"/>
    <xf numFmtId="0" fontId="0" fillId="0" borderId="10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3" fontId="0" fillId="0" borderId="20" xfId="0" applyNumberFormat="1" applyFill="1" applyBorder="1" applyAlignment="1">
      <alignment horizontal="center"/>
    </xf>
    <xf numFmtId="3" fontId="0" fillId="0" borderId="21" xfId="0" applyNumberFormat="1" applyFill="1" applyBorder="1" applyAlignment="1">
      <alignment horizontal="center"/>
    </xf>
    <xf numFmtId="3" fontId="0" fillId="0" borderId="22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5" xfId="2" applyNumberFormat="1" applyFont="1" applyBorder="1"/>
    <xf numFmtId="164" fontId="0" fillId="0" borderId="6" xfId="2" applyNumberFormat="1" applyFont="1" applyBorder="1"/>
    <xf numFmtId="164" fontId="0" fillId="0" borderId="10" xfId="2" applyNumberFormat="1" applyFont="1" applyBorder="1"/>
    <xf numFmtId="164" fontId="0" fillId="0" borderId="12" xfId="2" applyNumberFormat="1" applyFont="1" applyBorder="1"/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9" fontId="0" fillId="0" borderId="10" xfId="0" applyNumberFormat="1" applyBorder="1"/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9" fontId="0" fillId="0" borderId="6" xfId="0" applyNumberFormat="1" applyBorder="1" applyAlignment="1">
      <alignment horizontal="center"/>
    </xf>
    <xf numFmtId="9" fontId="0" fillId="0" borderId="9" xfId="0" applyNumberFormat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10" fontId="0" fillId="0" borderId="5" xfId="3" applyNumberFormat="1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</cellXfs>
  <cellStyles count="4">
    <cellStyle name="Moneda" xfId="1" builtinId="4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r>
              <a:rPr lang="es-CO" sz="2000">
                <a:solidFill>
                  <a:sysClr val="windowText" lastClr="000000"/>
                </a:solidFill>
              </a:rPr>
              <a:t>Puntos de Equilibrio SIN vs CON Automatización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Ancizar Sans" panose="020B0602040300000003" pitchFamily="34" charset="0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4632218458469817"/>
          <c:y val="9.9663912755078993E-2"/>
          <c:w val="0.70737666751064954"/>
          <c:h val="0.72272958842507296"/>
        </c:manualLayout>
      </c:layout>
      <c:lineChart>
        <c:grouping val="standard"/>
        <c:varyColors val="0"/>
        <c:ser>
          <c:idx val="0"/>
          <c:order val="0"/>
          <c:tx>
            <c:strRef>
              <c:f>Equilibrio!$J$37</c:f>
              <c:strCache>
                <c:ptCount val="1"/>
                <c:pt idx="0">
                  <c:v>Ingresos (SIN)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Equilibrio!$I$46:$I$82</c:f>
              <c:numCache>
                <c:formatCode>General</c:formatCode>
                <c:ptCount val="37"/>
                <c:pt idx="0">
                  <c:v>32400</c:v>
                </c:pt>
                <c:pt idx="1">
                  <c:v>36000</c:v>
                </c:pt>
                <c:pt idx="2">
                  <c:v>39600</c:v>
                </c:pt>
                <c:pt idx="3">
                  <c:v>43200</c:v>
                </c:pt>
                <c:pt idx="4">
                  <c:v>46800</c:v>
                </c:pt>
                <c:pt idx="5">
                  <c:v>50400</c:v>
                </c:pt>
                <c:pt idx="6">
                  <c:v>54000</c:v>
                </c:pt>
                <c:pt idx="7">
                  <c:v>57600</c:v>
                </c:pt>
                <c:pt idx="8">
                  <c:v>61200</c:v>
                </c:pt>
                <c:pt idx="9">
                  <c:v>64800</c:v>
                </c:pt>
                <c:pt idx="10">
                  <c:v>68400</c:v>
                </c:pt>
                <c:pt idx="11">
                  <c:v>72000</c:v>
                </c:pt>
                <c:pt idx="12">
                  <c:v>75600</c:v>
                </c:pt>
                <c:pt idx="13">
                  <c:v>79200</c:v>
                </c:pt>
                <c:pt idx="14">
                  <c:v>82800</c:v>
                </c:pt>
                <c:pt idx="15">
                  <c:v>86400</c:v>
                </c:pt>
                <c:pt idx="16">
                  <c:v>90000</c:v>
                </c:pt>
                <c:pt idx="17">
                  <c:v>93600</c:v>
                </c:pt>
                <c:pt idx="18">
                  <c:v>97200</c:v>
                </c:pt>
                <c:pt idx="19">
                  <c:v>100800</c:v>
                </c:pt>
                <c:pt idx="20">
                  <c:v>104400</c:v>
                </c:pt>
                <c:pt idx="21">
                  <c:v>108000</c:v>
                </c:pt>
                <c:pt idx="22">
                  <c:v>111600</c:v>
                </c:pt>
                <c:pt idx="23">
                  <c:v>115200</c:v>
                </c:pt>
                <c:pt idx="24">
                  <c:v>118800</c:v>
                </c:pt>
                <c:pt idx="25">
                  <c:v>122400</c:v>
                </c:pt>
                <c:pt idx="26">
                  <c:v>126000</c:v>
                </c:pt>
                <c:pt idx="27">
                  <c:v>129600</c:v>
                </c:pt>
                <c:pt idx="28">
                  <c:v>133200</c:v>
                </c:pt>
                <c:pt idx="29">
                  <c:v>136800</c:v>
                </c:pt>
                <c:pt idx="30">
                  <c:v>140400</c:v>
                </c:pt>
                <c:pt idx="31">
                  <c:v>144000</c:v>
                </c:pt>
                <c:pt idx="32">
                  <c:v>147600</c:v>
                </c:pt>
                <c:pt idx="33">
                  <c:v>151200</c:v>
                </c:pt>
                <c:pt idx="34">
                  <c:v>154800</c:v>
                </c:pt>
                <c:pt idx="35">
                  <c:v>158400</c:v>
                </c:pt>
                <c:pt idx="36">
                  <c:v>162000</c:v>
                </c:pt>
              </c:numCache>
            </c:numRef>
          </c:cat>
          <c:val>
            <c:numRef>
              <c:f>Equilibrio!$J$46:$J$82</c:f>
              <c:numCache>
                <c:formatCode>_("$"* #,##0_);_("$"* \(#,##0\);_("$"* "-"_);_(@_)</c:formatCode>
                <c:ptCount val="37"/>
                <c:pt idx="0">
                  <c:v>140940000</c:v>
                </c:pt>
                <c:pt idx="1">
                  <c:v>156600000</c:v>
                </c:pt>
                <c:pt idx="2">
                  <c:v>172260000</c:v>
                </c:pt>
                <c:pt idx="3">
                  <c:v>187920000</c:v>
                </c:pt>
                <c:pt idx="4">
                  <c:v>203580000</c:v>
                </c:pt>
                <c:pt idx="5">
                  <c:v>219240000</c:v>
                </c:pt>
                <c:pt idx="6">
                  <c:v>234900000</c:v>
                </c:pt>
                <c:pt idx="7">
                  <c:v>250560000</c:v>
                </c:pt>
                <c:pt idx="8">
                  <c:v>266220000</c:v>
                </c:pt>
                <c:pt idx="9">
                  <c:v>281880000</c:v>
                </c:pt>
                <c:pt idx="10">
                  <c:v>297540000</c:v>
                </c:pt>
                <c:pt idx="11">
                  <c:v>313200000</c:v>
                </c:pt>
                <c:pt idx="12">
                  <c:v>328860000</c:v>
                </c:pt>
                <c:pt idx="13">
                  <c:v>344520000</c:v>
                </c:pt>
                <c:pt idx="14">
                  <c:v>360180000</c:v>
                </c:pt>
                <c:pt idx="15">
                  <c:v>375840000</c:v>
                </c:pt>
                <c:pt idx="16">
                  <c:v>391500000</c:v>
                </c:pt>
                <c:pt idx="17">
                  <c:v>407160000</c:v>
                </c:pt>
                <c:pt idx="18">
                  <c:v>422820000</c:v>
                </c:pt>
                <c:pt idx="19">
                  <c:v>438480000</c:v>
                </c:pt>
                <c:pt idx="20">
                  <c:v>454140000</c:v>
                </c:pt>
                <c:pt idx="21">
                  <c:v>469800000</c:v>
                </c:pt>
                <c:pt idx="22">
                  <c:v>485460000</c:v>
                </c:pt>
                <c:pt idx="23">
                  <c:v>501120000</c:v>
                </c:pt>
                <c:pt idx="24">
                  <c:v>516780000</c:v>
                </c:pt>
                <c:pt idx="25">
                  <c:v>532440000</c:v>
                </c:pt>
                <c:pt idx="26">
                  <c:v>548100000</c:v>
                </c:pt>
                <c:pt idx="27">
                  <c:v>563760000</c:v>
                </c:pt>
                <c:pt idx="28">
                  <c:v>579420000</c:v>
                </c:pt>
                <c:pt idx="29">
                  <c:v>595080000</c:v>
                </c:pt>
                <c:pt idx="30">
                  <c:v>610740000</c:v>
                </c:pt>
                <c:pt idx="31">
                  <c:v>626400000</c:v>
                </c:pt>
                <c:pt idx="32">
                  <c:v>642060000</c:v>
                </c:pt>
                <c:pt idx="33">
                  <c:v>657720000</c:v>
                </c:pt>
                <c:pt idx="34">
                  <c:v>673380000</c:v>
                </c:pt>
                <c:pt idx="35">
                  <c:v>689040000</c:v>
                </c:pt>
                <c:pt idx="36">
                  <c:v>704700000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70-4081-BE4B-BD8D7480F9ED}"/>
            </c:ext>
          </c:extLst>
        </c:ser>
        <c:ser>
          <c:idx val="1"/>
          <c:order val="1"/>
          <c:tx>
            <c:strRef>
              <c:f>Equilibrio!$K$37</c:f>
              <c:strCache>
                <c:ptCount val="1"/>
                <c:pt idx="0">
                  <c:v>Gastos (SIN)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1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C724-4EB0-9A2A-FB361B3842B5}"/>
              </c:ext>
            </c:extLst>
          </c:dPt>
          <c:dPt>
            <c:idx val="11"/>
            <c:marker>
              <c:symbol val="circle"/>
              <c:size val="7"/>
              <c:spPr>
                <a:solidFill>
                  <a:srgbClr val="FFFF00"/>
                </a:solidFill>
                <a:ln w="9525">
                  <a:noFill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724-4EB0-9A2A-FB361B3842B5}"/>
              </c:ext>
            </c:extLst>
          </c:dPt>
          <c:cat>
            <c:numRef>
              <c:f>Equilibrio!$I$46:$I$82</c:f>
              <c:numCache>
                <c:formatCode>General</c:formatCode>
                <c:ptCount val="37"/>
                <c:pt idx="0">
                  <c:v>32400</c:v>
                </c:pt>
                <c:pt idx="1">
                  <c:v>36000</c:v>
                </c:pt>
                <c:pt idx="2">
                  <c:v>39600</c:v>
                </c:pt>
                <c:pt idx="3">
                  <c:v>43200</c:v>
                </c:pt>
                <c:pt idx="4">
                  <c:v>46800</c:v>
                </c:pt>
                <c:pt idx="5">
                  <c:v>50400</c:v>
                </c:pt>
                <c:pt idx="6">
                  <c:v>54000</c:v>
                </c:pt>
                <c:pt idx="7">
                  <c:v>57600</c:v>
                </c:pt>
                <c:pt idx="8">
                  <c:v>61200</c:v>
                </c:pt>
                <c:pt idx="9">
                  <c:v>64800</c:v>
                </c:pt>
                <c:pt idx="10">
                  <c:v>68400</c:v>
                </c:pt>
                <c:pt idx="11">
                  <c:v>72000</c:v>
                </c:pt>
                <c:pt idx="12">
                  <c:v>75600</c:v>
                </c:pt>
                <c:pt idx="13">
                  <c:v>79200</c:v>
                </c:pt>
                <c:pt idx="14">
                  <c:v>82800</c:v>
                </c:pt>
                <c:pt idx="15">
                  <c:v>86400</c:v>
                </c:pt>
                <c:pt idx="16">
                  <c:v>90000</c:v>
                </c:pt>
                <c:pt idx="17">
                  <c:v>93600</c:v>
                </c:pt>
                <c:pt idx="18">
                  <c:v>97200</c:v>
                </c:pt>
                <c:pt idx="19">
                  <c:v>100800</c:v>
                </c:pt>
                <c:pt idx="20">
                  <c:v>104400</c:v>
                </c:pt>
                <c:pt idx="21">
                  <c:v>108000</c:v>
                </c:pt>
                <c:pt idx="22">
                  <c:v>111600</c:v>
                </c:pt>
                <c:pt idx="23">
                  <c:v>115200</c:v>
                </c:pt>
                <c:pt idx="24">
                  <c:v>118800</c:v>
                </c:pt>
                <c:pt idx="25">
                  <c:v>122400</c:v>
                </c:pt>
                <c:pt idx="26">
                  <c:v>126000</c:v>
                </c:pt>
                <c:pt idx="27">
                  <c:v>129600</c:v>
                </c:pt>
                <c:pt idx="28">
                  <c:v>133200</c:v>
                </c:pt>
                <c:pt idx="29">
                  <c:v>136800</c:v>
                </c:pt>
                <c:pt idx="30">
                  <c:v>140400</c:v>
                </c:pt>
                <c:pt idx="31">
                  <c:v>144000</c:v>
                </c:pt>
                <c:pt idx="32">
                  <c:v>147600</c:v>
                </c:pt>
                <c:pt idx="33">
                  <c:v>151200</c:v>
                </c:pt>
                <c:pt idx="34">
                  <c:v>154800</c:v>
                </c:pt>
                <c:pt idx="35">
                  <c:v>158400</c:v>
                </c:pt>
                <c:pt idx="36">
                  <c:v>162000</c:v>
                </c:pt>
              </c:numCache>
            </c:numRef>
          </c:cat>
          <c:val>
            <c:numRef>
              <c:f>Equilibrio!$K$46:$K$82</c:f>
              <c:numCache>
                <c:formatCode>_("$"* #,##0_);_("$"* \(#,##0\);_("$"* "-"_);_(@_)</c:formatCode>
                <c:ptCount val="37"/>
                <c:pt idx="0">
                  <c:v>265078274.12487096</c:v>
                </c:pt>
                <c:pt idx="1">
                  <c:v>265078274.12487096</c:v>
                </c:pt>
                <c:pt idx="2">
                  <c:v>265078274.12487096</c:v>
                </c:pt>
                <c:pt idx="3">
                  <c:v>285878274.12487096</c:v>
                </c:pt>
                <c:pt idx="4">
                  <c:v>285878274.12487096</c:v>
                </c:pt>
                <c:pt idx="5">
                  <c:v>285878274.12487096</c:v>
                </c:pt>
                <c:pt idx="6">
                  <c:v>285878274.12487096</c:v>
                </c:pt>
                <c:pt idx="7">
                  <c:v>306678274.12487096</c:v>
                </c:pt>
                <c:pt idx="8">
                  <c:v>306678274.12487096</c:v>
                </c:pt>
                <c:pt idx="9">
                  <c:v>306678274.12487096</c:v>
                </c:pt>
                <c:pt idx="10">
                  <c:v>306678274.12487096</c:v>
                </c:pt>
                <c:pt idx="11">
                  <c:v>327478274.12487096</c:v>
                </c:pt>
                <c:pt idx="12">
                  <c:v>327478274.12487096</c:v>
                </c:pt>
                <c:pt idx="13">
                  <c:v>327478274.12487096</c:v>
                </c:pt>
                <c:pt idx="14">
                  <c:v>327478274.12487096</c:v>
                </c:pt>
                <c:pt idx="15">
                  <c:v>348278274.12487096</c:v>
                </c:pt>
                <c:pt idx="16">
                  <c:v>348278274.12487096</c:v>
                </c:pt>
                <c:pt idx="17">
                  <c:v>348278274.12487096</c:v>
                </c:pt>
                <c:pt idx="18">
                  <c:v>348278274.12487096</c:v>
                </c:pt>
                <c:pt idx="19">
                  <c:v>369078274.12487096</c:v>
                </c:pt>
                <c:pt idx="20">
                  <c:v>369078274.12487096</c:v>
                </c:pt>
                <c:pt idx="21">
                  <c:v>369078274.12487096</c:v>
                </c:pt>
                <c:pt idx="22">
                  <c:v>369078274.12487096</c:v>
                </c:pt>
                <c:pt idx="23">
                  <c:v>389878274.12487096</c:v>
                </c:pt>
                <c:pt idx="24">
                  <c:v>389878274.12487096</c:v>
                </c:pt>
                <c:pt idx="25">
                  <c:v>389878274.12487096</c:v>
                </c:pt>
                <c:pt idx="26">
                  <c:v>389878274.12487096</c:v>
                </c:pt>
                <c:pt idx="27">
                  <c:v>410678274.12487096</c:v>
                </c:pt>
                <c:pt idx="28">
                  <c:v>410678274.12487096</c:v>
                </c:pt>
                <c:pt idx="29">
                  <c:v>410678274.12487096</c:v>
                </c:pt>
                <c:pt idx="30">
                  <c:v>410678274.12487096</c:v>
                </c:pt>
                <c:pt idx="31">
                  <c:v>431478274.12487096</c:v>
                </c:pt>
                <c:pt idx="32">
                  <c:v>431478274.12487096</c:v>
                </c:pt>
                <c:pt idx="33">
                  <c:v>431478274.12487096</c:v>
                </c:pt>
                <c:pt idx="34">
                  <c:v>431478274.12487096</c:v>
                </c:pt>
                <c:pt idx="35">
                  <c:v>452278274.12487096</c:v>
                </c:pt>
                <c:pt idx="36">
                  <c:v>452278274.12487096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70-4081-BE4B-BD8D7480F9ED}"/>
            </c:ext>
          </c:extLst>
        </c:ser>
        <c:ser>
          <c:idx val="2"/>
          <c:order val="2"/>
          <c:tx>
            <c:strRef>
              <c:f>Equilibrio!$L$37</c:f>
              <c:strCache>
                <c:ptCount val="1"/>
                <c:pt idx="0">
                  <c:v>Ingresos (CON)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Equilibrio!$I$46:$I$82</c:f>
              <c:numCache>
                <c:formatCode>General</c:formatCode>
                <c:ptCount val="37"/>
                <c:pt idx="0">
                  <c:v>32400</c:v>
                </c:pt>
                <c:pt idx="1">
                  <c:v>36000</c:v>
                </c:pt>
                <c:pt idx="2">
                  <c:v>39600</c:v>
                </c:pt>
                <c:pt idx="3">
                  <c:v>43200</c:v>
                </c:pt>
                <c:pt idx="4">
                  <c:v>46800</c:v>
                </c:pt>
                <c:pt idx="5">
                  <c:v>50400</c:v>
                </c:pt>
                <c:pt idx="6">
                  <c:v>54000</c:v>
                </c:pt>
                <c:pt idx="7">
                  <c:v>57600</c:v>
                </c:pt>
                <c:pt idx="8">
                  <c:v>61200</c:v>
                </c:pt>
                <c:pt idx="9">
                  <c:v>64800</c:v>
                </c:pt>
                <c:pt idx="10">
                  <c:v>68400</c:v>
                </c:pt>
                <c:pt idx="11">
                  <c:v>72000</c:v>
                </c:pt>
                <c:pt idx="12">
                  <c:v>75600</c:v>
                </c:pt>
                <c:pt idx="13">
                  <c:v>79200</c:v>
                </c:pt>
                <c:pt idx="14">
                  <c:v>82800</c:v>
                </c:pt>
                <c:pt idx="15">
                  <c:v>86400</c:v>
                </c:pt>
                <c:pt idx="16">
                  <c:v>90000</c:v>
                </c:pt>
                <c:pt idx="17">
                  <c:v>93600</c:v>
                </c:pt>
                <c:pt idx="18">
                  <c:v>97200</c:v>
                </c:pt>
                <c:pt idx="19">
                  <c:v>100800</c:v>
                </c:pt>
                <c:pt idx="20">
                  <c:v>104400</c:v>
                </c:pt>
                <c:pt idx="21">
                  <c:v>108000</c:v>
                </c:pt>
                <c:pt idx="22">
                  <c:v>111600</c:v>
                </c:pt>
                <c:pt idx="23">
                  <c:v>115200</c:v>
                </c:pt>
                <c:pt idx="24">
                  <c:v>118800</c:v>
                </c:pt>
                <c:pt idx="25">
                  <c:v>122400</c:v>
                </c:pt>
                <c:pt idx="26">
                  <c:v>126000</c:v>
                </c:pt>
                <c:pt idx="27">
                  <c:v>129600</c:v>
                </c:pt>
                <c:pt idx="28">
                  <c:v>133200</c:v>
                </c:pt>
                <c:pt idx="29">
                  <c:v>136800</c:v>
                </c:pt>
                <c:pt idx="30">
                  <c:v>140400</c:v>
                </c:pt>
                <c:pt idx="31">
                  <c:v>144000</c:v>
                </c:pt>
                <c:pt idx="32">
                  <c:v>147600</c:v>
                </c:pt>
                <c:pt idx="33">
                  <c:v>151200</c:v>
                </c:pt>
                <c:pt idx="34">
                  <c:v>154800</c:v>
                </c:pt>
                <c:pt idx="35">
                  <c:v>158400</c:v>
                </c:pt>
                <c:pt idx="36">
                  <c:v>162000</c:v>
                </c:pt>
              </c:numCache>
            </c:numRef>
          </c:cat>
          <c:val>
            <c:numRef>
              <c:f>Equilibrio!$L$46:$L$82</c:f>
              <c:numCache>
                <c:formatCode>_("$"* #,##0_);_("$"* \(#,##0\);_("$"* "-"_);_(@_)</c:formatCode>
                <c:ptCount val="37"/>
                <c:pt idx="0">
                  <c:v>110160000</c:v>
                </c:pt>
                <c:pt idx="1">
                  <c:v>122400000</c:v>
                </c:pt>
                <c:pt idx="2">
                  <c:v>134640000</c:v>
                </c:pt>
                <c:pt idx="3">
                  <c:v>146880000</c:v>
                </c:pt>
                <c:pt idx="4">
                  <c:v>159120000</c:v>
                </c:pt>
                <c:pt idx="5">
                  <c:v>171360000</c:v>
                </c:pt>
                <c:pt idx="6">
                  <c:v>183600000</c:v>
                </c:pt>
                <c:pt idx="7">
                  <c:v>195840000</c:v>
                </c:pt>
                <c:pt idx="8">
                  <c:v>208080000</c:v>
                </c:pt>
                <c:pt idx="9">
                  <c:v>220320000</c:v>
                </c:pt>
                <c:pt idx="10">
                  <c:v>232560000</c:v>
                </c:pt>
                <c:pt idx="11">
                  <c:v>244800000</c:v>
                </c:pt>
                <c:pt idx="12">
                  <c:v>257040000</c:v>
                </c:pt>
                <c:pt idx="13">
                  <c:v>269280000</c:v>
                </c:pt>
                <c:pt idx="14">
                  <c:v>281520000</c:v>
                </c:pt>
                <c:pt idx="15">
                  <c:v>293760000</c:v>
                </c:pt>
                <c:pt idx="16">
                  <c:v>306000000</c:v>
                </c:pt>
                <c:pt idx="17">
                  <c:v>318240000</c:v>
                </c:pt>
                <c:pt idx="18">
                  <c:v>330480000</c:v>
                </c:pt>
                <c:pt idx="19">
                  <c:v>342720000</c:v>
                </c:pt>
                <c:pt idx="20">
                  <c:v>354960000</c:v>
                </c:pt>
                <c:pt idx="21">
                  <c:v>367200000</c:v>
                </c:pt>
                <c:pt idx="22">
                  <c:v>379440000</c:v>
                </c:pt>
                <c:pt idx="23">
                  <c:v>391680000</c:v>
                </c:pt>
                <c:pt idx="24">
                  <c:v>403920000</c:v>
                </c:pt>
                <c:pt idx="25">
                  <c:v>416160000</c:v>
                </c:pt>
                <c:pt idx="26">
                  <c:v>428400000</c:v>
                </c:pt>
                <c:pt idx="27">
                  <c:v>440640000</c:v>
                </c:pt>
                <c:pt idx="28">
                  <c:v>452880000</c:v>
                </c:pt>
                <c:pt idx="29">
                  <c:v>465120000</c:v>
                </c:pt>
                <c:pt idx="30">
                  <c:v>477360000</c:v>
                </c:pt>
                <c:pt idx="31">
                  <c:v>489600000</c:v>
                </c:pt>
                <c:pt idx="32">
                  <c:v>501840000</c:v>
                </c:pt>
                <c:pt idx="33">
                  <c:v>514080000</c:v>
                </c:pt>
                <c:pt idx="34">
                  <c:v>526320000</c:v>
                </c:pt>
                <c:pt idx="35">
                  <c:v>538560000</c:v>
                </c:pt>
                <c:pt idx="36">
                  <c:v>550800000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70-4081-BE4B-BD8D7480F9ED}"/>
            </c:ext>
          </c:extLst>
        </c:ser>
        <c:ser>
          <c:idx val="3"/>
          <c:order val="3"/>
          <c:tx>
            <c:strRef>
              <c:f>Equilibrio!$M$37</c:f>
              <c:strCache>
                <c:ptCount val="1"/>
                <c:pt idx="0">
                  <c:v>Gastos (CON)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26"/>
            <c:marker>
              <c:symbol val="circle"/>
              <c:size val="7"/>
              <c:spPr>
                <a:solidFill>
                  <a:schemeClr val="accent4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C724-4EB0-9A2A-FB361B3842B5}"/>
              </c:ext>
            </c:extLst>
          </c:dPt>
          <c:cat>
            <c:numRef>
              <c:f>Equilibrio!$I$46:$I$82</c:f>
              <c:numCache>
                <c:formatCode>General</c:formatCode>
                <c:ptCount val="37"/>
                <c:pt idx="0">
                  <c:v>32400</c:v>
                </c:pt>
                <c:pt idx="1">
                  <c:v>36000</c:v>
                </c:pt>
                <c:pt idx="2">
                  <c:v>39600</c:v>
                </c:pt>
                <c:pt idx="3">
                  <c:v>43200</c:v>
                </c:pt>
                <c:pt idx="4">
                  <c:v>46800</c:v>
                </c:pt>
                <c:pt idx="5">
                  <c:v>50400</c:v>
                </c:pt>
                <c:pt idx="6">
                  <c:v>54000</c:v>
                </c:pt>
                <c:pt idx="7">
                  <c:v>57600</c:v>
                </c:pt>
                <c:pt idx="8">
                  <c:v>61200</c:v>
                </c:pt>
                <c:pt idx="9">
                  <c:v>64800</c:v>
                </c:pt>
                <c:pt idx="10">
                  <c:v>68400</c:v>
                </c:pt>
                <c:pt idx="11">
                  <c:v>72000</c:v>
                </c:pt>
                <c:pt idx="12">
                  <c:v>75600</c:v>
                </c:pt>
                <c:pt idx="13">
                  <c:v>79200</c:v>
                </c:pt>
                <c:pt idx="14">
                  <c:v>82800</c:v>
                </c:pt>
                <c:pt idx="15">
                  <c:v>86400</c:v>
                </c:pt>
                <c:pt idx="16">
                  <c:v>90000</c:v>
                </c:pt>
                <c:pt idx="17">
                  <c:v>93600</c:v>
                </c:pt>
                <c:pt idx="18">
                  <c:v>97200</c:v>
                </c:pt>
                <c:pt idx="19">
                  <c:v>100800</c:v>
                </c:pt>
                <c:pt idx="20">
                  <c:v>104400</c:v>
                </c:pt>
                <c:pt idx="21">
                  <c:v>108000</c:v>
                </c:pt>
                <c:pt idx="22">
                  <c:v>111600</c:v>
                </c:pt>
                <c:pt idx="23">
                  <c:v>115200</c:v>
                </c:pt>
                <c:pt idx="24">
                  <c:v>118800</c:v>
                </c:pt>
                <c:pt idx="25">
                  <c:v>122400</c:v>
                </c:pt>
                <c:pt idx="26">
                  <c:v>126000</c:v>
                </c:pt>
                <c:pt idx="27">
                  <c:v>129600</c:v>
                </c:pt>
                <c:pt idx="28">
                  <c:v>133200</c:v>
                </c:pt>
                <c:pt idx="29">
                  <c:v>136800</c:v>
                </c:pt>
                <c:pt idx="30">
                  <c:v>140400</c:v>
                </c:pt>
                <c:pt idx="31">
                  <c:v>144000</c:v>
                </c:pt>
                <c:pt idx="32">
                  <c:v>147600</c:v>
                </c:pt>
                <c:pt idx="33">
                  <c:v>151200</c:v>
                </c:pt>
                <c:pt idx="34">
                  <c:v>154800</c:v>
                </c:pt>
                <c:pt idx="35">
                  <c:v>158400</c:v>
                </c:pt>
                <c:pt idx="36">
                  <c:v>162000</c:v>
                </c:pt>
              </c:numCache>
            </c:numRef>
          </c:cat>
          <c:val>
            <c:numRef>
              <c:f>Equilibrio!$M$46:$M$82</c:f>
              <c:numCache>
                <c:formatCode>_("$"* #,##0_);_("$"* \(#,##0\);_("$"* "-"_);_(@_)</c:formatCode>
                <c:ptCount val="37"/>
                <c:pt idx="0">
                  <c:v>422732417.33904469</c:v>
                </c:pt>
                <c:pt idx="1">
                  <c:v>423092417.33904469</c:v>
                </c:pt>
                <c:pt idx="2">
                  <c:v>423452417.33904469</c:v>
                </c:pt>
                <c:pt idx="3">
                  <c:v>423812417.33904469</c:v>
                </c:pt>
                <c:pt idx="4">
                  <c:v>424172417.33904469</c:v>
                </c:pt>
                <c:pt idx="5">
                  <c:v>424532417.33904469</c:v>
                </c:pt>
                <c:pt idx="6">
                  <c:v>424892417.33904469</c:v>
                </c:pt>
                <c:pt idx="7">
                  <c:v>425252417.33904469</c:v>
                </c:pt>
                <c:pt idx="8">
                  <c:v>425612417.33904469</c:v>
                </c:pt>
                <c:pt idx="9">
                  <c:v>425972417.33904469</c:v>
                </c:pt>
                <c:pt idx="10">
                  <c:v>426332417.33904469</c:v>
                </c:pt>
                <c:pt idx="11">
                  <c:v>426692417.33904469</c:v>
                </c:pt>
                <c:pt idx="12">
                  <c:v>427052417.33904469</c:v>
                </c:pt>
                <c:pt idx="13">
                  <c:v>427412417.33904469</c:v>
                </c:pt>
                <c:pt idx="14">
                  <c:v>427772417.33904469</c:v>
                </c:pt>
                <c:pt idx="15">
                  <c:v>428132417.33904469</c:v>
                </c:pt>
                <c:pt idx="16">
                  <c:v>428492417.33904469</c:v>
                </c:pt>
                <c:pt idx="17">
                  <c:v>428852417.33904469</c:v>
                </c:pt>
                <c:pt idx="18">
                  <c:v>429212417.33904469</c:v>
                </c:pt>
                <c:pt idx="19">
                  <c:v>429572417.33904469</c:v>
                </c:pt>
                <c:pt idx="20">
                  <c:v>429932417.33904469</c:v>
                </c:pt>
                <c:pt idx="21">
                  <c:v>430292417.33904469</c:v>
                </c:pt>
                <c:pt idx="22">
                  <c:v>430652417.33904469</c:v>
                </c:pt>
                <c:pt idx="23">
                  <c:v>431012417.33904469</c:v>
                </c:pt>
                <c:pt idx="24">
                  <c:v>431372417.33904469</c:v>
                </c:pt>
                <c:pt idx="25">
                  <c:v>431732417.33904469</c:v>
                </c:pt>
                <c:pt idx="26">
                  <c:v>432092417.33904469</c:v>
                </c:pt>
                <c:pt idx="27">
                  <c:v>432452417.33904469</c:v>
                </c:pt>
                <c:pt idx="28">
                  <c:v>432812417.33904469</c:v>
                </c:pt>
                <c:pt idx="29">
                  <c:v>433172417.33904469</c:v>
                </c:pt>
                <c:pt idx="30">
                  <c:v>433532417.33904469</c:v>
                </c:pt>
                <c:pt idx="31">
                  <c:v>433892417.33904469</c:v>
                </c:pt>
                <c:pt idx="32">
                  <c:v>434252417.33904469</c:v>
                </c:pt>
                <c:pt idx="33">
                  <c:v>434612417.33904469</c:v>
                </c:pt>
                <c:pt idx="34">
                  <c:v>434972417.33904469</c:v>
                </c:pt>
                <c:pt idx="35">
                  <c:v>435332417.33904469</c:v>
                </c:pt>
                <c:pt idx="36">
                  <c:v>435692417.33904469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D70-4081-BE4B-BD8D7480F9ED}"/>
            </c:ext>
          </c:extLst>
        </c:ser>
        <c:ser>
          <c:idx val="5"/>
          <c:order val="4"/>
          <c:tx>
            <c:strRef>
              <c:f>Equilibrio!$N$37</c:f>
              <c:strCache>
                <c:ptCount val="1"/>
                <c:pt idx="0">
                  <c:v>Gastos (CON) DEUDA PAGA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12"/>
            <c:marker>
              <c:symbol val="circle"/>
              <c:size val="7"/>
              <c:spPr>
                <a:solidFill>
                  <a:srgbClr val="FFC000"/>
                </a:solidFill>
                <a:ln w="9525">
                  <a:noFill/>
                </a:ln>
                <a:effectLst/>
              </c:spPr>
            </c:marker>
            <c:bubble3D val="0"/>
            <c:spPr>
              <a:ln w="28575" cap="rnd">
                <a:solidFill>
                  <a:schemeClr val="accent2">
                    <a:alpha val="97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724-4EB0-9A2A-FB361B3842B5}"/>
              </c:ext>
            </c:extLst>
          </c:dPt>
          <c:cat>
            <c:numRef>
              <c:f>Equilibrio!$I$46:$I$82</c:f>
              <c:numCache>
                <c:formatCode>General</c:formatCode>
                <c:ptCount val="37"/>
                <c:pt idx="0">
                  <c:v>32400</c:v>
                </c:pt>
                <c:pt idx="1">
                  <c:v>36000</c:v>
                </c:pt>
                <c:pt idx="2">
                  <c:v>39600</c:v>
                </c:pt>
                <c:pt idx="3">
                  <c:v>43200</c:v>
                </c:pt>
                <c:pt idx="4">
                  <c:v>46800</c:v>
                </c:pt>
                <c:pt idx="5">
                  <c:v>50400</c:v>
                </c:pt>
                <c:pt idx="6">
                  <c:v>54000</c:v>
                </c:pt>
                <c:pt idx="7">
                  <c:v>57600</c:v>
                </c:pt>
                <c:pt idx="8">
                  <c:v>61200</c:v>
                </c:pt>
                <c:pt idx="9">
                  <c:v>64800</c:v>
                </c:pt>
                <c:pt idx="10">
                  <c:v>68400</c:v>
                </c:pt>
                <c:pt idx="11">
                  <c:v>72000</c:v>
                </c:pt>
                <c:pt idx="12">
                  <c:v>75600</c:v>
                </c:pt>
                <c:pt idx="13">
                  <c:v>79200</c:v>
                </c:pt>
                <c:pt idx="14">
                  <c:v>82800</c:v>
                </c:pt>
                <c:pt idx="15">
                  <c:v>86400</c:v>
                </c:pt>
                <c:pt idx="16">
                  <c:v>90000</c:v>
                </c:pt>
                <c:pt idx="17">
                  <c:v>93600</c:v>
                </c:pt>
                <c:pt idx="18">
                  <c:v>97200</c:v>
                </c:pt>
                <c:pt idx="19">
                  <c:v>100800</c:v>
                </c:pt>
                <c:pt idx="20">
                  <c:v>104400</c:v>
                </c:pt>
                <c:pt idx="21">
                  <c:v>108000</c:v>
                </c:pt>
                <c:pt idx="22">
                  <c:v>111600</c:v>
                </c:pt>
                <c:pt idx="23">
                  <c:v>115200</c:v>
                </c:pt>
                <c:pt idx="24">
                  <c:v>118800</c:v>
                </c:pt>
                <c:pt idx="25">
                  <c:v>122400</c:v>
                </c:pt>
                <c:pt idx="26">
                  <c:v>126000</c:v>
                </c:pt>
                <c:pt idx="27">
                  <c:v>129600</c:v>
                </c:pt>
                <c:pt idx="28">
                  <c:v>133200</c:v>
                </c:pt>
                <c:pt idx="29">
                  <c:v>136800</c:v>
                </c:pt>
                <c:pt idx="30">
                  <c:v>140400</c:v>
                </c:pt>
                <c:pt idx="31">
                  <c:v>144000</c:v>
                </c:pt>
                <c:pt idx="32">
                  <c:v>147600</c:v>
                </c:pt>
                <c:pt idx="33">
                  <c:v>151200</c:v>
                </c:pt>
                <c:pt idx="34">
                  <c:v>154800</c:v>
                </c:pt>
                <c:pt idx="35">
                  <c:v>158400</c:v>
                </c:pt>
                <c:pt idx="36">
                  <c:v>162000</c:v>
                </c:pt>
              </c:numCache>
            </c:numRef>
          </c:cat>
          <c:val>
            <c:numRef>
              <c:f>Equilibrio!$N$46:$N$82</c:f>
              <c:numCache>
                <c:formatCode>_("$"* #,##0_);_("$"* \(#,##0\);_("$"* "-"_);_(@_)</c:formatCode>
                <c:ptCount val="37"/>
                <c:pt idx="0">
                  <c:v>248640000</c:v>
                </c:pt>
                <c:pt idx="1">
                  <c:v>249000000</c:v>
                </c:pt>
                <c:pt idx="2">
                  <c:v>249360000</c:v>
                </c:pt>
                <c:pt idx="3">
                  <c:v>249720000</c:v>
                </c:pt>
                <c:pt idx="4">
                  <c:v>250080000</c:v>
                </c:pt>
                <c:pt idx="5">
                  <c:v>250440000</c:v>
                </c:pt>
                <c:pt idx="6">
                  <c:v>250800000</c:v>
                </c:pt>
                <c:pt idx="7">
                  <c:v>251160000</c:v>
                </c:pt>
                <c:pt idx="8">
                  <c:v>251520000</c:v>
                </c:pt>
                <c:pt idx="9">
                  <c:v>251880000</c:v>
                </c:pt>
                <c:pt idx="10">
                  <c:v>252240000</c:v>
                </c:pt>
                <c:pt idx="11">
                  <c:v>252600000</c:v>
                </c:pt>
                <c:pt idx="12">
                  <c:v>252960000</c:v>
                </c:pt>
                <c:pt idx="13">
                  <c:v>253320000</c:v>
                </c:pt>
                <c:pt idx="14">
                  <c:v>253680000</c:v>
                </c:pt>
                <c:pt idx="15">
                  <c:v>254040000</c:v>
                </c:pt>
                <c:pt idx="16">
                  <c:v>254400000</c:v>
                </c:pt>
                <c:pt idx="17">
                  <c:v>254760000</c:v>
                </c:pt>
                <c:pt idx="18">
                  <c:v>255120000</c:v>
                </c:pt>
                <c:pt idx="19">
                  <c:v>255480000</c:v>
                </c:pt>
                <c:pt idx="20">
                  <c:v>255840000</c:v>
                </c:pt>
                <c:pt idx="21">
                  <c:v>256200000</c:v>
                </c:pt>
                <c:pt idx="22">
                  <c:v>256560000</c:v>
                </c:pt>
                <c:pt idx="23">
                  <c:v>256920000</c:v>
                </c:pt>
                <c:pt idx="24">
                  <c:v>257280000</c:v>
                </c:pt>
                <c:pt idx="25">
                  <c:v>257640000</c:v>
                </c:pt>
                <c:pt idx="26">
                  <c:v>258000000</c:v>
                </c:pt>
                <c:pt idx="27">
                  <c:v>258360000</c:v>
                </c:pt>
                <c:pt idx="28">
                  <c:v>258720000</c:v>
                </c:pt>
                <c:pt idx="29">
                  <c:v>259080000</c:v>
                </c:pt>
                <c:pt idx="30">
                  <c:v>259440000</c:v>
                </c:pt>
                <c:pt idx="31">
                  <c:v>259800000</c:v>
                </c:pt>
                <c:pt idx="32">
                  <c:v>260160000</c:v>
                </c:pt>
                <c:pt idx="33">
                  <c:v>260520000</c:v>
                </c:pt>
                <c:pt idx="34">
                  <c:v>260880000</c:v>
                </c:pt>
                <c:pt idx="35">
                  <c:v>261240000</c:v>
                </c:pt>
                <c:pt idx="36">
                  <c:v>261600000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54-4482-9050-4639DB59E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6841359"/>
        <c:axId val="1066830543"/>
      </c:lineChart>
      <c:catAx>
        <c:axId val="1066841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ncizar Sans" panose="020B0602040300000003" pitchFamily="34" charset="0"/>
                    <a:ea typeface="+mn-ea"/>
                    <a:cs typeface="+mn-cs"/>
                  </a:defRPr>
                </a:pPr>
                <a:r>
                  <a:rPr lang="es-CO" sz="1400">
                    <a:solidFill>
                      <a:sysClr val="windowText" lastClr="000000"/>
                    </a:solidFill>
                  </a:rPr>
                  <a:t># Pedidos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ncizar Sans" panose="020B0602040300000003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endParaRPr lang="es-CO"/>
          </a:p>
        </c:txPr>
        <c:crossAx val="1066830543"/>
        <c:crosses val="autoZero"/>
        <c:auto val="1"/>
        <c:lblAlgn val="ctr"/>
        <c:lblOffset val="100"/>
        <c:noMultiLvlLbl val="0"/>
      </c:catAx>
      <c:valAx>
        <c:axId val="106683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ncizar Sans" panose="020B0602040300000003" pitchFamily="34" charset="0"/>
                    <a:ea typeface="+mn-ea"/>
                    <a:cs typeface="+mn-cs"/>
                  </a:defRPr>
                </a:pPr>
                <a:r>
                  <a:rPr lang="es-CO" sz="1400">
                    <a:solidFill>
                      <a:sysClr val="windowText" lastClr="000000"/>
                    </a:solidFill>
                  </a:rPr>
                  <a:t>Dinero (COP)</a:t>
                </a:r>
              </a:p>
            </c:rich>
          </c:tx>
          <c:layout>
            <c:manualLayout>
              <c:xMode val="edge"/>
              <c:yMode val="edge"/>
              <c:x val="1.4720015938822693E-2"/>
              <c:y val="0.379223499618458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ncizar Sans" panose="020B0602040300000003" pitchFamily="34" charset="0"/>
                  <a:ea typeface="+mn-ea"/>
                  <a:cs typeface="+mn-cs"/>
                </a:defRPr>
              </a:pPr>
              <a:endParaRPr lang="es-CO"/>
            </a:p>
          </c:txPr>
        </c:title>
        <c:numFmt formatCode="_(&quot;$&quot;* #,##0_);_(&quot;$&quot;* \(#,##0\);_(&quot;$&quot;* &quot;-&quot;_);_(@_)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ncizar Sans" panose="020B0602040300000003" pitchFamily="34" charset="0"/>
                <a:ea typeface="+mn-ea"/>
                <a:cs typeface="+mn-cs"/>
              </a:defRPr>
            </a:pPr>
            <a:endParaRPr lang="es-CO"/>
          </a:p>
        </c:txPr>
        <c:crossAx val="10668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516431599896171"/>
          <c:y val="0.14332358645907195"/>
          <c:w val="0.10846205762741196"/>
          <c:h val="0.655375528118462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ncizar Sans" panose="020B0602040300000003" pitchFamily="34" charset="0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>
          <a:latin typeface="Ancizar Sans" panose="020B06020403000000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281781</xdr:colOff>
      <xdr:row>3</xdr:row>
      <xdr:rowOff>2381</xdr:rowOff>
    </xdr:from>
    <xdr:to>
      <xdr:col>17</xdr:col>
      <xdr:colOff>11906</xdr:colOff>
      <xdr:row>33</xdr:row>
      <xdr:rowOff>178593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ste/Downloads/M1T5_ModeloFinanciero_Basico%20(Marzo-2022)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DEPRECY AMORT."/>
      <sheetName val="ESF"/>
      <sheetName val="ERI"/>
      <sheetName val="DEUDA"/>
      <sheetName val="EVA"/>
      <sheetName val="FLUJOS DE EFECTIVO"/>
      <sheetName val="ALGORITMO FE"/>
    </sheetNames>
    <sheetDataSet>
      <sheetData sheetId="0">
        <row r="16">
          <cell r="B16">
            <v>5000000</v>
          </cell>
        </row>
        <row r="18">
          <cell r="B18">
            <v>0.1</v>
          </cell>
        </row>
        <row r="24">
          <cell r="B24">
            <v>0.4</v>
          </cell>
        </row>
        <row r="30">
          <cell r="B30">
            <v>3000000</v>
          </cell>
        </row>
        <row r="31">
          <cell r="B31">
            <v>0.1</v>
          </cell>
        </row>
        <row r="41">
          <cell r="B41">
            <v>0</v>
          </cell>
        </row>
      </sheetData>
      <sheetData sheetId="1"/>
      <sheetData sheetId="2">
        <row r="7">
          <cell r="D7">
            <v>34650000</v>
          </cell>
          <cell r="E7">
            <v>40020750.000000007</v>
          </cell>
        </row>
        <row r="27">
          <cell r="D27">
            <v>29152000</v>
          </cell>
          <cell r="E27">
            <v>28450650.000000007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4"/>
  <sheetViews>
    <sheetView showGridLines="0" topLeftCell="D3" zoomScale="90" zoomScaleNormal="90" workbookViewId="0">
      <selection activeCell="K6" sqref="K6"/>
    </sheetView>
  </sheetViews>
  <sheetFormatPr baseColWidth="10" defaultRowHeight="15" x14ac:dyDescent="0.25"/>
  <cols>
    <col min="2" max="2" width="35" customWidth="1"/>
    <col min="3" max="3" width="11.85546875" style="1" customWidth="1"/>
    <col min="4" max="4" width="16.85546875" customWidth="1"/>
    <col min="5" max="7" width="20.28515625" customWidth="1"/>
    <col min="8" max="13" width="18.28515625" customWidth="1"/>
  </cols>
  <sheetData>
    <row r="2" spans="2:13" ht="15.75" thickBot="1" x14ac:dyDescent="0.3"/>
    <row r="3" spans="2:13" ht="15.75" thickBot="1" x14ac:dyDescent="0.3">
      <c r="B3" s="152" t="s">
        <v>7</v>
      </c>
      <c r="C3" s="153"/>
      <c r="D3" s="153"/>
      <c r="E3" s="154"/>
      <c r="G3" s="105"/>
      <c r="H3" s="150" t="s">
        <v>6</v>
      </c>
      <c r="I3" s="151"/>
      <c r="J3" s="150" t="s">
        <v>5</v>
      </c>
      <c r="K3" s="151"/>
      <c r="L3" s="106"/>
      <c r="M3" s="107"/>
    </row>
    <row r="4" spans="2:13" ht="15.75" thickBot="1" x14ac:dyDescent="0.3">
      <c r="B4" s="152" t="s">
        <v>39</v>
      </c>
      <c r="C4" s="154"/>
      <c r="D4" s="44"/>
      <c r="E4" s="43"/>
      <c r="F4" s="5"/>
      <c r="G4" s="64" t="s">
        <v>0</v>
      </c>
      <c r="H4" s="114" t="s">
        <v>1</v>
      </c>
      <c r="I4" s="65" t="s">
        <v>7</v>
      </c>
      <c r="J4" s="114" t="s">
        <v>1</v>
      </c>
      <c r="K4" s="65" t="s">
        <v>7</v>
      </c>
      <c r="L4" s="114" t="s">
        <v>10</v>
      </c>
      <c r="M4" s="65" t="s">
        <v>11</v>
      </c>
    </row>
    <row r="5" spans="2:13" x14ac:dyDescent="0.25">
      <c r="B5" s="45" t="s">
        <v>30</v>
      </c>
      <c r="C5" s="170" t="s">
        <v>15</v>
      </c>
      <c r="D5" s="46" t="s">
        <v>16</v>
      </c>
      <c r="E5" s="47" t="s">
        <v>45</v>
      </c>
      <c r="G5" s="11" t="s">
        <v>3</v>
      </c>
      <c r="H5" s="115"/>
      <c r="I5" s="112">
        <f>E15</f>
        <v>47200000</v>
      </c>
      <c r="J5" s="117"/>
      <c r="K5" s="112">
        <f>E32</f>
        <v>729877600</v>
      </c>
      <c r="L5" s="118">
        <f t="shared" ref="L5:L15" si="0">H5-I5</f>
        <v>-47200000</v>
      </c>
      <c r="M5" s="108">
        <f>J5-K5</f>
        <v>-729877600</v>
      </c>
    </row>
    <row r="6" spans="2:13" x14ac:dyDescent="0.25">
      <c r="B6" s="62" t="s">
        <v>49</v>
      </c>
      <c r="C6" s="171">
        <v>4</v>
      </c>
      <c r="D6" s="63">
        <v>3000000</v>
      </c>
      <c r="E6" s="13">
        <f t="shared" ref="E6:E12" si="1">D6*C6</f>
        <v>12000000</v>
      </c>
      <c r="G6" s="109">
        <v>1</v>
      </c>
      <c r="H6" s="115">
        <f t="shared" ref="H6:H15" si="2">$G$89*$C$38*(1+$C$96+$C$103)^G6</f>
        <v>344857686.01584327</v>
      </c>
      <c r="I6" s="112">
        <f t="shared" ref="I6:I15" si="3">$E$57*(1+$C$96)^G6</f>
        <v>337346101.53735811</v>
      </c>
      <c r="J6" s="115">
        <f t="shared" ref="J6:J14" si="4">$G$91*1*(1+$C$96+$D$103)^G6</f>
        <v>613529253.67294776</v>
      </c>
      <c r="K6" s="112">
        <f t="shared" ref="K6:K15" si="5">($E$81+$E$85*$C$91*20*12)*(1+$C$96)^G6</f>
        <v>479129659.07294917</v>
      </c>
      <c r="L6" s="118">
        <f t="shared" si="0"/>
        <v>7511584.478485167</v>
      </c>
      <c r="M6" s="108">
        <f t="shared" ref="M6:M15" si="6">J6-K6</f>
        <v>134399594.59999859</v>
      </c>
    </row>
    <row r="7" spans="2:13" x14ac:dyDescent="0.25">
      <c r="B7" s="62" t="s">
        <v>63</v>
      </c>
      <c r="C7" s="171">
        <v>5</v>
      </c>
      <c r="D7" s="63">
        <v>500000</v>
      </c>
      <c r="E7" s="13">
        <f t="shared" si="1"/>
        <v>2500000</v>
      </c>
      <c r="G7" s="109">
        <v>2</v>
      </c>
      <c r="H7" s="115">
        <f t="shared" si="2"/>
        <v>379715273.32120675</v>
      </c>
      <c r="I7" s="112">
        <f t="shared" si="3"/>
        <v>371080711.69109392</v>
      </c>
      <c r="J7" s="115">
        <f t="shared" si="4"/>
        <v>688502606.65877295</v>
      </c>
      <c r="K7" s="112">
        <f t="shared" si="5"/>
        <v>527042624.98024416</v>
      </c>
      <c r="L7" s="118">
        <f t="shared" si="0"/>
        <v>8634561.6301128268</v>
      </c>
      <c r="M7" s="108">
        <f t="shared" si="6"/>
        <v>161459981.67852879</v>
      </c>
    </row>
    <row r="8" spans="2:13" x14ac:dyDescent="0.25">
      <c r="B8" s="62" t="s">
        <v>64</v>
      </c>
      <c r="C8" s="171">
        <v>1</v>
      </c>
      <c r="D8" s="63">
        <v>3000000</v>
      </c>
      <c r="E8" s="13">
        <f t="shared" si="1"/>
        <v>3000000</v>
      </c>
      <c r="G8" s="109">
        <v>3</v>
      </c>
      <c r="H8" s="115">
        <f t="shared" si="2"/>
        <v>418096202.11502182</v>
      </c>
      <c r="I8" s="112">
        <f t="shared" si="3"/>
        <v>408188782.86020339</v>
      </c>
      <c r="J8" s="115">
        <f t="shared" si="4"/>
        <v>772637712.93392611</v>
      </c>
      <c r="K8" s="112">
        <f t="shared" si="5"/>
        <v>579746887.47826862</v>
      </c>
      <c r="L8" s="118">
        <f t="shared" si="0"/>
        <v>9907419.2548184395</v>
      </c>
      <c r="M8" s="108">
        <f t="shared" si="6"/>
        <v>192890825.45565748</v>
      </c>
    </row>
    <row r="9" spans="2:13" x14ac:dyDescent="0.25">
      <c r="B9" s="62" t="s">
        <v>65</v>
      </c>
      <c r="C9" s="171">
        <v>7</v>
      </c>
      <c r="D9" s="63">
        <v>500000</v>
      </c>
      <c r="E9" s="13">
        <f t="shared" si="1"/>
        <v>3500000</v>
      </c>
      <c r="G9" s="109">
        <v>4</v>
      </c>
      <c r="H9" s="115">
        <f t="shared" si="2"/>
        <v>460356605.34290791</v>
      </c>
      <c r="I9" s="112">
        <f t="shared" si="3"/>
        <v>449007661.14622366</v>
      </c>
      <c r="J9" s="115">
        <f t="shared" si="4"/>
        <v>867054139.91791964</v>
      </c>
      <c r="K9" s="112">
        <f t="shared" si="5"/>
        <v>637721576.22609556</v>
      </c>
      <c r="L9" s="118">
        <f t="shared" si="0"/>
        <v>11348944.196684241</v>
      </c>
      <c r="M9" s="108">
        <f t="shared" si="6"/>
        <v>229332563.69182408</v>
      </c>
    </row>
    <row r="10" spans="2:13" x14ac:dyDescent="0.25">
      <c r="B10" s="62" t="s">
        <v>66</v>
      </c>
      <c r="C10" s="171">
        <v>1</v>
      </c>
      <c r="D10" s="63">
        <v>1000000</v>
      </c>
      <c r="E10" s="13">
        <f t="shared" si="1"/>
        <v>1000000</v>
      </c>
      <c r="G10" s="109">
        <v>5</v>
      </c>
      <c r="H10" s="115">
        <f t="shared" si="2"/>
        <v>506888613.22051096</v>
      </c>
      <c r="I10" s="112">
        <f t="shared" si="3"/>
        <v>493908427.26084608</v>
      </c>
      <c r="J10" s="115">
        <f t="shared" si="4"/>
        <v>973008266.31160545</v>
      </c>
      <c r="K10" s="112">
        <f t="shared" si="5"/>
        <v>701493733.84870505</v>
      </c>
      <c r="L10" s="118">
        <f t="shared" si="0"/>
        <v>12980185.959664881</v>
      </c>
      <c r="M10" s="108">
        <f t="shared" si="6"/>
        <v>271514532.4629004</v>
      </c>
    </row>
    <row r="11" spans="2:13" x14ac:dyDescent="0.25">
      <c r="B11" s="62" t="s">
        <v>67</v>
      </c>
      <c r="C11" s="171">
        <v>1</v>
      </c>
      <c r="D11" s="63">
        <v>15000000</v>
      </c>
      <c r="E11" s="13">
        <f t="shared" si="1"/>
        <v>15000000</v>
      </c>
      <c r="G11" s="109">
        <v>6</v>
      </c>
      <c r="H11" s="115">
        <f t="shared" si="2"/>
        <v>558123991.77204716</v>
      </c>
      <c r="I11" s="112">
        <f t="shared" si="3"/>
        <v>543299269.98693073</v>
      </c>
      <c r="J11" s="115">
        <f t="shared" si="4"/>
        <v>1091910000.4531901</v>
      </c>
      <c r="K11" s="112">
        <f t="shared" si="5"/>
        <v>771643107.2335757</v>
      </c>
      <c r="L11" s="118">
        <f t="shared" si="0"/>
        <v>14824721.785116434</v>
      </c>
      <c r="M11" s="108">
        <f t="shared" si="6"/>
        <v>320266893.21961439</v>
      </c>
    </row>
    <row r="12" spans="2:13" x14ac:dyDescent="0.25">
      <c r="B12" s="62" t="s">
        <v>50</v>
      </c>
      <c r="C12" s="171">
        <v>2</v>
      </c>
      <c r="D12" s="63">
        <v>3000000</v>
      </c>
      <c r="E12" s="13">
        <f t="shared" si="1"/>
        <v>6000000</v>
      </c>
      <c r="G12" s="109">
        <v>7</v>
      </c>
      <c r="H12" s="115">
        <f t="shared" si="2"/>
        <v>614538149.14570165</v>
      </c>
      <c r="I12" s="112">
        <f t="shared" si="3"/>
        <v>597629196.98562396</v>
      </c>
      <c r="J12" s="115">
        <f t="shared" si="4"/>
        <v>1225341541.6594853</v>
      </c>
      <c r="K12" s="112">
        <f t="shared" si="5"/>
        <v>848807417.95693338</v>
      </c>
      <c r="L12" s="118">
        <f t="shared" si="0"/>
        <v>16908952.160077691</v>
      </c>
      <c r="M12" s="108">
        <f t="shared" si="6"/>
        <v>376534123.70255196</v>
      </c>
    </row>
    <row r="13" spans="2:13" x14ac:dyDescent="0.25">
      <c r="B13" s="11" t="s">
        <v>68</v>
      </c>
      <c r="C13" s="172">
        <v>7</v>
      </c>
      <c r="D13" s="12">
        <v>300000</v>
      </c>
      <c r="E13" s="13">
        <f>D13*C13</f>
        <v>2100000</v>
      </c>
      <c r="G13" s="109">
        <v>8</v>
      </c>
      <c r="H13" s="115">
        <f t="shared" si="2"/>
        <v>676654546.88009536</v>
      </c>
      <c r="I13" s="112">
        <f t="shared" si="3"/>
        <v>657392116.68418622</v>
      </c>
      <c r="J13" s="115">
        <f t="shared" si="4"/>
        <v>1375078434.2054493</v>
      </c>
      <c r="K13" s="112">
        <f t="shared" si="5"/>
        <v>933688159.75262666</v>
      </c>
      <c r="L13" s="118">
        <f t="shared" si="0"/>
        <v>19262430.195909142</v>
      </c>
      <c r="M13" s="108">
        <f t="shared" si="6"/>
        <v>441390274.45282269</v>
      </c>
    </row>
    <row r="14" spans="2:13" ht="15.75" thickBot="1" x14ac:dyDescent="0.3">
      <c r="B14" s="11" t="s">
        <v>41</v>
      </c>
      <c r="C14" s="172">
        <v>7</v>
      </c>
      <c r="D14" s="12">
        <v>300000</v>
      </c>
      <c r="E14" s="13">
        <f t="shared" ref="E14" si="7">D14*C14</f>
        <v>2100000</v>
      </c>
      <c r="G14" s="109">
        <v>9</v>
      </c>
      <c r="H14" s="115">
        <f t="shared" si="2"/>
        <v>745049557.05353975</v>
      </c>
      <c r="I14" s="112">
        <f t="shared" si="3"/>
        <v>723131328.35260499</v>
      </c>
      <c r="J14" s="115">
        <f t="shared" si="4"/>
        <v>1543113194.1027126</v>
      </c>
      <c r="K14" s="112">
        <f t="shared" si="5"/>
        <v>1027056975.7278894</v>
      </c>
      <c r="L14" s="118">
        <f t="shared" si="0"/>
        <v>21918228.700934768</v>
      </c>
      <c r="M14" s="108">
        <f t="shared" si="6"/>
        <v>516056218.37482321</v>
      </c>
    </row>
    <row r="15" spans="2:13" ht="15.75" thickBot="1" x14ac:dyDescent="0.3">
      <c r="B15" s="48" t="s">
        <v>33</v>
      </c>
      <c r="C15" s="173"/>
      <c r="D15" s="49"/>
      <c r="E15" s="50">
        <f>SUM(E6:E14)</f>
        <v>47200000</v>
      </c>
      <c r="G15" s="110">
        <v>10</v>
      </c>
      <c r="H15" s="116">
        <f t="shared" si="2"/>
        <v>820357810.38509798</v>
      </c>
      <c r="I15" s="113">
        <f t="shared" si="3"/>
        <v>795444461.1878655</v>
      </c>
      <c r="J15" s="116">
        <f>$G$91*1*(1+$C$96+$D$103)^G15+E18*0.1</f>
        <v>1766477823.0734487</v>
      </c>
      <c r="K15" s="113">
        <f t="shared" si="5"/>
        <v>1129762673.3006785</v>
      </c>
      <c r="L15" s="119">
        <f t="shared" si="0"/>
        <v>24913349.197232485</v>
      </c>
      <c r="M15" s="111">
        <f t="shared" si="6"/>
        <v>636715149.77277017</v>
      </c>
    </row>
    <row r="16" spans="2:13" x14ac:dyDescent="0.25">
      <c r="B16" s="15" t="s">
        <v>37</v>
      </c>
      <c r="C16" s="174"/>
      <c r="D16" s="16" t="s">
        <v>44</v>
      </c>
      <c r="E16" s="17"/>
      <c r="G16" s="2"/>
      <c r="H16" s="3"/>
      <c r="I16" s="3"/>
    </row>
    <row r="17" spans="2:9" x14ac:dyDescent="0.25">
      <c r="B17" s="62" t="s">
        <v>62</v>
      </c>
      <c r="C17" s="175">
        <v>1</v>
      </c>
      <c r="D17" s="148">
        <v>10850</v>
      </c>
      <c r="E17" s="18">
        <f t="shared" ref="E17:E25" si="8">D17*C17*$C$94</f>
        <v>54250000</v>
      </c>
      <c r="G17" s="2"/>
      <c r="H17" s="3"/>
      <c r="I17" s="3"/>
    </row>
    <row r="18" spans="2:9" x14ac:dyDescent="0.25">
      <c r="B18" s="11" t="s">
        <v>42</v>
      </c>
      <c r="C18" s="172">
        <v>1</v>
      </c>
      <c r="D18" s="79">
        <v>69592</v>
      </c>
      <c r="E18" s="18">
        <f t="shared" si="8"/>
        <v>347960000</v>
      </c>
      <c r="G18" s="2"/>
      <c r="H18" s="3"/>
      <c r="I18" s="3"/>
    </row>
    <row r="19" spans="2:9" x14ac:dyDescent="0.25">
      <c r="B19" s="11" t="s">
        <v>59</v>
      </c>
      <c r="C19" s="175">
        <v>1</v>
      </c>
      <c r="D19" s="12">
        <f>$D$18*5%</f>
        <v>3479.6000000000004</v>
      </c>
      <c r="E19" s="18">
        <f t="shared" si="8"/>
        <v>17398000</v>
      </c>
      <c r="F19" s="5"/>
      <c r="G19" s="4"/>
      <c r="H19" s="3"/>
      <c r="I19" s="3"/>
    </row>
    <row r="20" spans="2:9" x14ac:dyDescent="0.25">
      <c r="B20" s="11" t="s">
        <v>43</v>
      </c>
      <c r="C20" s="172">
        <v>1</v>
      </c>
      <c r="D20" s="12">
        <f>D18*20%</f>
        <v>13918.400000000001</v>
      </c>
      <c r="E20" s="18">
        <f t="shared" si="8"/>
        <v>69592000</v>
      </c>
      <c r="F20" s="5"/>
      <c r="G20" s="4"/>
      <c r="H20" s="3"/>
      <c r="I20" s="3"/>
    </row>
    <row r="21" spans="2:9" x14ac:dyDescent="0.25">
      <c r="B21" s="11" t="s">
        <v>60</v>
      </c>
      <c r="C21" s="175">
        <v>1</v>
      </c>
      <c r="D21" s="12">
        <f>$D$18*2%</f>
        <v>1391.84</v>
      </c>
      <c r="E21" s="18">
        <f t="shared" si="8"/>
        <v>6959200</v>
      </c>
      <c r="F21" s="5"/>
      <c r="G21" s="4"/>
      <c r="H21" s="3"/>
      <c r="I21" s="3"/>
    </row>
    <row r="22" spans="2:9" x14ac:dyDescent="0.25">
      <c r="B22" s="77" t="s">
        <v>61</v>
      </c>
      <c r="C22" s="175">
        <v>1</v>
      </c>
      <c r="D22" s="12">
        <f t="shared" ref="D22:D23" si="9">$D$18*2%</f>
        <v>1391.84</v>
      </c>
      <c r="E22" s="18">
        <f t="shared" si="8"/>
        <v>6959200</v>
      </c>
      <c r="F22" s="5"/>
      <c r="G22" s="4"/>
      <c r="H22" s="3"/>
      <c r="I22" s="3"/>
    </row>
    <row r="23" spans="2:9" x14ac:dyDescent="0.25">
      <c r="B23" s="11" t="s">
        <v>40</v>
      </c>
      <c r="C23" s="172">
        <v>1</v>
      </c>
      <c r="D23" s="12">
        <f t="shared" si="9"/>
        <v>1391.84</v>
      </c>
      <c r="E23" s="18">
        <f t="shared" si="8"/>
        <v>6959200</v>
      </c>
      <c r="F23" s="5"/>
      <c r="G23" s="4"/>
      <c r="H23" s="3"/>
      <c r="I23" s="3"/>
    </row>
    <row r="24" spans="2:9" x14ac:dyDescent="0.25">
      <c r="B24" s="77" t="s">
        <v>120</v>
      </c>
      <c r="C24" s="175">
        <v>5</v>
      </c>
      <c r="D24" s="63">
        <v>4500</v>
      </c>
      <c r="E24" s="13">
        <f t="shared" si="8"/>
        <v>112500000</v>
      </c>
      <c r="F24" s="5"/>
      <c r="G24" s="4"/>
      <c r="H24" s="3"/>
      <c r="I24" s="3"/>
    </row>
    <row r="25" spans="2:9" x14ac:dyDescent="0.25">
      <c r="B25" s="77" t="s">
        <v>116</v>
      </c>
      <c r="C25" s="175">
        <v>1</v>
      </c>
      <c r="D25" s="63">
        <v>15000</v>
      </c>
      <c r="E25" s="13">
        <f t="shared" si="8"/>
        <v>75000000</v>
      </c>
      <c r="F25" s="5"/>
      <c r="G25" s="4"/>
      <c r="H25" s="3"/>
      <c r="I25" s="3"/>
    </row>
    <row r="26" spans="2:9" x14ac:dyDescent="0.25">
      <c r="B26" s="62" t="s">
        <v>67</v>
      </c>
      <c r="C26" s="171">
        <v>1</v>
      </c>
      <c r="D26" s="63">
        <v>15000000</v>
      </c>
      <c r="E26" s="13">
        <f t="shared" ref="E26:E29" si="10">D26*C26</f>
        <v>15000000</v>
      </c>
      <c r="F26" s="5"/>
      <c r="G26" s="4"/>
      <c r="H26" s="3"/>
      <c r="I26" s="3"/>
    </row>
    <row r="27" spans="2:9" x14ac:dyDescent="0.25">
      <c r="B27" s="62" t="s">
        <v>64</v>
      </c>
      <c r="C27" s="171">
        <v>1</v>
      </c>
      <c r="D27" s="63">
        <v>3500000</v>
      </c>
      <c r="E27" s="13">
        <f t="shared" si="10"/>
        <v>3500000</v>
      </c>
      <c r="F27" s="5"/>
      <c r="G27" s="4"/>
      <c r="H27" s="3"/>
      <c r="I27" s="3"/>
    </row>
    <row r="28" spans="2:9" x14ac:dyDescent="0.25">
      <c r="B28" s="62" t="s">
        <v>65</v>
      </c>
      <c r="C28" s="171">
        <v>3</v>
      </c>
      <c r="D28" s="63">
        <v>1000000</v>
      </c>
      <c r="E28" s="13">
        <f t="shared" si="10"/>
        <v>3000000</v>
      </c>
      <c r="F28" s="5"/>
      <c r="G28" s="4"/>
      <c r="H28" s="3"/>
      <c r="I28" s="3"/>
    </row>
    <row r="29" spans="2:9" x14ac:dyDescent="0.25">
      <c r="B29" s="62" t="s">
        <v>50</v>
      </c>
      <c r="C29" s="171">
        <v>3</v>
      </c>
      <c r="D29" s="63">
        <v>3000000</v>
      </c>
      <c r="E29" s="13">
        <f t="shared" si="10"/>
        <v>9000000</v>
      </c>
      <c r="F29" s="5"/>
      <c r="G29" s="4"/>
      <c r="H29" s="3"/>
      <c r="I29" s="3"/>
    </row>
    <row r="30" spans="2:9" x14ac:dyDescent="0.25">
      <c r="B30" s="11" t="s">
        <v>68</v>
      </c>
      <c r="C30" s="172">
        <v>3</v>
      </c>
      <c r="D30" s="12">
        <v>300000</v>
      </c>
      <c r="E30" s="13">
        <f>D30*C30</f>
        <v>900000</v>
      </c>
      <c r="F30" s="5"/>
      <c r="G30" s="4"/>
      <c r="H30" s="3"/>
      <c r="I30" s="3"/>
    </row>
    <row r="31" spans="2:9" ht="15.75" thickBot="1" x14ac:dyDescent="0.3">
      <c r="B31" s="11" t="s">
        <v>41</v>
      </c>
      <c r="C31" s="172">
        <v>3</v>
      </c>
      <c r="D31" s="12">
        <v>300000</v>
      </c>
      <c r="E31" s="13">
        <f t="shared" ref="E31" si="11">D31*C31</f>
        <v>900000</v>
      </c>
      <c r="G31" s="2"/>
      <c r="H31" s="3"/>
      <c r="I31" s="3"/>
    </row>
    <row r="32" spans="2:9" ht="15.75" thickBot="1" x14ac:dyDescent="0.3">
      <c r="B32" s="41" t="s">
        <v>33</v>
      </c>
      <c r="C32" s="176"/>
      <c r="D32" s="38"/>
      <c r="E32" s="51">
        <f>SUM(E17:E31)</f>
        <v>729877600</v>
      </c>
      <c r="G32" s="2"/>
      <c r="H32" s="3"/>
      <c r="I32" s="3"/>
    </row>
    <row r="33" spans="2:9" ht="15.75" thickBot="1" x14ac:dyDescent="0.3">
      <c r="B33" s="152" t="s">
        <v>20</v>
      </c>
      <c r="C33" s="154"/>
      <c r="D33" s="44"/>
      <c r="E33" s="43"/>
      <c r="G33" s="2"/>
      <c r="H33" s="3"/>
      <c r="I33" s="3"/>
    </row>
    <row r="34" spans="2:9" x14ac:dyDescent="0.25">
      <c r="B34" s="8" t="s">
        <v>30</v>
      </c>
      <c r="C34" s="177" t="s">
        <v>15</v>
      </c>
      <c r="D34" s="9" t="s">
        <v>17</v>
      </c>
      <c r="E34" s="10" t="s">
        <v>18</v>
      </c>
      <c r="G34" s="2"/>
      <c r="H34" s="3"/>
      <c r="I34" s="3"/>
    </row>
    <row r="35" spans="2:9" x14ac:dyDescent="0.25">
      <c r="B35" s="19" t="s">
        <v>19</v>
      </c>
      <c r="C35" s="178"/>
      <c r="D35" s="20"/>
      <c r="E35" s="21"/>
    </row>
    <row r="36" spans="2:9" x14ac:dyDescent="0.25">
      <c r="B36" s="11" t="s">
        <v>13</v>
      </c>
      <c r="C36" s="172">
        <v>1</v>
      </c>
      <c r="D36" s="12">
        <v>4000000</v>
      </c>
      <c r="E36" s="22">
        <f t="shared" ref="E36:E37" si="12">D36*13</f>
        <v>52000000</v>
      </c>
      <c r="G36" s="5"/>
      <c r="H36" s="104"/>
      <c r="I36" s="4"/>
    </row>
    <row r="37" spans="2:9" x14ac:dyDescent="0.25">
      <c r="B37" s="11" t="s">
        <v>14</v>
      </c>
      <c r="C37" s="172">
        <v>1</v>
      </c>
      <c r="D37" s="12">
        <v>3000000</v>
      </c>
      <c r="E37" s="22">
        <f t="shared" si="12"/>
        <v>39000000</v>
      </c>
    </row>
    <row r="38" spans="2:9" x14ac:dyDescent="0.25">
      <c r="B38" s="11" t="s">
        <v>12</v>
      </c>
      <c r="C38" s="172">
        <v>5</v>
      </c>
      <c r="D38" s="24">
        <v>1600000</v>
      </c>
      <c r="E38" s="22">
        <f>D38*C38*13</f>
        <v>104000000</v>
      </c>
    </row>
    <row r="39" spans="2:9" x14ac:dyDescent="0.25">
      <c r="B39" s="14" t="s">
        <v>47</v>
      </c>
      <c r="C39" s="172"/>
      <c r="D39" s="6"/>
      <c r="E39" s="25">
        <f>SUM(E36:E38)</f>
        <v>195000000</v>
      </c>
    </row>
    <row r="40" spans="2:9" x14ac:dyDescent="0.25">
      <c r="B40" s="73" t="s">
        <v>56</v>
      </c>
      <c r="C40" s="179"/>
      <c r="D40" s="74"/>
      <c r="E40" s="75"/>
    </row>
    <row r="41" spans="2:9" x14ac:dyDescent="0.25">
      <c r="B41" s="62" t="s">
        <v>55</v>
      </c>
      <c r="C41" s="175">
        <v>1</v>
      </c>
      <c r="D41" s="63">
        <v>50000</v>
      </c>
      <c r="E41" s="76">
        <f>D41*12*C41</f>
        <v>600000</v>
      </c>
    </row>
    <row r="42" spans="2:9" x14ac:dyDescent="0.25">
      <c r="B42" s="62"/>
      <c r="C42" s="175"/>
      <c r="D42" s="63"/>
      <c r="E42" s="76">
        <f t="shared" ref="E42:E44" si="13">D42*12*C42</f>
        <v>0</v>
      </c>
    </row>
    <row r="43" spans="2:9" x14ac:dyDescent="0.25">
      <c r="B43" s="62" t="s">
        <v>118</v>
      </c>
      <c r="C43" s="175">
        <v>7</v>
      </c>
      <c r="D43" s="63">
        <v>30000</v>
      </c>
      <c r="E43" s="76">
        <f t="shared" si="13"/>
        <v>2520000</v>
      </c>
    </row>
    <row r="44" spans="2:9" x14ac:dyDescent="0.25">
      <c r="B44" s="62" t="s">
        <v>117</v>
      </c>
      <c r="C44" s="175">
        <v>1</v>
      </c>
      <c r="D44" s="63">
        <v>100000</v>
      </c>
      <c r="E44" s="76">
        <f t="shared" si="13"/>
        <v>1200000</v>
      </c>
    </row>
    <row r="45" spans="2:9" x14ac:dyDescent="0.25">
      <c r="B45" s="62" t="s">
        <v>58</v>
      </c>
      <c r="C45" s="175">
        <f>C36+C37</f>
        <v>2</v>
      </c>
      <c r="D45" s="63">
        <v>200000</v>
      </c>
      <c r="E45" s="76">
        <f>D45*C45</f>
        <v>400000</v>
      </c>
    </row>
    <row r="46" spans="2:9" x14ac:dyDescent="0.25">
      <c r="B46" s="72" t="s">
        <v>57</v>
      </c>
      <c r="C46" s="172">
        <f>C38</f>
        <v>5</v>
      </c>
      <c r="D46" s="12">
        <v>300000</v>
      </c>
      <c r="E46" s="76">
        <f>D46*C46</f>
        <v>1500000</v>
      </c>
    </row>
    <row r="47" spans="2:9" x14ac:dyDescent="0.25">
      <c r="B47" s="14" t="s">
        <v>47</v>
      </c>
      <c r="C47" s="172"/>
      <c r="D47" s="12"/>
      <c r="E47" s="76">
        <f>SUM(E41:E46)</f>
        <v>6220000</v>
      </c>
    </row>
    <row r="48" spans="2:9" x14ac:dyDescent="0.25">
      <c r="B48" s="26" t="s">
        <v>24</v>
      </c>
      <c r="C48" s="180"/>
      <c r="D48" s="27"/>
      <c r="E48" s="28"/>
    </row>
    <row r="49" spans="2:5" x14ac:dyDescent="0.25">
      <c r="B49" s="11" t="s">
        <v>22</v>
      </c>
      <c r="C49" s="172">
        <v>1</v>
      </c>
      <c r="D49" s="12">
        <v>1500000</v>
      </c>
      <c r="E49" s="29">
        <f>D49*12</f>
        <v>18000000</v>
      </c>
    </row>
    <row r="50" spans="2:5" x14ac:dyDescent="0.25">
      <c r="B50" s="11" t="s">
        <v>119</v>
      </c>
      <c r="C50" s="172">
        <v>1</v>
      </c>
      <c r="D50" s="12">
        <v>1000000</v>
      </c>
      <c r="E50" s="29">
        <f>D50*12</f>
        <v>12000000</v>
      </c>
    </row>
    <row r="51" spans="2:5" x14ac:dyDescent="0.25">
      <c r="B51" s="11" t="s">
        <v>51</v>
      </c>
      <c r="C51" s="175">
        <v>1</v>
      </c>
      <c r="D51" s="12">
        <v>350000</v>
      </c>
      <c r="E51" s="29">
        <f>D51*12</f>
        <v>4200000</v>
      </c>
    </row>
    <row r="52" spans="2:5" x14ac:dyDescent="0.25">
      <c r="B52" s="26" t="s">
        <v>75</v>
      </c>
      <c r="C52" s="180"/>
      <c r="D52" s="27"/>
      <c r="E52" s="30"/>
    </row>
    <row r="53" spans="2:5" x14ac:dyDescent="0.25">
      <c r="B53" s="62" t="s">
        <v>76</v>
      </c>
      <c r="C53" s="171">
        <v>1</v>
      </c>
      <c r="D53" s="81">
        <f>E53/12</f>
        <v>938189.51040591253</v>
      </c>
      <c r="E53" s="80">
        <f>Deuda!$C$7</f>
        <v>11258274.12487095</v>
      </c>
    </row>
    <row r="54" spans="2:5" x14ac:dyDescent="0.25">
      <c r="B54" s="26" t="s">
        <v>23</v>
      </c>
      <c r="C54" s="180"/>
      <c r="D54" s="27"/>
      <c r="E54" s="30"/>
    </row>
    <row r="55" spans="2:5" x14ac:dyDescent="0.25">
      <c r="B55" s="11" t="s">
        <v>23</v>
      </c>
      <c r="C55" s="172">
        <v>1</v>
      </c>
      <c r="D55" s="12">
        <v>5000000</v>
      </c>
      <c r="E55" s="29">
        <f t="shared" ref="E55" si="14">D55*12</f>
        <v>60000000</v>
      </c>
    </row>
    <row r="56" spans="2:5" ht="15.75" thickBot="1" x14ac:dyDescent="0.3">
      <c r="B56" s="14" t="s">
        <v>47</v>
      </c>
      <c r="C56" s="172"/>
      <c r="D56" s="6"/>
      <c r="E56" s="30">
        <f>SUM(E48:E55)</f>
        <v>105458274.12487096</v>
      </c>
    </row>
    <row r="57" spans="2:5" ht="15.75" thickBot="1" x14ac:dyDescent="0.3">
      <c r="B57" s="48" t="s">
        <v>33</v>
      </c>
      <c r="C57" s="173"/>
      <c r="D57" s="49"/>
      <c r="E57" s="50">
        <f>SUM(E39,E56,E47)</f>
        <v>306678274.12487096</v>
      </c>
    </row>
    <row r="58" spans="2:5" x14ac:dyDescent="0.25">
      <c r="B58" s="15" t="s">
        <v>37</v>
      </c>
      <c r="C58" s="174" t="s">
        <v>15</v>
      </c>
      <c r="D58" s="16" t="s">
        <v>17</v>
      </c>
      <c r="E58" s="31" t="s">
        <v>18</v>
      </c>
    </row>
    <row r="59" spans="2:5" x14ac:dyDescent="0.25">
      <c r="B59" s="19" t="s">
        <v>19</v>
      </c>
      <c r="C59" s="178"/>
      <c r="D59" s="20"/>
      <c r="E59" s="21"/>
    </row>
    <row r="60" spans="2:5" x14ac:dyDescent="0.25">
      <c r="B60" s="11" t="s">
        <v>13</v>
      </c>
      <c r="C60" s="172">
        <v>1</v>
      </c>
      <c r="D60" s="12">
        <f>D36</f>
        <v>4000000</v>
      </c>
      <c r="E60" s="22">
        <f>D60*13*C60</f>
        <v>52000000</v>
      </c>
    </row>
    <row r="61" spans="2:5" x14ac:dyDescent="0.25">
      <c r="B61" s="11" t="s">
        <v>14</v>
      </c>
      <c r="C61" s="172">
        <v>2</v>
      </c>
      <c r="D61" s="12">
        <f>D37</f>
        <v>3000000</v>
      </c>
      <c r="E61" s="22">
        <f>D61*13*C61</f>
        <v>78000000</v>
      </c>
    </row>
    <row r="62" spans="2:5" x14ac:dyDescent="0.25">
      <c r="B62" s="14" t="s">
        <v>47</v>
      </c>
      <c r="C62" s="172"/>
      <c r="D62" s="6"/>
      <c r="E62" s="25">
        <f>SUM(E60:E61)</f>
        <v>130000000</v>
      </c>
    </row>
    <row r="63" spans="2:5" x14ac:dyDescent="0.25">
      <c r="B63" s="73" t="s">
        <v>56</v>
      </c>
      <c r="C63" s="179"/>
      <c r="D63" s="74"/>
      <c r="E63" s="75"/>
    </row>
    <row r="64" spans="2:5" x14ac:dyDescent="0.25">
      <c r="B64" s="62" t="s">
        <v>55</v>
      </c>
      <c r="C64" s="175">
        <v>1</v>
      </c>
      <c r="D64" s="63">
        <v>60000</v>
      </c>
      <c r="E64" s="76">
        <f>D64*12*C64</f>
        <v>720000</v>
      </c>
    </row>
    <row r="65" spans="2:5" x14ac:dyDescent="0.25">
      <c r="B65" s="62"/>
      <c r="C65" s="175"/>
      <c r="D65" s="63"/>
      <c r="E65" s="76">
        <f t="shared" ref="E65:E67" si="15">D65*12*C65</f>
        <v>0</v>
      </c>
    </row>
    <row r="66" spans="2:5" x14ac:dyDescent="0.25">
      <c r="B66" s="62" t="s">
        <v>118</v>
      </c>
      <c r="C66" s="175">
        <f>$C$61+$C$60</f>
        <v>3</v>
      </c>
      <c r="D66" s="63">
        <v>30000</v>
      </c>
      <c r="E66" s="76">
        <f t="shared" si="15"/>
        <v>1080000</v>
      </c>
    </row>
    <row r="67" spans="2:5" x14ac:dyDescent="0.25">
      <c r="B67" s="62" t="s">
        <v>117</v>
      </c>
      <c r="C67" s="175">
        <v>1</v>
      </c>
      <c r="D67" s="63">
        <v>50000</v>
      </c>
      <c r="E67" s="76">
        <f t="shared" si="15"/>
        <v>600000</v>
      </c>
    </row>
    <row r="68" spans="2:5" x14ac:dyDescent="0.25">
      <c r="B68" s="62" t="s">
        <v>58</v>
      </c>
      <c r="C68" s="175">
        <f>$C$61+$C$60</f>
        <v>3</v>
      </c>
      <c r="D68" s="63">
        <v>200000</v>
      </c>
      <c r="E68" s="76">
        <f>D68*C68</f>
        <v>600000</v>
      </c>
    </row>
    <row r="69" spans="2:5" x14ac:dyDescent="0.25">
      <c r="B69" s="14" t="s">
        <v>47</v>
      </c>
      <c r="C69" s="172"/>
      <c r="D69" s="12"/>
      <c r="E69" s="76">
        <f>SUM(E64:E68)</f>
        <v>3000000</v>
      </c>
    </row>
    <row r="70" spans="2:5" x14ac:dyDescent="0.25">
      <c r="B70" s="26" t="s">
        <v>21</v>
      </c>
      <c r="C70" s="180"/>
      <c r="D70" s="27"/>
      <c r="E70" s="28"/>
    </row>
    <row r="71" spans="2:5" x14ac:dyDescent="0.25">
      <c r="B71" s="11" t="s">
        <v>22</v>
      </c>
      <c r="C71" s="172">
        <v>1</v>
      </c>
      <c r="D71" s="12">
        <f>D49</f>
        <v>1500000</v>
      </c>
      <c r="E71" s="29">
        <f>D71*12</f>
        <v>18000000</v>
      </c>
    </row>
    <row r="72" spans="2:5" x14ac:dyDescent="0.25">
      <c r="B72" s="11" t="s">
        <v>119</v>
      </c>
      <c r="C72" s="172">
        <v>1</v>
      </c>
      <c r="D72" s="12">
        <v>1000000</v>
      </c>
      <c r="E72" s="29">
        <f>D72*12</f>
        <v>12000000</v>
      </c>
    </row>
    <row r="73" spans="2:5" x14ac:dyDescent="0.25">
      <c r="B73" s="11" t="s">
        <v>51</v>
      </c>
      <c r="C73" s="175">
        <v>1</v>
      </c>
      <c r="D73" s="12">
        <v>200000</v>
      </c>
      <c r="E73" s="29">
        <f>D73*12</f>
        <v>2400000</v>
      </c>
    </row>
    <row r="74" spans="2:5" x14ac:dyDescent="0.25">
      <c r="B74" s="26" t="s">
        <v>75</v>
      </c>
      <c r="C74" s="180"/>
      <c r="D74" s="27"/>
      <c r="E74" s="30"/>
    </row>
    <row r="75" spans="2:5" x14ac:dyDescent="0.25">
      <c r="B75" s="62" t="s">
        <v>76</v>
      </c>
      <c r="C75" s="171">
        <v>1</v>
      </c>
      <c r="D75" s="81">
        <f>E75/12</f>
        <v>14507701.444920391</v>
      </c>
      <c r="E75" s="80">
        <f>Deuda!C6</f>
        <v>174092417.33904469</v>
      </c>
    </row>
    <row r="76" spans="2:5" x14ac:dyDescent="0.25">
      <c r="B76" s="26" t="s">
        <v>23</v>
      </c>
      <c r="C76" s="180"/>
      <c r="D76" s="27"/>
      <c r="E76" s="30"/>
    </row>
    <row r="77" spans="2:5" x14ac:dyDescent="0.25">
      <c r="B77" s="11" t="s">
        <v>23</v>
      </c>
      <c r="C77" s="172">
        <v>1</v>
      </c>
      <c r="D77" s="12">
        <f>D55</f>
        <v>5000000</v>
      </c>
      <c r="E77" s="29">
        <f t="shared" ref="E77" si="16">D77*12</f>
        <v>60000000</v>
      </c>
    </row>
    <row r="78" spans="2:5" x14ac:dyDescent="0.25">
      <c r="B78" s="14" t="s">
        <v>47</v>
      </c>
      <c r="C78" s="172"/>
      <c r="D78" s="6"/>
      <c r="E78" s="30">
        <f>SUM(E71:E77)</f>
        <v>266492417.33904469</v>
      </c>
    </row>
    <row r="79" spans="2:5" x14ac:dyDescent="0.25">
      <c r="B79" s="32" t="s">
        <v>25</v>
      </c>
      <c r="C79" s="181"/>
      <c r="D79" s="33"/>
      <c r="E79" s="34"/>
    </row>
    <row r="80" spans="2:5" ht="15.75" thickBot="1" x14ac:dyDescent="0.3">
      <c r="B80" s="11" t="s">
        <v>26</v>
      </c>
      <c r="C80" s="172">
        <v>1</v>
      </c>
      <c r="D80" s="35">
        <f>E80/12</f>
        <v>1666666.6666666667</v>
      </c>
      <c r="E80" s="36">
        <v>20000000</v>
      </c>
    </row>
    <row r="81" spans="2:7" ht="15.75" thickBot="1" x14ac:dyDescent="0.3">
      <c r="B81" s="14" t="s">
        <v>33</v>
      </c>
      <c r="C81" s="172"/>
      <c r="D81" s="6"/>
      <c r="E81" s="51">
        <f>SUM(E62,E78,E80,E69)</f>
        <v>419492417.33904469</v>
      </c>
    </row>
    <row r="82" spans="2:7" ht="15.75" thickBot="1" x14ac:dyDescent="0.3">
      <c r="B82" s="152" t="s">
        <v>48</v>
      </c>
      <c r="C82" s="154"/>
      <c r="D82" s="42"/>
      <c r="E82" s="43"/>
    </row>
    <row r="83" spans="2:7" x14ac:dyDescent="0.25">
      <c r="B83" s="11"/>
      <c r="C83" s="172" t="s">
        <v>28</v>
      </c>
      <c r="D83" s="6" t="s">
        <v>16</v>
      </c>
      <c r="E83" s="7" t="s">
        <v>29</v>
      </c>
    </row>
    <row r="84" spans="2:7" x14ac:dyDescent="0.25">
      <c r="B84" s="14" t="s">
        <v>24</v>
      </c>
      <c r="C84" s="172"/>
      <c r="D84" s="6"/>
      <c r="E84" s="7"/>
    </row>
    <row r="85" spans="2:7" ht="15.75" thickBot="1" x14ac:dyDescent="0.3">
      <c r="B85" s="37" t="s">
        <v>27</v>
      </c>
      <c r="C85" s="176">
        <v>10</v>
      </c>
      <c r="D85" s="39">
        <v>1000</v>
      </c>
      <c r="E85" s="40">
        <f>D85/C85</f>
        <v>100</v>
      </c>
    </row>
    <row r="86" spans="2:7" ht="15.75" thickBot="1" x14ac:dyDescent="0.3"/>
    <row r="87" spans="2:7" ht="15.75" thickBot="1" x14ac:dyDescent="0.3">
      <c r="B87" s="152" t="s">
        <v>1</v>
      </c>
      <c r="C87" s="153"/>
      <c r="D87" s="153"/>
      <c r="E87" s="153"/>
      <c r="F87" s="153"/>
      <c r="G87" s="154"/>
    </row>
    <row r="88" spans="2:7" ht="15.75" thickBot="1" x14ac:dyDescent="0.3">
      <c r="B88" s="59" t="s">
        <v>30</v>
      </c>
      <c r="C88" s="60" t="s">
        <v>31</v>
      </c>
      <c r="D88" s="46" t="s">
        <v>8</v>
      </c>
      <c r="E88" s="46" t="s">
        <v>34</v>
      </c>
      <c r="F88" s="46" t="s">
        <v>35</v>
      </c>
      <c r="G88" s="47" t="s">
        <v>36</v>
      </c>
    </row>
    <row r="89" spans="2:7" ht="15.75" thickBot="1" x14ac:dyDescent="0.3">
      <c r="B89" s="37" t="s">
        <v>32</v>
      </c>
      <c r="C89" s="176">
        <v>60</v>
      </c>
      <c r="D89" s="52">
        <v>4350</v>
      </c>
      <c r="E89" s="53">
        <f>D89*C89</f>
        <v>261000</v>
      </c>
      <c r="F89" s="54">
        <f>E89*20</f>
        <v>5220000</v>
      </c>
      <c r="G89" s="50">
        <f>F89*12</f>
        <v>62640000</v>
      </c>
    </row>
    <row r="90" spans="2:7" ht="15.75" thickBot="1" x14ac:dyDescent="0.3">
      <c r="B90" s="57" t="s">
        <v>37</v>
      </c>
      <c r="C90" s="58"/>
      <c r="D90" s="16"/>
      <c r="E90" s="16"/>
      <c r="F90" s="16"/>
      <c r="G90" s="31"/>
    </row>
    <row r="91" spans="2:7" ht="15.75" thickBot="1" x14ac:dyDescent="0.3">
      <c r="B91" s="37" t="s">
        <v>38</v>
      </c>
      <c r="C91" s="176">
        <v>670</v>
      </c>
      <c r="D91" s="52">
        <v>3400</v>
      </c>
      <c r="E91" s="53">
        <f>D91*C91</f>
        <v>2278000</v>
      </c>
      <c r="F91" s="54">
        <f>E91*20</f>
        <v>45560000</v>
      </c>
      <c r="G91" s="51">
        <f>F91*12</f>
        <v>546720000</v>
      </c>
    </row>
    <row r="92" spans="2:7" ht="15.75" thickBot="1" x14ac:dyDescent="0.3"/>
    <row r="93" spans="2:7" ht="15.75" thickBot="1" x14ac:dyDescent="0.3">
      <c r="B93" s="152" t="s">
        <v>126</v>
      </c>
      <c r="C93" s="154"/>
    </row>
    <row r="94" spans="2:7" x14ac:dyDescent="0.25">
      <c r="B94" s="67" t="s">
        <v>46</v>
      </c>
      <c r="C94" s="182">
        <v>5000</v>
      </c>
    </row>
    <row r="95" spans="2:7" x14ac:dyDescent="0.25">
      <c r="B95" s="11" t="s">
        <v>53</v>
      </c>
      <c r="C95" s="183">
        <v>4500</v>
      </c>
    </row>
    <row r="96" spans="2:7" x14ac:dyDescent="0.25">
      <c r="B96" s="11" t="s">
        <v>9</v>
      </c>
      <c r="C96" s="184">
        <v>0.1</v>
      </c>
    </row>
    <row r="97" spans="2:4" x14ac:dyDescent="0.25">
      <c r="B97" s="11" t="s">
        <v>78</v>
      </c>
      <c r="C97" s="184">
        <v>0.25</v>
      </c>
    </row>
    <row r="98" spans="2:4" ht="15.75" thickBot="1" x14ac:dyDescent="0.3">
      <c r="B98" s="37" t="s">
        <v>107</v>
      </c>
      <c r="C98" s="185">
        <v>0.1</v>
      </c>
    </row>
    <row r="99" spans="2:4" ht="15.75" thickBot="1" x14ac:dyDescent="0.3">
      <c r="B99" s="6"/>
      <c r="C99" s="186"/>
    </row>
    <row r="100" spans="2:4" ht="15.75" thickBot="1" x14ac:dyDescent="0.3">
      <c r="B100" s="190" t="s">
        <v>127</v>
      </c>
      <c r="C100" s="191"/>
      <c r="D100" s="192"/>
    </row>
    <row r="101" spans="2:4" ht="15.75" thickBot="1" x14ac:dyDescent="0.3">
      <c r="B101" s="67"/>
      <c r="C101" s="149" t="s">
        <v>30</v>
      </c>
      <c r="D101" s="43" t="s">
        <v>37</v>
      </c>
    </row>
    <row r="102" spans="2:4" ht="30" x14ac:dyDescent="0.25">
      <c r="B102" s="128" t="s">
        <v>54</v>
      </c>
      <c r="C102" s="188">
        <v>11</v>
      </c>
      <c r="D102" s="189">
        <v>60</v>
      </c>
    </row>
    <row r="103" spans="2:4" x14ac:dyDescent="0.25">
      <c r="B103" s="11" t="s">
        <v>52</v>
      </c>
      <c r="C103" s="187">
        <f>(C95-D89)^C104/((150-C$102)*C95)</f>
        <v>1.0781801272134099E-3</v>
      </c>
      <c r="D103" s="137">
        <f>(C95-D91)^D104/((150-$D102)*C95)</f>
        <v>2.220012743808111E-2</v>
      </c>
    </row>
    <row r="104" spans="2:4" ht="15.75" thickBot="1" x14ac:dyDescent="0.3">
      <c r="B104" s="37" t="s">
        <v>121</v>
      </c>
      <c r="C104" s="110">
        <v>1.3</v>
      </c>
      <c r="D104" s="71">
        <v>1.3</v>
      </c>
    </row>
  </sheetData>
  <mergeCells count="9">
    <mergeCell ref="J3:K3"/>
    <mergeCell ref="H3:I3"/>
    <mergeCell ref="B3:E3"/>
    <mergeCell ref="B93:C93"/>
    <mergeCell ref="B100:D100"/>
    <mergeCell ref="B82:C82"/>
    <mergeCell ref="B87:G87"/>
    <mergeCell ref="B4:C4"/>
    <mergeCell ref="B33:C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showGridLines="0" topLeftCell="A7" workbookViewId="0">
      <selection activeCell="I19" sqref="I19"/>
    </sheetView>
  </sheetViews>
  <sheetFormatPr baseColWidth="10" defaultRowHeight="15" x14ac:dyDescent="0.25"/>
  <cols>
    <col min="2" max="2" width="16.28515625" customWidth="1"/>
    <col min="3" max="3" width="13.7109375" customWidth="1"/>
    <col min="4" max="4" width="15.140625" bestFit="1" customWidth="1"/>
    <col min="5" max="5" width="13.5703125" bestFit="1" customWidth="1"/>
    <col min="6" max="6" width="15.42578125" customWidth="1"/>
    <col min="7" max="7" width="15.42578125" bestFit="1" customWidth="1"/>
    <col min="9" max="12" width="15.28515625" customWidth="1"/>
  </cols>
  <sheetData>
    <row r="1" spans="2:12" ht="15.75" thickBot="1" x14ac:dyDescent="0.3"/>
    <row r="2" spans="2:12" ht="15.75" thickBot="1" x14ac:dyDescent="0.3">
      <c r="B2" s="120" t="s">
        <v>125</v>
      </c>
      <c r="C2" s="134"/>
    </row>
    <row r="3" spans="2:12" x14ac:dyDescent="0.25">
      <c r="B3" s="131" t="s">
        <v>70</v>
      </c>
      <c r="C3" s="127">
        <v>0.1</v>
      </c>
    </row>
    <row r="4" spans="2:12" ht="46.5" customHeight="1" x14ac:dyDescent="0.25">
      <c r="B4" s="132" t="s">
        <v>124</v>
      </c>
      <c r="C4" s="129">
        <f>C5+C3</f>
        <v>0.2</v>
      </c>
    </row>
    <row r="5" spans="2:12" x14ac:dyDescent="0.25">
      <c r="B5" s="133" t="s">
        <v>69</v>
      </c>
      <c r="C5" s="129">
        <v>0.1</v>
      </c>
      <c r="G5" s="78"/>
    </row>
    <row r="6" spans="2:12" ht="32.25" customHeight="1" x14ac:dyDescent="0.25">
      <c r="B6" s="132" t="s">
        <v>108</v>
      </c>
      <c r="C6" s="13">
        <f>C11*($C$4*(1+$C$4)^10)/((1+$C$4)^10-1)</f>
        <v>174092417.33904469</v>
      </c>
    </row>
    <row r="7" spans="2:12" ht="32.25" customHeight="1" thickBot="1" x14ac:dyDescent="0.3">
      <c r="B7" s="135" t="s">
        <v>109</v>
      </c>
      <c r="C7" s="130">
        <f>I11*($C$4*(1+$C$4)^10)/((1+$C$4)^10-1)</f>
        <v>11258274.12487095</v>
      </c>
    </row>
    <row r="8" spans="2:12" ht="15.75" thickBot="1" x14ac:dyDescent="0.3">
      <c r="G8" s="6"/>
    </row>
    <row r="9" spans="2:12" ht="15.75" thickBot="1" x14ac:dyDescent="0.3">
      <c r="B9" s="152" t="s">
        <v>123</v>
      </c>
      <c r="C9" s="153"/>
      <c r="D9" s="153"/>
      <c r="E9" s="153"/>
      <c r="F9" s="154"/>
      <c r="G9" s="6"/>
      <c r="H9" s="152" t="s">
        <v>122</v>
      </c>
      <c r="I9" s="153"/>
      <c r="J9" s="153"/>
      <c r="K9" s="153"/>
      <c r="L9" s="154"/>
    </row>
    <row r="10" spans="2:12" ht="15.75" thickBot="1" x14ac:dyDescent="0.3">
      <c r="B10" s="123" t="s">
        <v>0</v>
      </c>
      <c r="C10" s="42" t="s">
        <v>71</v>
      </c>
      <c r="D10" s="42" t="s">
        <v>72</v>
      </c>
      <c r="E10" s="42" t="s">
        <v>73</v>
      </c>
      <c r="F10" s="43" t="s">
        <v>74</v>
      </c>
      <c r="G10" s="6"/>
      <c r="H10" s="123" t="s">
        <v>0</v>
      </c>
      <c r="I10" s="42" t="s">
        <v>71</v>
      </c>
      <c r="J10" s="42" t="s">
        <v>72</v>
      </c>
      <c r="K10" s="42" t="s">
        <v>73</v>
      </c>
      <c r="L10" s="43" t="s">
        <v>74</v>
      </c>
    </row>
    <row r="11" spans="2:12" x14ac:dyDescent="0.25">
      <c r="B11" s="122">
        <v>0</v>
      </c>
      <c r="C11" s="12">
        <f>'Ing y Eg'!E32</f>
        <v>729877600</v>
      </c>
      <c r="D11" s="35">
        <f t="shared" ref="D11:D21" si="0">C11*$C$4</f>
        <v>145975520</v>
      </c>
      <c r="E11" s="6">
        <v>0</v>
      </c>
      <c r="F11" s="13">
        <f t="shared" ref="F11:F21" si="1">$C$6</f>
        <v>174092417.33904469</v>
      </c>
      <c r="G11" s="6"/>
      <c r="H11" s="122">
        <v>0</v>
      </c>
      <c r="I11" s="12">
        <f>'Ing y Eg'!E15</f>
        <v>47200000</v>
      </c>
      <c r="J11" s="35">
        <f t="shared" ref="J11:J21" si="2">I11*$C$4</f>
        <v>9440000</v>
      </c>
      <c r="K11" s="6">
        <v>0</v>
      </c>
      <c r="L11" s="13">
        <f>$C$7</f>
        <v>11258274.12487095</v>
      </c>
    </row>
    <row r="12" spans="2:12" x14ac:dyDescent="0.25">
      <c r="B12" s="122">
        <v>1</v>
      </c>
      <c r="C12" s="35">
        <f>C11+D11-F11</f>
        <v>701760702.66095531</v>
      </c>
      <c r="D12" s="35">
        <f t="shared" si="0"/>
        <v>140352140.53219107</v>
      </c>
      <c r="E12" s="35">
        <f>C11-C12</f>
        <v>28116897.33904469</v>
      </c>
      <c r="F12" s="13">
        <f t="shared" si="1"/>
        <v>174092417.33904469</v>
      </c>
      <c r="G12" s="6"/>
      <c r="H12" s="122">
        <v>1</v>
      </c>
      <c r="I12" s="35">
        <f>I11+J11-L11</f>
        <v>45381725.875129052</v>
      </c>
      <c r="J12" s="35">
        <f t="shared" si="2"/>
        <v>9076345.1750258114</v>
      </c>
      <c r="K12" s="35">
        <f>I11-I12</f>
        <v>1818274.1248709485</v>
      </c>
      <c r="L12" s="13">
        <f t="shared" ref="L12:L21" si="3">$C$7</f>
        <v>11258274.12487095</v>
      </c>
    </row>
    <row r="13" spans="2:12" x14ac:dyDescent="0.25">
      <c r="B13" s="122">
        <v>2</v>
      </c>
      <c r="C13" s="35">
        <f t="shared" ref="C13:C21" si="4">C12+D12-F12</f>
        <v>668020425.85410166</v>
      </c>
      <c r="D13" s="35">
        <f t="shared" si="0"/>
        <v>133604085.17082034</v>
      </c>
      <c r="E13" s="35">
        <f t="shared" ref="E13:E21" si="5">C12-C13</f>
        <v>33740276.806853652</v>
      </c>
      <c r="F13" s="13">
        <f t="shared" si="1"/>
        <v>174092417.33904469</v>
      </c>
      <c r="G13" s="6"/>
      <c r="H13" s="122">
        <v>2</v>
      </c>
      <c r="I13" s="35">
        <f t="shared" ref="I13:I21" si="6">I12+J12-L12</f>
        <v>43199796.925283916</v>
      </c>
      <c r="J13" s="35">
        <f t="shared" si="2"/>
        <v>8639959.3850567844</v>
      </c>
      <c r="K13" s="35">
        <f t="shared" ref="K13:K21" si="7">I12-I13</f>
        <v>2181928.9498451352</v>
      </c>
      <c r="L13" s="13">
        <f t="shared" si="3"/>
        <v>11258274.12487095</v>
      </c>
    </row>
    <row r="14" spans="2:12" x14ac:dyDescent="0.25">
      <c r="B14" s="122">
        <v>3</v>
      </c>
      <c r="C14" s="35">
        <f t="shared" si="4"/>
        <v>627532093.68587732</v>
      </c>
      <c r="D14" s="35">
        <f t="shared" si="0"/>
        <v>125506418.73717546</v>
      </c>
      <c r="E14" s="35">
        <f t="shared" si="5"/>
        <v>40488332.168224335</v>
      </c>
      <c r="F14" s="13">
        <f t="shared" si="1"/>
        <v>174092417.33904469</v>
      </c>
      <c r="G14" s="6"/>
      <c r="H14" s="122">
        <v>3</v>
      </c>
      <c r="I14" s="35">
        <f t="shared" si="6"/>
        <v>40581482.185469754</v>
      </c>
      <c r="J14" s="35">
        <f t="shared" si="2"/>
        <v>8116296.4370939508</v>
      </c>
      <c r="K14" s="35">
        <f t="shared" si="7"/>
        <v>2618314.7398141623</v>
      </c>
      <c r="L14" s="13">
        <f t="shared" si="3"/>
        <v>11258274.12487095</v>
      </c>
    </row>
    <row r="15" spans="2:12" x14ac:dyDescent="0.25">
      <c r="B15" s="122">
        <v>4</v>
      </c>
      <c r="C15" s="35">
        <f t="shared" si="4"/>
        <v>578946095.0840081</v>
      </c>
      <c r="D15" s="35">
        <f t="shared" si="0"/>
        <v>115789219.01680163</v>
      </c>
      <c r="E15" s="35">
        <f t="shared" si="5"/>
        <v>48585998.601869226</v>
      </c>
      <c r="F15" s="13">
        <f t="shared" si="1"/>
        <v>174092417.33904469</v>
      </c>
      <c r="G15" s="6"/>
      <c r="H15" s="122">
        <v>4</v>
      </c>
      <c r="I15" s="35">
        <f t="shared" si="6"/>
        <v>37439504.497692756</v>
      </c>
      <c r="J15" s="35">
        <f t="shared" si="2"/>
        <v>7487900.8995385515</v>
      </c>
      <c r="K15" s="35">
        <f t="shared" si="7"/>
        <v>3141977.6877769977</v>
      </c>
      <c r="L15" s="13">
        <f t="shared" si="3"/>
        <v>11258274.12487095</v>
      </c>
    </row>
    <row r="16" spans="2:12" x14ac:dyDescent="0.25">
      <c r="B16" s="122">
        <v>5</v>
      </c>
      <c r="C16" s="35">
        <f t="shared" si="4"/>
        <v>520642896.761765</v>
      </c>
      <c r="D16" s="35">
        <f t="shared" si="0"/>
        <v>104128579.35235301</v>
      </c>
      <c r="E16" s="35">
        <f t="shared" si="5"/>
        <v>58303198.322243094</v>
      </c>
      <c r="F16" s="13">
        <f t="shared" si="1"/>
        <v>174092417.33904469</v>
      </c>
      <c r="G16" s="6"/>
      <c r="H16" s="122">
        <v>5</v>
      </c>
      <c r="I16" s="35">
        <f t="shared" si="6"/>
        <v>33669131.272360362</v>
      </c>
      <c r="J16" s="35">
        <f t="shared" si="2"/>
        <v>6733826.2544720732</v>
      </c>
      <c r="K16" s="35">
        <f t="shared" si="7"/>
        <v>3770373.2253323942</v>
      </c>
      <c r="L16" s="13">
        <f t="shared" si="3"/>
        <v>11258274.12487095</v>
      </c>
    </row>
    <row r="17" spans="2:12" x14ac:dyDescent="0.25">
      <c r="B17" s="122">
        <v>6</v>
      </c>
      <c r="C17" s="35">
        <f t="shared" si="4"/>
        <v>450679058.77507329</v>
      </c>
      <c r="D17" s="35">
        <f t="shared" si="0"/>
        <v>90135811.755014658</v>
      </c>
      <c r="E17" s="35">
        <f t="shared" si="5"/>
        <v>69963837.986691713</v>
      </c>
      <c r="F17" s="13">
        <f t="shared" si="1"/>
        <v>174092417.33904469</v>
      </c>
      <c r="G17" s="6"/>
      <c r="H17" s="122">
        <v>6</v>
      </c>
      <c r="I17" s="35">
        <f t="shared" si="6"/>
        <v>29144683.401961483</v>
      </c>
      <c r="J17" s="35">
        <f t="shared" si="2"/>
        <v>5828936.680392297</v>
      </c>
      <c r="K17" s="35">
        <f t="shared" si="7"/>
        <v>4524447.8703988791</v>
      </c>
      <c r="L17" s="13">
        <f t="shared" si="3"/>
        <v>11258274.12487095</v>
      </c>
    </row>
    <row r="18" spans="2:12" x14ac:dyDescent="0.25">
      <c r="B18" s="122">
        <v>7</v>
      </c>
      <c r="C18" s="35">
        <f t="shared" si="4"/>
        <v>366722453.19104326</v>
      </c>
      <c r="D18" s="35">
        <f t="shared" si="0"/>
        <v>73344490.638208658</v>
      </c>
      <c r="E18" s="35">
        <f t="shared" si="5"/>
        <v>83956605.584030032</v>
      </c>
      <c r="F18" s="13">
        <f t="shared" si="1"/>
        <v>174092417.33904469</v>
      </c>
      <c r="G18" s="6"/>
      <c r="H18" s="122">
        <v>7</v>
      </c>
      <c r="I18" s="35">
        <f t="shared" si="6"/>
        <v>23715345.95748283</v>
      </c>
      <c r="J18" s="35">
        <f t="shared" si="2"/>
        <v>4743069.1914965659</v>
      </c>
      <c r="K18" s="35">
        <f t="shared" si="7"/>
        <v>5429337.4444786534</v>
      </c>
      <c r="L18" s="13">
        <f t="shared" si="3"/>
        <v>11258274.12487095</v>
      </c>
    </row>
    <row r="19" spans="2:12" x14ac:dyDescent="0.25">
      <c r="B19" s="122">
        <v>8</v>
      </c>
      <c r="C19" s="35">
        <f t="shared" si="4"/>
        <v>265974526.4902072</v>
      </c>
      <c r="D19" s="35">
        <f t="shared" si="0"/>
        <v>53194905.298041441</v>
      </c>
      <c r="E19" s="35">
        <f t="shared" si="5"/>
        <v>100747926.70083606</v>
      </c>
      <c r="F19" s="13">
        <f t="shared" si="1"/>
        <v>174092417.33904469</v>
      </c>
      <c r="G19" s="6"/>
      <c r="H19" s="122">
        <v>8</v>
      </c>
      <c r="I19" s="35">
        <f t="shared" si="6"/>
        <v>17200141.024108447</v>
      </c>
      <c r="J19" s="35">
        <f t="shared" si="2"/>
        <v>3440028.2048216895</v>
      </c>
      <c r="K19" s="35">
        <f t="shared" si="7"/>
        <v>6515204.9333743826</v>
      </c>
      <c r="L19" s="13">
        <f t="shared" si="3"/>
        <v>11258274.12487095</v>
      </c>
    </row>
    <row r="20" spans="2:12" x14ac:dyDescent="0.25">
      <c r="B20" s="122">
        <v>9</v>
      </c>
      <c r="C20" s="35">
        <f t="shared" si="4"/>
        <v>145077014.44920397</v>
      </c>
      <c r="D20" s="35">
        <f t="shared" si="0"/>
        <v>29015402.889840797</v>
      </c>
      <c r="E20" s="35">
        <f t="shared" si="5"/>
        <v>120897512.04100323</v>
      </c>
      <c r="F20" s="13">
        <f t="shared" si="1"/>
        <v>174092417.33904469</v>
      </c>
      <c r="G20" s="6"/>
      <c r="H20" s="122">
        <v>9</v>
      </c>
      <c r="I20" s="35">
        <f t="shared" si="6"/>
        <v>9381895.1040591877</v>
      </c>
      <c r="J20" s="35">
        <f t="shared" si="2"/>
        <v>1876379.0208118376</v>
      </c>
      <c r="K20" s="35">
        <f t="shared" si="7"/>
        <v>7818245.9200492594</v>
      </c>
      <c r="L20" s="13">
        <f t="shared" si="3"/>
        <v>11258274.12487095</v>
      </c>
    </row>
    <row r="21" spans="2:12" ht="15.75" thickBot="1" x14ac:dyDescent="0.3">
      <c r="B21" s="122">
        <v>10</v>
      </c>
      <c r="C21" s="35">
        <f t="shared" si="4"/>
        <v>0</v>
      </c>
      <c r="D21" s="35">
        <f t="shared" si="0"/>
        <v>0</v>
      </c>
      <c r="E21" s="35">
        <f t="shared" si="5"/>
        <v>145077014.44920397</v>
      </c>
      <c r="F21" s="13">
        <f t="shared" si="1"/>
        <v>174092417.33904469</v>
      </c>
      <c r="G21" s="6"/>
      <c r="H21" s="122">
        <v>10</v>
      </c>
      <c r="I21" s="35">
        <f t="shared" si="6"/>
        <v>7.4505805969238281E-8</v>
      </c>
      <c r="J21" s="35">
        <f t="shared" si="2"/>
        <v>1.4901161193847656E-8</v>
      </c>
      <c r="K21" s="35">
        <f t="shared" si="7"/>
        <v>9381895.1040591132</v>
      </c>
      <c r="L21" s="13">
        <f t="shared" si="3"/>
        <v>11258274.12487095</v>
      </c>
    </row>
    <row r="22" spans="2:12" ht="15.75" thickBot="1" x14ac:dyDescent="0.3">
      <c r="B22" s="124" t="s">
        <v>33</v>
      </c>
      <c r="C22" s="125"/>
      <c r="D22" s="126"/>
      <c r="E22" s="126"/>
      <c r="F22" s="136">
        <f>SUM(F11:F21)</f>
        <v>1915016590.7294912</v>
      </c>
      <c r="G22" s="6"/>
      <c r="H22" s="124" t="s">
        <v>33</v>
      </c>
      <c r="I22" s="125"/>
      <c r="J22" s="126"/>
      <c r="K22" s="126"/>
      <c r="L22" s="136">
        <f>SUM(L11:L21)</f>
        <v>123841015.37358049</v>
      </c>
    </row>
    <row r="23" spans="2:12" x14ac:dyDescent="0.25">
      <c r="G23" s="6"/>
    </row>
  </sheetData>
  <mergeCells count="2">
    <mergeCell ref="B9:F9"/>
    <mergeCell ref="H9:L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2"/>
  <sheetViews>
    <sheetView showGridLines="0" topLeftCell="A19" workbookViewId="0">
      <selection activeCell="C25" sqref="C25"/>
    </sheetView>
  </sheetViews>
  <sheetFormatPr baseColWidth="10" defaultRowHeight="15" x14ac:dyDescent="0.25"/>
  <cols>
    <col min="2" max="2" width="34.5703125" customWidth="1"/>
    <col min="3" max="12" width="13.85546875" customWidth="1"/>
  </cols>
  <sheetData>
    <row r="2" spans="2:12" ht="15.75" thickBot="1" x14ac:dyDescent="0.3">
      <c r="B2" s="142" t="s">
        <v>110</v>
      </c>
    </row>
    <row r="3" spans="2:12" x14ac:dyDescent="0.25">
      <c r="B3" s="83" t="s">
        <v>79</v>
      </c>
      <c r="C3" s="84" t="s">
        <v>80</v>
      </c>
      <c r="D3" s="84" t="s">
        <v>81</v>
      </c>
      <c r="E3" s="85" t="s">
        <v>82</v>
      </c>
      <c r="F3" s="84" t="s">
        <v>100</v>
      </c>
      <c r="G3" s="84" t="s">
        <v>101</v>
      </c>
      <c r="H3" s="85" t="s">
        <v>102</v>
      </c>
      <c r="I3" s="84" t="s">
        <v>103</v>
      </c>
      <c r="J3" s="84" t="s">
        <v>104</v>
      </c>
      <c r="K3" s="85" t="s">
        <v>105</v>
      </c>
      <c r="L3" s="84" t="s">
        <v>106</v>
      </c>
    </row>
    <row r="4" spans="2:12" x14ac:dyDescent="0.25">
      <c r="B4" s="86" t="s">
        <v>83</v>
      </c>
      <c r="C4" s="87">
        <f>'Ing y Eg'!$H6</f>
        <v>344857686.01584327</v>
      </c>
      <c r="D4" s="87">
        <f>'Ing y Eg'!H7</f>
        <v>379715273.32120675</v>
      </c>
      <c r="E4" s="87">
        <f>'Ing y Eg'!$H8</f>
        <v>418096202.11502182</v>
      </c>
      <c r="F4" s="87">
        <f>'Ing y Eg'!$H9</f>
        <v>460356605.34290791</v>
      </c>
      <c r="G4" s="87">
        <f>'Ing y Eg'!$H10</f>
        <v>506888613.22051096</v>
      </c>
      <c r="H4" s="87">
        <f>'Ing y Eg'!$H11</f>
        <v>558123991.77204716</v>
      </c>
      <c r="I4" s="87">
        <f>'Ing y Eg'!$H12</f>
        <v>614538149.14570165</v>
      </c>
      <c r="J4" s="87">
        <f>'Ing y Eg'!$H13</f>
        <v>676654546.88009536</v>
      </c>
      <c r="K4" s="87">
        <f>'Ing y Eg'!$H14</f>
        <v>745049557.05353975</v>
      </c>
      <c r="L4" s="87">
        <f>'Ing y Eg'!$H15</f>
        <v>820357810.38509798</v>
      </c>
    </row>
    <row r="5" spans="2:12" x14ac:dyDescent="0.25">
      <c r="B5" s="88" t="s">
        <v>112</v>
      </c>
      <c r="C5" s="89">
        <f>-'Ing y Eg'!$I6+'Ing y Eg'!$E$53</f>
        <v>-326087827.41248715</v>
      </c>
      <c r="D5" s="89">
        <f>-'Ing y Eg'!$I7+'Ing y Eg'!$E$53</f>
        <v>-359822437.56622297</v>
      </c>
      <c r="E5" s="89">
        <f>-'Ing y Eg'!$I8+'Ing y Eg'!$E$53</f>
        <v>-396930508.73533243</v>
      </c>
      <c r="F5" s="89">
        <f>-'Ing y Eg'!$I9+'Ing y Eg'!$E$53</f>
        <v>-437749387.02135271</v>
      </c>
      <c r="G5" s="89">
        <f>-'Ing y Eg'!$I10+'Ing y Eg'!$E$53</f>
        <v>-482650153.13597512</v>
      </c>
      <c r="H5" s="89">
        <f>-'Ing y Eg'!$I11+'Ing y Eg'!$E$53</f>
        <v>-532040995.86205977</v>
      </c>
      <c r="I5" s="89">
        <f>-'Ing y Eg'!$I12+'Ing y Eg'!$E$53</f>
        <v>-586370922.86075306</v>
      </c>
      <c r="J5" s="89">
        <f>-'Ing y Eg'!$I13+'Ing y Eg'!$E$53</f>
        <v>-646133842.55931532</v>
      </c>
      <c r="K5" s="89">
        <f>-'Ing y Eg'!$I14+'Ing y Eg'!$E$53</f>
        <v>-711873054.22773409</v>
      </c>
      <c r="L5" s="89">
        <f>-'Ing y Eg'!$I15+'Ing y Eg'!$E$53</f>
        <v>-784186187.0629946</v>
      </c>
    </row>
    <row r="6" spans="2:12" x14ac:dyDescent="0.25">
      <c r="B6" s="86" t="s">
        <v>85</v>
      </c>
      <c r="C6" s="155"/>
      <c r="D6" s="156"/>
      <c r="E6" s="157"/>
    </row>
    <row r="7" spans="2:12" x14ac:dyDescent="0.25">
      <c r="B7" s="90" t="s">
        <v>86</v>
      </c>
      <c r="C7" s="91">
        <f>-('Ing y Eg'!$E$6+'Ing y Eg'!$E$7+'Ing y Eg'!$E$8+'Ing y Eg'!$E$12)*'Ing y Eg'!$C$98</f>
        <v>-2350000</v>
      </c>
      <c r="D7" s="91">
        <f>-('Ing y Eg'!$E$6+'Ing y Eg'!$E$7+'Ing y Eg'!$E$8+'Ing y Eg'!$E$12)*'Ing y Eg'!$C$98</f>
        <v>-2350000</v>
      </c>
      <c r="E7" s="91">
        <f>-('Ing y Eg'!$E$6+'Ing y Eg'!$E$7+'Ing y Eg'!$E$8+'Ing y Eg'!$E$12)*'Ing y Eg'!$C$98</f>
        <v>-2350000</v>
      </c>
      <c r="F7" s="91">
        <f>-('Ing y Eg'!$E$6+'Ing y Eg'!$E$7+'Ing y Eg'!$E$8+'Ing y Eg'!$E$12)*'Ing y Eg'!$C$98</f>
        <v>-2350000</v>
      </c>
      <c r="G7" s="91">
        <f>-('Ing y Eg'!$E$6+'Ing y Eg'!$E$7+'Ing y Eg'!$E$8+'Ing y Eg'!$E$12)*'Ing y Eg'!$C$98</f>
        <v>-2350000</v>
      </c>
      <c r="H7" s="91">
        <f>-('Ing y Eg'!$E$6+'Ing y Eg'!$E$7+'Ing y Eg'!$E$8+'Ing y Eg'!$E$12)*'Ing y Eg'!$C$98</f>
        <v>-2350000</v>
      </c>
      <c r="I7" s="91">
        <f>-('Ing y Eg'!$E$6+'Ing y Eg'!$E$7+'Ing y Eg'!$E$8+'Ing y Eg'!$E$12)*'Ing y Eg'!$C$98</f>
        <v>-2350000</v>
      </c>
      <c r="J7" s="91">
        <f>-('Ing y Eg'!$E$6+'Ing y Eg'!$E$7+'Ing y Eg'!$E$8+'Ing y Eg'!$E$12)*'Ing y Eg'!$C$98</f>
        <v>-2350000</v>
      </c>
      <c r="K7" s="91">
        <f>-('Ing y Eg'!$E$6+'Ing y Eg'!$E$7+'Ing y Eg'!$E$8+'Ing y Eg'!$E$12)*'Ing y Eg'!$C$98</f>
        <v>-2350000</v>
      </c>
      <c r="L7" s="91">
        <f>-('Ing y Eg'!$E$6+'Ing y Eg'!$E$7+'Ing y Eg'!$E$8+'Ing y Eg'!$E$12)*'Ing y Eg'!$C$98</f>
        <v>-2350000</v>
      </c>
    </row>
    <row r="8" spans="2:12" x14ac:dyDescent="0.25">
      <c r="B8" s="90" t="s">
        <v>87</v>
      </c>
      <c r="C8" s="91">
        <f>-Deuda!$K12</f>
        <v>-1818274.1248709485</v>
      </c>
      <c r="D8" s="91">
        <f>-Deuda!$K13</f>
        <v>-2181928.9498451352</v>
      </c>
      <c r="E8" s="91">
        <f>-Deuda!$K14</f>
        <v>-2618314.7398141623</v>
      </c>
      <c r="F8" s="91">
        <f>-Deuda!$K15</f>
        <v>-3141977.6877769977</v>
      </c>
      <c r="G8" s="91">
        <f>-Deuda!$K16</f>
        <v>-3770373.2253323942</v>
      </c>
      <c r="H8" s="91">
        <f>-Deuda!$K17</f>
        <v>-4524447.8703988791</v>
      </c>
      <c r="I8" s="91">
        <f>-Deuda!$K18</f>
        <v>-5429337.4444786534</v>
      </c>
      <c r="J8" s="91">
        <f>-Deuda!$K19</f>
        <v>-6515204.9333743826</v>
      </c>
      <c r="K8" s="91">
        <f>-Deuda!$K20</f>
        <v>-7818245.9200492594</v>
      </c>
      <c r="L8" s="91">
        <f>-Deuda!$K21</f>
        <v>-9381895.1040591132</v>
      </c>
    </row>
    <row r="9" spans="2:12" x14ac:dyDescent="0.25">
      <c r="B9" s="88" t="s">
        <v>88</v>
      </c>
      <c r="C9" s="92">
        <v>0</v>
      </c>
      <c r="D9" s="92">
        <v>0</v>
      </c>
      <c r="E9" s="92">
        <v>0</v>
      </c>
    </row>
    <row r="10" spans="2:12" x14ac:dyDescent="0.25">
      <c r="B10" s="94" t="s">
        <v>89</v>
      </c>
      <c r="C10" s="95">
        <f>SUM(C4:C9)</f>
        <v>14601584.478485174</v>
      </c>
      <c r="D10" s="95">
        <f>SUM(D4:D9)</f>
        <v>15360906.805138648</v>
      </c>
      <c r="E10" s="96">
        <f>SUM(E4:E9)</f>
        <v>16197378.639875233</v>
      </c>
      <c r="F10" s="95">
        <f t="shared" ref="F10:L10" si="0">SUM(F4:F9)</f>
        <v>17115240.6337782</v>
      </c>
      <c r="G10" s="95">
        <f t="shared" si="0"/>
        <v>18118086.859203443</v>
      </c>
      <c r="H10" s="96">
        <f t="shared" si="0"/>
        <v>19208548.039588511</v>
      </c>
      <c r="I10" s="95">
        <f t="shared" si="0"/>
        <v>20387888.840469934</v>
      </c>
      <c r="J10" s="95">
        <f t="shared" si="0"/>
        <v>21655499.387405656</v>
      </c>
      <c r="K10" s="96">
        <f t="shared" si="0"/>
        <v>23008256.905756406</v>
      </c>
      <c r="L10" s="95">
        <f t="shared" si="0"/>
        <v>24439728.218044266</v>
      </c>
    </row>
    <row r="11" spans="2:12" x14ac:dyDescent="0.25">
      <c r="B11" s="88" t="s">
        <v>90</v>
      </c>
      <c r="C11" s="92"/>
      <c r="D11" s="92">
        <f>+[1]ESF!D7*[1]DATOS!$B$41</f>
        <v>0</v>
      </c>
      <c r="E11" s="93">
        <f>+[1]ESF!E7*[1]DATOS!$B$41</f>
        <v>0</v>
      </c>
    </row>
    <row r="12" spans="2:12" x14ac:dyDescent="0.25">
      <c r="B12" s="86" t="s">
        <v>91</v>
      </c>
      <c r="C12" s="155"/>
      <c r="D12" s="156"/>
      <c r="E12" s="157"/>
    </row>
    <row r="13" spans="2:12" x14ac:dyDescent="0.25">
      <c r="B13" s="88" t="s">
        <v>92</v>
      </c>
      <c r="C13" s="92">
        <f>-Deuda!$J11</f>
        <v>-9440000</v>
      </c>
      <c r="D13" s="92">
        <f>-Deuda!$J12</f>
        <v>-9076345.1750258114</v>
      </c>
      <c r="E13" s="92">
        <f>-Deuda!$J13</f>
        <v>-8639959.3850567844</v>
      </c>
      <c r="F13" s="92">
        <f>-Deuda!$J14</f>
        <v>-8116296.4370939508</v>
      </c>
      <c r="G13" s="92">
        <f>-Deuda!$J15</f>
        <v>-7487900.8995385515</v>
      </c>
      <c r="H13" s="92">
        <f>-Deuda!$J16</f>
        <v>-6733826.2544720732</v>
      </c>
      <c r="I13" s="92">
        <f>-Deuda!$J17</f>
        <v>-5828936.680392297</v>
      </c>
      <c r="J13" s="92">
        <f>-Deuda!$J18</f>
        <v>-4743069.1914965659</v>
      </c>
      <c r="K13" s="92">
        <f>-Deuda!$J19</f>
        <v>-3440028.2048216895</v>
      </c>
      <c r="L13" s="92">
        <f>-Deuda!$J20</f>
        <v>-1876379.0208118376</v>
      </c>
    </row>
    <row r="14" spans="2:12" x14ac:dyDescent="0.25">
      <c r="B14" s="94" t="s">
        <v>93</v>
      </c>
      <c r="C14" s="95">
        <f>SUM(C10:C13)</f>
        <v>5161584.4784851745</v>
      </c>
      <c r="D14" s="95">
        <f>SUM(D10:D13)</f>
        <v>6284561.6301128361</v>
      </c>
      <c r="E14" s="96">
        <f>SUM(E10:E13)</f>
        <v>7557419.2548184488</v>
      </c>
      <c r="F14" s="95">
        <f t="shared" ref="F14:L14" si="1">SUM(F10:F13)</f>
        <v>8998944.1966842487</v>
      </c>
      <c r="G14" s="95">
        <f t="shared" si="1"/>
        <v>10630185.959664892</v>
      </c>
      <c r="H14" s="96">
        <f t="shared" si="1"/>
        <v>12474721.785116438</v>
      </c>
      <c r="I14" s="95">
        <f t="shared" si="1"/>
        <v>14558952.160077637</v>
      </c>
      <c r="J14" s="95">
        <f t="shared" si="1"/>
        <v>16912430.19590909</v>
      </c>
      <c r="K14" s="96">
        <f t="shared" si="1"/>
        <v>19568228.700934716</v>
      </c>
      <c r="L14" s="95">
        <f t="shared" si="1"/>
        <v>22563349.197232429</v>
      </c>
    </row>
    <row r="15" spans="2:12" x14ac:dyDescent="0.25">
      <c r="B15" s="88" t="s">
        <v>94</v>
      </c>
      <c r="C15" s="92">
        <f>IF(C14&gt;0,C14*'Ing y Eg'!$C$97)</f>
        <v>1290396.1196212936</v>
      </c>
      <c r="D15" s="92">
        <f>IF(D14&gt;0,D14*'Ing y Eg'!$C$97)</f>
        <v>1571140.407528209</v>
      </c>
      <c r="E15" s="92">
        <f>IF(E14&gt;0,E14*'Ing y Eg'!$C$97)</f>
        <v>1889354.8137046122</v>
      </c>
      <c r="F15" s="92">
        <f>IF(F14&gt;0,F14*'Ing y Eg'!$C$97)</f>
        <v>2249736.0491710622</v>
      </c>
      <c r="G15" s="92">
        <f>IF(G14&gt;0,G14*'Ing y Eg'!$C$97)</f>
        <v>2657546.4899162231</v>
      </c>
      <c r="H15" s="92">
        <f>IF(H14&gt;0,H14*'Ing y Eg'!$C$97)</f>
        <v>3118680.4462791095</v>
      </c>
      <c r="I15" s="92">
        <f>IF(I14&gt;0,I14*'Ing y Eg'!$C$97)</f>
        <v>3639738.0400194093</v>
      </c>
      <c r="J15" s="92">
        <f>IF(J14&gt;0,J14*'Ing y Eg'!$C$97)</f>
        <v>4228107.5489772726</v>
      </c>
      <c r="K15" s="92">
        <f>IF(K14&gt;0,K14*'Ing y Eg'!$C$97)</f>
        <v>4892057.1752336789</v>
      </c>
      <c r="L15" s="92">
        <f>IF(L14&gt;0,L14*'Ing y Eg'!$C$97)</f>
        <v>5640837.2993081072</v>
      </c>
    </row>
    <row r="16" spans="2:12" x14ac:dyDescent="0.25">
      <c r="B16" s="94" t="s">
        <v>95</v>
      </c>
      <c r="C16" s="95">
        <f>+C14-C15</f>
        <v>3871188.3588638809</v>
      </c>
      <c r="D16" s="95">
        <f>+D14-D15</f>
        <v>4713421.2225846276</v>
      </c>
      <c r="E16" s="96">
        <f>+E14-E15</f>
        <v>5668064.4411138371</v>
      </c>
      <c r="F16" s="95">
        <f t="shared" ref="F16:L16" si="2">+F14-F15</f>
        <v>6749208.1475131866</v>
      </c>
      <c r="G16" s="95">
        <f t="shared" si="2"/>
        <v>7972639.4697486693</v>
      </c>
      <c r="H16" s="96">
        <f t="shared" si="2"/>
        <v>9356041.3388373293</v>
      </c>
      <c r="I16" s="95">
        <f t="shared" si="2"/>
        <v>10919214.120058227</v>
      </c>
      <c r="J16" s="95">
        <f t="shared" si="2"/>
        <v>12684322.646931818</v>
      </c>
      <c r="K16" s="96">
        <f t="shared" si="2"/>
        <v>14676171.525701037</v>
      </c>
      <c r="L16" s="95">
        <f t="shared" si="2"/>
        <v>16922511.897924323</v>
      </c>
    </row>
    <row r="17" spans="2:12" x14ac:dyDescent="0.25">
      <c r="B17" s="88" t="s">
        <v>96</v>
      </c>
      <c r="C17" s="97">
        <f>IF(C16&gt;=0,C16*0.1)</f>
        <v>387118.83588638809</v>
      </c>
      <c r="D17" s="97">
        <f t="shared" ref="D17:L17" si="3">IF(D16&gt;=0,D16*0.1)</f>
        <v>471342.12225846277</v>
      </c>
      <c r="E17" s="97">
        <f t="shared" si="3"/>
        <v>566806.44411138375</v>
      </c>
      <c r="F17" s="97">
        <f t="shared" si="3"/>
        <v>674920.81475131866</v>
      </c>
      <c r="G17" s="97">
        <f t="shared" si="3"/>
        <v>797263.94697486702</v>
      </c>
      <c r="H17" s="97">
        <f t="shared" si="3"/>
        <v>935604.13388373295</v>
      </c>
      <c r="I17" s="97">
        <f t="shared" si="3"/>
        <v>1091921.4120058229</v>
      </c>
      <c r="J17" s="97">
        <f t="shared" si="3"/>
        <v>1268432.264693182</v>
      </c>
      <c r="K17" s="97">
        <f t="shared" si="3"/>
        <v>1467617.1525701038</v>
      </c>
      <c r="L17" s="97">
        <f t="shared" si="3"/>
        <v>1692251.1897924324</v>
      </c>
    </row>
    <row r="18" spans="2:12" x14ac:dyDescent="0.25">
      <c r="B18" s="88" t="s">
        <v>97</v>
      </c>
      <c r="C18" s="92">
        <f>+C16-C17</f>
        <v>3484069.5229774928</v>
      </c>
      <c r="D18" s="92">
        <f t="shared" ref="D18:L18" si="4">+D16-D17</f>
        <v>4242079.1003261646</v>
      </c>
      <c r="E18" s="92">
        <f t="shared" si="4"/>
        <v>5101257.9970024535</v>
      </c>
      <c r="F18" s="92">
        <f t="shared" si="4"/>
        <v>6074287.3327618679</v>
      </c>
      <c r="G18" s="92">
        <f t="shared" si="4"/>
        <v>7175375.5227738023</v>
      </c>
      <c r="H18" s="92">
        <f t="shared" si="4"/>
        <v>8420437.204953596</v>
      </c>
      <c r="I18" s="92">
        <f t="shared" si="4"/>
        <v>9827292.7080524042</v>
      </c>
      <c r="J18" s="92">
        <f t="shared" si="4"/>
        <v>11415890.382238636</v>
      </c>
      <c r="K18" s="92">
        <f t="shared" si="4"/>
        <v>13208554.373130932</v>
      </c>
      <c r="L18" s="92">
        <f t="shared" si="4"/>
        <v>15230260.708131891</v>
      </c>
    </row>
    <row r="19" spans="2:12" ht="15.75" thickBot="1" x14ac:dyDescent="0.3">
      <c r="B19" s="98" t="s">
        <v>98</v>
      </c>
      <c r="C19" s="99">
        <f>IF(C18&gt;0,C18*$C$42)</f>
        <v>696813.90459549858</v>
      </c>
      <c r="D19" s="99">
        <f t="shared" ref="D19:L19" si="5">IF(D18&gt;0,D18*$C$42)</f>
        <v>848415.82006523293</v>
      </c>
      <c r="E19" s="99">
        <f t="shared" si="5"/>
        <v>1020251.5994004908</v>
      </c>
      <c r="F19" s="99">
        <f t="shared" si="5"/>
        <v>1214857.4665523737</v>
      </c>
      <c r="G19" s="99">
        <f t="shared" si="5"/>
        <v>1435075.1045547605</v>
      </c>
      <c r="H19" s="99">
        <f t="shared" si="5"/>
        <v>1684087.4409907192</v>
      </c>
      <c r="I19" s="99">
        <f t="shared" si="5"/>
        <v>1965458.541610481</v>
      </c>
      <c r="J19" s="99">
        <f t="shared" si="5"/>
        <v>2283178.0764477272</v>
      </c>
      <c r="K19" s="99">
        <f t="shared" si="5"/>
        <v>2641710.8746261867</v>
      </c>
      <c r="L19" s="99">
        <f t="shared" si="5"/>
        <v>3046052.1416263785</v>
      </c>
    </row>
    <row r="20" spans="2:12" ht="15.75" thickBot="1" x14ac:dyDescent="0.3">
      <c r="B20" s="100" t="s">
        <v>99</v>
      </c>
      <c r="C20" s="101">
        <f>+C18-C19</f>
        <v>2787255.6183819943</v>
      </c>
      <c r="D20" s="101">
        <f t="shared" ref="D20:L20" si="6">+D18-D19</f>
        <v>3393663.2802609317</v>
      </c>
      <c r="E20" s="102">
        <f t="shared" si="6"/>
        <v>4081006.397601963</v>
      </c>
      <c r="F20" s="101">
        <f t="shared" si="6"/>
        <v>4859429.866209494</v>
      </c>
      <c r="G20" s="101">
        <f t="shared" si="6"/>
        <v>5740300.418219042</v>
      </c>
      <c r="H20" s="102">
        <f t="shared" si="6"/>
        <v>6736349.763962877</v>
      </c>
      <c r="I20" s="101">
        <f t="shared" si="6"/>
        <v>7861834.166441923</v>
      </c>
      <c r="J20" s="101">
        <f t="shared" si="6"/>
        <v>9132712.3057909086</v>
      </c>
      <c r="K20" s="102">
        <f t="shared" si="6"/>
        <v>10566843.498504747</v>
      </c>
      <c r="L20" s="101">
        <f t="shared" si="6"/>
        <v>12184208.566505512</v>
      </c>
    </row>
    <row r="22" spans="2:12" ht="15.75" thickBot="1" x14ac:dyDescent="0.3">
      <c r="B22" s="143" t="s">
        <v>111</v>
      </c>
    </row>
    <row r="23" spans="2:12" x14ac:dyDescent="0.25">
      <c r="B23" s="83" t="s">
        <v>79</v>
      </c>
      <c r="C23" s="84" t="s">
        <v>80</v>
      </c>
      <c r="D23" s="84" t="s">
        <v>81</v>
      </c>
      <c r="E23" s="85" t="s">
        <v>82</v>
      </c>
      <c r="F23" s="84" t="s">
        <v>100</v>
      </c>
      <c r="G23" s="84" t="s">
        <v>101</v>
      </c>
      <c r="H23" s="85" t="s">
        <v>102</v>
      </c>
      <c r="I23" s="84" t="s">
        <v>103</v>
      </c>
      <c r="J23" s="84" t="s">
        <v>104</v>
      </c>
      <c r="K23" s="85" t="s">
        <v>105</v>
      </c>
      <c r="L23" s="84" t="s">
        <v>106</v>
      </c>
    </row>
    <row r="24" spans="2:12" x14ac:dyDescent="0.25">
      <c r="B24" s="86" t="s">
        <v>83</v>
      </c>
      <c r="C24" s="87">
        <f>'Ing y Eg'!$J6</f>
        <v>613529253.67294776</v>
      </c>
      <c r="D24" s="87">
        <f>'Ing y Eg'!$J7</f>
        <v>688502606.65877295</v>
      </c>
      <c r="E24" s="87">
        <f>'Ing y Eg'!$J8</f>
        <v>772637712.93392611</v>
      </c>
      <c r="F24" s="87">
        <f>'Ing y Eg'!$J9</f>
        <v>867054139.91791964</v>
      </c>
      <c r="G24" s="87">
        <f>'Ing y Eg'!$J10</f>
        <v>973008266.31160545</v>
      </c>
      <c r="H24" s="87">
        <f>'Ing y Eg'!$J11</f>
        <v>1091910000.4531901</v>
      </c>
      <c r="I24" s="87">
        <f>'Ing y Eg'!$J12</f>
        <v>1225341541.6594853</v>
      </c>
      <c r="J24" s="87">
        <f>'Ing y Eg'!$J13</f>
        <v>1375078434.2054493</v>
      </c>
      <c r="K24" s="87">
        <f>'Ing y Eg'!$J14</f>
        <v>1543113194.1027126</v>
      </c>
      <c r="L24" s="87">
        <f>'Ing y Eg'!$J15</f>
        <v>1766477823.0734487</v>
      </c>
    </row>
    <row r="25" spans="2:12" x14ac:dyDescent="0.25">
      <c r="B25" s="88" t="s">
        <v>84</v>
      </c>
      <c r="C25" s="89">
        <f>-'Ing y Eg'!$K6+'Ing y Eg'!$E$75</f>
        <v>-305037241.73390448</v>
      </c>
      <c r="D25" s="89">
        <f>-'Ing y Eg'!$K7+'Ing y Eg'!$E$75</f>
        <v>-352950207.64119947</v>
      </c>
      <c r="E25" s="89">
        <f>-'Ing y Eg'!$K8+'Ing y Eg'!$E$75</f>
        <v>-405654470.13922393</v>
      </c>
      <c r="F25" s="89">
        <f>-'Ing y Eg'!$K9+'Ing y Eg'!$E$75</f>
        <v>-463629158.88705087</v>
      </c>
      <c r="G25" s="89">
        <f>-'Ing y Eg'!$K10+'Ing y Eg'!$E$75</f>
        <v>-527401316.50966036</v>
      </c>
      <c r="H25" s="89">
        <f>-'Ing y Eg'!$K11+'Ing y Eg'!$E$75</f>
        <v>-597550689.89453101</v>
      </c>
      <c r="I25" s="89">
        <f>-'Ing y Eg'!$K12+'Ing y Eg'!$E$75</f>
        <v>-674715000.61788869</v>
      </c>
      <c r="J25" s="89">
        <f>-'Ing y Eg'!$K13+'Ing y Eg'!$E$75</f>
        <v>-759595742.41358197</v>
      </c>
      <c r="K25" s="89">
        <f>-'Ing y Eg'!$K14+'Ing y Eg'!$E$75</f>
        <v>-852964558.38884473</v>
      </c>
      <c r="L25" s="89">
        <f>-'Ing y Eg'!$K15+'Ing y Eg'!$E$75</f>
        <v>-955670255.9616338</v>
      </c>
    </row>
    <row r="26" spans="2:12" x14ac:dyDescent="0.25">
      <c r="B26" s="86" t="s">
        <v>85</v>
      </c>
      <c r="C26" s="155"/>
      <c r="D26" s="156"/>
      <c r="E26" s="157"/>
    </row>
    <row r="27" spans="2:12" x14ac:dyDescent="0.25">
      <c r="B27" s="90" t="s">
        <v>86</v>
      </c>
      <c r="C27" s="91">
        <f>-('Ing y Eg'!$E$18)*'Ing y Eg'!$C$98</f>
        <v>-34796000</v>
      </c>
      <c r="D27" s="91">
        <f>-('Ing y Eg'!$E$18)*'Ing y Eg'!$C$98</f>
        <v>-34796000</v>
      </c>
      <c r="E27" s="91">
        <f>-('Ing y Eg'!$E$18)*'Ing y Eg'!$C$98</f>
        <v>-34796000</v>
      </c>
      <c r="F27" s="91">
        <f>-('Ing y Eg'!$E$18)*'Ing y Eg'!$C$98</f>
        <v>-34796000</v>
      </c>
      <c r="G27" s="91">
        <f>-('Ing y Eg'!$E$18)*'Ing y Eg'!$C$98</f>
        <v>-34796000</v>
      </c>
      <c r="H27" s="91">
        <f>-('Ing y Eg'!$E$18)*'Ing y Eg'!$C$98</f>
        <v>-34796000</v>
      </c>
      <c r="I27" s="91">
        <f>-('Ing y Eg'!$E$18)*'Ing y Eg'!$C$98</f>
        <v>-34796000</v>
      </c>
      <c r="J27" s="91">
        <f>-('Ing y Eg'!$E$18)*'Ing y Eg'!$C$98</f>
        <v>-34796000</v>
      </c>
      <c r="K27" s="91">
        <f>-('Ing y Eg'!$E$18)*'Ing y Eg'!$C$98</f>
        <v>-34796000</v>
      </c>
      <c r="L27" s="91">
        <f>-('Ing y Eg'!$E$18)*'Ing y Eg'!$C$98</f>
        <v>-34796000</v>
      </c>
    </row>
    <row r="28" spans="2:12" x14ac:dyDescent="0.25">
      <c r="B28" s="90" t="s">
        <v>87</v>
      </c>
      <c r="C28" s="91">
        <f>-Deuda!$E12</f>
        <v>-28116897.33904469</v>
      </c>
      <c r="D28" s="91">
        <f>-Deuda!$E13</f>
        <v>-33740276.806853652</v>
      </c>
      <c r="E28" s="91">
        <f>-Deuda!$E14</f>
        <v>-40488332.168224335</v>
      </c>
      <c r="F28" s="91">
        <f>-Deuda!$E15</f>
        <v>-48585998.601869226</v>
      </c>
      <c r="G28" s="91">
        <f>-Deuda!$E16</f>
        <v>-58303198.322243094</v>
      </c>
      <c r="H28" s="91">
        <f>-Deuda!$E17</f>
        <v>-69963837.986691713</v>
      </c>
      <c r="I28" s="91">
        <f>-Deuda!$E18</f>
        <v>-83956605.584030032</v>
      </c>
      <c r="J28" s="91">
        <f>-Deuda!$E19</f>
        <v>-100747926.70083606</v>
      </c>
      <c r="K28" s="91">
        <f>-Deuda!$E20</f>
        <v>-120897512.04100323</v>
      </c>
      <c r="L28" s="91">
        <f>-Deuda!$E21</f>
        <v>-145077014.44920397</v>
      </c>
    </row>
    <row r="29" spans="2:12" x14ac:dyDescent="0.25">
      <c r="B29" s="88" t="s">
        <v>88</v>
      </c>
      <c r="C29" s="92">
        <v>0</v>
      </c>
      <c r="D29" s="92">
        <v>0</v>
      </c>
      <c r="E29" s="92">
        <v>0</v>
      </c>
    </row>
    <row r="30" spans="2:12" x14ac:dyDescent="0.25">
      <c r="B30" s="94" t="s">
        <v>89</v>
      </c>
      <c r="C30" s="95">
        <f>SUM(C24:C29)</f>
        <v>245579114.59999859</v>
      </c>
      <c r="D30" s="95">
        <f>SUM(D24:D29)</f>
        <v>267016122.21071982</v>
      </c>
      <c r="E30" s="96">
        <f>SUM(E24:E29)</f>
        <v>291698910.62647784</v>
      </c>
      <c r="F30" s="95">
        <f t="shared" ref="F30" si="7">SUM(F24:F29)</f>
        <v>320042982.42899954</v>
      </c>
      <c r="G30" s="95">
        <f t="shared" ref="G30" si="8">SUM(G24:G29)</f>
        <v>352507751.479702</v>
      </c>
      <c r="H30" s="96">
        <f t="shared" ref="H30" si="9">SUM(H24:H29)</f>
        <v>389599472.57196736</v>
      </c>
      <c r="I30" s="95">
        <f t="shared" ref="I30" si="10">SUM(I24:I29)</f>
        <v>431873935.45756662</v>
      </c>
      <c r="J30" s="95">
        <f t="shared" ref="J30" si="11">SUM(J24:J29)</f>
        <v>479938765.09103131</v>
      </c>
      <c r="K30" s="96">
        <f t="shared" ref="K30" si="12">SUM(K24:K29)</f>
        <v>534455123.67286468</v>
      </c>
      <c r="L30" s="95">
        <f t="shared" ref="L30" si="13">SUM(L24:L29)</f>
        <v>630934552.66261089</v>
      </c>
    </row>
    <row r="31" spans="2:12" x14ac:dyDescent="0.25">
      <c r="B31" s="88" t="s">
        <v>90</v>
      </c>
      <c r="C31" s="92"/>
      <c r="D31" s="92">
        <f>+[1]ESF!D27*[1]DATOS!$B$41</f>
        <v>0</v>
      </c>
      <c r="E31" s="93">
        <f>+[1]ESF!E27*[1]DATOS!$B$41</f>
        <v>0</v>
      </c>
    </row>
    <row r="32" spans="2:12" x14ac:dyDescent="0.25">
      <c r="B32" s="86" t="s">
        <v>91</v>
      </c>
      <c r="C32" s="155"/>
      <c r="D32" s="156"/>
      <c r="E32" s="157"/>
    </row>
    <row r="33" spans="2:12" x14ac:dyDescent="0.25">
      <c r="B33" s="88" t="s">
        <v>92</v>
      </c>
      <c r="C33" s="92">
        <f>-Deuda!$D11</f>
        <v>-145975520</v>
      </c>
      <c r="D33" s="92">
        <f>-Deuda!$D12</f>
        <v>-140352140.53219107</v>
      </c>
      <c r="E33" s="92">
        <f>-Deuda!$D13</f>
        <v>-133604085.17082034</v>
      </c>
      <c r="F33" s="92">
        <f>Deuda!$D14</f>
        <v>125506418.73717546</v>
      </c>
      <c r="G33" s="92">
        <f>-Deuda!$D15</f>
        <v>-115789219.01680163</v>
      </c>
      <c r="H33" s="92">
        <f>-Deuda!$D16</f>
        <v>-104128579.35235301</v>
      </c>
      <c r="I33" s="92">
        <f>Deuda!$D17</f>
        <v>90135811.755014658</v>
      </c>
      <c r="J33" s="92">
        <f>-Deuda!$D18</f>
        <v>-73344490.638208658</v>
      </c>
      <c r="K33" s="92">
        <f>Deuda!$D19</f>
        <v>53194905.298041441</v>
      </c>
      <c r="L33" s="92">
        <f>-Deuda!$D20</f>
        <v>-29015402.889840797</v>
      </c>
    </row>
    <row r="34" spans="2:12" x14ac:dyDescent="0.25">
      <c r="B34" s="94" t="s">
        <v>93</v>
      </c>
      <c r="C34" s="95">
        <f>SUM(C30:C33)</f>
        <v>99603594.599998593</v>
      </c>
      <c r="D34" s="95">
        <f>SUM(D30:D33)</f>
        <v>126663981.67852876</v>
      </c>
      <c r="E34" s="96">
        <f>SUM(E30:E33)</f>
        <v>158094825.45565748</v>
      </c>
      <c r="F34" s="95">
        <f t="shared" ref="F34" si="14">SUM(F30:F33)</f>
        <v>445549401.16617501</v>
      </c>
      <c r="G34" s="95">
        <f t="shared" ref="G34" si="15">SUM(G30:G33)</f>
        <v>236718532.46290037</v>
      </c>
      <c r="H34" s="96">
        <f t="shared" ref="H34" si="16">SUM(H30:H33)</f>
        <v>285470893.21961439</v>
      </c>
      <c r="I34" s="95">
        <f t="shared" ref="I34" si="17">SUM(I30:I33)</f>
        <v>522009747.21258128</v>
      </c>
      <c r="J34" s="95">
        <f t="shared" ref="J34" si="18">SUM(J30:J33)</f>
        <v>406594274.45282269</v>
      </c>
      <c r="K34" s="96">
        <f t="shared" ref="K34" si="19">SUM(K30:K33)</f>
        <v>587650028.97090614</v>
      </c>
      <c r="L34" s="95">
        <f t="shared" ref="L34" si="20">SUM(L30:L33)</f>
        <v>601919149.77277005</v>
      </c>
    </row>
    <row r="35" spans="2:12" x14ac:dyDescent="0.25">
      <c r="B35" s="88" t="s">
        <v>94</v>
      </c>
      <c r="C35" s="92">
        <f>IF(C34&gt;0,C34*'Ing y Eg'!$C$97)</f>
        <v>24900898.649999648</v>
      </c>
      <c r="D35" s="92">
        <f>IF(D34&gt;0,D34*'Ing y Eg'!$C$97)</f>
        <v>31665995.419632189</v>
      </c>
      <c r="E35" s="92">
        <f>IF(E34&gt;0,E34*'Ing y Eg'!$C$97)</f>
        <v>39523706.363914371</v>
      </c>
      <c r="F35" s="92">
        <f>IF(F34&gt;0,F34*'Ing y Eg'!$C$97)</f>
        <v>111387350.29154375</v>
      </c>
      <c r="G35" s="92">
        <f>IF(G34&gt;0,G34*'Ing y Eg'!$C$97)</f>
        <v>59179633.115725093</v>
      </c>
      <c r="H35" s="92">
        <f>IF(H34&gt;0,H34*'Ing y Eg'!$C$97)</f>
        <v>71367723.304903597</v>
      </c>
      <c r="I35" s="92">
        <f>IF(I34&gt;0,I34*'Ing y Eg'!$C$97)</f>
        <v>130502436.80314532</v>
      </c>
      <c r="J35" s="92">
        <f>IF(J34&gt;0,J34*'Ing y Eg'!$C$97)</f>
        <v>101648568.61320567</v>
      </c>
      <c r="K35" s="92">
        <f>IF(K34&gt;0,K34*'Ing y Eg'!$C$97)</f>
        <v>146912507.24272653</v>
      </c>
      <c r="L35" s="92">
        <f>IF(L34&gt;0,L34*'Ing y Eg'!$C$97)</f>
        <v>150479787.44319251</v>
      </c>
    </row>
    <row r="36" spans="2:12" x14ac:dyDescent="0.25">
      <c r="B36" s="94" t="s">
        <v>95</v>
      </c>
      <c r="C36" s="95">
        <f>+C34-C35</f>
        <v>74702695.949998945</v>
      </c>
      <c r="D36" s="95">
        <f>+D34-D35</f>
        <v>94997986.258896559</v>
      </c>
      <c r="E36" s="96">
        <f>+E34-E35</f>
        <v>118571119.09174311</v>
      </c>
      <c r="F36" s="95">
        <f t="shared" ref="F36" si="21">+F34-F35</f>
        <v>334162050.87463129</v>
      </c>
      <c r="G36" s="95">
        <f t="shared" ref="G36" si="22">+G34-G35</f>
        <v>177538899.34717527</v>
      </c>
      <c r="H36" s="96">
        <f t="shared" ref="H36" si="23">+H34-H35</f>
        <v>214103169.91471079</v>
      </c>
      <c r="I36" s="95">
        <f t="shared" ref="I36" si="24">+I34-I35</f>
        <v>391507310.40943599</v>
      </c>
      <c r="J36" s="95">
        <f t="shared" ref="J36" si="25">+J34-J35</f>
        <v>304945705.83961701</v>
      </c>
      <c r="K36" s="96">
        <f t="shared" ref="K36" si="26">+K34-K35</f>
        <v>440737521.72817957</v>
      </c>
      <c r="L36" s="95">
        <f t="shared" ref="L36" si="27">+L34-L35</f>
        <v>451439362.32957757</v>
      </c>
    </row>
    <row r="37" spans="2:12" x14ac:dyDescent="0.25">
      <c r="B37" s="88" t="s">
        <v>96</v>
      </c>
      <c r="C37" s="97">
        <f>IF(C36&gt;=0,C36*0.1)</f>
        <v>7470269.5949998945</v>
      </c>
      <c r="D37" s="97">
        <f t="shared" ref="D37" si="28">IF(D36&gt;=0,D36*0.1)</f>
        <v>9499798.6258896571</v>
      </c>
      <c r="E37" s="97">
        <f t="shared" ref="E37" si="29">IF(E36&gt;=0,E36*0.1)</f>
        <v>11857111.909174312</v>
      </c>
      <c r="F37" s="97">
        <f t="shared" ref="F37" si="30">IF(F36&gt;=0,F36*0.1)</f>
        <v>33416205.087463129</v>
      </c>
      <c r="G37" s="97">
        <f t="shared" ref="G37" si="31">IF(G36&gt;=0,G36*0.1)</f>
        <v>17753889.934717529</v>
      </c>
      <c r="H37" s="97">
        <f t="shared" ref="H37" si="32">IF(H36&gt;=0,H36*0.1)</f>
        <v>21410316.991471082</v>
      </c>
      <c r="I37" s="97">
        <f t="shared" ref="I37" si="33">IF(I36&gt;=0,I36*0.1)</f>
        <v>39150731.0409436</v>
      </c>
      <c r="J37" s="97">
        <f t="shared" ref="J37" si="34">IF(J36&gt;=0,J36*0.1)</f>
        <v>30494570.583961703</v>
      </c>
      <c r="K37" s="97">
        <f t="shared" ref="K37" si="35">IF(K36&gt;=0,K36*0.1)</f>
        <v>44073752.17281796</v>
      </c>
      <c r="L37" s="97">
        <f t="shared" ref="L37" si="36">IF(L36&gt;=0,L36*0.1)</f>
        <v>45143936.232957758</v>
      </c>
    </row>
    <row r="38" spans="2:12" x14ac:dyDescent="0.25">
      <c r="B38" s="88" t="s">
        <v>97</v>
      </c>
      <c r="C38" s="92">
        <f>+C36-C37</f>
        <v>67232426.35499905</v>
      </c>
      <c r="D38" s="92">
        <f t="shared" ref="D38" si="37">+D36-D37</f>
        <v>85498187.633006901</v>
      </c>
      <c r="E38" s="92">
        <f t="shared" ref="E38" si="38">+E36-E37</f>
        <v>106714007.1825688</v>
      </c>
      <c r="F38" s="92">
        <f t="shared" ref="F38" si="39">+F36-F37</f>
        <v>300745845.78716815</v>
      </c>
      <c r="G38" s="92">
        <f t="shared" ref="G38" si="40">+G36-G37</f>
        <v>159785009.41245773</v>
      </c>
      <c r="H38" s="92">
        <f t="shared" ref="H38" si="41">+H36-H37</f>
        <v>192692852.92323971</v>
      </c>
      <c r="I38" s="92">
        <f t="shared" ref="I38" si="42">+I36-I37</f>
        <v>352356579.36849236</v>
      </c>
      <c r="J38" s="92">
        <f t="shared" ref="J38" si="43">+J36-J37</f>
        <v>274451135.25565529</v>
      </c>
      <c r="K38" s="92">
        <f t="shared" ref="K38" si="44">+K36-K37</f>
        <v>396663769.55536163</v>
      </c>
      <c r="L38" s="92">
        <f t="shared" ref="L38" si="45">+L36-L37</f>
        <v>406295426.09661978</v>
      </c>
    </row>
    <row r="39" spans="2:12" ht="15.75" thickBot="1" x14ac:dyDescent="0.3">
      <c r="B39" s="98" t="s">
        <v>98</v>
      </c>
      <c r="C39" s="99">
        <f>IF(C38&gt;0,C38*$C$42)</f>
        <v>13446485.270999812</v>
      </c>
      <c r="D39" s="99">
        <f t="shared" ref="D39:L39" si="46">IF(D38&gt;0,D38*$C$42)</f>
        <v>17099637.526601382</v>
      </c>
      <c r="E39" s="99">
        <f t="shared" si="46"/>
        <v>21342801.436513763</v>
      </c>
      <c r="F39" s="99">
        <f t="shared" si="46"/>
        <v>60149169.157433629</v>
      </c>
      <c r="G39" s="99">
        <f t="shared" si="46"/>
        <v>31957001.882491548</v>
      </c>
      <c r="H39" s="99">
        <f t="shared" si="46"/>
        <v>38538570.584647946</v>
      </c>
      <c r="I39" s="99">
        <f t="shared" si="46"/>
        <v>70471315.873698473</v>
      </c>
      <c r="J39" s="99">
        <f t="shared" si="46"/>
        <v>54890227.051131062</v>
      </c>
      <c r="K39" s="99">
        <f t="shared" si="46"/>
        <v>79332753.911072329</v>
      </c>
      <c r="L39" s="99">
        <f t="shared" si="46"/>
        <v>81259085.219323963</v>
      </c>
    </row>
    <row r="40" spans="2:12" ht="15.75" thickBot="1" x14ac:dyDescent="0.3">
      <c r="B40" s="100" t="s">
        <v>99</v>
      </c>
      <c r="C40" s="101">
        <f>+C38-C39</f>
        <v>53785941.083999239</v>
      </c>
      <c r="D40" s="101">
        <f t="shared" ref="D40:L40" si="47">+D38-D39</f>
        <v>68398550.106405526</v>
      </c>
      <c r="E40" s="102">
        <f t="shared" si="47"/>
        <v>85371205.746055037</v>
      </c>
      <c r="F40" s="101">
        <f t="shared" si="47"/>
        <v>240596676.62973452</v>
      </c>
      <c r="G40" s="101">
        <f t="shared" si="47"/>
        <v>127828007.52996619</v>
      </c>
      <c r="H40" s="102">
        <f t="shared" si="47"/>
        <v>154154282.33859175</v>
      </c>
      <c r="I40" s="101">
        <f t="shared" si="47"/>
        <v>281885263.49479389</v>
      </c>
      <c r="J40" s="101">
        <f t="shared" si="47"/>
        <v>219560908.20452422</v>
      </c>
      <c r="K40" s="102">
        <f t="shared" si="47"/>
        <v>317331015.64428931</v>
      </c>
      <c r="L40" s="101">
        <f t="shared" si="47"/>
        <v>325036340.87729585</v>
      </c>
    </row>
    <row r="42" spans="2:12" x14ac:dyDescent="0.25">
      <c r="B42" t="s">
        <v>98</v>
      </c>
      <c r="C42" s="2">
        <v>0.2</v>
      </c>
    </row>
  </sheetData>
  <mergeCells count="4">
    <mergeCell ref="C6:E6"/>
    <mergeCell ref="C12:E12"/>
    <mergeCell ref="C26:E26"/>
    <mergeCell ref="C32:E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9"/>
  <sheetViews>
    <sheetView showGridLines="0" tabSelected="1" zoomScale="120" zoomScaleNormal="120" workbookViewId="0">
      <selection activeCell="F11" sqref="F11"/>
    </sheetView>
  </sheetViews>
  <sheetFormatPr baseColWidth="10" defaultRowHeight="15" x14ac:dyDescent="0.25"/>
  <cols>
    <col min="1" max="1" width="11.42578125" customWidth="1"/>
    <col min="2" max="2" width="20.42578125" customWidth="1"/>
    <col min="3" max="4" width="18.28515625" customWidth="1"/>
    <col min="5" max="14" width="15.85546875" customWidth="1"/>
  </cols>
  <sheetData>
    <row r="4" spans="2:14" ht="15.75" thickBot="1" x14ac:dyDescent="0.3"/>
    <row r="5" spans="2:14" ht="15.75" thickBot="1" x14ac:dyDescent="0.3">
      <c r="B5" s="121" t="s">
        <v>0</v>
      </c>
      <c r="C5" s="140" t="s">
        <v>114</v>
      </c>
      <c r="D5" s="125">
        <v>1</v>
      </c>
      <c r="E5" s="125">
        <v>2</v>
      </c>
      <c r="F5" s="125">
        <v>3</v>
      </c>
      <c r="G5" s="125">
        <v>4</v>
      </c>
      <c r="H5" s="125">
        <v>5</v>
      </c>
      <c r="I5" s="125">
        <v>6</v>
      </c>
      <c r="J5" s="125">
        <v>7</v>
      </c>
      <c r="K5" s="125">
        <v>8</v>
      </c>
      <c r="L5" s="125">
        <v>9</v>
      </c>
      <c r="M5" s="125">
        <v>10</v>
      </c>
      <c r="N5" s="141" t="s">
        <v>115</v>
      </c>
    </row>
    <row r="6" spans="2:14" x14ac:dyDescent="0.25">
      <c r="B6" s="138" t="s">
        <v>6</v>
      </c>
      <c r="C6" s="12">
        <f>-'Ing y Eg'!E15</f>
        <v>-47200000</v>
      </c>
      <c r="D6" s="12">
        <f>'Estado de Resultado Integral'!C$16</f>
        <v>3871188.3588638809</v>
      </c>
      <c r="E6" s="12">
        <f>'Estado de Resultado Integral'!D$16</f>
        <v>4713421.2225846276</v>
      </c>
      <c r="F6" s="12">
        <f>'Estado de Resultado Integral'!E$16</f>
        <v>5668064.4411138371</v>
      </c>
      <c r="G6" s="12">
        <f>'Estado de Resultado Integral'!F$16</f>
        <v>6749208.1475131866</v>
      </c>
      <c r="H6" s="12">
        <f>'Estado de Resultado Integral'!G$16</f>
        <v>7972639.4697486693</v>
      </c>
      <c r="I6" s="12">
        <f>'Estado de Resultado Integral'!H$16</f>
        <v>9356041.3388373293</v>
      </c>
      <c r="J6" s="12">
        <f>'Estado de Resultado Integral'!I$16</f>
        <v>10919214.120058227</v>
      </c>
      <c r="K6" s="12">
        <f>'Estado de Resultado Integral'!J$16</f>
        <v>12684322.646931818</v>
      </c>
      <c r="L6" s="12">
        <f>'Estado de Resultado Integral'!K$16</f>
        <v>14676171.525701037</v>
      </c>
      <c r="M6" s="12">
        <f>'Estado de Resultado Integral'!L$16</f>
        <v>16922511.897924323</v>
      </c>
      <c r="N6" s="13">
        <f>SUM('Estado de Resultado Integral'!C17:L17,'Estado de Resultado Integral'!C20:L20)</f>
        <v>76696882.198807076</v>
      </c>
    </row>
    <row r="7" spans="2:14" ht="15.75" thickBot="1" x14ac:dyDescent="0.3">
      <c r="B7" s="139" t="s">
        <v>113</v>
      </c>
      <c r="C7" s="39">
        <f>-'Ing y Eg'!E32</f>
        <v>-729877600</v>
      </c>
      <c r="D7" s="39">
        <f>'Estado de Resultado Integral'!C$36</f>
        <v>74702695.949998945</v>
      </c>
      <c r="E7" s="39">
        <f>'Estado de Resultado Integral'!D$36</f>
        <v>94997986.258896559</v>
      </c>
      <c r="F7" s="39">
        <f>'Estado de Resultado Integral'!E$36</f>
        <v>118571119.09174311</v>
      </c>
      <c r="G7" s="39">
        <f>'Estado de Resultado Integral'!F$36</f>
        <v>334162050.87463129</v>
      </c>
      <c r="H7" s="39">
        <f>'Estado de Resultado Integral'!G$36</f>
        <v>177538899.34717527</v>
      </c>
      <c r="I7" s="39">
        <f>'Estado de Resultado Integral'!H$36</f>
        <v>214103169.91471079</v>
      </c>
      <c r="J7" s="39">
        <f>'Estado de Resultado Integral'!I$36</f>
        <v>391507310.40943599</v>
      </c>
      <c r="K7" s="39">
        <f>'Estado de Resultado Integral'!J$36</f>
        <v>304945705.83961701</v>
      </c>
      <c r="L7" s="39">
        <f>'Estado de Resultado Integral'!K$36</f>
        <v>440737521.72817957</v>
      </c>
      <c r="M7" s="39">
        <f>'Estado de Resultado Integral'!L$36</f>
        <v>451439362.32957757</v>
      </c>
      <c r="N7" s="130">
        <f>SUM('Estado de Resultado Integral'!C37:L37,'Estado de Resultado Integral'!C40:L40)</f>
        <v>2134218773.8300524</v>
      </c>
    </row>
    <row r="8" spans="2:14" x14ac:dyDescent="0.25">
      <c r="E8" s="1"/>
      <c r="I8" s="103"/>
      <c r="J8" s="1"/>
    </row>
    <row r="9" spans="2:14" ht="15.75" thickBot="1" x14ac:dyDescent="0.3">
      <c r="F9" s="66"/>
      <c r="G9" s="66"/>
      <c r="H9" s="66"/>
      <c r="I9" s="66"/>
      <c r="J9" s="1"/>
      <c r="K9" s="66"/>
    </row>
    <row r="10" spans="2:14" ht="15.75" thickBot="1" x14ac:dyDescent="0.3">
      <c r="B10" s="152" t="s">
        <v>128</v>
      </c>
      <c r="C10" s="153"/>
      <c r="D10" s="154"/>
      <c r="J10" s="1"/>
    </row>
    <row r="11" spans="2:14" ht="15.75" thickBot="1" x14ac:dyDescent="0.3">
      <c r="B11" s="11"/>
      <c r="C11" s="144" t="s">
        <v>2</v>
      </c>
      <c r="D11" s="144" t="s">
        <v>4</v>
      </c>
      <c r="J11" s="1"/>
    </row>
    <row r="12" spans="2:14" x14ac:dyDescent="0.25">
      <c r="B12" s="169" t="s">
        <v>6</v>
      </c>
      <c r="C12" s="145">
        <f>IRR(C6:N6)</f>
        <v>0.17678575155950216</v>
      </c>
      <c r="D12" s="147">
        <f>NPV($C$14,'Flujos de Efectivo'!C6:N6)</f>
        <v>39357452.290377721</v>
      </c>
      <c r="J12" s="1"/>
    </row>
    <row r="13" spans="2:14" ht="15.75" thickBot="1" x14ac:dyDescent="0.3">
      <c r="B13" s="169" t="s">
        <v>113</v>
      </c>
      <c r="C13" s="146">
        <f>IRR(C7:N7)</f>
        <v>0.2819574718423643</v>
      </c>
      <c r="D13" s="147">
        <f>NPV($C$14,'Flujos de Efectivo'!C7:N7)</f>
        <v>1624387533.1213953</v>
      </c>
      <c r="J13" s="1"/>
    </row>
    <row r="14" spans="2:14" ht="30.75" thickBot="1" x14ac:dyDescent="0.3">
      <c r="B14" s="168" t="s">
        <v>132</v>
      </c>
      <c r="C14" s="167">
        <v>0.08</v>
      </c>
      <c r="D14" s="43"/>
      <c r="J14" s="1"/>
    </row>
    <row r="15" spans="2:14" ht="15.75" thickBot="1" x14ac:dyDescent="0.3">
      <c r="J15" s="1"/>
    </row>
    <row r="16" spans="2:14" ht="15.75" thickBot="1" x14ac:dyDescent="0.3">
      <c r="B16" s="152" t="s">
        <v>131</v>
      </c>
      <c r="C16" s="153"/>
      <c r="D16" s="154"/>
    </row>
    <row r="17" spans="2:4" ht="17.25" customHeight="1" thickBot="1" x14ac:dyDescent="0.3">
      <c r="B17" s="164" t="s">
        <v>129</v>
      </c>
      <c r="C17" s="165" t="s">
        <v>30</v>
      </c>
      <c r="D17" s="166" t="s">
        <v>37</v>
      </c>
    </row>
    <row r="18" spans="2:4" ht="17.25" customHeight="1" thickBot="1" x14ac:dyDescent="0.3">
      <c r="B18" s="144" t="s">
        <v>130</v>
      </c>
      <c r="C18" s="162">
        <f>C$6</f>
        <v>-47200000</v>
      </c>
      <c r="D18" s="163">
        <f>C$7</f>
        <v>-729877600</v>
      </c>
    </row>
    <row r="19" spans="2:4" ht="17.25" customHeight="1" x14ac:dyDescent="0.25">
      <c r="B19" s="122">
        <v>1</v>
      </c>
      <c r="C19" s="160">
        <f>D$6</f>
        <v>3871188.3588638809</v>
      </c>
      <c r="D19" s="161">
        <f>D$7</f>
        <v>74702695.949998945</v>
      </c>
    </row>
    <row r="20" spans="2:4" ht="17.25" customHeight="1" x14ac:dyDescent="0.25">
      <c r="B20" s="122">
        <v>2</v>
      </c>
      <c r="C20" s="160">
        <f>E$6</f>
        <v>4713421.2225846276</v>
      </c>
      <c r="D20" s="161">
        <f>E$7</f>
        <v>94997986.258896559</v>
      </c>
    </row>
    <row r="21" spans="2:4" ht="17.25" customHeight="1" x14ac:dyDescent="0.25">
      <c r="B21" s="122">
        <v>3</v>
      </c>
      <c r="C21" s="160">
        <f>F$6</f>
        <v>5668064.4411138371</v>
      </c>
      <c r="D21" s="161">
        <f>F$7</f>
        <v>118571119.09174311</v>
      </c>
    </row>
    <row r="22" spans="2:4" ht="17.25" customHeight="1" x14ac:dyDescent="0.25">
      <c r="B22" s="122">
        <v>4</v>
      </c>
      <c r="C22" s="160">
        <f>G$6</f>
        <v>6749208.1475131866</v>
      </c>
      <c r="D22" s="161">
        <f>G$7</f>
        <v>334162050.87463129</v>
      </c>
    </row>
    <row r="23" spans="2:4" ht="17.25" customHeight="1" x14ac:dyDescent="0.25">
      <c r="B23" s="122">
        <v>5</v>
      </c>
      <c r="C23" s="160">
        <f>H$6</f>
        <v>7972639.4697486693</v>
      </c>
      <c r="D23" s="161">
        <f>H$7</f>
        <v>177538899.34717527</v>
      </c>
    </row>
    <row r="24" spans="2:4" ht="17.25" customHeight="1" x14ac:dyDescent="0.25">
      <c r="B24" s="122">
        <v>6</v>
      </c>
      <c r="C24" s="160">
        <f>I$6</f>
        <v>9356041.3388373293</v>
      </c>
      <c r="D24" s="161">
        <f>I$7</f>
        <v>214103169.91471079</v>
      </c>
    </row>
    <row r="25" spans="2:4" ht="17.25" customHeight="1" x14ac:dyDescent="0.25">
      <c r="B25" s="122">
        <v>7</v>
      </c>
      <c r="C25" s="160">
        <f>J$6</f>
        <v>10919214.120058227</v>
      </c>
      <c r="D25" s="161">
        <f>J$7</f>
        <v>391507310.40943599</v>
      </c>
    </row>
    <row r="26" spans="2:4" ht="17.25" customHeight="1" x14ac:dyDescent="0.25">
      <c r="B26" s="122">
        <v>8</v>
      </c>
      <c r="C26" s="160">
        <f>K$6</f>
        <v>12684322.646931818</v>
      </c>
      <c r="D26" s="161">
        <f>K$7</f>
        <v>304945705.83961701</v>
      </c>
    </row>
    <row r="27" spans="2:4" ht="17.25" customHeight="1" x14ac:dyDescent="0.25">
      <c r="B27" s="122">
        <v>9</v>
      </c>
      <c r="C27" s="160">
        <f>L$6</f>
        <v>14676171.525701037</v>
      </c>
      <c r="D27" s="161">
        <f>L$7</f>
        <v>440737521.72817957</v>
      </c>
    </row>
    <row r="28" spans="2:4" ht="17.25" customHeight="1" thickBot="1" x14ac:dyDescent="0.3">
      <c r="B28" s="122">
        <v>10</v>
      </c>
      <c r="C28" s="160">
        <f>M$6</f>
        <v>16922511.897924323</v>
      </c>
      <c r="D28" s="161">
        <f>M$7</f>
        <v>451439362.32957757</v>
      </c>
    </row>
    <row r="29" spans="2:4" ht="17.25" customHeight="1" thickBot="1" x14ac:dyDescent="0.3">
      <c r="B29" s="144" t="s">
        <v>115</v>
      </c>
      <c r="C29" s="162">
        <f>N$6</f>
        <v>76696882.198807076</v>
      </c>
      <c r="D29" s="163">
        <f>N$7</f>
        <v>2134218773.8300524</v>
      </c>
    </row>
  </sheetData>
  <mergeCells count="2">
    <mergeCell ref="B10:D10"/>
    <mergeCell ref="B16:D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91"/>
  <sheetViews>
    <sheetView showGridLines="0" topLeftCell="A7" zoomScale="70" zoomScaleNormal="70" workbookViewId="0">
      <selection activeCell="S23" sqref="S23"/>
    </sheetView>
  </sheetViews>
  <sheetFormatPr baseColWidth="10" defaultRowHeight="15" x14ac:dyDescent="0.25"/>
  <cols>
    <col min="4" max="4" width="15.42578125" customWidth="1"/>
    <col min="5" max="5" width="15.5703125" customWidth="1"/>
    <col min="6" max="6" width="14.7109375" customWidth="1"/>
    <col min="7" max="7" width="15.140625" customWidth="1"/>
    <col min="10" max="13" width="15.140625" customWidth="1"/>
    <col min="14" max="14" width="16.85546875" customWidth="1"/>
  </cols>
  <sheetData>
    <row r="3" spans="2:7" ht="15.75" thickBot="1" x14ac:dyDescent="0.3"/>
    <row r="4" spans="2:7" ht="15.75" thickBot="1" x14ac:dyDescent="0.3">
      <c r="B4" s="152" t="s">
        <v>20</v>
      </c>
      <c r="C4" s="154"/>
      <c r="D4" s="44"/>
      <c r="E4" s="43"/>
      <c r="G4" s="2"/>
    </row>
    <row r="5" spans="2:7" x14ac:dyDescent="0.25">
      <c r="B5" s="8" t="s">
        <v>30</v>
      </c>
      <c r="C5" s="9" t="s">
        <v>15</v>
      </c>
      <c r="D5" s="9" t="s">
        <v>17</v>
      </c>
      <c r="E5" s="10" t="s">
        <v>18</v>
      </c>
      <c r="G5" s="2"/>
    </row>
    <row r="6" spans="2:7" x14ac:dyDescent="0.25">
      <c r="B6" s="19" t="s">
        <v>19</v>
      </c>
      <c r="C6" s="20"/>
      <c r="D6" s="20"/>
      <c r="E6" s="21"/>
    </row>
    <row r="7" spans="2:7" x14ac:dyDescent="0.25">
      <c r="B7" s="11" t="s">
        <v>13</v>
      </c>
      <c r="C7" s="6">
        <v>1</v>
      </c>
      <c r="D7" s="12">
        <v>4000000</v>
      </c>
      <c r="E7" s="22">
        <f t="shared" ref="E7:E8" si="0">D7*13</f>
        <v>52000000</v>
      </c>
      <c r="G7" s="5"/>
    </row>
    <row r="8" spans="2:7" x14ac:dyDescent="0.25">
      <c r="B8" s="11" t="s">
        <v>14</v>
      </c>
      <c r="C8" s="6">
        <v>1</v>
      </c>
      <c r="D8" s="12">
        <v>3000000</v>
      </c>
      <c r="E8" s="22">
        <f t="shared" si="0"/>
        <v>39000000</v>
      </c>
    </row>
    <row r="9" spans="2:7" x14ac:dyDescent="0.25">
      <c r="B9" s="11" t="s">
        <v>12</v>
      </c>
      <c r="C9" s="23">
        <v>3</v>
      </c>
      <c r="D9" s="24">
        <v>1600000</v>
      </c>
      <c r="E9" s="22">
        <f>D9*C9*13</f>
        <v>62400000</v>
      </c>
    </row>
    <row r="10" spans="2:7" x14ac:dyDescent="0.25">
      <c r="B10" s="14" t="s">
        <v>47</v>
      </c>
      <c r="C10" s="6"/>
      <c r="D10" s="6"/>
      <c r="E10" s="25">
        <f>SUM(E7:E9)</f>
        <v>153400000</v>
      </c>
    </row>
    <row r="11" spans="2:7" x14ac:dyDescent="0.25">
      <c r="B11" s="26" t="s">
        <v>21</v>
      </c>
      <c r="C11" s="27"/>
      <c r="D11" s="27"/>
      <c r="E11" s="28"/>
    </row>
    <row r="12" spans="2:7" x14ac:dyDescent="0.25">
      <c r="B12" s="11" t="s">
        <v>22</v>
      </c>
      <c r="C12" s="6">
        <v>1</v>
      </c>
      <c r="D12" s="12">
        <v>1000000</v>
      </c>
      <c r="E12" s="29">
        <f>D12*12</f>
        <v>12000000</v>
      </c>
    </row>
    <row r="13" spans="2:7" x14ac:dyDescent="0.25">
      <c r="B13" s="11" t="s">
        <v>51</v>
      </c>
      <c r="C13" s="61">
        <v>1</v>
      </c>
      <c r="D13" s="12">
        <v>350000</v>
      </c>
      <c r="E13" s="29">
        <f>D13*12</f>
        <v>4200000</v>
      </c>
    </row>
    <row r="14" spans="2:7" x14ac:dyDescent="0.25">
      <c r="B14" s="26" t="s">
        <v>23</v>
      </c>
      <c r="C14" s="27"/>
      <c r="D14" s="27"/>
      <c r="E14" s="30"/>
    </row>
    <row r="15" spans="2:7" x14ac:dyDescent="0.25">
      <c r="B15" s="11" t="s">
        <v>23</v>
      </c>
      <c r="C15" s="6">
        <v>1</v>
      </c>
      <c r="D15" s="12">
        <v>5000000</v>
      </c>
      <c r="E15" s="29">
        <f t="shared" ref="E15" si="1">D15*12</f>
        <v>60000000</v>
      </c>
    </row>
    <row r="16" spans="2:7" ht="15.75" thickBot="1" x14ac:dyDescent="0.3">
      <c r="B16" s="14" t="s">
        <v>47</v>
      </c>
      <c r="C16" s="6"/>
      <c r="D16" s="6"/>
      <c r="E16" s="30">
        <f>SUM(E11:E15)</f>
        <v>76200000</v>
      </c>
    </row>
    <row r="17" spans="2:5" ht="15.75" thickBot="1" x14ac:dyDescent="0.3">
      <c r="B17" s="48" t="s">
        <v>33</v>
      </c>
      <c r="C17" s="49"/>
      <c r="D17" s="49"/>
      <c r="E17" s="50">
        <f>SUM(E10,E16)</f>
        <v>229600000</v>
      </c>
    </row>
    <row r="18" spans="2:5" x14ac:dyDescent="0.25">
      <c r="B18" s="15" t="s">
        <v>37</v>
      </c>
      <c r="C18" s="16" t="s">
        <v>15</v>
      </c>
      <c r="D18" s="16" t="s">
        <v>17</v>
      </c>
      <c r="E18" s="31" t="s">
        <v>18</v>
      </c>
    </row>
    <row r="19" spans="2:5" x14ac:dyDescent="0.25">
      <c r="B19" s="19" t="s">
        <v>19</v>
      </c>
      <c r="C19" s="20"/>
      <c r="D19" s="20"/>
      <c r="E19" s="21"/>
    </row>
    <row r="20" spans="2:5" x14ac:dyDescent="0.25">
      <c r="B20" s="11" t="s">
        <v>13</v>
      </c>
      <c r="C20" s="6">
        <v>1</v>
      </c>
      <c r="D20" s="12">
        <f>D7</f>
        <v>4000000</v>
      </c>
      <c r="E20" s="22">
        <f t="shared" ref="E20:E21" si="2">D20*13</f>
        <v>52000000</v>
      </c>
    </row>
    <row r="21" spans="2:5" x14ac:dyDescent="0.25">
      <c r="B21" s="11" t="s">
        <v>14</v>
      </c>
      <c r="C21" s="6">
        <v>1</v>
      </c>
      <c r="D21" s="12">
        <f>D8</f>
        <v>3000000</v>
      </c>
      <c r="E21" s="22">
        <f t="shared" si="2"/>
        <v>39000000</v>
      </c>
    </row>
    <row r="22" spans="2:5" x14ac:dyDescent="0.25">
      <c r="B22" s="14" t="s">
        <v>47</v>
      </c>
      <c r="C22" s="6"/>
      <c r="D22" s="6"/>
      <c r="E22" s="25">
        <f>SUM(E20:E21)</f>
        <v>91000000</v>
      </c>
    </row>
    <row r="23" spans="2:5" x14ac:dyDescent="0.25">
      <c r="B23" s="26" t="s">
        <v>21</v>
      </c>
      <c r="C23" s="27"/>
      <c r="D23" s="27"/>
      <c r="E23" s="28"/>
    </row>
    <row r="24" spans="2:5" x14ac:dyDescent="0.25">
      <c r="B24" s="11" t="s">
        <v>22</v>
      </c>
      <c r="C24" s="6">
        <v>1</v>
      </c>
      <c r="D24" s="12">
        <v>1000000</v>
      </c>
      <c r="E24" s="29">
        <f>D24*12</f>
        <v>12000000</v>
      </c>
    </row>
    <row r="25" spans="2:5" x14ac:dyDescent="0.25">
      <c r="B25" s="26" t="s">
        <v>23</v>
      </c>
      <c r="C25" s="27"/>
      <c r="D25" s="27"/>
      <c r="E25" s="30"/>
    </row>
    <row r="26" spans="2:5" x14ac:dyDescent="0.25">
      <c r="B26" s="11" t="s">
        <v>23</v>
      </c>
      <c r="C26" s="6">
        <v>1</v>
      </c>
      <c r="D26" s="12">
        <f>D15</f>
        <v>5000000</v>
      </c>
      <c r="E26" s="29">
        <f t="shared" ref="E26" si="3">D26*12</f>
        <v>60000000</v>
      </c>
    </row>
    <row r="27" spans="2:5" x14ac:dyDescent="0.25">
      <c r="B27" s="14" t="s">
        <v>47</v>
      </c>
      <c r="C27" s="6"/>
      <c r="D27" s="6"/>
      <c r="E27" s="30">
        <f>SUM(E24:E26)</f>
        <v>72000000</v>
      </c>
    </row>
    <row r="28" spans="2:5" x14ac:dyDescent="0.25">
      <c r="B28" s="32" t="s">
        <v>25</v>
      </c>
      <c r="C28" s="33"/>
      <c r="D28" s="33"/>
      <c r="E28" s="34"/>
    </row>
    <row r="29" spans="2:5" ht="15.75" thickBot="1" x14ac:dyDescent="0.3">
      <c r="B29" s="11" t="s">
        <v>26</v>
      </c>
      <c r="C29" s="6">
        <v>1</v>
      </c>
      <c r="D29" s="35">
        <f>E29/12</f>
        <v>1666666.6666666667</v>
      </c>
      <c r="E29" s="36">
        <v>20000000</v>
      </c>
    </row>
    <row r="30" spans="2:5" ht="15.75" thickBot="1" x14ac:dyDescent="0.3">
      <c r="B30" s="14" t="s">
        <v>33</v>
      </c>
      <c r="C30" s="6"/>
      <c r="D30" s="6"/>
      <c r="E30" s="51">
        <f>SUM(E22,E27,E29)</f>
        <v>183000000</v>
      </c>
    </row>
    <row r="31" spans="2:5" ht="15.75" thickBot="1" x14ac:dyDescent="0.3">
      <c r="B31" s="152" t="s">
        <v>48</v>
      </c>
      <c r="C31" s="154"/>
      <c r="D31" s="42"/>
      <c r="E31" s="43"/>
    </row>
    <row r="32" spans="2:5" x14ac:dyDescent="0.25">
      <c r="B32" s="11"/>
      <c r="C32" s="6" t="s">
        <v>28</v>
      </c>
      <c r="D32" s="6" t="s">
        <v>16</v>
      </c>
      <c r="E32" s="7" t="s">
        <v>29</v>
      </c>
    </row>
    <row r="33" spans="2:14" x14ac:dyDescent="0.25">
      <c r="B33" s="14" t="s">
        <v>24</v>
      </c>
      <c r="C33" s="6"/>
      <c r="D33" s="6"/>
      <c r="E33" s="7"/>
    </row>
    <row r="34" spans="2:14" ht="15.75" thickBot="1" x14ac:dyDescent="0.3">
      <c r="B34" s="37" t="s">
        <v>27</v>
      </c>
      <c r="C34" s="38">
        <v>10</v>
      </c>
      <c r="D34" s="39">
        <v>1000</v>
      </c>
      <c r="E34" s="40">
        <f>D34/C34</f>
        <v>100</v>
      </c>
    </row>
    <row r="35" spans="2:14" ht="15.75" thickBot="1" x14ac:dyDescent="0.3"/>
    <row r="36" spans="2:14" ht="15.75" thickBot="1" x14ac:dyDescent="0.3">
      <c r="B36" s="152" t="s">
        <v>1</v>
      </c>
      <c r="C36" s="153"/>
      <c r="D36" s="153"/>
      <c r="E36" s="153"/>
      <c r="F36" s="153"/>
      <c r="G36" s="154"/>
      <c r="I36" s="67"/>
      <c r="J36" s="158" t="s">
        <v>30</v>
      </c>
      <c r="K36" s="159"/>
      <c r="L36" s="158" t="s">
        <v>77</v>
      </c>
      <c r="M36" s="159"/>
      <c r="N36" s="82"/>
    </row>
    <row r="37" spans="2:14" ht="15.75" thickBot="1" x14ac:dyDescent="0.3">
      <c r="B37" s="59" t="s">
        <v>30</v>
      </c>
      <c r="C37" s="60" t="s">
        <v>31</v>
      </c>
      <c r="D37" s="46" t="s">
        <v>8</v>
      </c>
      <c r="E37" s="46" t="s">
        <v>34</v>
      </c>
      <c r="F37" s="46" t="s">
        <v>35</v>
      </c>
      <c r="G37" s="47" t="s">
        <v>36</v>
      </c>
      <c r="I37" s="37" t="s">
        <v>15</v>
      </c>
      <c r="J37" s="37" t="s">
        <v>133</v>
      </c>
      <c r="K37" s="71" t="s">
        <v>134</v>
      </c>
      <c r="L37" s="38" t="s">
        <v>135</v>
      </c>
      <c r="M37" s="71" t="s">
        <v>136</v>
      </c>
      <c r="N37" s="71" t="s">
        <v>137</v>
      </c>
    </row>
    <row r="38" spans="2:14" ht="15.75" thickBot="1" x14ac:dyDescent="0.3">
      <c r="B38" s="37" t="s">
        <v>32</v>
      </c>
      <c r="C38" s="55">
        <v>60</v>
      </c>
      <c r="D38" s="52">
        <v>5500</v>
      </c>
      <c r="E38" s="53">
        <f>D38*C38</f>
        <v>330000</v>
      </c>
      <c r="F38" s="54">
        <f>E38*20</f>
        <v>6600000</v>
      </c>
      <c r="G38" s="56">
        <f>F38*12</f>
        <v>79200000</v>
      </c>
      <c r="I38" s="11">
        <v>3600</v>
      </c>
      <c r="J38" s="69">
        <f>I38*'Ing y Eg'!$D$89</f>
        <v>15660000</v>
      </c>
      <c r="K38" s="29">
        <f>'Ing y Eg'!$E$47+'Ing y Eg'!$E$56+'Ing y Eg'!$E$36+'Ing y Eg'!$E$37+$D$9*13*(1+INT(I38/('Ing y Eg'!$C$89*20*12)))</f>
        <v>223478274.12487096</v>
      </c>
      <c r="L38" s="35">
        <f>I38*'Ing y Eg'!$D$91</f>
        <v>12240000</v>
      </c>
      <c r="M38" s="29">
        <f>'Ing y Eg'!$E$81+'Ing y Eg'!$E$85*I38</f>
        <v>419852417.33904469</v>
      </c>
      <c r="N38" s="29">
        <f>'Ing y Eg'!$E$81-'Ing y Eg'!$E$75+'Ing y Eg'!$E$85*I38</f>
        <v>245760000</v>
      </c>
    </row>
    <row r="39" spans="2:14" ht="15.75" thickBot="1" x14ac:dyDescent="0.3">
      <c r="B39" s="57" t="s">
        <v>37</v>
      </c>
      <c r="C39" s="58"/>
      <c r="D39" s="16"/>
      <c r="E39" s="16"/>
      <c r="F39" s="16"/>
      <c r="G39" s="31"/>
      <c r="I39" s="11">
        <v>7200</v>
      </c>
      <c r="J39" s="69">
        <f>I39*'Ing y Eg'!$D$89</f>
        <v>31320000</v>
      </c>
      <c r="K39" s="29">
        <f>'Ing y Eg'!$E$47+'Ing y Eg'!$E$56+'Ing y Eg'!$E$36+'Ing y Eg'!$E$37+$D$9*13*(1+INT(I39/('Ing y Eg'!$C$89*20*12)))</f>
        <v>223478274.12487096</v>
      </c>
      <c r="L39" s="35">
        <f>I39*'Ing y Eg'!$D$91</f>
        <v>24480000</v>
      </c>
      <c r="M39" s="29">
        <f>'Ing y Eg'!$E$81+'Ing y Eg'!$E$85*I39</f>
        <v>420212417.33904469</v>
      </c>
      <c r="N39" s="29">
        <f>'Ing y Eg'!$E$81-'Ing y Eg'!$E$75+'Ing y Eg'!$E$85*I39</f>
        <v>246120000</v>
      </c>
    </row>
    <row r="40" spans="2:14" ht="15.75" thickBot="1" x14ac:dyDescent="0.3">
      <c r="B40" s="37" t="s">
        <v>38</v>
      </c>
      <c r="C40" s="38">
        <v>180</v>
      </c>
      <c r="D40" s="52">
        <v>5000</v>
      </c>
      <c r="E40" s="53">
        <f>D40*C40</f>
        <v>900000</v>
      </c>
      <c r="F40" s="54">
        <f>E40*20</f>
        <v>18000000</v>
      </c>
      <c r="G40" s="51">
        <f>F40*12</f>
        <v>216000000</v>
      </c>
      <c r="I40" s="11">
        <v>10800</v>
      </c>
      <c r="J40" s="69">
        <f>I40*'Ing y Eg'!$D$89</f>
        <v>46980000</v>
      </c>
      <c r="K40" s="29">
        <f>'Ing y Eg'!$E$47+'Ing y Eg'!$E$56+'Ing y Eg'!$E$36+'Ing y Eg'!$E$37+$D$9*13*(1+INT(I40/('Ing y Eg'!$C$89*20*12)))</f>
        <v>223478274.12487096</v>
      </c>
      <c r="L40" s="35">
        <f>I40*'Ing y Eg'!$D$91</f>
        <v>36720000</v>
      </c>
      <c r="M40" s="29">
        <f>'Ing y Eg'!$E$81+'Ing y Eg'!$E$85*I40</f>
        <v>420572417.33904469</v>
      </c>
      <c r="N40" s="29">
        <f>'Ing y Eg'!$E$81-'Ing y Eg'!$E$75+'Ing y Eg'!$E$85*I40</f>
        <v>246480000</v>
      </c>
    </row>
    <row r="41" spans="2:14" x14ac:dyDescent="0.25">
      <c r="I41" s="11">
        <v>14400</v>
      </c>
      <c r="J41" s="69">
        <f>I41*'Ing y Eg'!$D$89</f>
        <v>62640000</v>
      </c>
      <c r="K41" s="29">
        <f>'Ing y Eg'!$E$47+'Ing y Eg'!$E$56+'Ing y Eg'!$E$36+'Ing y Eg'!$E$37+$D$9*13*(1+INT(I41/('Ing y Eg'!$C$89*20*12)))</f>
        <v>244278274.12487096</v>
      </c>
      <c r="L41" s="35">
        <f>I41*'Ing y Eg'!$D$91</f>
        <v>48960000</v>
      </c>
      <c r="M41" s="29">
        <f>'Ing y Eg'!$E$81+'Ing y Eg'!$E$85*I41</f>
        <v>420932417.33904469</v>
      </c>
      <c r="N41" s="29">
        <f>'Ing y Eg'!$E$81-'Ing y Eg'!$E$75+'Ing y Eg'!$E$85*I41</f>
        <v>246840000</v>
      </c>
    </row>
    <row r="42" spans="2:14" x14ac:dyDescent="0.25">
      <c r="I42" s="11">
        <v>18000</v>
      </c>
      <c r="J42" s="69">
        <f>I42*'Ing y Eg'!$D$89</f>
        <v>78300000</v>
      </c>
      <c r="K42" s="29">
        <f>'Ing y Eg'!$E$47+'Ing y Eg'!$E$56+'Ing y Eg'!$E$36+'Ing y Eg'!$E$37+$D$9*13*(1+INT(I42/('Ing y Eg'!$C$89*20*12)))</f>
        <v>244278274.12487096</v>
      </c>
      <c r="L42" s="35">
        <f>I42*'Ing y Eg'!$D$91</f>
        <v>61200000</v>
      </c>
      <c r="M42" s="29">
        <f>'Ing y Eg'!$E$81+'Ing y Eg'!$E$85*I42</f>
        <v>421292417.33904469</v>
      </c>
      <c r="N42" s="29">
        <f>'Ing y Eg'!$E$81-'Ing y Eg'!$E$75+'Ing y Eg'!$E$85*I42</f>
        <v>247200000</v>
      </c>
    </row>
    <row r="43" spans="2:14" x14ac:dyDescent="0.25">
      <c r="I43" s="11">
        <v>21600</v>
      </c>
      <c r="J43" s="69">
        <f>I43*'Ing y Eg'!$D$89</f>
        <v>93960000</v>
      </c>
      <c r="K43" s="29">
        <f>'Ing y Eg'!$E$47+'Ing y Eg'!$E$56+'Ing y Eg'!$E$36+'Ing y Eg'!$E$37+$D$9*13*(1+INT(I43/('Ing y Eg'!$C$89*20*12)))</f>
        <v>244278274.12487096</v>
      </c>
      <c r="L43" s="35">
        <f>I43*'Ing y Eg'!$D$91</f>
        <v>73440000</v>
      </c>
      <c r="M43" s="29">
        <f>'Ing y Eg'!$E$81+'Ing y Eg'!$E$85*I43</f>
        <v>421652417.33904469</v>
      </c>
      <c r="N43" s="29">
        <f>'Ing y Eg'!$E$81-'Ing y Eg'!$E$75+'Ing y Eg'!$E$85*I43</f>
        <v>247560000</v>
      </c>
    </row>
    <row r="44" spans="2:14" x14ac:dyDescent="0.25">
      <c r="I44" s="11">
        <v>25200</v>
      </c>
      <c r="J44" s="69">
        <f>I44*'Ing y Eg'!$D$89</f>
        <v>109620000</v>
      </c>
      <c r="K44" s="29">
        <f>'Ing y Eg'!$E$47+'Ing y Eg'!$E$56+'Ing y Eg'!$E$36+'Ing y Eg'!$E$37+$D$9*13*(1+INT(I44/('Ing y Eg'!$C$89*20*12)))</f>
        <v>244278274.12487096</v>
      </c>
      <c r="L44" s="35">
        <f>I44*'Ing y Eg'!$D$91</f>
        <v>85680000</v>
      </c>
      <c r="M44" s="29">
        <f>'Ing y Eg'!$E$81+'Ing y Eg'!$E$85*I44</f>
        <v>422012417.33904469</v>
      </c>
      <c r="N44" s="29">
        <f>'Ing y Eg'!$E$81-'Ing y Eg'!$E$75+'Ing y Eg'!$E$85*I44</f>
        <v>247920000</v>
      </c>
    </row>
    <row r="45" spans="2:14" x14ac:dyDescent="0.25">
      <c r="I45" s="11">
        <v>28800</v>
      </c>
      <c r="J45" s="69">
        <f>I45*'Ing y Eg'!$D$89</f>
        <v>125280000</v>
      </c>
      <c r="K45" s="29">
        <f>'Ing y Eg'!$E$47+'Ing y Eg'!$E$56+'Ing y Eg'!$E$36+'Ing y Eg'!$E$37+$D$9*13*(1+INT(I45/('Ing y Eg'!$C$89*20*12)))</f>
        <v>265078274.12487096</v>
      </c>
      <c r="L45" s="35">
        <f>I45*'Ing y Eg'!$D$91</f>
        <v>97920000</v>
      </c>
      <c r="M45" s="29">
        <f>'Ing y Eg'!$E$81+'Ing y Eg'!$E$85*I45</f>
        <v>422372417.33904469</v>
      </c>
      <c r="N45" s="29">
        <f>'Ing y Eg'!$E$81-'Ing y Eg'!$E$75+'Ing y Eg'!$E$85*I45</f>
        <v>248280000</v>
      </c>
    </row>
    <row r="46" spans="2:14" x14ac:dyDescent="0.25">
      <c r="I46" s="11">
        <v>32400</v>
      </c>
      <c r="J46" s="69">
        <f>I46*'Ing y Eg'!$D$89</f>
        <v>140940000</v>
      </c>
      <c r="K46" s="29">
        <f>'Ing y Eg'!$E$47+'Ing y Eg'!$E$56+'Ing y Eg'!$E$36+'Ing y Eg'!$E$37+$D$9*13*(1+INT(I46/('Ing y Eg'!$C$89*20*12)))</f>
        <v>265078274.12487096</v>
      </c>
      <c r="L46" s="35">
        <f>I46*'Ing y Eg'!$D$91</f>
        <v>110160000</v>
      </c>
      <c r="M46" s="29">
        <f>'Ing y Eg'!$E$81+'Ing y Eg'!$E$85*I46</f>
        <v>422732417.33904469</v>
      </c>
      <c r="N46" s="29">
        <f>'Ing y Eg'!$E$81-'Ing y Eg'!$E$75+'Ing y Eg'!$E$85*I46</f>
        <v>248640000</v>
      </c>
    </row>
    <row r="47" spans="2:14" x14ac:dyDescent="0.25">
      <c r="I47" s="11">
        <v>36000</v>
      </c>
      <c r="J47" s="69">
        <f>I47*'Ing y Eg'!$D$89</f>
        <v>156600000</v>
      </c>
      <c r="K47" s="29">
        <f>'Ing y Eg'!$E$47+'Ing y Eg'!$E$56+'Ing y Eg'!$E$36+'Ing y Eg'!$E$37+$D$9*13*(1+INT(I47/('Ing y Eg'!$C$89*20*12)))</f>
        <v>265078274.12487096</v>
      </c>
      <c r="L47" s="35">
        <f>I47*'Ing y Eg'!$D$91</f>
        <v>122400000</v>
      </c>
      <c r="M47" s="29">
        <f>'Ing y Eg'!$E$81+'Ing y Eg'!$E$85*I47</f>
        <v>423092417.33904469</v>
      </c>
      <c r="N47" s="29">
        <f>'Ing y Eg'!$E$81-'Ing y Eg'!$E$75+'Ing y Eg'!$E$85*I47</f>
        <v>249000000</v>
      </c>
    </row>
    <row r="48" spans="2:14" x14ac:dyDescent="0.25">
      <c r="I48" s="11">
        <v>39600</v>
      </c>
      <c r="J48" s="69">
        <f>I48*'Ing y Eg'!$D$89</f>
        <v>172260000</v>
      </c>
      <c r="K48" s="29">
        <f>'Ing y Eg'!$E$47+'Ing y Eg'!$E$56+'Ing y Eg'!$E$36+'Ing y Eg'!$E$37+$D$9*13*(1+INT(I48/('Ing y Eg'!$C$89*20*12)))</f>
        <v>265078274.12487096</v>
      </c>
      <c r="L48" s="35">
        <f>I48*'Ing y Eg'!$D$91</f>
        <v>134640000</v>
      </c>
      <c r="M48" s="29">
        <f>'Ing y Eg'!$E$81+'Ing y Eg'!$E$85*I48</f>
        <v>423452417.33904469</v>
      </c>
      <c r="N48" s="29">
        <f>'Ing y Eg'!$E$81-'Ing y Eg'!$E$75+'Ing y Eg'!$E$85*I48</f>
        <v>249360000</v>
      </c>
    </row>
    <row r="49" spans="9:14" x14ac:dyDescent="0.25">
      <c r="I49" s="11">
        <v>43200</v>
      </c>
      <c r="J49" s="69">
        <f>I49*'Ing y Eg'!$D$89</f>
        <v>187920000</v>
      </c>
      <c r="K49" s="29">
        <f>'Ing y Eg'!$E$47+'Ing y Eg'!$E$56+'Ing y Eg'!$E$36+'Ing y Eg'!$E$37+$D$9*13*(1+INT(I49/('Ing y Eg'!$C$89*20*12)))</f>
        <v>285878274.12487096</v>
      </c>
      <c r="L49" s="35">
        <f>I49*'Ing y Eg'!$D$91</f>
        <v>146880000</v>
      </c>
      <c r="M49" s="29">
        <f>'Ing y Eg'!$E$81+'Ing y Eg'!$E$85*I49</f>
        <v>423812417.33904469</v>
      </c>
      <c r="N49" s="29">
        <f>'Ing y Eg'!$E$81-'Ing y Eg'!$E$75+'Ing y Eg'!$E$85*I49</f>
        <v>249720000</v>
      </c>
    </row>
    <row r="50" spans="9:14" x14ac:dyDescent="0.25">
      <c r="I50" s="11">
        <v>46800</v>
      </c>
      <c r="J50" s="69">
        <f>I50*'Ing y Eg'!$D$89</f>
        <v>203580000</v>
      </c>
      <c r="K50" s="29">
        <f>'Ing y Eg'!$E$47+'Ing y Eg'!$E$56+'Ing y Eg'!$E$36+'Ing y Eg'!$E$37+$D$9*13*(1+INT(I50/('Ing y Eg'!$C$89*20*12)))</f>
        <v>285878274.12487096</v>
      </c>
      <c r="L50" s="35">
        <f>I50*'Ing y Eg'!$D$91</f>
        <v>159120000</v>
      </c>
      <c r="M50" s="29">
        <f>'Ing y Eg'!$E$81+'Ing y Eg'!$E$85*I50</f>
        <v>424172417.33904469</v>
      </c>
      <c r="N50" s="29">
        <f>'Ing y Eg'!$E$81-'Ing y Eg'!$E$75+'Ing y Eg'!$E$85*I50</f>
        <v>250080000</v>
      </c>
    </row>
    <row r="51" spans="9:14" x14ac:dyDescent="0.25">
      <c r="I51" s="11">
        <v>50400</v>
      </c>
      <c r="J51" s="69">
        <f>I51*'Ing y Eg'!$D$89</f>
        <v>219240000</v>
      </c>
      <c r="K51" s="29">
        <f>'Ing y Eg'!$E$47+'Ing y Eg'!$E$56+'Ing y Eg'!$E$36+'Ing y Eg'!$E$37+$D$9*13*(1+INT(I51/('Ing y Eg'!$C$89*20*12)))</f>
        <v>285878274.12487096</v>
      </c>
      <c r="L51" s="35">
        <f>I51*'Ing y Eg'!$D$91</f>
        <v>171360000</v>
      </c>
      <c r="M51" s="29">
        <f>'Ing y Eg'!$E$81+'Ing y Eg'!$E$85*I51</f>
        <v>424532417.33904469</v>
      </c>
      <c r="N51" s="29">
        <f>'Ing y Eg'!$E$81-'Ing y Eg'!$E$75+'Ing y Eg'!$E$85*I51</f>
        <v>250440000</v>
      </c>
    </row>
    <row r="52" spans="9:14" x14ac:dyDescent="0.25">
      <c r="I52" s="11">
        <v>54000</v>
      </c>
      <c r="J52" s="69">
        <f>I52*'Ing y Eg'!$D$89</f>
        <v>234900000</v>
      </c>
      <c r="K52" s="29">
        <f>'Ing y Eg'!$E$47+'Ing y Eg'!$E$56+'Ing y Eg'!$E$36+'Ing y Eg'!$E$37+$D$9*13*(1+INT(I52/('Ing y Eg'!$C$89*20*12)))</f>
        <v>285878274.12487096</v>
      </c>
      <c r="L52" s="35">
        <f>I52*'Ing y Eg'!$D$91</f>
        <v>183600000</v>
      </c>
      <c r="M52" s="29">
        <f>'Ing y Eg'!$E$81+'Ing y Eg'!$E$85*I52</f>
        <v>424892417.33904469</v>
      </c>
      <c r="N52" s="29">
        <f>'Ing y Eg'!$E$81-'Ing y Eg'!$E$75+'Ing y Eg'!$E$85*I52</f>
        <v>250800000</v>
      </c>
    </row>
    <row r="53" spans="9:14" x14ac:dyDescent="0.25">
      <c r="I53" s="11">
        <v>57600</v>
      </c>
      <c r="J53" s="69">
        <f>I53*'Ing y Eg'!$D$89</f>
        <v>250560000</v>
      </c>
      <c r="K53" s="29">
        <f>'Ing y Eg'!$E$47+'Ing y Eg'!$E$56+'Ing y Eg'!$E$36+'Ing y Eg'!$E$37+$D$9*13*(1+INT(I53/('Ing y Eg'!$C$89*20*12)))</f>
        <v>306678274.12487096</v>
      </c>
      <c r="L53" s="35">
        <f>I53*'Ing y Eg'!$D$91</f>
        <v>195840000</v>
      </c>
      <c r="M53" s="29">
        <f>'Ing y Eg'!$E$81+'Ing y Eg'!$E$85*I53</f>
        <v>425252417.33904469</v>
      </c>
      <c r="N53" s="29">
        <f>'Ing y Eg'!$E$81-'Ing y Eg'!$E$75+'Ing y Eg'!$E$85*I53</f>
        <v>251160000</v>
      </c>
    </row>
    <row r="54" spans="9:14" x14ac:dyDescent="0.25">
      <c r="I54" s="11">
        <v>61200</v>
      </c>
      <c r="J54" s="69">
        <f>I54*'Ing y Eg'!$D$89</f>
        <v>266220000</v>
      </c>
      <c r="K54" s="29">
        <f>'Ing y Eg'!$E$47+'Ing y Eg'!$E$56+'Ing y Eg'!$E$36+'Ing y Eg'!$E$37+$D$9*13*(1+INT(I54/('Ing y Eg'!$C$89*20*12)))</f>
        <v>306678274.12487096</v>
      </c>
      <c r="L54" s="35">
        <f>I54*'Ing y Eg'!$D$91</f>
        <v>208080000</v>
      </c>
      <c r="M54" s="29">
        <f>'Ing y Eg'!$E$81+'Ing y Eg'!$E$85*I54</f>
        <v>425612417.33904469</v>
      </c>
      <c r="N54" s="29">
        <f>'Ing y Eg'!$E$81-'Ing y Eg'!$E$75+'Ing y Eg'!$E$85*I54</f>
        <v>251520000</v>
      </c>
    </row>
    <row r="55" spans="9:14" x14ac:dyDescent="0.25">
      <c r="I55" s="11">
        <v>64800</v>
      </c>
      <c r="J55" s="69">
        <f>I55*'Ing y Eg'!$D$89</f>
        <v>281880000</v>
      </c>
      <c r="K55" s="29">
        <f>'Ing y Eg'!$E$47+'Ing y Eg'!$E$56+'Ing y Eg'!$E$36+'Ing y Eg'!$E$37+$D$9*13*(1+INT(I55/('Ing y Eg'!$C$89*20*12)))</f>
        <v>306678274.12487096</v>
      </c>
      <c r="L55" s="35">
        <f>I55*'Ing y Eg'!$D$91</f>
        <v>220320000</v>
      </c>
      <c r="M55" s="29">
        <f>'Ing y Eg'!$E$81+'Ing y Eg'!$E$85*I55</f>
        <v>425972417.33904469</v>
      </c>
      <c r="N55" s="29">
        <f>'Ing y Eg'!$E$81-'Ing y Eg'!$E$75+'Ing y Eg'!$E$85*I55</f>
        <v>251880000</v>
      </c>
    </row>
    <row r="56" spans="9:14" x14ac:dyDescent="0.25">
      <c r="I56" s="11">
        <v>68400</v>
      </c>
      <c r="J56" s="69">
        <f>I56*'Ing y Eg'!$D$89</f>
        <v>297540000</v>
      </c>
      <c r="K56" s="29">
        <f>'Ing y Eg'!$E$47+'Ing y Eg'!$E$56+'Ing y Eg'!$E$36+'Ing y Eg'!$E$37+$D$9*13*(1+INT(I56/('Ing y Eg'!$C$89*20*12)))</f>
        <v>306678274.12487096</v>
      </c>
      <c r="L56" s="35">
        <f>I56*'Ing y Eg'!$D$91</f>
        <v>232560000</v>
      </c>
      <c r="M56" s="29">
        <f>'Ing y Eg'!$E$81+'Ing y Eg'!$E$85*I56</f>
        <v>426332417.33904469</v>
      </c>
      <c r="N56" s="29">
        <f>'Ing y Eg'!$E$81-'Ing y Eg'!$E$75+'Ing y Eg'!$E$85*I56</f>
        <v>252240000</v>
      </c>
    </row>
    <row r="57" spans="9:14" x14ac:dyDescent="0.25">
      <c r="I57" s="11">
        <v>72000</v>
      </c>
      <c r="J57" s="69">
        <f>I57*'Ing y Eg'!$D$89</f>
        <v>313200000</v>
      </c>
      <c r="K57" s="29">
        <f>'Ing y Eg'!$E$47+'Ing y Eg'!$E$56+'Ing y Eg'!$E$36+'Ing y Eg'!$E$37+$D$9*13*(1+INT(I57/('Ing y Eg'!$C$89*20*12)))</f>
        <v>327478274.12487096</v>
      </c>
      <c r="L57" s="35">
        <f>I57*'Ing y Eg'!$D$91</f>
        <v>244800000</v>
      </c>
      <c r="M57" s="29">
        <f>'Ing y Eg'!$E$81+'Ing y Eg'!$E$85*I57</f>
        <v>426692417.33904469</v>
      </c>
      <c r="N57" s="29">
        <f>'Ing y Eg'!$E$81-'Ing y Eg'!$E$75+'Ing y Eg'!$E$85*I57</f>
        <v>252600000</v>
      </c>
    </row>
    <row r="58" spans="9:14" x14ac:dyDescent="0.25">
      <c r="I58" s="11">
        <v>75600</v>
      </c>
      <c r="J58" s="69">
        <f>I58*'Ing y Eg'!$D$89</f>
        <v>328860000</v>
      </c>
      <c r="K58" s="29">
        <f>'Ing y Eg'!$E$47+'Ing y Eg'!$E$56+'Ing y Eg'!$E$36+'Ing y Eg'!$E$37+$D$9*13*(1+INT(I58/('Ing y Eg'!$C$89*20*12)))</f>
        <v>327478274.12487096</v>
      </c>
      <c r="L58" s="35">
        <f>I58*'Ing y Eg'!$D$91</f>
        <v>257040000</v>
      </c>
      <c r="M58" s="29">
        <f>'Ing y Eg'!$E$81+'Ing y Eg'!$E$85*I58</f>
        <v>427052417.33904469</v>
      </c>
      <c r="N58" s="29">
        <f>'Ing y Eg'!$E$81-'Ing y Eg'!$E$75+'Ing y Eg'!$E$85*I58</f>
        <v>252960000</v>
      </c>
    </row>
    <row r="59" spans="9:14" x14ac:dyDescent="0.25">
      <c r="I59" s="11">
        <v>79200</v>
      </c>
      <c r="J59" s="69">
        <f>I59*'Ing y Eg'!$D$89</f>
        <v>344520000</v>
      </c>
      <c r="K59" s="29">
        <f>'Ing y Eg'!$E$47+'Ing y Eg'!$E$56+'Ing y Eg'!$E$36+'Ing y Eg'!$E$37+$D$9*13*(1+INT(I59/('Ing y Eg'!$C$89*20*12)))</f>
        <v>327478274.12487096</v>
      </c>
      <c r="L59" s="35">
        <f>I59*'Ing y Eg'!$D$91</f>
        <v>269280000</v>
      </c>
      <c r="M59" s="29">
        <f>'Ing y Eg'!$E$81+'Ing y Eg'!$E$85*I59</f>
        <v>427412417.33904469</v>
      </c>
      <c r="N59" s="29">
        <f>'Ing y Eg'!$E$81-'Ing y Eg'!$E$75+'Ing y Eg'!$E$85*I59</f>
        <v>253320000</v>
      </c>
    </row>
    <row r="60" spans="9:14" x14ac:dyDescent="0.25">
      <c r="I60" s="11">
        <v>82800</v>
      </c>
      <c r="J60" s="69">
        <f>I60*'Ing y Eg'!$D$89</f>
        <v>360180000</v>
      </c>
      <c r="K60" s="29">
        <f>'Ing y Eg'!$E$47+'Ing y Eg'!$E$56+'Ing y Eg'!$E$36+'Ing y Eg'!$E$37+$D$9*13*(1+INT(I60/('Ing y Eg'!$C$89*20*12)))</f>
        <v>327478274.12487096</v>
      </c>
      <c r="L60" s="35">
        <f>I60*'Ing y Eg'!$D$91</f>
        <v>281520000</v>
      </c>
      <c r="M60" s="29">
        <f>'Ing y Eg'!$E$81+'Ing y Eg'!$E$85*I60</f>
        <v>427772417.33904469</v>
      </c>
      <c r="N60" s="29">
        <f>'Ing y Eg'!$E$81-'Ing y Eg'!$E$75+'Ing y Eg'!$E$85*I60</f>
        <v>253680000</v>
      </c>
    </row>
    <row r="61" spans="9:14" x14ac:dyDescent="0.25">
      <c r="I61" s="11">
        <v>86400</v>
      </c>
      <c r="J61" s="69">
        <f>I61*'Ing y Eg'!$D$89</f>
        <v>375840000</v>
      </c>
      <c r="K61" s="29">
        <f>'Ing y Eg'!$E$47+'Ing y Eg'!$E$56+'Ing y Eg'!$E$36+'Ing y Eg'!$E$37+$D$9*13*(1+INT(I61/('Ing y Eg'!$C$89*20*12)))</f>
        <v>348278274.12487096</v>
      </c>
      <c r="L61" s="35">
        <f>I61*'Ing y Eg'!$D$91</f>
        <v>293760000</v>
      </c>
      <c r="M61" s="29">
        <f>'Ing y Eg'!$E$81+'Ing y Eg'!$E$85*I61</f>
        <v>428132417.33904469</v>
      </c>
      <c r="N61" s="29">
        <f>'Ing y Eg'!$E$81-'Ing y Eg'!$E$75+'Ing y Eg'!$E$85*I61</f>
        <v>254040000</v>
      </c>
    </row>
    <row r="62" spans="9:14" x14ac:dyDescent="0.25">
      <c r="I62" s="11">
        <v>90000</v>
      </c>
      <c r="J62" s="69">
        <f>I62*'Ing y Eg'!$D$89</f>
        <v>391500000</v>
      </c>
      <c r="K62" s="29">
        <f>'Ing y Eg'!$E$47+'Ing y Eg'!$E$56+'Ing y Eg'!$E$36+'Ing y Eg'!$E$37+$D$9*13*(1+INT(I62/('Ing y Eg'!$C$89*20*12)))</f>
        <v>348278274.12487096</v>
      </c>
      <c r="L62" s="35">
        <f>I62*'Ing y Eg'!$D$91</f>
        <v>306000000</v>
      </c>
      <c r="M62" s="29">
        <f>'Ing y Eg'!$E$81+'Ing y Eg'!$E$85*I62</f>
        <v>428492417.33904469</v>
      </c>
      <c r="N62" s="29">
        <f>'Ing y Eg'!$E$81-'Ing y Eg'!$E$75+'Ing y Eg'!$E$85*I62</f>
        <v>254400000</v>
      </c>
    </row>
    <row r="63" spans="9:14" x14ac:dyDescent="0.25">
      <c r="I63" s="11">
        <v>93600</v>
      </c>
      <c r="J63" s="69">
        <f>I63*'Ing y Eg'!$D$89</f>
        <v>407160000</v>
      </c>
      <c r="K63" s="29">
        <f>'Ing y Eg'!$E$47+'Ing y Eg'!$E$56+'Ing y Eg'!$E$36+'Ing y Eg'!$E$37+$D$9*13*(1+INT(I63/('Ing y Eg'!$C$89*20*12)))</f>
        <v>348278274.12487096</v>
      </c>
      <c r="L63" s="35">
        <f>I63*'Ing y Eg'!$D$91</f>
        <v>318240000</v>
      </c>
      <c r="M63" s="29">
        <f>'Ing y Eg'!$E$81+'Ing y Eg'!$E$85*I63</f>
        <v>428852417.33904469</v>
      </c>
      <c r="N63" s="29">
        <f>'Ing y Eg'!$E$81-'Ing y Eg'!$E$75+'Ing y Eg'!$E$85*I63</f>
        <v>254760000</v>
      </c>
    </row>
    <row r="64" spans="9:14" x14ac:dyDescent="0.25">
      <c r="I64" s="11">
        <v>97200</v>
      </c>
      <c r="J64" s="69">
        <f>I64*'Ing y Eg'!$D$89</f>
        <v>422820000</v>
      </c>
      <c r="K64" s="29">
        <f>'Ing y Eg'!$E$47+'Ing y Eg'!$E$56+'Ing y Eg'!$E$36+'Ing y Eg'!$E$37+$D$9*13*(1+INT(I64/('Ing y Eg'!$C$89*20*12)))</f>
        <v>348278274.12487096</v>
      </c>
      <c r="L64" s="35">
        <f>I64*'Ing y Eg'!$D$91</f>
        <v>330480000</v>
      </c>
      <c r="M64" s="29">
        <f>'Ing y Eg'!$E$81+'Ing y Eg'!$E$85*I64</f>
        <v>429212417.33904469</v>
      </c>
      <c r="N64" s="29">
        <f>'Ing y Eg'!$E$81-'Ing y Eg'!$E$75+'Ing y Eg'!$E$85*I64</f>
        <v>255120000</v>
      </c>
    </row>
    <row r="65" spans="9:14" x14ac:dyDescent="0.25">
      <c r="I65" s="11">
        <v>100800</v>
      </c>
      <c r="J65" s="69">
        <f>I65*'Ing y Eg'!$D$89</f>
        <v>438480000</v>
      </c>
      <c r="K65" s="29">
        <f>'Ing y Eg'!$E$47+'Ing y Eg'!$E$56+'Ing y Eg'!$E$36+'Ing y Eg'!$E$37+$D$9*13*(1+INT(I65/('Ing y Eg'!$C$89*20*12)))</f>
        <v>369078274.12487096</v>
      </c>
      <c r="L65" s="35">
        <f>I65*'Ing y Eg'!$D$91</f>
        <v>342720000</v>
      </c>
      <c r="M65" s="29">
        <f>'Ing y Eg'!$E$81+'Ing y Eg'!$E$85*I65</f>
        <v>429572417.33904469</v>
      </c>
      <c r="N65" s="29">
        <f>'Ing y Eg'!$E$81-'Ing y Eg'!$E$75+'Ing y Eg'!$E$85*I65</f>
        <v>255480000</v>
      </c>
    </row>
    <row r="66" spans="9:14" x14ac:dyDescent="0.25">
      <c r="I66" s="11">
        <v>104400</v>
      </c>
      <c r="J66" s="69">
        <f>I66*'Ing y Eg'!$D$89</f>
        <v>454140000</v>
      </c>
      <c r="K66" s="29">
        <f>'Ing y Eg'!$E$47+'Ing y Eg'!$E$56+'Ing y Eg'!$E$36+'Ing y Eg'!$E$37+$D$9*13*(1+INT(I66/('Ing y Eg'!$C$89*20*12)))</f>
        <v>369078274.12487096</v>
      </c>
      <c r="L66" s="35">
        <f>I66*'Ing y Eg'!$D$91</f>
        <v>354960000</v>
      </c>
      <c r="M66" s="29">
        <f>'Ing y Eg'!$E$81+'Ing y Eg'!$E$85*I66</f>
        <v>429932417.33904469</v>
      </c>
      <c r="N66" s="29">
        <f>'Ing y Eg'!$E$81-'Ing y Eg'!$E$75+'Ing y Eg'!$E$85*I66</f>
        <v>255840000</v>
      </c>
    </row>
    <row r="67" spans="9:14" x14ac:dyDescent="0.25">
      <c r="I67" s="11">
        <v>108000</v>
      </c>
      <c r="J67" s="69">
        <f>I67*'Ing y Eg'!$D$89</f>
        <v>469800000</v>
      </c>
      <c r="K67" s="29">
        <f>'Ing y Eg'!$E$47+'Ing y Eg'!$E$56+'Ing y Eg'!$E$36+'Ing y Eg'!$E$37+$D$9*13*(1+INT(I67/('Ing y Eg'!$C$89*20*12)))</f>
        <v>369078274.12487096</v>
      </c>
      <c r="L67" s="35">
        <f>I67*'Ing y Eg'!$D$91</f>
        <v>367200000</v>
      </c>
      <c r="M67" s="29">
        <f>'Ing y Eg'!$E$81+'Ing y Eg'!$E$85*I67</f>
        <v>430292417.33904469</v>
      </c>
      <c r="N67" s="29">
        <f>'Ing y Eg'!$E$81-'Ing y Eg'!$E$75+'Ing y Eg'!$E$85*I67</f>
        <v>256200000</v>
      </c>
    </row>
    <row r="68" spans="9:14" x14ac:dyDescent="0.25">
      <c r="I68" s="11">
        <v>111600</v>
      </c>
      <c r="J68" s="69">
        <f>I68*'Ing y Eg'!$D$89</f>
        <v>485460000</v>
      </c>
      <c r="K68" s="29">
        <f>'Ing y Eg'!$E$47+'Ing y Eg'!$E$56+'Ing y Eg'!$E$36+'Ing y Eg'!$E$37+$D$9*13*(1+INT(I68/('Ing y Eg'!$C$89*20*12)))</f>
        <v>369078274.12487096</v>
      </c>
      <c r="L68" s="35">
        <f>I68*'Ing y Eg'!$D$91</f>
        <v>379440000</v>
      </c>
      <c r="M68" s="29">
        <f>'Ing y Eg'!$E$81+'Ing y Eg'!$E$85*I68</f>
        <v>430652417.33904469</v>
      </c>
      <c r="N68" s="29">
        <f>'Ing y Eg'!$E$81-'Ing y Eg'!$E$75+'Ing y Eg'!$E$85*I68</f>
        <v>256560000</v>
      </c>
    </row>
    <row r="69" spans="9:14" x14ac:dyDescent="0.25">
      <c r="I69" s="11">
        <v>115200</v>
      </c>
      <c r="J69" s="69">
        <f>I69*'Ing y Eg'!$D$89</f>
        <v>501120000</v>
      </c>
      <c r="K69" s="29">
        <f>'Ing y Eg'!$E$47+'Ing y Eg'!$E$56+'Ing y Eg'!$E$36+'Ing y Eg'!$E$37+$D$9*13*(1+INT(I69/('Ing y Eg'!$C$89*20*12)))</f>
        <v>389878274.12487096</v>
      </c>
      <c r="L69" s="35">
        <f>I69*'Ing y Eg'!$D$91</f>
        <v>391680000</v>
      </c>
      <c r="M69" s="29">
        <f>'Ing y Eg'!$E$81+'Ing y Eg'!$E$85*I69</f>
        <v>431012417.33904469</v>
      </c>
      <c r="N69" s="29">
        <f>'Ing y Eg'!$E$81-'Ing y Eg'!$E$75+'Ing y Eg'!$E$85*I69</f>
        <v>256920000</v>
      </c>
    </row>
    <row r="70" spans="9:14" x14ac:dyDescent="0.25">
      <c r="I70" s="11">
        <v>118800</v>
      </c>
      <c r="J70" s="69">
        <f>I70*'Ing y Eg'!$D$89</f>
        <v>516780000</v>
      </c>
      <c r="K70" s="29">
        <f>'Ing y Eg'!$E$47+'Ing y Eg'!$E$56+'Ing y Eg'!$E$36+'Ing y Eg'!$E$37+$D$9*13*(1+INT(I70/('Ing y Eg'!$C$89*20*12)))</f>
        <v>389878274.12487096</v>
      </c>
      <c r="L70" s="35">
        <f>I70*'Ing y Eg'!$D$91</f>
        <v>403920000</v>
      </c>
      <c r="M70" s="29">
        <f>'Ing y Eg'!$E$81+'Ing y Eg'!$E$85*I70</f>
        <v>431372417.33904469</v>
      </c>
      <c r="N70" s="29">
        <f>'Ing y Eg'!$E$81-'Ing y Eg'!$E$75+'Ing y Eg'!$E$85*I70</f>
        <v>257280000</v>
      </c>
    </row>
    <row r="71" spans="9:14" x14ac:dyDescent="0.25">
      <c r="I71" s="11">
        <v>122400</v>
      </c>
      <c r="J71" s="69">
        <f>I71*'Ing y Eg'!$D$89</f>
        <v>532440000</v>
      </c>
      <c r="K71" s="29">
        <f>'Ing y Eg'!$E$47+'Ing y Eg'!$E$56+'Ing y Eg'!$E$36+'Ing y Eg'!$E$37+$D$9*13*(1+INT(I71/('Ing y Eg'!$C$89*20*12)))</f>
        <v>389878274.12487096</v>
      </c>
      <c r="L71" s="35">
        <f>I71*'Ing y Eg'!$D$91</f>
        <v>416160000</v>
      </c>
      <c r="M71" s="29">
        <f>'Ing y Eg'!$E$81+'Ing y Eg'!$E$85*I71</f>
        <v>431732417.33904469</v>
      </c>
      <c r="N71" s="29">
        <f>'Ing y Eg'!$E$81-'Ing y Eg'!$E$75+'Ing y Eg'!$E$85*I71</f>
        <v>257640000</v>
      </c>
    </row>
    <row r="72" spans="9:14" x14ac:dyDescent="0.25">
      <c r="I72" s="11">
        <v>126000</v>
      </c>
      <c r="J72" s="69">
        <f>I72*'Ing y Eg'!$D$89</f>
        <v>548100000</v>
      </c>
      <c r="K72" s="29">
        <f>'Ing y Eg'!$E$47+'Ing y Eg'!$E$56+'Ing y Eg'!$E$36+'Ing y Eg'!$E$37+$D$9*13*(1+INT(I72/('Ing y Eg'!$C$89*20*12)))</f>
        <v>389878274.12487096</v>
      </c>
      <c r="L72" s="35">
        <f>I72*'Ing y Eg'!$D$91</f>
        <v>428400000</v>
      </c>
      <c r="M72" s="29">
        <f>'Ing y Eg'!$E$81+'Ing y Eg'!$E$85*I72</f>
        <v>432092417.33904469</v>
      </c>
      <c r="N72" s="29">
        <f>'Ing y Eg'!$E$81-'Ing y Eg'!$E$75+'Ing y Eg'!$E$85*I72</f>
        <v>258000000</v>
      </c>
    </row>
    <row r="73" spans="9:14" x14ac:dyDescent="0.25">
      <c r="I73" s="11">
        <v>129600</v>
      </c>
      <c r="J73" s="69">
        <f>I73*'Ing y Eg'!$D$89</f>
        <v>563760000</v>
      </c>
      <c r="K73" s="29">
        <f>'Ing y Eg'!$E$47+'Ing y Eg'!$E$56+'Ing y Eg'!$E$36+'Ing y Eg'!$E$37+$D$9*13*(1+INT(I73/('Ing y Eg'!$C$89*20*12)))</f>
        <v>410678274.12487096</v>
      </c>
      <c r="L73" s="35">
        <f>I73*'Ing y Eg'!$D$91</f>
        <v>440640000</v>
      </c>
      <c r="M73" s="29">
        <f>'Ing y Eg'!$E$81+'Ing y Eg'!$E$85*I73</f>
        <v>432452417.33904469</v>
      </c>
      <c r="N73" s="29">
        <f>'Ing y Eg'!$E$81-'Ing y Eg'!$E$75+'Ing y Eg'!$E$85*I73</f>
        <v>258360000</v>
      </c>
    </row>
    <row r="74" spans="9:14" x14ac:dyDescent="0.25">
      <c r="I74" s="11">
        <v>133200</v>
      </c>
      <c r="J74" s="69">
        <f>I74*'Ing y Eg'!$D$89</f>
        <v>579420000</v>
      </c>
      <c r="K74" s="29">
        <f>'Ing y Eg'!$E$47+'Ing y Eg'!$E$56+'Ing y Eg'!$E$36+'Ing y Eg'!$E$37+$D$9*13*(1+INT(I74/('Ing y Eg'!$C$89*20*12)))</f>
        <v>410678274.12487096</v>
      </c>
      <c r="L74" s="35">
        <f>I74*'Ing y Eg'!$D$91</f>
        <v>452880000</v>
      </c>
      <c r="M74" s="29">
        <f>'Ing y Eg'!$E$81+'Ing y Eg'!$E$85*I74</f>
        <v>432812417.33904469</v>
      </c>
      <c r="N74" s="29">
        <f>'Ing y Eg'!$E$81-'Ing y Eg'!$E$75+'Ing y Eg'!$E$85*I74</f>
        <v>258720000</v>
      </c>
    </row>
    <row r="75" spans="9:14" x14ac:dyDescent="0.25">
      <c r="I75" s="11">
        <v>136800</v>
      </c>
      <c r="J75" s="69">
        <f>I75*'Ing y Eg'!$D$89</f>
        <v>595080000</v>
      </c>
      <c r="K75" s="29">
        <f>'Ing y Eg'!$E$47+'Ing y Eg'!$E$56+'Ing y Eg'!$E$36+'Ing y Eg'!$E$37+$D$9*13*(1+INT(I75/('Ing y Eg'!$C$89*20*12)))</f>
        <v>410678274.12487096</v>
      </c>
      <c r="L75" s="35">
        <f>I75*'Ing y Eg'!$D$91</f>
        <v>465120000</v>
      </c>
      <c r="M75" s="29">
        <f>'Ing y Eg'!$E$81+'Ing y Eg'!$E$85*I75</f>
        <v>433172417.33904469</v>
      </c>
      <c r="N75" s="29">
        <f>'Ing y Eg'!$E$81-'Ing y Eg'!$E$75+'Ing y Eg'!$E$85*I75</f>
        <v>259080000</v>
      </c>
    </row>
    <row r="76" spans="9:14" x14ac:dyDescent="0.25">
      <c r="I76" s="11">
        <v>140400</v>
      </c>
      <c r="J76" s="69">
        <f>I76*'Ing y Eg'!$D$89</f>
        <v>610740000</v>
      </c>
      <c r="K76" s="29">
        <f>'Ing y Eg'!$E$47+'Ing y Eg'!$E$56+'Ing y Eg'!$E$36+'Ing y Eg'!$E$37+$D$9*13*(1+INT(I76/('Ing y Eg'!$C$89*20*12)))</f>
        <v>410678274.12487096</v>
      </c>
      <c r="L76" s="35">
        <f>I76*'Ing y Eg'!$D$91</f>
        <v>477360000</v>
      </c>
      <c r="M76" s="29">
        <f>'Ing y Eg'!$E$81+'Ing y Eg'!$E$85*I76</f>
        <v>433532417.33904469</v>
      </c>
      <c r="N76" s="29">
        <f>'Ing y Eg'!$E$81-'Ing y Eg'!$E$75+'Ing y Eg'!$E$85*I76</f>
        <v>259440000</v>
      </c>
    </row>
    <row r="77" spans="9:14" x14ac:dyDescent="0.25">
      <c r="I77" s="11">
        <v>144000</v>
      </c>
      <c r="J77" s="69">
        <f>I77*'Ing y Eg'!$D$89</f>
        <v>626400000</v>
      </c>
      <c r="K77" s="29">
        <f>'Ing y Eg'!$E$47+'Ing y Eg'!$E$56+'Ing y Eg'!$E$36+'Ing y Eg'!$E$37+$D$9*13*(1+INT(I77/('Ing y Eg'!$C$89*20*12)))</f>
        <v>431478274.12487096</v>
      </c>
      <c r="L77" s="35">
        <f>I77*'Ing y Eg'!$D$91</f>
        <v>489600000</v>
      </c>
      <c r="M77" s="29">
        <f>'Ing y Eg'!$E$81+'Ing y Eg'!$E$85*I77</f>
        <v>433892417.33904469</v>
      </c>
      <c r="N77" s="29">
        <f>'Ing y Eg'!$E$81-'Ing y Eg'!$E$75+'Ing y Eg'!$E$85*I77</f>
        <v>259800000</v>
      </c>
    </row>
    <row r="78" spans="9:14" x14ac:dyDescent="0.25">
      <c r="I78" s="11">
        <v>147600</v>
      </c>
      <c r="J78" s="69">
        <f>I78*'Ing y Eg'!$D$89</f>
        <v>642060000</v>
      </c>
      <c r="K78" s="29">
        <f>'Ing y Eg'!$E$47+'Ing y Eg'!$E$56+'Ing y Eg'!$E$36+'Ing y Eg'!$E$37+$D$9*13*(1+INT(I78/('Ing y Eg'!$C$89*20*12)))</f>
        <v>431478274.12487096</v>
      </c>
      <c r="L78" s="35">
        <f>I78*'Ing y Eg'!$D$91</f>
        <v>501840000</v>
      </c>
      <c r="M78" s="29">
        <f>'Ing y Eg'!$E$81+'Ing y Eg'!$E$85*I78</f>
        <v>434252417.33904469</v>
      </c>
      <c r="N78" s="29">
        <f>'Ing y Eg'!$E$81-'Ing y Eg'!$E$75+'Ing y Eg'!$E$85*I78</f>
        <v>260160000</v>
      </c>
    </row>
    <row r="79" spans="9:14" x14ac:dyDescent="0.25">
      <c r="I79" s="11">
        <v>151200</v>
      </c>
      <c r="J79" s="69">
        <f>I79*'Ing y Eg'!$D$89</f>
        <v>657720000</v>
      </c>
      <c r="K79" s="29">
        <f>'Ing y Eg'!$E$47+'Ing y Eg'!$E$56+'Ing y Eg'!$E$36+'Ing y Eg'!$E$37+$D$9*13*(1+INT(I79/('Ing y Eg'!$C$89*20*12)))</f>
        <v>431478274.12487096</v>
      </c>
      <c r="L79" s="35">
        <f>I79*'Ing y Eg'!$D$91</f>
        <v>514080000</v>
      </c>
      <c r="M79" s="29">
        <f>'Ing y Eg'!$E$81+'Ing y Eg'!$E$85*I79</f>
        <v>434612417.33904469</v>
      </c>
      <c r="N79" s="29">
        <f>'Ing y Eg'!$E$81-'Ing y Eg'!$E$75+'Ing y Eg'!$E$85*I79</f>
        <v>260520000</v>
      </c>
    </row>
    <row r="80" spans="9:14" x14ac:dyDescent="0.25">
      <c r="I80" s="11">
        <v>154800</v>
      </c>
      <c r="J80" s="69">
        <f>I80*'Ing y Eg'!$D$89</f>
        <v>673380000</v>
      </c>
      <c r="K80" s="29">
        <f>'Ing y Eg'!$E$47+'Ing y Eg'!$E$56+'Ing y Eg'!$E$36+'Ing y Eg'!$E$37+$D$9*13*(1+INT(I80/('Ing y Eg'!$C$89*20*12)))</f>
        <v>431478274.12487096</v>
      </c>
      <c r="L80" s="35">
        <f>I80*'Ing y Eg'!$D$91</f>
        <v>526320000</v>
      </c>
      <c r="M80" s="29">
        <f>'Ing y Eg'!$E$81+'Ing y Eg'!$E$85*I80</f>
        <v>434972417.33904469</v>
      </c>
      <c r="N80" s="29">
        <f>'Ing y Eg'!$E$81-'Ing y Eg'!$E$75+'Ing y Eg'!$E$85*I80</f>
        <v>260880000</v>
      </c>
    </row>
    <row r="81" spans="9:14" x14ac:dyDescent="0.25">
      <c r="I81" s="11">
        <v>158400</v>
      </c>
      <c r="J81" s="69">
        <f>I81*'Ing y Eg'!$D$89</f>
        <v>689040000</v>
      </c>
      <c r="K81" s="29">
        <f>'Ing y Eg'!$E$47+'Ing y Eg'!$E$56+'Ing y Eg'!$E$36+'Ing y Eg'!$E$37+$D$9*13*(1+INT(I81/('Ing y Eg'!$C$89*20*12)))</f>
        <v>452278274.12487096</v>
      </c>
      <c r="L81" s="35">
        <f>I81*'Ing y Eg'!$D$91</f>
        <v>538560000</v>
      </c>
      <c r="M81" s="29">
        <f>'Ing y Eg'!$E$81+'Ing y Eg'!$E$85*I81</f>
        <v>435332417.33904469</v>
      </c>
      <c r="N81" s="29">
        <f>'Ing y Eg'!$E$81-'Ing y Eg'!$E$75+'Ing y Eg'!$E$85*I81</f>
        <v>261240000</v>
      </c>
    </row>
    <row r="82" spans="9:14" x14ac:dyDescent="0.25">
      <c r="I82" s="11">
        <v>162000</v>
      </c>
      <c r="J82" s="69">
        <f>I82*'Ing y Eg'!$D$89</f>
        <v>704700000</v>
      </c>
      <c r="K82" s="29">
        <f>'Ing y Eg'!$E$47+'Ing y Eg'!$E$56+'Ing y Eg'!$E$36+'Ing y Eg'!$E$37+$D$9*13*(1+INT(I82/('Ing y Eg'!$C$89*20*12)))</f>
        <v>452278274.12487096</v>
      </c>
      <c r="L82" s="35">
        <f>I82*'Ing y Eg'!$D$91</f>
        <v>550800000</v>
      </c>
      <c r="M82" s="29">
        <f>'Ing y Eg'!$E$81+'Ing y Eg'!$E$85*I82</f>
        <v>435692417.33904469</v>
      </c>
      <c r="N82" s="29">
        <f>'Ing y Eg'!$E$81-'Ing y Eg'!$E$75+'Ing y Eg'!$E$85*I82</f>
        <v>261600000</v>
      </c>
    </row>
    <row r="83" spans="9:14" x14ac:dyDescent="0.25">
      <c r="I83" s="11">
        <v>165600</v>
      </c>
      <c r="J83" s="69">
        <f>I83*'Ing y Eg'!$D$89</f>
        <v>720360000</v>
      </c>
      <c r="K83" s="29">
        <f>'Ing y Eg'!$E$47+'Ing y Eg'!$E$56+'Ing y Eg'!$E$36+'Ing y Eg'!$E$37+$D$9*13*(1+INT(I83/('Ing y Eg'!$C$89*20*12)))</f>
        <v>452278274.12487096</v>
      </c>
      <c r="L83" s="35">
        <f>I83*'Ing y Eg'!$D$91</f>
        <v>563040000</v>
      </c>
      <c r="M83" s="29">
        <f>'Ing y Eg'!$E$81+'Ing y Eg'!$E$85*I83</f>
        <v>436052417.33904469</v>
      </c>
      <c r="N83" s="29">
        <f>'Ing y Eg'!$E$81-'Ing y Eg'!$E$75+'Ing y Eg'!$E$85*I83</f>
        <v>261960000</v>
      </c>
    </row>
    <row r="84" spans="9:14" x14ac:dyDescent="0.25">
      <c r="I84" s="11">
        <v>169200</v>
      </c>
      <c r="J84" s="69">
        <f>I84*'Ing y Eg'!$D$89</f>
        <v>736020000</v>
      </c>
      <c r="K84" s="29">
        <f>'Ing y Eg'!$E$47+'Ing y Eg'!$E$56+'Ing y Eg'!$E$36+'Ing y Eg'!$E$37+$D$9*13*(1+INT(I84/('Ing y Eg'!$C$89*20*12)))</f>
        <v>452278274.12487096</v>
      </c>
      <c r="L84" s="35">
        <f>I84*'Ing y Eg'!$D$91</f>
        <v>575280000</v>
      </c>
      <c r="M84" s="29">
        <f>'Ing y Eg'!$E$81+'Ing y Eg'!$E$85*I84</f>
        <v>436412417.33904469</v>
      </c>
      <c r="N84" s="29">
        <f>'Ing y Eg'!$E$81-'Ing y Eg'!$E$75+'Ing y Eg'!$E$85*I84</f>
        <v>262320000</v>
      </c>
    </row>
    <row r="85" spans="9:14" x14ac:dyDescent="0.25">
      <c r="I85" s="11">
        <v>172800</v>
      </c>
      <c r="J85" s="69">
        <f>I85*'Ing y Eg'!$D$89</f>
        <v>751680000</v>
      </c>
      <c r="K85" s="29">
        <f>'Ing y Eg'!$E$47+'Ing y Eg'!$E$56+'Ing y Eg'!$E$36+'Ing y Eg'!$E$37+$D$9*13*(1+INT(I85/('Ing y Eg'!$C$89*20*12)))</f>
        <v>473078274.12487096</v>
      </c>
      <c r="L85" s="35">
        <f>I85*'Ing y Eg'!$D$91</f>
        <v>587520000</v>
      </c>
      <c r="M85" s="29">
        <f>'Ing y Eg'!$E$81+'Ing y Eg'!$E$85*I85</f>
        <v>436772417.33904469</v>
      </c>
      <c r="N85" s="29">
        <f>'Ing y Eg'!$E$81-'Ing y Eg'!$E$75+'Ing y Eg'!$E$85*I85</f>
        <v>262680000</v>
      </c>
    </row>
    <row r="86" spans="9:14" x14ac:dyDescent="0.25">
      <c r="I86" s="11">
        <v>176400</v>
      </c>
      <c r="J86" s="69">
        <f>I86*'Ing y Eg'!$D$89</f>
        <v>767340000</v>
      </c>
      <c r="K86" s="29">
        <f>'Ing y Eg'!$E$47+'Ing y Eg'!$E$56+'Ing y Eg'!$E$36+'Ing y Eg'!$E$37+$D$9*13*(1+INT(I86/('Ing y Eg'!$C$89*20*12)))</f>
        <v>473078274.12487096</v>
      </c>
      <c r="L86" s="35">
        <f>I86*'Ing y Eg'!$D$91</f>
        <v>599760000</v>
      </c>
      <c r="M86" s="29">
        <f>'Ing y Eg'!$E$81+'Ing y Eg'!$E$85*I86</f>
        <v>437132417.33904469</v>
      </c>
      <c r="N86" s="29">
        <f>'Ing y Eg'!$E$81-'Ing y Eg'!$E$75+'Ing y Eg'!$E$85*I86</f>
        <v>263040000</v>
      </c>
    </row>
    <row r="87" spans="9:14" x14ac:dyDescent="0.25">
      <c r="I87" s="11">
        <v>180000</v>
      </c>
      <c r="J87" s="69">
        <f>I87*'Ing y Eg'!$D$89</f>
        <v>783000000</v>
      </c>
      <c r="K87" s="29">
        <f>'Ing y Eg'!$E$47+'Ing y Eg'!$E$56+'Ing y Eg'!$E$36+'Ing y Eg'!$E$37+$D$9*13*(1+INT(I87/('Ing y Eg'!$C$89*20*12)))</f>
        <v>473078274.12487096</v>
      </c>
      <c r="L87" s="35">
        <f>I87*'Ing y Eg'!$D$91</f>
        <v>612000000</v>
      </c>
      <c r="M87" s="29">
        <f>'Ing y Eg'!$E$81+'Ing y Eg'!$E$85*I87</f>
        <v>437492417.33904469</v>
      </c>
      <c r="N87" s="29">
        <f>'Ing y Eg'!$E$81-'Ing y Eg'!$E$75+'Ing y Eg'!$E$85*I87</f>
        <v>263400000</v>
      </c>
    </row>
    <row r="88" spans="9:14" x14ac:dyDescent="0.25">
      <c r="I88" s="11">
        <v>183600</v>
      </c>
      <c r="J88" s="69">
        <f>I88*'Ing y Eg'!$D$89</f>
        <v>798660000</v>
      </c>
      <c r="K88" s="29">
        <f>'Ing y Eg'!$E$47+'Ing y Eg'!$E$56+'Ing y Eg'!$E$36+'Ing y Eg'!$E$37+$D$9*13*(1+INT(I88/('Ing y Eg'!$C$89*20*12)))</f>
        <v>473078274.12487096</v>
      </c>
      <c r="L88" s="35">
        <f>I88*'Ing y Eg'!$D$91</f>
        <v>624240000</v>
      </c>
      <c r="M88" s="29">
        <f>'Ing y Eg'!$E$81+'Ing y Eg'!$E$85*I88</f>
        <v>437852417.33904469</v>
      </c>
      <c r="N88" s="29">
        <f>'Ing y Eg'!$E$81-'Ing y Eg'!$E$75+'Ing y Eg'!$E$85*I88</f>
        <v>263760000</v>
      </c>
    </row>
    <row r="89" spans="9:14" x14ac:dyDescent="0.25">
      <c r="I89" s="11">
        <v>187200</v>
      </c>
      <c r="J89" s="69">
        <f>I89*'Ing y Eg'!$D$89</f>
        <v>814320000</v>
      </c>
      <c r="K89" s="29">
        <f>'Ing y Eg'!$E$47+'Ing y Eg'!$E$56+'Ing y Eg'!$E$36+'Ing y Eg'!$E$37+$D$9*13*(1+INT(I89/('Ing y Eg'!$C$89*20*12)))</f>
        <v>493878274.12487096</v>
      </c>
      <c r="L89" s="35">
        <f>I89*'Ing y Eg'!$D$91</f>
        <v>636480000</v>
      </c>
      <c r="M89" s="29">
        <f>'Ing y Eg'!$E$81+'Ing y Eg'!$E$85*I89</f>
        <v>438212417.33904469</v>
      </c>
      <c r="N89" s="29">
        <f>'Ing y Eg'!$E$81-'Ing y Eg'!$E$75+'Ing y Eg'!$E$85*I89</f>
        <v>264120000</v>
      </c>
    </row>
    <row r="90" spans="9:14" x14ac:dyDescent="0.25">
      <c r="I90" s="11">
        <v>190800</v>
      </c>
      <c r="J90" s="69">
        <f>I90*'Ing y Eg'!$D$89</f>
        <v>829980000</v>
      </c>
      <c r="K90" s="29">
        <f>'Ing y Eg'!$E$47+'Ing y Eg'!$E$56+'Ing y Eg'!$E$36+'Ing y Eg'!$E$37+$D$9*13*(1+INT(I90/('Ing y Eg'!$C$89*20*12)))</f>
        <v>493878274.12487096</v>
      </c>
      <c r="L90" s="35">
        <f>I90*'Ing y Eg'!$D$91</f>
        <v>648720000</v>
      </c>
      <c r="M90" s="29">
        <f>'Ing y Eg'!$E$81+'Ing y Eg'!$E$85*I90</f>
        <v>438572417.33904469</v>
      </c>
      <c r="N90" s="29">
        <f>'Ing y Eg'!$E$81-'Ing y Eg'!$E$75+'Ing y Eg'!$E$85*I90</f>
        <v>264480000</v>
      </c>
    </row>
    <row r="91" spans="9:14" ht="15.75" thickBot="1" x14ac:dyDescent="0.3">
      <c r="I91" s="37">
        <v>194400</v>
      </c>
      <c r="J91" s="70">
        <f>I91*'Ing y Eg'!$D$89</f>
        <v>845640000</v>
      </c>
      <c r="K91" s="29">
        <f>'Ing y Eg'!$E$47+'Ing y Eg'!$E$56+'Ing y Eg'!$E$36+'Ing y Eg'!$E$37+$D$9*13*(1+INT(I91/('Ing y Eg'!$C$89*20*12)))</f>
        <v>493878274.12487096</v>
      </c>
      <c r="L91" s="54">
        <f>I91*'Ing y Eg'!$D$91</f>
        <v>660960000</v>
      </c>
      <c r="M91" s="68">
        <f>'Ing y Eg'!$E$81+'Ing y Eg'!$E$85*I91</f>
        <v>438932417.33904469</v>
      </c>
      <c r="N91" s="68">
        <f>'Ing y Eg'!$E$81-'Ing y Eg'!$E$75+'Ing y Eg'!$E$85*I91</f>
        <v>264840000</v>
      </c>
    </row>
  </sheetData>
  <mergeCells count="5">
    <mergeCell ref="B4:C4"/>
    <mergeCell ref="B31:C31"/>
    <mergeCell ref="B36:G36"/>
    <mergeCell ref="J36:K36"/>
    <mergeCell ref="L36:M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Ing y Eg</vt:lpstr>
      <vt:lpstr>Deuda</vt:lpstr>
      <vt:lpstr>Estado de Resultado Integral</vt:lpstr>
      <vt:lpstr>Flujos de Efectivo</vt:lpstr>
      <vt:lpstr>Equilibrio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lucasgiraldo</dc:creator>
  <cp:lastModifiedBy>daniel esteban prieto jimenez</cp:lastModifiedBy>
  <dcterms:created xsi:type="dcterms:W3CDTF">2020-11-17T12:17:01Z</dcterms:created>
  <dcterms:modified xsi:type="dcterms:W3CDTF">2022-11-27T22:11:53Z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788105d0-8666-4ea3-b22b-b951877d7098</vt:lpwstr>
  </property>
</Properties>
</file>