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ol.le.ac.uk\root\staff\home\a\aa1176\My Documents\sc_PRCs\"/>
    </mc:Choice>
  </mc:AlternateContent>
  <bookViews>
    <workbookView xWindow="28680" yWindow="-120" windowWidth="29040" windowHeight="15840" firstSheet="19" activeTab="22"/>
  </bookViews>
  <sheets>
    <sheet name="Hvul_ranking" sheetId="2" r:id="rId1"/>
    <sheet name="Hvul_photo_lfp_by_metacell" sheetId="3" r:id="rId2"/>
    <sheet name="Nvec_ranking" sheetId="7" r:id="rId3"/>
    <sheet name="Nvec_photo_lfp_by_metacell" sheetId="8" r:id="rId4"/>
    <sheet name="Chem_ranking" sheetId="9" r:id="rId5"/>
    <sheet name="Chem_photo_lfp_by_metacell" sheetId="10" r:id="rId6"/>
    <sheet name="Spis_ranking" sheetId="12" r:id="rId7"/>
    <sheet name="Spis_photo_lfp_by_metacell" sheetId="11" r:id="rId8"/>
    <sheet name="Mlei_ranking" sheetId="13" r:id="rId9"/>
    <sheet name="Mlei_photo_lfp_by_metacell" sheetId="14" r:id="rId10"/>
    <sheet name="Tadh_ranking" sheetId="15" r:id="rId11"/>
    <sheet name="Tadh_photo_lfp_by_metacell" sheetId="16" r:id="rId12"/>
    <sheet name="Aque_ranking" sheetId="17" r:id="rId13"/>
    <sheet name="Aque_photo_lfp_by_metacell" sheetId="18" r:id="rId14"/>
    <sheet name="Cint_ranking" sheetId="19" r:id="rId15"/>
    <sheet name="Cint_photo_lfp_by_metacell" sheetId="20" r:id="rId16"/>
    <sheet name="Spur_ranking" sheetId="21" r:id="rId17"/>
    <sheet name="Spur_photo_lfp_by_metacell" sheetId="22" r:id="rId18"/>
    <sheet name="Hsap_ranking_cones" sheetId="24" r:id="rId19"/>
    <sheet name="Hsap_ranking_rods" sheetId="25" r:id="rId20"/>
    <sheet name="Hsap_photo_lfp_by_metacell" sheetId="23" r:id="rId21"/>
    <sheet name="Mmus_ranking_cones" sheetId="27" r:id="rId22"/>
    <sheet name="Mmus_ranking_rods" sheetId="28" r:id="rId23"/>
    <sheet name="Mmus_photo_lfp_mets_opsin_&gt;_0.2" sheetId="26" r:id="rId2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0" i="28" l="1"/>
  <c r="AD131" i="28"/>
  <c r="AD132" i="28"/>
  <c r="AD133" i="28"/>
  <c r="AD134" i="28"/>
  <c r="AD135" i="28"/>
  <c r="AD136" i="28"/>
  <c r="AD137" i="28"/>
  <c r="AD138" i="28"/>
  <c r="AD139" i="28"/>
  <c r="AD140" i="28"/>
  <c r="AD141" i="28"/>
  <c r="AD142" i="28"/>
  <c r="AD143" i="28"/>
  <c r="AD144" i="28"/>
  <c r="AD145" i="28"/>
  <c r="AD146" i="28"/>
  <c r="AD147" i="28"/>
  <c r="AD148" i="28"/>
  <c r="AD149" i="28"/>
  <c r="AD150" i="28"/>
  <c r="AD151" i="28"/>
  <c r="AD152" i="28"/>
  <c r="AD153" i="28"/>
  <c r="AD154" i="28"/>
  <c r="AD155" i="28"/>
  <c r="AD156" i="28"/>
  <c r="AD157" i="28"/>
  <c r="AD158" i="28"/>
  <c r="AD159" i="28"/>
  <c r="AD160" i="28"/>
  <c r="AD161" i="28"/>
  <c r="AD162" i="28"/>
  <c r="AD163" i="28"/>
  <c r="AD164" i="28"/>
  <c r="AD165" i="28"/>
  <c r="AD166" i="28"/>
  <c r="AD167" i="28"/>
  <c r="AD168" i="28"/>
  <c r="AD169" i="28"/>
  <c r="AD170" i="28"/>
  <c r="AD171" i="28"/>
  <c r="AD172" i="28"/>
  <c r="AD173" i="28"/>
  <c r="AD174" i="28"/>
  <c r="AD175" i="28"/>
  <c r="AD176" i="28"/>
  <c r="AD177" i="28"/>
  <c r="AD178" i="28"/>
  <c r="AD179" i="28"/>
  <c r="AD180" i="28"/>
  <c r="AD181" i="28"/>
  <c r="AD182" i="28"/>
  <c r="AD183" i="28"/>
  <c r="AD184" i="28"/>
  <c r="AD185" i="28"/>
  <c r="AD186" i="28"/>
  <c r="AD187" i="28"/>
  <c r="AD188" i="28"/>
  <c r="AD189" i="28"/>
  <c r="AD190" i="28"/>
  <c r="AD191" i="28"/>
  <c r="AD192" i="28"/>
  <c r="AD193" i="28"/>
  <c r="AD194" i="28"/>
  <c r="AD195" i="28"/>
  <c r="AD196" i="28"/>
  <c r="AD197" i="28"/>
  <c r="AD198" i="28"/>
  <c r="AD199" i="28"/>
  <c r="AD200" i="28"/>
  <c r="AD201" i="28"/>
  <c r="AD202" i="28"/>
  <c r="AD203" i="28"/>
  <c r="AD204" i="28"/>
  <c r="AD205" i="28"/>
  <c r="AD206" i="28"/>
  <c r="AD207" i="28"/>
  <c r="AD208" i="28"/>
  <c r="AD209" i="28"/>
  <c r="AD210" i="28"/>
  <c r="AD211" i="28"/>
  <c r="AD212" i="28"/>
  <c r="AD213" i="28"/>
  <c r="AD214" i="28"/>
  <c r="AD215" i="28"/>
  <c r="AD216" i="28"/>
  <c r="AD217" i="28"/>
  <c r="AD218" i="28"/>
  <c r="AD219" i="28"/>
  <c r="AD220" i="28"/>
  <c r="AD221" i="28"/>
  <c r="AD222" i="28"/>
  <c r="AD223" i="28"/>
  <c r="AD224" i="28"/>
  <c r="AD225" i="28"/>
  <c r="AD226" i="28"/>
  <c r="AD227" i="28"/>
  <c r="AD228" i="28"/>
  <c r="AD229" i="28"/>
  <c r="AD230" i="28"/>
  <c r="AD231" i="28"/>
  <c r="AD232" i="28"/>
  <c r="AD233" i="28"/>
  <c r="AD234" i="28"/>
  <c r="AD235" i="28"/>
  <c r="AD236" i="28"/>
  <c r="AD237" i="28"/>
  <c r="AD238" i="28"/>
  <c r="AD239" i="28"/>
  <c r="AD240" i="28"/>
  <c r="AD241" i="28"/>
  <c r="AD242" i="28"/>
  <c r="AD243" i="28"/>
  <c r="AD244" i="28"/>
  <c r="AD245" i="28"/>
  <c r="AD246" i="28"/>
  <c r="AD247" i="28"/>
  <c r="AD129" i="28"/>
  <c r="AA129" i="28"/>
  <c r="AA130" i="28"/>
  <c r="AA131" i="28"/>
  <c r="AA132" i="28"/>
  <c r="AA133" i="28"/>
  <c r="AA134" i="28"/>
  <c r="AA135" i="28"/>
  <c r="AA136" i="28"/>
  <c r="AA137" i="28"/>
  <c r="AA138" i="28"/>
  <c r="AA139" i="28"/>
  <c r="AA140" i="28"/>
  <c r="AA141" i="28"/>
  <c r="AA142" i="28"/>
  <c r="AA143" i="28"/>
  <c r="AA144" i="28"/>
  <c r="AA145" i="28"/>
  <c r="AA146" i="28"/>
  <c r="AA147" i="28"/>
  <c r="AA148" i="28"/>
  <c r="AA149" i="28"/>
  <c r="AA150" i="28"/>
  <c r="AA151" i="28"/>
  <c r="AA152" i="28"/>
  <c r="AA153" i="28"/>
  <c r="AA154" i="28"/>
  <c r="AA155" i="28"/>
  <c r="AA156" i="28"/>
  <c r="AA157" i="28"/>
  <c r="AA158" i="28"/>
  <c r="AA159" i="28"/>
  <c r="AA160" i="28"/>
  <c r="AA161" i="28"/>
  <c r="AA162" i="28"/>
  <c r="AA163" i="28"/>
  <c r="AA164" i="28"/>
  <c r="AA165" i="28"/>
  <c r="AA166" i="28"/>
  <c r="AA167" i="28"/>
  <c r="AA168" i="28"/>
  <c r="AA169" i="28"/>
  <c r="AA170" i="28"/>
  <c r="AA171" i="28"/>
  <c r="AA172" i="28"/>
  <c r="AA173" i="28"/>
  <c r="AA174" i="28"/>
  <c r="AA175" i="28"/>
  <c r="AA176" i="28"/>
  <c r="AA177" i="28"/>
  <c r="AA178" i="28"/>
  <c r="AA179" i="28"/>
  <c r="AA180" i="28"/>
  <c r="AA181" i="28"/>
  <c r="AA182" i="28"/>
  <c r="AA183" i="28"/>
  <c r="AA184" i="28"/>
  <c r="AA185" i="28"/>
  <c r="AA186" i="28"/>
  <c r="AA187" i="28"/>
  <c r="AA188" i="28"/>
  <c r="AA189" i="28"/>
  <c r="AA190" i="28"/>
  <c r="AA191" i="28"/>
  <c r="AA192" i="28"/>
  <c r="AA193" i="28"/>
  <c r="AA194" i="28"/>
  <c r="AA195" i="28"/>
  <c r="AA196" i="28"/>
  <c r="AA197" i="28"/>
  <c r="AA198" i="28"/>
  <c r="AA199" i="28"/>
  <c r="AA200" i="28"/>
  <c r="AA201" i="28"/>
  <c r="AA202" i="28"/>
  <c r="AA203" i="28"/>
  <c r="AA204" i="28"/>
  <c r="AA205" i="28"/>
  <c r="AA206" i="28"/>
  <c r="AA207" i="28"/>
  <c r="AA208" i="28"/>
  <c r="AA209" i="28"/>
  <c r="AA210" i="28"/>
  <c r="AA211" i="28"/>
  <c r="AA212" i="28"/>
  <c r="AA213" i="28"/>
  <c r="AA214" i="28"/>
  <c r="AA215" i="28"/>
  <c r="AA216" i="28"/>
  <c r="AA217" i="28"/>
  <c r="AA218" i="28"/>
  <c r="AA219" i="28"/>
  <c r="AA220" i="28"/>
  <c r="AA221" i="28"/>
  <c r="AA222" i="28"/>
  <c r="AA223" i="28"/>
  <c r="AA224" i="28"/>
  <c r="AA225" i="28"/>
  <c r="AA226" i="28"/>
  <c r="AA227" i="28"/>
  <c r="AA228" i="28"/>
  <c r="AA229" i="28"/>
  <c r="AA230" i="28"/>
  <c r="AA231" i="28"/>
  <c r="AA232" i="28"/>
  <c r="AA233" i="28"/>
  <c r="AA234" i="28"/>
  <c r="AA235" i="28"/>
  <c r="AA236" i="28"/>
  <c r="AA237" i="28"/>
  <c r="AA238" i="28"/>
  <c r="AA239" i="28"/>
  <c r="AA240" i="28"/>
  <c r="AA241" i="28"/>
  <c r="AA242" i="28"/>
  <c r="AA243" i="28"/>
  <c r="AA244" i="28"/>
  <c r="AA245" i="28"/>
  <c r="AA246" i="28"/>
  <c r="AA247" i="28"/>
  <c r="Z129" i="28"/>
  <c r="Z130" i="28"/>
  <c r="Z131" i="28"/>
  <c r="Z132" i="28"/>
  <c r="Z133" i="28"/>
  <c r="Z134" i="28"/>
  <c r="Z135" i="28"/>
  <c r="Z136" i="28"/>
  <c r="Z137" i="28"/>
  <c r="Z138" i="28"/>
  <c r="Z139" i="28"/>
  <c r="Z140" i="28"/>
  <c r="Z141" i="28"/>
  <c r="Z142" i="28"/>
  <c r="Z143" i="28"/>
  <c r="Z144" i="28"/>
  <c r="Z145" i="28"/>
  <c r="Z146" i="28"/>
  <c r="Z147" i="28"/>
  <c r="Z148" i="28"/>
  <c r="Z149" i="28"/>
  <c r="Z150" i="28"/>
  <c r="Z151" i="28"/>
  <c r="Z152" i="28"/>
  <c r="Z153" i="28"/>
  <c r="Z154" i="28"/>
  <c r="Z155" i="28"/>
  <c r="Z156" i="28"/>
  <c r="Z157" i="28"/>
  <c r="Z158" i="28"/>
  <c r="Z159" i="28"/>
  <c r="Z160" i="28"/>
  <c r="Z161" i="28"/>
  <c r="Z162" i="28"/>
  <c r="Z163" i="28"/>
  <c r="Z164" i="28"/>
  <c r="Z165" i="28"/>
  <c r="Z166" i="28"/>
  <c r="Z167" i="28"/>
  <c r="Z168" i="28"/>
  <c r="Z169" i="28"/>
  <c r="Z170" i="28"/>
  <c r="Z171" i="28"/>
  <c r="Z172" i="28"/>
  <c r="Z173" i="28"/>
  <c r="Z174" i="28"/>
  <c r="Z175" i="28"/>
  <c r="Z176" i="28"/>
  <c r="Z177" i="28"/>
  <c r="Z178" i="28"/>
  <c r="Z179" i="28"/>
  <c r="Z180" i="28"/>
  <c r="Z181" i="28"/>
  <c r="Z182" i="28"/>
  <c r="Z183" i="28"/>
  <c r="Z184" i="28"/>
  <c r="Z185" i="28"/>
  <c r="Z186" i="28"/>
  <c r="Z187" i="28"/>
  <c r="Z188" i="28"/>
  <c r="Z189" i="28"/>
  <c r="Z190" i="28"/>
  <c r="Z191" i="28"/>
  <c r="Z192" i="28"/>
  <c r="Z193" i="28"/>
  <c r="Z194" i="28"/>
  <c r="Z195" i="28"/>
  <c r="Z196" i="28"/>
  <c r="Z197" i="28"/>
  <c r="Z198" i="28"/>
  <c r="Z199" i="28"/>
  <c r="Z200" i="28"/>
  <c r="Z201" i="28"/>
  <c r="Z202" i="28"/>
  <c r="Z203" i="28"/>
  <c r="Z204" i="28"/>
  <c r="Z205" i="28"/>
  <c r="Z206" i="28"/>
  <c r="Z207" i="28"/>
  <c r="Z208" i="28"/>
  <c r="Z209" i="28"/>
  <c r="Z210" i="28"/>
  <c r="Z211" i="28"/>
  <c r="Z212" i="28"/>
  <c r="Z213" i="28"/>
  <c r="Z214" i="28"/>
  <c r="Z215" i="28"/>
  <c r="Z216" i="28"/>
  <c r="Z217" i="28"/>
  <c r="Z218" i="28"/>
  <c r="Z219" i="28"/>
  <c r="Z220" i="28"/>
  <c r="Z221" i="28"/>
  <c r="Z222" i="28"/>
  <c r="Z223" i="28"/>
  <c r="Z224" i="28"/>
  <c r="Z225" i="28"/>
  <c r="Z226" i="28"/>
  <c r="Z227" i="28"/>
  <c r="Z228" i="28"/>
  <c r="Z229" i="28"/>
  <c r="Z230" i="28"/>
  <c r="Z231" i="28"/>
  <c r="Z232" i="28"/>
  <c r="Z233" i="28"/>
  <c r="Z234" i="28"/>
  <c r="Z235" i="28"/>
  <c r="Z236" i="28"/>
  <c r="Z237" i="28"/>
  <c r="Z238" i="28"/>
  <c r="Z239" i="28"/>
  <c r="Z240" i="28"/>
  <c r="Z241" i="28"/>
  <c r="Z242" i="28"/>
  <c r="Z243" i="28"/>
  <c r="Z244" i="28"/>
  <c r="Z245" i="28"/>
  <c r="Z246" i="28"/>
  <c r="Z247" i="28"/>
  <c r="Y129" i="28"/>
  <c r="Y130" i="28"/>
  <c r="Y131" i="28"/>
  <c r="Y132" i="28"/>
  <c r="Y133" i="28"/>
  <c r="Y134" i="28"/>
  <c r="Y135" i="28"/>
  <c r="Y136" i="28"/>
  <c r="Y137" i="28"/>
  <c r="Y138" i="28"/>
  <c r="Y139" i="28"/>
  <c r="Y140" i="28"/>
  <c r="Y141" i="28"/>
  <c r="Y142" i="28"/>
  <c r="Y143" i="28"/>
  <c r="Y144" i="28"/>
  <c r="Y145" i="28"/>
  <c r="Y146" i="28"/>
  <c r="Y147" i="28"/>
  <c r="Y148" i="28"/>
  <c r="Y149" i="28"/>
  <c r="Y150" i="28"/>
  <c r="Y151" i="28"/>
  <c r="Y152" i="28"/>
  <c r="Y153" i="28"/>
  <c r="Y154" i="28"/>
  <c r="Y155" i="28"/>
  <c r="Y156" i="28"/>
  <c r="Y157" i="28"/>
  <c r="Y158" i="28"/>
  <c r="Y159" i="28"/>
  <c r="Y160" i="28"/>
  <c r="Y161" i="28"/>
  <c r="Y162" i="28"/>
  <c r="Y163" i="28"/>
  <c r="Y164" i="28"/>
  <c r="Y165" i="28"/>
  <c r="Y166" i="28"/>
  <c r="Y167" i="28"/>
  <c r="Y168" i="28"/>
  <c r="Y169" i="28"/>
  <c r="Y170" i="28"/>
  <c r="Y171" i="28"/>
  <c r="Y172" i="28"/>
  <c r="Y173" i="28"/>
  <c r="Y174" i="28"/>
  <c r="Y175" i="28"/>
  <c r="Y176" i="28"/>
  <c r="Y177" i="28"/>
  <c r="Y178" i="28"/>
  <c r="Y179" i="28"/>
  <c r="Y180" i="28"/>
  <c r="Y181" i="28"/>
  <c r="Y182" i="28"/>
  <c r="Y183" i="28"/>
  <c r="Y184" i="28"/>
  <c r="Y185" i="28"/>
  <c r="Y186" i="28"/>
  <c r="Y187" i="28"/>
  <c r="Y188" i="28"/>
  <c r="Y189" i="28"/>
  <c r="Y190" i="28"/>
  <c r="Y191" i="28"/>
  <c r="Y192" i="28"/>
  <c r="Y193" i="28"/>
  <c r="Y194" i="28"/>
  <c r="Y195" i="28"/>
  <c r="Y196" i="28"/>
  <c r="Y197" i="28"/>
  <c r="Y198" i="28"/>
  <c r="Y199" i="28"/>
  <c r="Y200" i="28"/>
  <c r="Y201" i="28"/>
  <c r="Y202" i="28"/>
  <c r="Y203" i="28"/>
  <c r="Y204" i="28"/>
  <c r="Y205" i="28"/>
  <c r="Y206" i="28"/>
  <c r="Y207" i="28"/>
  <c r="Y208" i="28"/>
  <c r="Y209" i="28"/>
  <c r="Y210" i="28"/>
  <c r="Y211" i="28"/>
  <c r="Y212" i="28"/>
  <c r="Y213" i="28"/>
  <c r="Y214" i="28"/>
  <c r="Y215" i="28"/>
  <c r="Y216" i="28"/>
  <c r="Y217" i="28"/>
  <c r="Y218" i="28"/>
  <c r="Y219" i="28"/>
  <c r="Y220" i="28"/>
  <c r="Y221" i="28"/>
  <c r="Y222" i="28"/>
  <c r="Y223" i="28"/>
  <c r="Y224" i="28"/>
  <c r="Y225" i="28"/>
  <c r="Y226" i="28"/>
  <c r="Y227" i="28"/>
  <c r="Y228" i="28"/>
  <c r="Y229" i="28"/>
  <c r="Y230" i="28"/>
  <c r="Y231" i="28"/>
  <c r="Y232" i="28"/>
  <c r="Y233" i="28"/>
  <c r="Y234" i="28"/>
  <c r="Y235" i="28"/>
  <c r="Y236" i="28"/>
  <c r="Y237" i="28"/>
  <c r="Y238" i="28"/>
  <c r="Y239" i="28"/>
  <c r="Y240" i="28"/>
  <c r="Y241" i="28"/>
  <c r="Y242" i="28"/>
  <c r="Y243" i="28"/>
  <c r="Y244" i="28"/>
  <c r="Y245" i="28"/>
  <c r="Y246" i="28"/>
  <c r="Y247" i="28"/>
  <c r="X129" i="28"/>
  <c r="X130" i="28"/>
  <c r="X131" i="28"/>
  <c r="X132" i="28"/>
  <c r="X133" i="28"/>
  <c r="X134" i="28"/>
  <c r="X135" i="28"/>
  <c r="X136" i="28"/>
  <c r="X137" i="28"/>
  <c r="X138" i="28"/>
  <c r="X139" i="28"/>
  <c r="X140" i="28"/>
  <c r="X141" i="28"/>
  <c r="X142" i="28"/>
  <c r="X143" i="28"/>
  <c r="X144" i="28"/>
  <c r="X145" i="28"/>
  <c r="X146" i="28"/>
  <c r="X147" i="28"/>
  <c r="X148" i="28"/>
  <c r="X149" i="28"/>
  <c r="X150" i="28"/>
  <c r="X151" i="28"/>
  <c r="X152" i="28"/>
  <c r="X153" i="28"/>
  <c r="X154" i="28"/>
  <c r="X155" i="28"/>
  <c r="X156" i="28"/>
  <c r="X157" i="28"/>
  <c r="X158" i="28"/>
  <c r="X159" i="28"/>
  <c r="X160" i="28"/>
  <c r="X161" i="28"/>
  <c r="X162" i="28"/>
  <c r="X163" i="28"/>
  <c r="X164" i="28"/>
  <c r="X165" i="28"/>
  <c r="X166" i="28"/>
  <c r="X167" i="28"/>
  <c r="X168" i="28"/>
  <c r="X169" i="28"/>
  <c r="X170" i="28"/>
  <c r="X171" i="28"/>
  <c r="X172" i="28"/>
  <c r="X173" i="28"/>
  <c r="X174" i="28"/>
  <c r="X175" i="28"/>
  <c r="X176" i="28"/>
  <c r="X177" i="28"/>
  <c r="X178" i="28"/>
  <c r="X179" i="28"/>
  <c r="X180" i="28"/>
  <c r="X181" i="28"/>
  <c r="X182" i="28"/>
  <c r="X183" i="28"/>
  <c r="X184" i="28"/>
  <c r="X185" i="28"/>
  <c r="X186" i="28"/>
  <c r="X187" i="28"/>
  <c r="X188" i="28"/>
  <c r="X189" i="28"/>
  <c r="X190" i="28"/>
  <c r="X191" i="28"/>
  <c r="X192" i="28"/>
  <c r="X193" i="28"/>
  <c r="X194" i="28"/>
  <c r="X195" i="28"/>
  <c r="X196" i="28"/>
  <c r="X197" i="28"/>
  <c r="X198" i="28"/>
  <c r="X199" i="28"/>
  <c r="X200" i="28"/>
  <c r="X201" i="28"/>
  <c r="X202" i="28"/>
  <c r="X203" i="28"/>
  <c r="X204" i="28"/>
  <c r="X205" i="28"/>
  <c r="X206" i="28"/>
  <c r="X207" i="28"/>
  <c r="X208" i="28"/>
  <c r="X209" i="28"/>
  <c r="X210" i="28"/>
  <c r="X211" i="28"/>
  <c r="X212" i="28"/>
  <c r="X213" i="28"/>
  <c r="X214" i="28"/>
  <c r="X215" i="28"/>
  <c r="X216" i="28"/>
  <c r="X217" i="28"/>
  <c r="X218" i="28"/>
  <c r="X219" i="28"/>
  <c r="X220" i="28"/>
  <c r="X221" i="28"/>
  <c r="X222" i="28"/>
  <c r="X223" i="28"/>
  <c r="X224" i="28"/>
  <c r="X225" i="28"/>
  <c r="X226" i="28"/>
  <c r="X227" i="28"/>
  <c r="X228" i="28"/>
  <c r="X229" i="28"/>
  <c r="X230" i="28"/>
  <c r="X231" i="28"/>
  <c r="X232" i="28"/>
  <c r="X233" i="28"/>
  <c r="X234" i="28"/>
  <c r="X235" i="28"/>
  <c r="X236" i="28"/>
  <c r="X237" i="28"/>
  <c r="X238" i="28"/>
  <c r="X239" i="28"/>
  <c r="X240" i="28"/>
  <c r="X241" i="28"/>
  <c r="X242" i="28"/>
  <c r="X243" i="28"/>
  <c r="X244" i="28"/>
  <c r="X245" i="28"/>
  <c r="X246" i="28"/>
  <c r="X247" i="28"/>
  <c r="W129" i="28"/>
  <c r="W130" i="28"/>
  <c r="W131" i="28"/>
  <c r="W132" i="28"/>
  <c r="W133" i="28"/>
  <c r="W134" i="28"/>
  <c r="W135" i="28"/>
  <c r="W136" i="28"/>
  <c r="W137" i="28"/>
  <c r="W138" i="28"/>
  <c r="W139" i="28"/>
  <c r="W140" i="28"/>
  <c r="W141" i="28"/>
  <c r="W142" i="28"/>
  <c r="W143" i="28"/>
  <c r="W144" i="28"/>
  <c r="W145" i="28"/>
  <c r="W146" i="28"/>
  <c r="W147" i="28"/>
  <c r="W148" i="28"/>
  <c r="W149" i="28"/>
  <c r="W150" i="28"/>
  <c r="W151" i="28"/>
  <c r="W152" i="28"/>
  <c r="W153" i="28"/>
  <c r="W154" i="28"/>
  <c r="W155" i="28"/>
  <c r="W156" i="28"/>
  <c r="W157" i="28"/>
  <c r="W158" i="28"/>
  <c r="W159" i="28"/>
  <c r="W160" i="28"/>
  <c r="W161" i="28"/>
  <c r="W162" i="28"/>
  <c r="W163" i="28"/>
  <c r="W164" i="28"/>
  <c r="W165" i="28"/>
  <c r="W166" i="28"/>
  <c r="W167" i="28"/>
  <c r="W168" i="28"/>
  <c r="W169" i="28"/>
  <c r="W170" i="28"/>
  <c r="W171" i="28"/>
  <c r="W172" i="28"/>
  <c r="W173" i="28"/>
  <c r="W174" i="28"/>
  <c r="W175" i="28"/>
  <c r="W176" i="28"/>
  <c r="W177" i="28"/>
  <c r="W178" i="28"/>
  <c r="W179" i="28"/>
  <c r="W180" i="28"/>
  <c r="W181" i="28"/>
  <c r="W182" i="28"/>
  <c r="W183" i="28"/>
  <c r="W184" i="28"/>
  <c r="W185" i="28"/>
  <c r="W186" i="28"/>
  <c r="W187" i="28"/>
  <c r="W188" i="28"/>
  <c r="W189" i="28"/>
  <c r="W190" i="28"/>
  <c r="W191" i="28"/>
  <c r="W192" i="28"/>
  <c r="W193" i="28"/>
  <c r="W194" i="28"/>
  <c r="W195" i="28"/>
  <c r="W196" i="28"/>
  <c r="W197" i="28"/>
  <c r="W198" i="28"/>
  <c r="W199" i="28"/>
  <c r="W200" i="28"/>
  <c r="W201" i="28"/>
  <c r="W202" i="28"/>
  <c r="W203" i="28"/>
  <c r="W204" i="28"/>
  <c r="W205" i="28"/>
  <c r="W206" i="28"/>
  <c r="W207" i="28"/>
  <c r="W208" i="28"/>
  <c r="W209" i="28"/>
  <c r="W210" i="28"/>
  <c r="W211" i="28"/>
  <c r="W212" i="28"/>
  <c r="W213" i="28"/>
  <c r="W214" i="28"/>
  <c r="W215" i="28"/>
  <c r="W216" i="28"/>
  <c r="W217" i="28"/>
  <c r="W218" i="28"/>
  <c r="W219" i="28"/>
  <c r="W220" i="28"/>
  <c r="W221" i="28"/>
  <c r="W222" i="28"/>
  <c r="W223" i="28"/>
  <c r="W224" i="28"/>
  <c r="W225" i="28"/>
  <c r="W226" i="28"/>
  <c r="W227" i="28"/>
  <c r="W228" i="28"/>
  <c r="W229" i="28"/>
  <c r="W230" i="28"/>
  <c r="W231" i="28"/>
  <c r="W232" i="28"/>
  <c r="W233" i="28"/>
  <c r="W234" i="28"/>
  <c r="W235" i="28"/>
  <c r="W236" i="28"/>
  <c r="W237" i="28"/>
  <c r="W238" i="28"/>
  <c r="W239" i="28"/>
  <c r="W240" i="28"/>
  <c r="W241" i="28"/>
  <c r="W242" i="28"/>
  <c r="W243" i="28"/>
  <c r="W244" i="28"/>
  <c r="W245" i="28"/>
  <c r="W246" i="28"/>
  <c r="W247" i="28"/>
  <c r="V129" i="28"/>
  <c r="V130" i="28"/>
  <c r="V131" i="28"/>
  <c r="V132" i="28"/>
  <c r="V133" i="28"/>
  <c r="V134" i="28"/>
  <c r="V135" i="28"/>
  <c r="V136" i="28"/>
  <c r="V137" i="28"/>
  <c r="V138" i="28"/>
  <c r="V139" i="28"/>
  <c r="V140" i="28"/>
  <c r="V141" i="28"/>
  <c r="V142" i="28"/>
  <c r="V143" i="28"/>
  <c r="V144" i="28"/>
  <c r="V145" i="28"/>
  <c r="V146" i="28"/>
  <c r="V147" i="28"/>
  <c r="V148" i="28"/>
  <c r="V149" i="28"/>
  <c r="V150" i="28"/>
  <c r="V151" i="28"/>
  <c r="V152" i="28"/>
  <c r="V153" i="28"/>
  <c r="V154" i="28"/>
  <c r="V155" i="28"/>
  <c r="V156" i="28"/>
  <c r="V157" i="28"/>
  <c r="V158" i="28"/>
  <c r="V159" i="28"/>
  <c r="V160" i="28"/>
  <c r="V161" i="28"/>
  <c r="V162" i="28"/>
  <c r="V163" i="28"/>
  <c r="V164" i="28"/>
  <c r="V165" i="28"/>
  <c r="V166" i="28"/>
  <c r="V167" i="28"/>
  <c r="V168" i="28"/>
  <c r="V169" i="28"/>
  <c r="V170" i="28"/>
  <c r="V171" i="28"/>
  <c r="V172" i="28"/>
  <c r="V173" i="28"/>
  <c r="V174" i="28"/>
  <c r="V175" i="28"/>
  <c r="V176" i="28"/>
  <c r="V177" i="28"/>
  <c r="V178" i="28"/>
  <c r="V179" i="28"/>
  <c r="V180" i="28"/>
  <c r="V181" i="28"/>
  <c r="V182" i="28"/>
  <c r="V183" i="28"/>
  <c r="V184" i="28"/>
  <c r="V185" i="28"/>
  <c r="V186" i="28"/>
  <c r="V187" i="28"/>
  <c r="V188" i="28"/>
  <c r="V189" i="28"/>
  <c r="V190" i="28"/>
  <c r="V191" i="28"/>
  <c r="V192" i="28"/>
  <c r="V193" i="28"/>
  <c r="V194" i="28"/>
  <c r="V195" i="28"/>
  <c r="V196" i="28"/>
  <c r="V197" i="28"/>
  <c r="V198" i="28"/>
  <c r="V199" i="28"/>
  <c r="V200" i="28"/>
  <c r="V201" i="28"/>
  <c r="V202" i="28"/>
  <c r="V203" i="28"/>
  <c r="V204" i="28"/>
  <c r="V205" i="28"/>
  <c r="V206" i="28"/>
  <c r="V207" i="28"/>
  <c r="V208" i="28"/>
  <c r="V209" i="28"/>
  <c r="V210" i="28"/>
  <c r="V211" i="28"/>
  <c r="V212" i="28"/>
  <c r="V213" i="28"/>
  <c r="V214" i="28"/>
  <c r="V215" i="28"/>
  <c r="V216" i="28"/>
  <c r="V217" i="28"/>
  <c r="V218" i="28"/>
  <c r="V219" i="28"/>
  <c r="V220" i="28"/>
  <c r="V221" i="28"/>
  <c r="V222" i="28"/>
  <c r="V223" i="28"/>
  <c r="V224" i="28"/>
  <c r="V225" i="28"/>
  <c r="V226" i="28"/>
  <c r="V227" i="28"/>
  <c r="V228" i="28"/>
  <c r="V229" i="28"/>
  <c r="V230" i="28"/>
  <c r="V231" i="28"/>
  <c r="V232" i="28"/>
  <c r="V233" i="28"/>
  <c r="V234" i="28"/>
  <c r="V235" i="28"/>
  <c r="V236" i="28"/>
  <c r="V237" i="28"/>
  <c r="V238" i="28"/>
  <c r="V239" i="28"/>
  <c r="V240" i="28"/>
  <c r="V241" i="28"/>
  <c r="V242" i="28"/>
  <c r="V243" i="28"/>
  <c r="V244" i="28"/>
  <c r="V245" i="28"/>
  <c r="V246" i="28"/>
  <c r="V247" i="28"/>
  <c r="U129" i="28"/>
  <c r="U130" i="28"/>
  <c r="U131" i="28"/>
  <c r="U132" i="28"/>
  <c r="U133" i="28"/>
  <c r="U134" i="28"/>
  <c r="U135" i="28"/>
  <c r="U136" i="28"/>
  <c r="U137" i="28"/>
  <c r="U138" i="28"/>
  <c r="U139" i="28"/>
  <c r="U140" i="28"/>
  <c r="U141" i="28"/>
  <c r="U142" i="28"/>
  <c r="U143" i="28"/>
  <c r="U144" i="28"/>
  <c r="U145" i="28"/>
  <c r="U146" i="28"/>
  <c r="U147" i="28"/>
  <c r="U148" i="28"/>
  <c r="U149" i="28"/>
  <c r="U150" i="28"/>
  <c r="U151" i="28"/>
  <c r="U152" i="28"/>
  <c r="U153" i="28"/>
  <c r="U154" i="28"/>
  <c r="U155" i="28"/>
  <c r="U156" i="28"/>
  <c r="U157" i="28"/>
  <c r="U158" i="28"/>
  <c r="U159" i="28"/>
  <c r="U160" i="28"/>
  <c r="U161" i="28"/>
  <c r="U162" i="28"/>
  <c r="U163" i="28"/>
  <c r="U164" i="28"/>
  <c r="U165" i="28"/>
  <c r="U166" i="28"/>
  <c r="U167" i="28"/>
  <c r="U168" i="28"/>
  <c r="U169" i="28"/>
  <c r="U170" i="28"/>
  <c r="U171" i="28"/>
  <c r="U172" i="28"/>
  <c r="U173" i="28"/>
  <c r="U174" i="28"/>
  <c r="U175" i="28"/>
  <c r="U176" i="28"/>
  <c r="U177" i="28"/>
  <c r="U178" i="28"/>
  <c r="U179" i="28"/>
  <c r="U180" i="28"/>
  <c r="U181" i="28"/>
  <c r="U182" i="28"/>
  <c r="U183" i="28"/>
  <c r="U184" i="28"/>
  <c r="U185" i="28"/>
  <c r="U186" i="28"/>
  <c r="U187" i="28"/>
  <c r="U188" i="28"/>
  <c r="U189" i="28"/>
  <c r="U190" i="28"/>
  <c r="U191" i="28"/>
  <c r="U192" i="28"/>
  <c r="U193" i="28"/>
  <c r="U194" i="28"/>
  <c r="U195" i="28"/>
  <c r="U196" i="28"/>
  <c r="U197" i="28"/>
  <c r="U198" i="28"/>
  <c r="U199" i="28"/>
  <c r="U200" i="28"/>
  <c r="U201" i="28"/>
  <c r="U202" i="28"/>
  <c r="U203" i="28"/>
  <c r="U204" i="28"/>
  <c r="U205" i="28"/>
  <c r="U206" i="28"/>
  <c r="U207" i="28"/>
  <c r="U208" i="28"/>
  <c r="U209" i="28"/>
  <c r="U210" i="28"/>
  <c r="U211" i="28"/>
  <c r="U212" i="28"/>
  <c r="U213" i="28"/>
  <c r="U214" i="28"/>
  <c r="U215" i="28"/>
  <c r="U216" i="28"/>
  <c r="U217" i="28"/>
  <c r="U218" i="28"/>
  <c r="U219" i="28"/>
  <c r="U220" i="28"/>
  <c r="U221" i="28"/>
  <c r="U222" i="28"/>
  <c r="U223" i="28"/>
  <c r="U224" i="28"/>
  <c r="U225" i="28"/>
  <c r="U226" i="28"/>
  <c r="U227" i="28"/>
  <c r="U228" i="28"/>
  <c r="U229" i="28"/>
  <c r="U230" i="28"/>
  <c r="U231" i="28"/>
  <c r="U232" i="28"/>
  <c r="U233" i="28"/>
  <c r="U234" i="28"/>
  <c r="U235" i="28"/>
  <c r="U236" i="28"/>
  <c r="U237" i="28"/>
  <c r="U238" i="28"/>
  <c r="U239" i="28"/>
  <c r="U240" i="28"/>
  <c r="U241" i="28"/>
  <c r="U242" i="28"/>
  <c r="U243" i="28"/>
  <c r="U244" i="28"/>
  <c r="U245" i="28"/>
  <c r="U246" i="28"/>
  <c r="U247" i="28"/>
  <c r="N208" i="28"/>
  <c r="N173" i="28"/>
  <c r="N205" i="28"/>
  <c r="N191" i="28"/>
  <c r="N186" i="28"/>
  <c r="N154" i="28"/>
  <c r="N188" i="28"/>
  <c r="N156" i="28"/>
  <c r="N203" i="28"/>
  <c r="N167" i="28"/>
  <c r="N243" i="28"/>
  <c r="N131" i="28"/>
  <c r="N129" i="28"/>
  <c r="N132" i="28"/>
  <c r="N135" i="28"/>
  <c r="N137" i="28"/>
  <c r="N140" i="28"/>
  <c r="N158" i="28"/>
  <c r="N139" i="28"/>
  <c r="N152" i="28"/>
  <c r="N134" i="28"/>
  <c r="N157" i="28"/>
  <c r="N144" i="28"/>
  <c r="N147" i="28"/>
  <c r="N150" i="28"/>
  <c r="N165" i="28"/>
  <c r="N148" i="28"/>
  <c r="N136" i="28"/>
  <c r="N130" i="28"/>
  <c r="N162" i="28"/>
  <c r="N153" i="28"/>
  <c r="N176" i="28"/>
  <c r="N241" i="28"/>
  <c r="N180" i="28"/>
  <c r="N172" i="28"/>
  <c r="N177" i="28"/>
  <c r="N159" i="28"/>
  <c r="N151" i="28"/>
  <c r="N168" i="28"/>
  <c r="N178" i="28"/>
  <c r="N181" i="28"/>
  <c r="N199" i="28"/>
  <c r="N160" i="28"/>
  <c r="N174" i="28"/>
  <c r="N155" i="28"/>
  <c r="N145" i="28"/>
  <c r="N149" i="28"/>
  <c r="N133" i="28"/>
  <c r="N164" i="28"/>
  <c r="N141" i="28"/>
  <c r="N142" i="28"/>
  <c r="N143" i="28"/>
  <c r="N146" i="28"/>
  <c r="N166" i="28"/>
  <c r="N179" i="28"/>
  <c r="N197" i="28"/>
  <c r="N239" i="28"/>
  <c r="N222" i="28"/>
  <c r="N242" i="28"/>
  <c r="N201" i="28"/>
  <c r="N170" i="28"/>
  <c r="N183" i="28"/>
  <c r="N200" i="28"/>
  <c r="N184" i="28"/>
  <c r="N138" i="28"/>
  <c r="N232" i="28"/>
  <c r="N231" i="28"/>
  <c r="N213" i="28"/>
  <c r="N225" i="28"/>
  <c r="N247" i="28"/>
  <c r="N226" i="28"/>
  <c r="N236" i="28"/>
  <c r="N223" i="28"/>
  <c r="N234" i="28"/>
  <c r="N228" i="28"/>
  <c r="N237" i="28"/>
  <c r="N245" i="28"/>
  <c r="N229" i="28"/>
  <c r="N238" i="28"/>
  <c r="N207" i="28"/>
  <c r="N202" i="28"/>
  <c r="N218" i="28"/>
  <c r="N233" i="28"/>
  <c r="N224" i="28"/>
  <c r="N215" i="28"/>
  <c r="N230" i="28"/>
  <c r="N221" i="28"/>
  <c r="N216" i="28"/>
  <c r="N192" i="28"/>
  <c r="N182" i="28"/>
  <c r="N196" i="28"/>
  <c r="N204" i="28"/>
  <c r="N171" i="28"/>
  <c r="N240" i="28"/>
  <c r="N195" i="28"/>
  <c r="N217" i="28"/>
  <c r="N212" i="28"/>
  <c r="N220" i="28"/>
  <c r="N211" i="28"/>
  <c r="N163" i="28"/>
  <c r="N169" i="28"/>
  <c r="N175" i="28"/>
  <c r="N161" i="28"/>
  <c r="N185" i="28"/>
  <c r="N214" i="28"/>
  <c r="N219" i="28"/>
  <c r="N246" i="28"/>
  <c r="N209" i="28"/>
  <c r="N244" i="28"/>
  <c r="N235" i="28"/>
  <c r="N198" i="28"/>
  <c r="N227" i="28"/>
  <c r="N210" i="28"/>
  <c r="N193" i="28"/>
  <c r="N194" i="28"/>
  <c r="N206" i="28"/>
  <c r="N187" i="28"/>
  <c r="N189" i="28"/>
  <c r="N190" i="28"/>
  <c r="AD103" i="27" l="1"/>
  <c r="AD104" i="27"/>
  <c r="AD105" i="27"/>
  <c r="AD106" i="27"/>
  <c r="AD107" i="27"/>
  <c r="AD108" i="27"/>
  <c r="AD109" i="27"/>
  <c r="AD110" i="27"/>
  <c r="AD111" i="27"/>
  <c r="AD112" i="27"/>
  <c r="AD113" i="27"/>
  <c r="AD114" i="27"/>
  <c r="AD115" i="27"/>
  <c r="AD116" i="27"/>
  <c r="AD117" i="27"/>
  <c r="AD118" i="27"/>
  <c r="AD119" i="27"/>
  <c r="AD120" i="27"/>
  <c r="AD121" i="27"/>
  <c r="AD122" i="27"/>
  <c r="AD123" i="27"/>
  <c r="AD124" i="27"/>
  <c r="AD125" i="27"/>
  <c r="AD126" i="27"/>
  <c r="AD127" i="27"/>
  <c r="AD128" i="27"/>
  <c r="AD129" i="27"/>
  <c r="AD130" i="27"/>
  <c r="AD131" i="27"/>
  <c r="AD132" i="27"/>
  <c r="AD133" i="27"/>
  <c r="AD134" i="27"/>
  <c r="AD135" i="27"/>
  <c r="AD136" i="27"/>
  <c r="AD137" i="27"/>
  <c r="AD138" i="27"/>
  <c r="AD139" i="27"/>
  <c r="AD140" i="27"/>
  <c r="AD141" i="27"/>
  <c r="AD142" i="27"/>
  <c r="AD143" i="27"/>
  <c r="AD144" i="27"/>
  <c r="AD145" i="27"/>
  <c r="AD146" i="27"/>
  <c r="AD147" i="27"/>
  <c r="AD148" i="27"/>
  <c r="AD149" i="27"/>
  <c r="AD150" i="27"/>
  <c r="AD151" i="27"/>
  <c r="AD152" i="27"/>
  <c r="AD153" i="27"/>
  <c r="AD154" i="27"/>
  <c r="AD155" i="27"/>
  <c r="AD156" i="27"/>
  <c r="AD157" i="27"/>
  <c r="AD158" i="27"/>
  <c r="AD159" i="27"/>
  <c r="AD160" i="27"/>
  <c r="AD161" i="27"/>
  <c r="AD162" i="27"/>
  <c r="AD163" i="27"/>
  <c r="AD164" i="27"/>
  <c r="AD165" i="27"/>
  <c r="AD166" i="27"/>
  <c r="AD167" i="27"/>
  <c r="AD168" i="27"/>
  <c r="AD169" i="27"/>
  <c r="AD170" i="27"/>
  <c r="AD171" i="27"/>
  <c r="AD172" i="27"/>
  <c r="AD173" i="27"/>
  <c r="AD174" i="27"/>
  <c r="AD175" i="27"/>
  <c r="AD176" i="27"/>
  <c r="AD177" i="27"/>
  <c r="AD178" i="27"/>
  <c r="AD179" i="27"/>
  <c r="AD180" i="27"/>
  <c r="AD181" i="27"/>
  <c r="AD182" i="27"/>
  <c r="AD183" i="27"/>
  <c r="AD184" i="27"/>
  <c r="AD185" i="27"/>
  <c r="AD186" i="27"/>
  <c r="AD187" i="27"/>
  <c r="AD188" i="27"/>
  <c r="AD189" i="27"/>
  <c r="AD190" i="27"/>
  <c r="AD191" i="27"/>
  <c r="AD192" i="27"/>
  <c r="AD193" i="27"/>
  <c r="AD194" i="27"/>
  <c r="AD102" i="27"/>
  <c r="AA102" i="27"/>
  <c r="AA103" i="27"/>
  <c r="AA104" i="27"/>
  <c r="AA105" i="27"/>
  <c r="AA106" i="27"/>
  <c r="AA107" i="27"/>
  <c r="AA108" i="27"/>
  <c r="AA109" i="27"/>
  <c r="AA110" i="27"/>
  <c r="AA111" i="27"/>
  <c r="AA112" i="27"/>
  <c r="AA113" i="27"/>
  <c r="AA114" i="27"/>
  <c r="AA115" i="27"/>
  <c r="AA116" i="27"/>
  <c r="AA117" i="27"/>
  <c r="AA118" i="27"/>
  <c r="AA119" i="27"/>
  <c r="AA120" i="27"/>
  <c r="AA121" i="27"/>
  <c r="AA122" i="27"/>
  <c r="AA123" i="27"/>
  <c r="AA124" i="27"/>
  <c r="AA125" i="27"/>
  <c r="AA126" i="27"/>
  <c r="AA127" i="27"/>
  <c r="AA128" i="27"/>
  <c r="AA129" i="27"/>
  <c r="AA130" i="27"/>
  <c r="AA131" i="27"/>
  <c r="AA132" i="27"/>
  <c r="AA133" i="27"/>
  <c r="AA134" i="27"/>
  <c r="AA135" i="27"/>
  <c r="AA136" i="27"/>
  <c r="AA137" i="27"/>
  <c r="AA138" i="27"/>
  <c r="AA139" i="27"/>
  <c r="AA140" i="27"/>
  <c r="AA141" i="27"/>
  <c r="AA142" i="27"/>
  <c r="AA143" i="27"/>
  <c r="AA144" i="27"/>
  <c r="AA145" i="27"/>
  <c r="AA146" i="27"/>
  <c r="AA147" i="27"/>
  <c r="AA148" i="27"/>
  <c r="AA149" i="27"/>
  <c r="AA150" i="27"/>
  <c r="AA151" i="27"/>
  <c r="AA152" i="27"/>
  <c r="AA153" i="27"/>
  <c r="AA154" i="27"/>
  <c r="AA155" i="27"/>
  <c r="AA156" i="27"/>
  <c r="AA157" i="27"/>
  <c r="AA158" i="27"/>
  <c r="AA159" i="27"/>
  <c r="AA160" i="27"/>
  <c r="AA161" i="27"/>
  <c r="AA162" i="27"/>
  <c r="AA163" i="27"/>
  <c r="AA164" i="27"/>
  <c r="AA165" i="27"/>
  <c r="AA166" i="27"/>
  <c r="AA167" i="27"/>
  <c r="AA168" i="27"/>
  <c r="AA169" i="27"/>
  <c r="AA170" i="27"/>
  <c r="AA171" i="27"/>
  <c r="AA172" i="27"/>
  <c r="AA173" i="27"/>
  <c r="AA174" i="27"/>
  <c r="AA175" i="27"/>
  <c r="AA176" i="27"/>
  <c r="AA177" i="27"/>
  <c r="AA178" i="27"/>
  <c r="AA179" i="27"/>
  <c r="AA180" i="27"/>
  <c r="AA181" i="27"/>
  <c r="AA182" i="27"/>
  <c r="AA183" i="27"/>
  <c r="AA184" i="27"/>
  <c r="AA185" i="27"/>
  <c r="AA186" i="27"/>
  <c r="AA187" i="27"/>
  <c r="AA188" i="27"/>
  <c r="AA189" i="27"/>
  <c r="AA190" i="27"/>
  <c r="AA191" i="27"/>
  <c r="AA192" i="27"/>
  <c r="AA193" i="27"/>
  <c r="AA194" i="27"/>
  <c r="Z102" i="27"/>
  <c r="Z103" i="27"/>
  <c r="Z104" i="27"/>
  <c r="Z105" i="27"/>
  <c r="Z106" i="27"/>
  <c r="Z107" i="27"/>
  <c r="Z108" i="27"/>
  <c r="Z109" i="27"/>
  <c r="Z110" i="27"/>
  <c r="Z111" i="27"/>
  <c r="Z112" i="27"/>
  <c r="Z113" i="27"/>
  <c r="Z114" i="27"/>
  <c r="Z115" i="27"/>
  <c r="Z116" i="27"/>
  <c r="Z117" i="27"/>
  <c r="Z118" i="27"/>
  <c r="Z119" i="27"/>
  <c r="Z120" i="27"/>
  <c r="Z121" i="27"/>
  <c r="Z122" i="27"/>
  <c r="Z123" i="27"/>
  <c r="Z124" i="27"/>
  <c r="Z125" i="27"/>
  <c r="Z126" i="27"/>
  <c r="Z127" i="27"/>
  <c r="Z128" i="27"/>
  <c r="Z129" i="27"/>
  <c r="Z130" i="27"/>
  <c r="Z131" i="27"/>
  <c r="Z132" i="27"/>
  <c r="Z133" i="27"/>
  <c r="Z134" i="27"/>
  <c r="Z135" i="27"/>
  <c r="Z136" i="27"/>
  <c r="Z137" i="27"/>
  <c r="Z138" i="27"/>
  <c r="Z139" i="27"/>
  <c r="Z140" i="27"/>
  <c r="Z141" i="27"/>
  <c r="Z142" i="27"/>
  <c r="Z143" i="27"/>
  <c r="Z144" i="27"/>
  <c r="Z145" i="27"/>
  <c r="Z146" i="27"/>
  <c r="Z147" i="27"/>
  <c r="Z148" i="27"/>
  <c r="Z149" i="27"/>
  <c r="Z150" i="27"/>
  <c r="Z151" i="27"/>
  <c r="Z152" i="27"/>
  <c r="Z153" i="27"/>
  <c r="Z154" i="27"/>
  <c r="Z155" i="27"/>
  <c r="Z156" i="27"/>
  <c r="Z157" i="27"/>
  <c r="Z158" i="27"/>
  <c r="Z159" i="27"/>
  <c r="Z160" i="27"/>
  <c r="Z161" i="27"/>
  <c r="Z162" i="27"/>
  <c r="Z163" i="27"/>
  <c r="Z164" i="27"/>
  <c r="Z165" i="27"/>
  <c r="Z166" i="27"/>
  <c r="Z167" i="27"/>
  <c r="Z168" i="27"/>
  <c r="Z169" i="27"/>
  <c r="Z170" i="27"/>
  <c r="Z171" i="27"/>
  <c r="Z172" i="27"/>
  <c r="Z173" i="27"/>
  <c r="Z174" i="27"/>
  <c r="Z175" i="27"/>
  <c r="Z176" i="27"/>
  <c r="Z177" i="27"/>
  <c r="Z178" i="27"/>
  <c r="Z179" i="27"/>
  <c r="Z180" i="27"/>
  <c r="Z181" i="27"/>
  <c r="Z182" i="27"/>
  <c r="Z183" i="27"/>
  <c r="Z184" i="27"/>
  <c r="Z185" i="27"/>
  <c r="Z186" i="27"/>
  <c r="Z187" i="27"/>
  <c r="Z188" i="27"/>
  <c r="Z189" i="27"/>
  <c r="Z190" i="27"/>
  <c r="Z191" i="27"/>
  <c r="Z192" i="27"/>
  <c r="Z193" i="27"/>
  <c r="Z194" i="27"/>
  <c r="Y102" i="27"/>
  <c r="Y103" i="27"/>
  <c r="Y104" i="27"/>
  <c r="Y105" i="27"/>
  <c r="Y106" i="27"/>
  <c r="Y107" i="27"/>
  <c r="Y108" i="27"/>
  <c r="Y109" i="27"/>
  <c r="Y110" i="27"/>
  <c r="Y111" i="27"/>
  <c r="Y112" i="27"/>
  <c r="Y113" i="27"/>
  <c r="Y114" i="27"/>
  <c r="Y115" i="27"/>
  <c r="Y116" i="27"/>
  <c r="Y117" i="27"/>
  <c r="Y118" i="27"/>
  <c r="Y119" i="27"/>
  <c r="Y120" i="27"/>
  <c r="Y121" i="27"/>
  <c r="Y122" i="27"/>
  <c r="Y123" i="27"/>
  <c r="Y124" i="27"/>
  <c r="Y125" i="27"/>
  <c r="Y126" i="27"/>
  <c r="Y127" i="27"/>
  <c r="Y128" i="27"/>
  <c r="Y129" i="27"/>
  <c r="Y130" i="27"/>
  <c r="Y131" i="27"/>
  <c r="Y132" i="27"/>
  <c r="Y133" i="27"/>
  <c r="Y134" i="27"/>
  <c r="Y135" i="27"/>
  <c r="Y136" i="27"/>
  <c r="Y137" i="27"/>
  <c r="Y138" i="27"/>
  <c r="Y139" i="27"/>
  <c r="Y140" i="27"/>
  <c r="Y141" i="27"/>
  <c r="Y142" i="27"/>
  <c r="Y143" i="27"/>
  <c r="Y144" i="27"/>
  <c r="Y145" i="27"/>
  <c r="Y146" i="27"/>
  <c r="Y147" i="27"/>
  <c r="Y148" i="27"/>
  <c r="Y149" i="27"/>
  <c r="Y150" i="27"/>
  <c r="Y151" i="27"/>
  <c r="Y152" i="27"/>
  <c r="Y153" i="27"/>
  <c r="Y154" i="27"/>
  <c r="Y155" i="27"/>
  <c r="Y156" i="27"/>
  <c r="Y157" i="27"/>
  <c r="Y158" i="27"/>
  <c r="Y159" i="27"/>
  <c r="Y160" i="27"/>
  <c r="Y161" i="27"/>
  <c r="Y162" i="27"/>
  <c r="Y163" i="27"/>
  <c r="Y164" i="27"/>
  <c r="Y165" i="27"/>
  <c r="Y166" i="27"/>
  <c r="Y167" i="27"/>
  <c r="Y168" i="27"/>
  <c r="Y169" i="27"/>
  <c r="Y170" i="27"/>
  <c r="Y171" i="27"/>
  <c r="Y172" i="27"/>
  <c r="Y173" i="27"/>
  <c r="Y174" i="27"/>
  <c r="Y175" i="27"/>
  <c r="Y176" i="27"/>
  <c r="Y177" i="27"/>
  <c r="Y178" i="27"/>
  <c r="Y179" i="27"/>
  <c r="Y180" i="27"/>
  <c r="Y181" i="27"/>
  <c r="Y182" i="27"/>
  <c r="Y183" i="27"/>
  <c r="Y184" i="27"/>
  <c r="Y185" i="27"/>
  <c r="Y186" i="27"/>
  <c r="Y187" i="27"/>
  <c r="Y188" i="27"/>
  <c r="Y189" i="27"/>
  <c r="Y190" i="27"/>
  <c r="Y191" i="27"/>
  <c r="Y192" i="27"/>
  <c r="Y193" i="27"/>
  <c r="Y194" i="27"/>
  <c r="X102" i="27"/>
  <c r="X103" i="27"/>
  <c r="X104" i="27"/>
  <c r="X105" i="27"/>
  <c r="X106" i="27"/>
  <c r="X107" i="27"/>
  <c r="X108" i="27"/>
  <c r="X109" i="27"/>
  <c r="X110" i="27"/>
  <c r="X111" i="27"/>
  <c r="X112" i="27"/>
  <c r="X113" i="27"/>
  <c r="X114" i="27"/>
  <c r="X115" i="27"/>
  <c r="X116" i="27"/>
  <c r="X117" i="27"/>
  <c r="X118" i="27"/>
  <c r="X119" i="27"/>
  <c r="X120" i="27"/>
  <c r="X121" i="27"/>
  <c r="X122" i="27"/>
  <c r="X123" i="27"/>
  <c r="X124" i="27"/>
  <c r="X125" i="27"/>
  <c r="X126" i="27"/>
  <c r="X127" i="27"/>
  <c r="X128" i="27"/>
  <c r="X129" i="27"/>
  <c r="X130" i="27"/>
  <c r="X131" i="27"/>
  <c r="X132" i="27"/>
  <c r="X133" i="27"/>
  <c r="X134" i="27"/>
  <c r="X135" i="27"/>
  <c r="X136" i="27"/>
  <c r="X137" i="27"/>
  <c r="X138" i="27"/>
  <c r="X139" i="27"/>
  <c r="X140" i="27"/>
  <c r="X141" i="27"/>
  <c r="X142" i="27"/>
  <c r="X143" i="27"/>
  <c r="X144" i="27"/>
  <c r="X145" i="27"/>
  <c r="X146" i="27"/>
  <c r="X147" i="27"/>
  <c r="X148" i="27"/>
  <c r="X149" i="27"/>
  <c r="X150" i="27"/>
  <c r="X151" i="27"/>
  <c r="X152" i="27"/>
  <c r="X153" i="27"/>
  <c r="X154" i="27"/>
  <c r="X155" i="27"/>
  <c r="X156" i="27"/>
  <c r="X157" i="27"/>
  <c r="X158" i="27"/>
  <c r="X159" i="27"/>
  <c r="X160" i="27"/>
  <c r="X161" i="27"/>
  <c r="X162" i="27"/>
  <c r="X163" i="27"/>
  <c r="X164" i="27"/>
  <c r="X165" i="27"/>
  <c r="X166" i="27"/>
  <c r="X167" i="27"/>
  <c r="X168" i="27"/>
  <c r="X169" i="27"/>
  <c r="X170" i="27"/>
  <c r="X171" i="27"/>
  <c r="X172" i="27"/>
  <c r="X173" i="27"/>
  <c r="X174" i="27"/>
  <c r="X175" i="27"/>
  <c r="X176" i="27"/>
  <c r="X177" i="27"/>
  <c r="X178" i="27"/>
  <c r="X179" i="27"/>
  <c r="X180" i="27"/>
  <c r="X181" i="27"/>
  <c r="X182" i="27"/>
  <c r="X183" i="27"/>
  <c r="X184" i="27"/>
  <c r="X185" i="27"/>
  <c r="X186" i="27"/>
  <c r="X187" i="27"/>
  <c r="X188" i="27"/>
  <c r="X189" i="27"/>
  <c r="X190" i="27"/>
  <c r="X191" i="27"/>
  <c r="X192" i="27"/>
  <c r="X193" i="27"/>
  <c r="X194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U102" i="27"/>
  <c r="U103" i="27"/>
  <c r="U104" i="27"/>
  <c r="U105" i="27"/>
  <c r="U106" i="27"/>
  <c r="U107" i="27"/>
  <c r="U108" i="27"/>
  <c r="U109" i="27"/>
  <c r="U110" i="27"/>
  <c r="U111" i="27"/>
  <c r="U112" i="27"/>
  <c r="U113" i="27"/>
  <c r="U114" i="27"/>
  <c r="U115" i="27"/>
  <c r="U116" i="27"/>
  <c r="U117" i="27"/>
  <c r="U118" i="27"/>
  <c r="U119" i="27"/>
  <c r="U120" i="27"/>
  <c r="U121" i="27"/>
  <c r="U122" i="27"/>
  <c r="U123" i="27"/>
  <c r="U124" i="27"/>
  <c r="U125" i="27"/>
  <c r="U126" i="27"/>
  <c r="U127" i="27"/>
  <c r="U128" i="27"/>
  <c r="U129" i="27"/>
  <c r="U130" i="27"/>
  <c r="U131" i="27"/>
  <c r="U132" i="27"/>
  <c r="U133" i="27"/>
  <c r="U134" i="27"/>
  <c r="U135" i="27"/>
  <c r="U136" i="27"/>
  <c r="U137" i="27"/>
  <c r="U138" i="27"/>
  <c r="U139" i="27"/>
  <c r="U140" i="27"/>
  <c r="U141" i="27"/>
  <c r="U142" i="27"/>
  <c r="U143" i="27"/>
  <c r="U144" i="27"/>
  <c r="U145" i="27"/>
  <c r="U146" i="27"/>
  <c r="U147" i="27"/>
  <c r="U148" i="27"/>
  <c r="U149" i="27"/>
  <c r="U150" i="27"/>
  <c r="U151" i="27"/>
  <c r="U152" i="27"/>
  <c r="U153" i="27"/>
  <c r="U154" i="27"/>
  <c r="U155" i="27"/>
  <c r="U156" i="27"/>
  <c r="U157" i="27"/>
  <c r="U158" i="27"/>
  <c r="U159" i="27"/>
  <c r="U160" i="27"/>
  <c r="U161" i="27"/>
  <c r="U162" i="27"/>
  <c r="U163" i="27"/>
  <c r="U164" i="27"/>
  <c r="U165" i="27"/>
  <c r="U166" i="27"/>
  <c r="U167" i="27"/>
  <c r="U168" i="27"/>
  <c r="U169" i="27"/>
  <c r="U170" i="27"/>
  <c r="U171" i="27"/>
  <c r="U172" i="27"/>
  <c r="U173" i="27"/>
  <c r="U174" i="27"/>
  <c r="U175" i="27"/>
  <c r="U176" i="27"/>
  <c r="U177" i="27"/>
  <c r="U178" i="27"/>
  <c r="U179" i="27"/>
  <c r="U180" i="27"/>
  <c r="U181" i="27"/>
  <c r="U182" i="27"/>
  <c r="U183" i="27"/>
  <c r="U184" i="27"/>
  <c r="U185" i="27"/>
  <c r="U186" i="27"/>
  <c r="U187" i="27"/>
  <c r="U188" i="27"/>
  <c r="U189" i="27"/>
  <c r="U190" i="27"/>
  <c r="U191" i="27"/>
  <c r="U192" i="27"/>
  <c r="U193" i="27"/>
  <c r="U194" i="27"/>
  <c r="N153" i="27"/>
  <c r="N123" i="27"/>
  <c r="N130" i="27"/>
  <c r="N140" i="27"/>
  <c r="N116" i="27"/>
  <c r="N127" i="27"/>
  <c r="N126" i="27"/>
  <c r="N119" i="27"/>
  <c r="N133" i="27"/>
  <c r="N120" i="27"/>
  <c r="N128" i="27"/>
  <c r="N138" i="27"/>
  <c r="N124" i="27"/>
  <c r="N141" i="27"/>
  <c r="N129" i="27"/>
  <c r="N102" i="27"/>
  <c r="N103" i="27"/>
  <c r="N109" i="27"/>
  <c r="N110" i="27"/>
  <c r="N105" i="27"/>
  <c r="N108" i="27"/>
  <c r="N104" i="27"/>
  <c r="N107" i="27"/>
  <c r="N106" i="27"/>
  <c r="N125" i="27"/>
  <c r="N145" i="27"/>
  <c r="N161" i="27"/>
  <c r="N121" i="27"/>
  <c r="N162" i="27"/>
  <c r="N111" i="27"/>
  <c r="N163" i="27"/>
  <c r="N143" i="27"/>
  <c r="N131" i="27"/>
  <c r="N114" i="27"/>
  <c r="N156" i="27"/>
  <c r="N139" i="27"/>
  <c r="N164" i="27"/>
  <c r="N166" i="27"/>
  <c r="N137" i="27"/>
  <c r="N117" i="27"/>
  <c r="N144" i="27"/>
  <c r="N172" i="27"/>
  <c r="N151" i="27"/>
  <c r="N160" i="27"/>
  <c r="N159" i="27"/>
  <c r="N183" i="27"/>
  <c r="N169" i="27"/>
  <c r="N187" i="27"/>
  <c r="N115" i="27"/>
  <c r="N189" i="27"/>
  <c r="N191" i="27"/>
  <c r="N118" i="27"/>
  <c r="N170" i="27"/>
  <c r="N174" i="27"/>
  <c r="N180" i="27"/>
  <c r="N192" i="27"/>
  <c r="N182" i="27"/>
  <c r="N112" i="27"/>
  <c r="N146" i="27"/>
  <c r="N167" i="27"/>
  <c r="N179" i="27"/>
  <c r="N176" i="27"/>
  <c r="N185" i="27"/>
  <c r="N148" i="27"/>
  <c r="N147" i="27"/>
  <c r="N186" i="27"/>
  <c r="N188" i="27"/>
  <c r="N157" i="27"/>
  <c r="N178" i="27"/>
  <c r="N150" i="27"/>
  <c r="N171" i="27"/>
  <c r="N177" i="27"/>
  <c r="N181" i="27"/>
  <c r="N193" i="27"/>
  <c r="N158" i="27"/>
  <c r="N173" i="27"/>
  <c r="N152" i="27"/>
  <c r="N184" i="27"/>
  <c r="N175" i="27"/>
  <c r="N165" i="27"/>
  <c r="N113" i="27"/>
  <c r="N132" i="27"/>
  <c r="N155" i="27"/>
  <c r="N134" i="27"/>
  <c r="N135" i="27"/>
  <c r="N136" i="27"/>
  <c r="N149" i="27"/>
  <c r="N154" i="27"/>
  <c r="N122" i="27"/>
  <c r="N142" i="27"/>
  <c r="N190" i="27"/>
  <c r="N168" i="27"/>
  <c r="N194" i="27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Z93" i="26"/>
  <c r="AA93" i="26"/>
  <c r="AB93" i="26"/>
  <c r="AC93" i="26"/>
  <c r="AD93" i="26"/>
  <c r="AE93" i="26"/>
  <c r="AF93" i="26"/>
  <c r="AG93" i="26"/>
  <c r="AH93" i="26"/>
  <c r="AI93" i="26"/>
  <c r="AJ93" i="26"/>
  <c r="AK93" i="26"/>
  <c r="AL93" i="26"/>
  <c r="AM93" i="26"/>
  <c r="AN93" i="26"/>
  <c r="AO93" i="26"/>
  <c r="AP93" i="26"/>
  <c r="AQ93" i="26"/>
  <c r="AR93" i="26"/>
  <c r="AS93" i="26"/>
  <c r="AT93" i="26"/>
  <c r="AU93" i="26"/>
  <c r="AV93" i="26"/>
  <c r="AW93" i="26"/>
  <c r="AX93" i="26"/>
  <c r="AY93" i="26"/>
  <c r="AZ93" i="26"/>
  <c r="BA93" i="26"/>
  <c r="BB93" i="26"/>
  <c r="BC93" i="26"/>
  <c r="BD93" i="26"/>
  <c r="BE93" i="26"/>
  <c r="BF93" i="26"/>
  <c r="BG93" i="26"/>
  <c r="BH93" i="26"/>
  <c r="BI93" i="26"/>
  <c r="BJ93" i="26"/>
  <c r="BK93" i="26"/>
  <c r="BL93" i="26"/>
  <c r="BM93" i="26"/>
  <c r="BN93" i="26"/>
  <c r="BO93" i="26"/>
  <c r="BP93" i="26"/>
  <c r="BQ93" i="26"/>
  <c r="BR93" i="26"/>
  <c r="BS93" i="26"/>
  <c r="BT93" i="26"/>
  <c r="BU93" i="26"/>
  <c r="BV93" i="26"/>
  <c r="BW93" i="26"/>
  <c r="BX93" i="26"/>
  <c r="BY93" i="26"/>
  <c r="BZ93" i="26"/>
  <c r="CA93" i="26"/>
  <c r="CB93" i="26"/>
  <c r="CC93" i="26"/>
  <c r="CD93" i="26"/>
  <c r="CE93" i="26"/>
  <c r="CF93" i="26"/>
  <c r="CG93" i="26"/>
  <c r="CH93" i="26"/>
  <c r="CI93" i="26"/>
  <c r="CJ93" i="26"/>
  <c r="CK93" i="26"/>
  <c r="CL93" i="26"/>
  <c r="CM93" i="26"/>
  <c r="CN93" i="26"/>
  <c r="CO93" i="26"/>
  <c r="CP93" i="26"/>
  <c r="CQ93" i="26"/>
  <c r="CR93" i="26"/>
  <c r="CS93" i="26"/>
  <c r="CT93" i="26"/>
  <c r="CU93" i="26"/>
  <c r="CV93" i="26"/>
  <c r="CW93" i="26"/>
  <c r="CX93" i="26"/>
  <c r="CY93" i="26"/>
  <c r="CZ93" i="26"/>
  <c r="DA93" i="26"/>
  <c r="DB93" i="26"/>
  <c r="DC93" i="26"/>
  <c r="DD93" i="26"/>
  <c r="DE93" i="26"/>
  <c r="DF93" i="26"/>
  <c r="DG93" i="26"/>
  <c r="DH93" i="26"/>
  <c r="DI93" i="26"/>
  <c r="DJ93" i="26"/>
  <c r="DK93" i="26"/>
  <c r="DL93" i="26"/>
  <c r="DM93" i="26"/>
  <c r="DN93" i="26"/>
  <c r="DO93" i="26"/>
  <c r="DP93" i="26"/>
  <c r="DQ93" i="26"/>
  <c r="DR93" i="26"/>
  <c r="DS93" i="26"/>
  <c r="DT93" i="26"/>
  <c r="DU93" i="26"/>
  <c r="DV93" i="26"/>
  <c r="DW93" i="26"/>
  <c r="DX93" i="26"/>
  <c r="DY93" i="26"/>
  <c r="DZ93" i="26"/>
  <c r="EA93" i="26"/>
  <c r="EB93" i="26"/>
  <c r="EC93" i="26"/>
  <c r="ED93" i="26"/>
  <c r="EE93" i="26"/>
  <c r="EF93" i="26"/>
  <c r="EG93" i="26"/>
  <c r="EH93" i="26"/>
  <c r="EI93" i="26"/>
  <c r="EJ93" i="26"/>
  <c r="EK93" i="26"/>
  <c r="EL93" i="26"/>
  <c r="EM93" i="26"/>
  <c r="EN93" i="26"/>
  <c r="EO93" i="26"/>
  <c r="EP93" i="26"/>
  <c r="EQ93" i="26"/>
  <c r="ER93" i="26"/>
  <c r="ES93" i="26"/>
  <c r="ET93" i="26"/>
  <c r="EU93" i="26"/>
  <c r="EV93" i="26"/>
  <c r="EW93" i="26"/>
  <c r="EX93" i="26"/>
  <c r="EY93" i="26"/>
  <c r="EZ93" i="26"/>
  <c r="FA93" i="26"/>
  <c r="FB93" i="26"/>
  <c r="FC93" i="26"/>
  <c r="FD93" i="26"/>
  <c r="FE93" i="26"/>
  <c r="FF93" i="26"/>
  <c r="FG93" i="26"/>
  <c r="FH93" i="26"/>
  <c r="FI93" i="26"/>
  <c r="FJ93" i="26"/>
  <c r="FK93" i="26"/>
  <c r="FL93" i="26"/>
  <c r="FM93" i="26"/>
  <c r="FN93" i="26"/>
  <c r="FO93" i="26"/>
  <c r="FP93" i="26"/>
  <c r="FQ93" i="26"/>
  <c r="FR93" i="26"/>
  <c r="FS93" i="26"/>
  <c r="FT93" i="26"/>
  <c r="FU93" i="26"/>
  <c r="FV93" i="26"/>
  <c r="FW93" i="26"/>
  <c r="FX93" i="26"/>
  <c r="FY93" i="26"/>
  <c r="FZ93" i="26"/>
  <c r="GA93" i="26"/>
  <c r="GB93" i="26"/>
  <c r="GC93" i="26"/>
  <c r="GD93" i="26"/>
  <c r="GE93" i="26"/>
  <c r="GF93" i="26"/>
  <c r="GG93" i="26"/>
  <c r="GH93" i="26"/>
  <c r="GI93" i="26"/>
  <c r="GJ93" i="26"/>
  <c r="GK93" i="26"/>
  <c r="C93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Z92" i="26"/>
  <c r="AA92" i="26"/>
  <c r="AB92" i="26"/>
  <c r="AC92" i="26"/>
  <c r="AD92" i="26"/>
  <c r="AE92" i="26"/>
  <c r="AF92" i="26"/>
  <c r="AG92" i="26"/>
  <c r="AH92" i="26"/>
  <c r="AI92" i="26"/>
  <c r="AJ92" i="26"/>
  <c r="AK92" i="26"/>
  <c r="AL92" i="26"/>
  <c r="AM92" i="26"/>
  <c r="AN92" i="26"/>
  <c r="AO92" i="26"/>
  <c r="AP92" i="26"/>
  <c r="AQ92" i="26"/>
  <c r="AR92" i="26"/>
  <c r="AS92" i="26"/>
  <c r="AT92" i="26"/>
  <c r="AU92" i="26"/>
  <c r="AV92" i="26"/>
  <c r="AW92" i="26"/>
  <c r="AX92" i="26"/>
  <c r="AY92" i="26"/>
  <c r="AZ92" i="26"/>
  <c r="BA92" i="26"/>
  <c r="BB92" i="26"/>
  <c r="BC92" i="26"/>
  <c r="BD92" i="26"/>
  <c r="BE92" i="26"/>
  <c r="BF92" i="26"/>
  <c r="BG92" i="26"/>
  <c r="BH92" i="26"/>
  <c r="BI92" i="26"/>
  <c r="BJ92" i="26"/>
  <c r="BK92" i="26"/>
  <c r="BL92" i="26"/>
  <c r="BM92" i="26"/>
  <c r="BN92" i="26"/>
  <c r="BO92" i="26"/>
  <c r="BP92" i="26"/>
  <c r="BQ92" i="26"/>
  <c r="BR92" i="26"/>
  <c r="BS92" i="26"/>
  <c r="BT92" i="26"/>
  <c r="BU92" i="26"/>
  <c r="BV92" i="26"/>
  <c r="BW92" i="26"/>
  <c r="BX92" i="26"/>
  <c r="BY92" i="26"/>
  <c r="BZ92" i="26"/>
  <c r="CA92" i="26"/>
  <c r="CB92" i="26"/>
  <c r="CC92" i="26"/>
  <c r="CD92" i="26"/>
  <c r="CE92" i="26"/>
  <c r="CF92" i="26"/>
  <c r="CG92" i="26"/>
  <c r="CH92" i="26"/>
  <c r="CI92" i="26"/>
  <c r="CJ92" i="26"/>
  <c r="CK92" i="26"/>
  <c r="CL92" i="26"/>
  <c r="CM92" i="26"/>
  <c r="CN92" i="26"/>
  <c r="CO92" i="26"/>
  <c r="CP92" i="26"/>
  <c r="CQ92" i="26"/>
  <c r="CR92" i="26"/>
  <c r="CS92" i="26"/>
  <c r="CT92" i="26"/>
  <c r="CU92" i="26"/>
  <c r="CV92" i="26"/>
  <c r="CW92" i="26"/>
  <c r="CX92" i="26"/>
  <c r="CY92" i="26"/>
  <c r="CZ92" i="26"/>
  <c r="DA92" i="26"/>
  <c r="DB92" i="26"/>
  <c r="DC92" i="26"/>
  <c r="DD92" i="26"/>
  <c r="DE92" i="26"/>
  <c r="DF92" i="26"/>
  <c r="DG92" i="26"/>
  <c r="DH92" i="26"/>
  <c r="DI92" i="26"/>
  <c r="DJ92" i="26"/>
  <c r="DK92" i="26"/>
  <c r="DL92" i="26"/>
  <c r="DM92" i="26"/>
  <c r="DN92" i="26"/>
  <c r="DO92" i="26"/>
  <c r="DP92" i="26"/>
  <c r="DQ92" i="26"/>
  <c r="DR92" i="26"/>
  <c r="DS92" i="26"/>
  <c r="DT92" i="26"/>
  <c r="DU92" i="26"/>
  <c r="DV92" i="26"/>
  <c r="DW92" i="26"/>
  <c r="DX92" i="26"/>
  <c r="DY92" i="26"/>
  <c r="DZ92" i="26"/>
  <c r="EA92" i="26"/>
  <c r="EB92" i="26"/>
  <c r="EC92" i="26"/>
  <c r="ED92" i="26"/>
  <c r="EE92" i="26"/>
  <c r="EF92" i="26"/>
  <c r="EG92" i="26"/>
  <c r="EH92" i="26"/>
  <c r="EI92" i="26"/>
  <c r="EJ92" i="26"/>
  <c r="EK92" i="26"/>
  <c r="EL92" i="26"/>
  <c r="EM92" i="26"/>
  <c r="EN92" i="26"/>
  <c r="EO92" i="26"/>
  <c r="EP92" i="26"/>
  <c r="EQ92" i="26"/>
  <c r="ER92" i="26"/>
  <c r="ES92" i="26"/>
  <c r="ET92" i="26"/>
  <c r="EU92" i="26"/>
  <c r="EV92" i="26"/>
  <c r="EW92" i="26"/>
  <c r="EX92" i="26"/>
  <c r="EY92" i="26"/>
  <c r="EZ92" i="26"/>
  <c r="FA92" i="26"/>
  <c r="FB92" i="26"/>
  <c r="FC92" i="26"/>
  <c r="FD92" i="26"/>
  <c r="FE92" i="26"/>
  <c r="FF92" i="26"/>
  <c r="FG92" i="26"/>
  <c r="FH92" i="26"/>
  <c r="FI92" i="26"/>
  <c r="FJ92" i="26"/>
  <c r="FK92" i="26"/>
  <c r="FL92" i="26"/>
  <c r="FM92" i="26"/>
  <c r="FN92" i="26"/>
  <c r="FO92" i="26"/>
  <c r="FP92" i="26"/>
  <c r="FQ92" i="26"/>
  <c r="FR92" i="26"/>
  <c r="FS92" i="26"/>
  <c r="FT92" i="26"/>
  <c r="FU92" i="26"/>
  <c r="FV92" i="26"/>
  <c r="FW92" i="26"/>
  <c r="FX92" i="26"/>
  <c r="FY92" i="26"/>
  <c r="FZ92" i="26"/>
  <c r="GA92" i="26"/>
  <c r="GB92" i="26"/>
  <c r="GC92" i="26"/>
  <c r="GD92" i="26"/>
  <c r="GE92" i="26"/>
  <c r="GF92" i="26"/>
  <c r="GG92" i="26"/>
  <c r="GH92" i="26"/>
  <c r="GI92" i="26"/>
  <c r="GJ92" i="26"/>
  <c r="GK92" i="26"/>
  <c r="C92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Z91" i="26"/>
  <c r="AA91" i="26"/>
  <c r="AB91" i="26"/>
  <c r="AC91" i="26"/>
  <c r="AD91" i="26"/>
  <c r="AE91" i="26"/>
  <c r="AF91" i="26"/>
  <c r="AG91" i="26"/>
  <c r="AH91" i="26"/>
  <c r="AI91" i="26"/>
  <c r="AJ91" i="26"/>
  <c r="AK91" i="26"/>
  <c r="AL91" i="26"/>
  <c r="AM91" i="26"/>
  <c r="AN91" i="26"/>
  <c r="AO91" i="26"/>
  <c r="AP91" i="26"/>
  <c r="AQ91" i="26"/>
  <c r="AR91" i="26"/>
  <c r="AS91" i="26"/>
  <c r="AT91" i="26"/>
  <c r="AU91" i="26"/>
  <c r="AV91" i="26"/>
  <c r="AW91" i="26"/>
  <c r="AX91" i="26"/>
  <c r="AY91" i="26"/>
  <c r="AZ91" i="26"/>
  <c r="BA91" i="26"/>
  <c r="BB91" i="26"/>
  <c r="BC91" i="26"/>
  <c r="BD91" i="26"/>
  <c r="BE91" i="26"/>
  <c r="BF91" i="26"/>
  <c r="BG91" i="26"/>
  <c r="BH91" i="26"/>
  <c r="BI91" i="26"/>
  <c r="BJ91" i="26"/>
  <c r="BK91" i="26"/>
  <c r="BL91" i="26"/>
  <c r="BM91" i="26"/>
  <c r="BN91" i="26"/>
  <c r="BO91" i="26"/>
  <c r="BP91" i="26"/>
  <c r="BQ91" i="26"/>
  <c r="BR91" i="26"/>
  <c r="BS91" i="26"/>
  <c r="BT91" i="26"/>
  <c r="BU91" i="26"/>
  <c r="BV91" i="26"/>
  <c r="BW91" i="26"/>
  <c r="BX91" i="26"/>
  <c r="BY91" i="26"/>
  <c r="BZ91" i="26"/>
  <c r="CA91" i="26"/>
  <c r="CB91" i="26"/>
  <c r="CC91" i="26"/>
  <c r="CD91" i="26"/>
  <c r="CE91" i="26"/>
  <c r="CF91" i="26"/>
  <c r="CG91" i="26"/>
  <c r="CH91" i="26"/>
  <c r="CI91" i="26"/>
  <c r="CJ91" i="26"/>
  <c r="CK91" i="26"/>
  <c r="CL91" i="26"/>
  <c r="CM91" i="26"/>
  <c r="CN91" i="26"/>
  <c r="CO91" i="26"/>
  <c r="CP91" i="26"/>
  <c r="CQ91" i="26"/>
  <c r="CR91" i="26"/>
  <c r="CS91" i="26"/>
  <c r="CT91" i="26"/>
  <c r="CU91" i="26"/>
  <c r="CV91" i="26"/>
  <c r="CW91" i="26"/>
  <c r="CX91" i="26"/>
  <c r="CY91" i="26"/>
  <c r="CZ91" i="26"/>
  <c r="DA91" i="26"/>
  <c r="DB91" i="26"/>
  <c r="DC91" i="26"/>
  <c r="DD91" i="26"/>
  <c r="DE91" i="26"/>
  <c r="DF91" i="26"/>
  <c r="DG91" i="26"/>
  <c r="DH91" i="26"/>
  <c r="DI91" i="26"/>
  <c r="DJ91" i="26"/>
  <c r="DK91" i="26"/>
  <c r="DL91" i="26"/>
  <c r="DM91" i="26"/>
  <c r="DN91" i="26"/>
  <c r="DO91" i="26"/>
  <c r="DP91" i="26"/>
  <c r="DQ91" i="26"/>
  <c r="DR91" i="26"/>
  <c r="DS91" i="26"/>
  <c r="DT91" i="26"/>
  <c r="DU91" i="26"/>
  <c r="DV91" i="26"/>
  <c r="DW91" i="26"/>
  <c r="DX91" i="26"/>
  <c r="DY91" i="26"/>
  <c r="DZ91" i="26"/>
  <c r="EA91" i="26"/>
  <c r="EB91" i="26"/>
  <c r="EC91" i="26"/>
  <c r="ED91" i="26"/>
  <c r="EE91" i="26"/>
  <c r="EF91" i="26"/>
  <c r="EG91" i="26"/>
  <c r="EH91" i="26"/>
  <c r="EI91" i="26"/>
  <c r="EJ91" i="26"/>
  <c r="EK91" i="26"/>
  <c r="EL91" i="26"/>
  <c r="EM91" i="26"/>
  <c r="EN91" i="26"/>
  <c r="EO91" i="26"/>
  <c r="EP91" i="26"/>
  <c r="EQ91" i="26"/>
  <c r="ER91" i="26"/>
  <c r="ES91" i="26"/>
  <c r="ET91" i="26"/>
  <c r="EU91" i="26"/>
  <c r="EV91" i="26"/>
  <c r="EW91" i="26"/>
  <c r="EX91" i="26"/>
  <c r="EY91" i="26"/>
  <c r="EZ91" i="26"/>
  <c r="FA91" i="26"/>
  <c r="FB91" i="26"/>
  <c r="FC91" i="26"/>
  <c r="FD91" i="26"/>
  <c r="FE91" i="26"/>
  <c r="FF91" i="26"/>
  <c r="FG91" i="26"/>
  <c r="FH91" i="26"/>
  <c r="FI91" i="26"/>
  <c r="FJ91" i="26"/>
  <c r="FK91" i="26"/>
  <c r="FL91" i="26"/>
  <c r="FM91" i="26"/>
  <c r="FN91" i="26"/>
  <c r="FO91" i="26"/>
  <c r="FP91" i="26"/>
  <c r="FQ91" i="26"/>
  <c r="FR91" i="26"/>
  <c r="FS91" i="26"/>
  <c r="FT91" i="26"/>
  <c r="FU91" i="26"/>
  <c r="FV91" i="26"/>
  <c r="FW91" i="26"/>
  <c r="FX91" i="26"/>
  <c r="FY91" i="26"/>
  <c r="FZ91" i="26"/>
  <c r="GA91" i="26"/>
  <c r="GB91" i="26"/>
  <c r="GC91" i="26"/>
  <c r="GD91" i="26"/>
  <c r="GE91" i="26"/>
  <c r="GF91" i="26"/>
  <c r="GG91" i="26"/>
  <c r="GH91" i="26"/>
  <c r="GI91" i="26"/>
  <c r="GJ91" i="26"/>
  <c r="GK91" i="26"/>
  <c r="C91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AL90" i="26"/>
  <c r="AM90" i="26"/>
  <c r="AN90" i="26"/>
  <c r="AO90" i="26"/>
  <c r="AP90" i="26"/>
  <c r="AQ90" i="26"/>
  <c r="AR90" i="26"/>
  <c r="AS90" i="26"/>
  <c r="AT90" i="26"/>
  <c r="AU90" i="26"/>
  <c r="AV90" i="26"/>
  <c r="AW90" i="26"/>
  <c r="AX90" i="26"/>
  <c r="AY90" i="26"/>
  <c r="AZ90" i="26"/>
  <c r="BA90" i="26"/>
  <c r="BB90" i="26"/>
  <c r="BC90" i="26"/>
  <c r="BD90" i="26"/>
  <c r="BE90" i="26"/>
  <c r="BF90" i="26"/>
  <c r="BG90" i="26"/>
  <c r="BH90" i="26"/>
  <c r="BI90" i="26"/>
  <c r="BJ90" i="26"/>
  <c r="BK90" i="26"/>
  <c r="BL90" i="26"/>
  <c r="BM90" i="26"/>
  <c r="BN90" i="26"/>
  <c r="BO90" i="26"/>
  <c r="BP90" i="26"/>
  <c r="BQ90" i="26"/>
  <c r="BR90" i="26"/>
  <c r="BS90" i="26"/>
  <c r="BT90" i="26"/>
  <c r="BU90" i="26"/>
  <c r="BV90" i="26"/>
  <c r="BW90" i="26"/>
  <c r="BX90" i="26"/>
  <c r="BY90" i="26"/>
  <c r="BZ90" i="26"/>
  <c r="CA90" i="26"/>
  <c r="CB90" i="26"/>
  <c r="CC90" i="26"/>
  <c r="CD90" i="26"/>
  <c r="CE90" i="26"/>
  <c r="CF90" i="26"/>
  <c r="CG90" i="26"/>
  <c r="CH90" i="26"/>
  <c r="CI90" i="26"/>
  <c r="CJ90" i="26"/>
  <c r="CK90" i="26"/>
  <c r="CL90" i="26"/>
  <c r="CM90" i="26"/>
  <c r="CN90" i="26"/>
  <c r="CO90" i="26"/>
  <c r="CP90" i="26"/>
  <c r="CQ90" i="26"/>
  <c r="CR90" i="26"/>
  <c r="CS90" i="26"/>
  <c r="CT90" i="26"/>
  <c r="CU90" i="26"/>
  <c r="CV90" i="26"/>
  <c r="CW90" i="26"/>
  <c r="CX90" i="26"/>
  <c r="CY90" i="26"/>
  <c r="CZ90" i="26"/>
  <c r="DA90" i="26"/>
  <c r="DB90" i="26"/>
  <c r="DC90" i="26"/>
  <c r="DD90" i="26"/>
  <c r="DE90" i="26"/>
  <c r="DF90" i="26"/>
  <c r="DG90" i="26"/>
  <c r="DH90" i="26"/>
  <c r="DI90" i="26"/>
  <c r="DJ90" i="26"/>
  <c r="DK90" i="26"/>
  <c r="DL90" i="26"/>
  <c r="DM90" i="26"/>
  <c r="DN90" i="26"/>
  <c r="DO90" i="26"/>
  <c r="DP90" i="26"/>
  <c r="DQ90" i="26"/>
  <c r="DR90" i="26"/>
  <c r="DS90" i="26"/>
  <c r="DT90" i="26"/>
  <c r="DU90" i="26"/>
  <c r="DV90" i="26"/>
  <c r="DW90" i="26"/>
  <c r="DX90" i="26"/>
  <c r="DY90" i="26"/>
  <c r="DZ90" i="26"/>
  <c r="EA90" i="26"/>
  <c r="EB90" i="26"/>
  <c r="EC90" i="26"/>
  <c r="ED90" i="26"/>
  <c r="EE90" i="26"/>
  <c r="EF90" i="26"/>
  <c r="EG90" i="26"/>
  <c r="EH90" i="26"/>
  <c r="EI90" i="26"/>
  <c r="EJ90" i="26"/>
  <c r="EK90" i="26"/>
  <c r="EL90" i="26"/>
  <c r="EM90" i="26"/>
  <c r="EN90" i="26"/>
  <c r="EO90" i="26"/>
  <c r="EP90" i="26"/>
  <c r="EQ90" i="26"/>
  <c r="ER90" i="26"/>
  <c r="ES90" i="26"/>
  <c r="ET90" i="26"/>
  <c r="EU90" i="26"/>
  <c r="EV90" i="26"/>
  <c r="EW90" i="26"/>
  <c r="EX90" i="26"/>
  <c r="EY90" i="26"/>
  <c r="EZ90" i="26"/>
  <c r="FA90" i="26"/>
  <c r="FB90" i="26"/>
  <c r="FC90" i="26"/>
  <c r="FD90" i="26"/>
  <c r="FE90" i="26"/>
  <c r="FF90" i="26"/>
  <c r="FG90" i="26"/>
  <c r="FH90" i="26"/>
  <c r="FI90" i="26"/>
  <c r="FJ90" i="26"/>
  <c r="FK90" i="26"/>
  <c r="FL90" i="26"/>
  <c r="FM90" i="26"/>
  <c r="FN90" i="26"/>
  <c r="FO90" i="26"/>
  <c r="FP90" i="26"/>
  <c r="FQ90" i="26"/>
  <c r="FR90" i="26"/>
  <c r="FS90" i="26"/>
  <c r="FT90" i="26"/>
  <c r="FU90" i="26"/>
  <c r="FV90" i="26"/>
  <c r="FW90" i="26"/>
  <c r="FX90" i="26"/>
  <c r="FY90" i="26"/>
  <c r="FZ90" i="26"/>
  <c r="GA90" i="26"/>
  <c r="GB90" i="26"/>
  <c r="GC90" i="26"/>
  <c r="GD90" i="26"/>
  <c r="GE90" i="26"/>
  <c r="GF90" i="26"/>
  <c r="GG90" i="26"/>
  <c r="GH90" i="26"/>
  <c r="GI90" i="26"/>
  <c r="GJ90" i="26"/>
  <c r="GK90" i="26"/>
  <c r="C90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AM89" i="26"/>
  <c r="AN89" i="26"/>
  <c r="AO89" i="26"/>
  <c r="AP89" i="26"/>
  <c r="AQ89" i="26"/>
  <c r="AR89" i="26"/>
  <c r="AS89" i="26"/>
  <c r="AT89" i="26"/>
  <c r="AU89" i="26"/>
  <c r="AV89" i="26"/>
  <c r="AW89" i="26"/>
  <c r="AX89" i="26"/>
  <c r="AY89" i="26"/>
  <c r="AZ89" i="26"/>
  <c r="BA89" i="26"/>
  <c r="BB89" i="26"/>
  <c r="BC89" i="26"/>
  <c r="BD89" i="26"/>
  <c r="BE89" i="26"/>
  <c r="BF89" i="26"/>
  <c r="BG89" i="26"/>
  <c r="BH89" i="26"/>
  <c r="BI89" i="26"/>
  <c r="BJ89" i="26"/>
  <c r="BK89" i="26"/>
  <c r="BL89" i="26"/>
  <c r="BM89" i="26"/>
  <c r="BN89" i="26"/>
  <c r="BO89" i="26"/>
  <c r="BP89" i="26"/>
  <c r="BQ89" i="26"/>
  <c r="BR89" i="26"/>
  <c r="BS89" i="26"/>
  <c r="BT89" i="26"/>
  <c r="BU89" i="26"/>
  <c r="BV89" i="26"/>
  <c r="BW89" i="26"/>
  <c r="BX89" i="26"/>
  <c r="BY89" i="26"/>
  <c r="BZ89" i="26"/>
  <c r="CA89" i="26"/>
  <c r="CB89" i="26"/>
  <c r="CC89" i="26"/>
  <c r="CD89" i="26"/>
  <c r="CE89" i="26"/>
  <c r="CF89" i="26"/>
  <c r="CG89" i="26"/>
  <c r="CH89" i="26"/>
  <c r="CI89" i="26"/>
  <c r="CJ89" i="26"/>
  <c r="CK89" i="26"/>
  <c r="CL89" i="26"/>
  <c r="CM89" i="26"/>
  <c r="CN89" i="26"/>
  <c r="CO89" i="26"/>
  <c r="CP89" i="26"/>
  <c r="CQ89" i="26"/>
  <c r="CR89" i="26"/>
  <c r="CS89" i="26"/>
  <c r="CT89" i="26"/>
  <c r="CU89" i="26"/>
  <c r="CV89" i="26"/>
  <c r="CW89" i="26"/>
  <c r="CX89" i="26"/>
  <c r="CY89" i="26"/>
  <c r="CZ89" i="26"/>
  <c r="DA89" i="26"/>
  <c r="DB89" i="26"/>
  <c r="DC89" i="26"/>
  <c r="DD89" i="26"/>
  <c r="DE89" i="26"/>
  <c r="DF89" i="26"/>
  <c r="DG89" i="26"/>
  <c r="DH89" i="26"/>
  <c r="DI89" i="26"/>
  <c r="DJ89" i="26"/>
  <c r="DK89" i="26"/>
  <c r="DL89" i="26"/>
  <c r="DM89" i="26"/>
  <c r="DN89" i="26"/>
  <c r="DO89" i="26"/>
  <c r="DP89" i="26"/>
  <c r="DQ89" i="26"/>
  <c r="DR89" i="26"/>
  <c r="DS89" i="26"/>
  <c r="DT89" i="26"/>
  <c r="DU89" i="26"/>
  <c r="DV89" i="26"/>
  <c r="DW89" i="26"/>
  <c r="DX89" i="26"/>
  <c r="DY89" i="26"/>
  <c r="DZ89" i="26"/>
  <c r="EA89" i="26"/>
  <c r="EB89" i="26"/>
  <c r="EC89" i="26"/>
  <c r="ED89" i="26"/>
  <c r="EE89" i="26"/>
  <c r="EF89" i="26"/>
  <c r="EG89" i="26"/>
  <c r="EH89" i="26"/>
  <c r="EI89" i="26"/>
  <c r="EJ89" i="26"/>
  <c r="EK89" i="26"/>
  <c r="EL89" i="26"/>
  <c r="EM89" i="26"/>
  <c r="EN89" i="26"/>
  <c r="EO89" i="26"/>
  <c r="EP89" i="26"/>
  <c r="EQ89" i="26"/>
  <c r="ER89" i="26"/>
  <c r="ES89" i="26"/>
  <c r="ET89" i="26"/>
  <c r="EU89" i="26"/>
  <c r="EV89" i="26"/>
  <c r="EW89" i="26"/>
  <c r="EX89" i="26"/>
  <c r="EY89" i="26"/>
  <c r="EZ89" i="26"/>
  <c r="FA89" i="26"/>
  <c r="FB89" i="26"/>
  <c r="FC89" i="26"/>
  <c r="FD89" i="26"/>
  <c r="FE89" i="26"/>
  <c r="FF89" i="26"/>
  <c r="FG89" i="26"/>
  <c r="FH89" i="26"/>
  <c r="FI89" i="26"/>
  <c r="FJ89" i="26"/>
  <c r="FK89" i="26"/>
  <c r="FL89" i="26"/>
  <c r="FM89" i="26"/>
  <c r="FN89" i="26"/>
  <c r="FO89" i="26"/>
  <c r="FP89" i="26"/>
  <c r="FQ89" i="26"/>
  <c r="FR89" i="26"/>
  <c r="FS89" i="26"/>
  <c r="FT89" i="26"/>
  <c r="FU89" i="26"/>
  <c r="FV89" i="26"/>
  <c r="FW89" i="26"/>
  <c r="FX89" i="26"/>
  <c r="FY89" i="26"/>
  <c r="FZ89" i="26"/>
  <c r="GA89" i="26"/>
  <c r="GB89" i="26"/>
  <c r="GC89" i="26"/>
  <c r="GD89" i="26"/>
  <c r="GE89" i="26"/>
  <c r="GF89" i="26"/>
  <c r="GG89" i="26"/>
  <c r="GH89" i="26"/>
  <c r="GI89" i="26"/>
  <c r="GJ89" i="26"/>
  <c r="GK89" i="26"/>
  <c r="C89" i="26"/>
  <c r="AD55" i="25" l="1"/>
  <c r="AD56" i="25"/>
  <c r="AD57" i="25"/>
  <c r="AD58" i="25"/>
  <c r="AD59" i="25"/>
  <c r="AD60" i="25"/>
  <c r="AD61" i="25"/>
  <c r="AD62" i="25"/>
  <c r="AD63" i="25"/>
  <c r="AD64" i="25"/>
  <c r="AD65" i="25"/>
  <c r="AD66" i="25"/>
  <c r="AD67" i="25"/>
  <c r="AD68" i="25"/>
  <c r="AD69" i="25"/>
  <c r="AD70" i="25"/>
  <c r="AD71" i="25"/>
  <c r="AD72" i="25"/>
  <c r="AD73" i="25"/>
  <c r="AD74" i="25"/>
  <c r="AD75" i="25"/>
  <c r="AD76" i="25"/>
  <c r="AD77" i="25"/>
  <c r="AD78" i="25"/>
  <c r="AD79" i="25"/>
  <c r="AD80" i="25"/>
  <c r="AD81" i="25"/>
  <c r="AD82" i="25"/>
  <c r="AD83" i="25"/>
  <c r="AD84" i="25"/>
  <c r="AD85" i="25"/>
  <c r="AD86" i="25"/>
  <c r="AD87" i="25"/>
  <c r="AD88" i="25"/>
  <c r="AD89" i="25"/>
  <c r="AD90" i="25"/>
  <c r="AD91" i="25"/>
  <c r="AD92" i="25"/>
  <c r="AD93" i="25"/>
  <c r="AD94" i="25"/>
  <c r="AD95" i="25"/>
  <c r="AD96" i="25"/>
  <c r="AD97" i="25"/>
  <c r="AD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54" i="25"/>
  <c r="Y55" i="25"/>
  <c r="Y56" i="25"/>
  <c r="Y57" i="25"/>
  <c r="Y58" i="25"/>
  <c r="Y59" i="25"/>
  <c r="Y60" i="25"/>
  <c r="Y61" i="25"/>
  <c r="Y62" i="25"/>
  <c r="Y63" i="25"/>
  <c r="Y64" i="25"/>
  <c r="Y65" i="25"/>
  <c r="Y66" i="25"/>
  <c r="Y67" i="25"/>
  <c r="Y68" i="25"/>
  <c r="Y69" i="25"/>
  <c r="Y70" i="25"/>
  <c r="Y71" i="25"/>
  <c r="Y72" i="25"/>
  <c r="Y73" i="25"/>
  <c r="Y74" i="25"/>
  <c r="Y75" i="25"/>
  <c r="Y76" i="25"/>
  <c r="Y77" i="25"/>
  <c r="Y78" i="25"/>
  <c r="Y79" i="25"/>
  <c r="Y80" i="25"/>
  <c r="Y81" i="25"/>
  <c r="Y82" i="25"/>
  <c r="Y83" i="25"/>
  <c r="Y84" i="25"/>
  <c r="Y85" i="25"/>
  <c r="Y86" i="25"/>
  <c r="Y87" i="25"/>
  <c r="Y88" i="25"/>
  <c r="Y89" i="25"/>
  <c r="Y90" i="25"/>
  <c r="Y91" i="25"/>
  <c r="Y92" i="25"/>
  <c r="Y93" i="25"/>
  <c r="Y94" i="25"/>
  <c r="Y95" i="25"/>
  <c r="Y96" i="25"/>
  <c r="Y97" i="25"/>
  <c r="Y54" i="25"/>
  <c r="X55" i="25"/>
  <c r="X56" i="25"/>
  <c r="X57" i="25"/>
  <c r="X58" i="25"/>
  <c r="X59" i="25"/>
  <c r="X60" i="25"/>
  <c r="X61" i="25"/>
  <c r="X62" i="25"/>
  <c r="X63" i="25"/>
  <c r="X64" i="25"/>
  <c r="X65" i="25"/>
  <c r="X66" i="25"/>
  <c r="X67" i="25"/>
  <c r="X68" i="25"/>
  <c r="X69" i="25"/>
  <c r="X70" i="25"/>
  <c r="X71" i="25"/>
  <c r="X72" i="25"/>
  <c r="X73" i="25"/>
  <c r="X74" i="25"/>
  <c r="X75" i="25"/>
  <c r="X76" i="25"/>
  <c r="X77" i="25"/>
  <c r="X78" i="25"/>
  <c r="X79" i="25"/>
  <c r="X80" i="25"/>
  <c r="X81" i="25"/>
  <c r="X82" i="25"/>
  <c r="X83" i="25"/>
  <c r="X84" i="25"/>
  <c r="X85" i="25"/>
  <c r="X86" i="25"/>
  <c r="X87" i="25"/>
  <c r="X88" i="25"/>
  <c r="X89" i="25"/>
  <c r="X90" i="25"/>
  <c r="X91" i="25"/>
  <c r="X92" i="25"/>
  <c r="X93" i="25"/>
  <c r="X94" i="25"/>
  <c r="X95" i="25"/>
  <c r="X96" i="25"/>
  <c r="X97" i="25"/>
  <c r="X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54" i="25"/>
  <c r="U97" i="25"/>
  <c r="U96" i="25"/>
  <c r="U95" i="25"/>
  <c r="U94" i="25"/>
  <c r="U93" i="25"/>
  <c r="U92" i="25"/>
  <c r="U91" i="25"/>
  <c r="U90" i="25"/>
  <c r="U89" i="25"/>
  <c r="U88" i="25"/>
  <c r="U87" i="25"/>
  <c r="U86" i="25"/>
  <c r="U85" i="25"/>
  <c r="U84" i="25"/>
  <c r="U83" i="25"/>
  <c r="U82" i="25"/>
  <c r="U81" i="25"/>
  <c r="U80" i="25"/>
  <c r="U79" i="25"/>
  <c r="U78" i="25"/>
  <c r="U77" i="25"/>
  <c r="U76" i="25"/>
  <c r="U75" i="25"/>
  <c r="U74" i="25"/>
  <c r="U73" i="25"/>
  <c r="U72" i="25"/>
  <c r="U71" i="25"/>
  <c r="U70" i="25"/>
  <c r="U69" i="25"/>
  <c r="U68" i="25"/>
  <c r="U67" i="25"/>
  <c r="U66" i="25"/>
  <c r="U65" i="25"/>
  <c r="U64" i="25"/>
  <c r="U63" i="25"/>
  <c r="U62" i="25"/>
  <c r="U61" i="25"/>
  <c r="U60" i="25"/>
  <c r="U59" i="25"/>
  <c r="U58" i="25"/>
  <c r="U57" i="25"/>
  <c r="U56" i="25"/>
  <c r="U55" i="25"/>
  <c r="U54" i="25"/>
  <c r="N65" i="25"/>
  <c r="N55" i="25"/>
  <c r="N62" i="25"/>
  <c r="N68" i="25"/>
  <c r="N73" i="25"/>
  <c r="N70" i="25"/>
  <c r="N56" i="25"/>
  <c r="N71" i="25"/>
  <c r="N75" i="25"/>
  <c r="N72" i="25"/>
  <c r="N57" i="25"/>
  <c r="N66" i="25"/>
  <c r="N63" i="25"/>
  <c r="N58" i="25"/>
  <c r="N64" i="25"/>
  <c r="N74" i="25"/>
  <c r="N91" i="25"/>
  <c r="N84" i="25"/>
  <c r="N92" i="25"/>
  <c r="N89" i="25"/>
  <c r="N88" i="25"/>
  <c r="N97" i="25"/>
  <c r="N94" i="25"/>
  <c r="N96" i="25"/>
  <c r="N90" i="25"/>
  <c r="N60" i="25"/>
  <c r="N93" i="25"/>
  <c r="N95" i="25"/>
  <c r="N78" i="25"/>
  <c r="N77" i="25"/>
  <c r="N69" i="25"/>
  <c r="N79" i="25"/>
  <c r="N80" i="25"/>
  <c r="N85" i="25"/>
  <c r="N82" i="25"/>
  <c r="N83" i="25"/>
  <c r="N61" i="25"/>
  <c r="N86" i="25"/>
  <c r="N87" i="25"/>
  <c r="N76" i="25"/>
  <c r="N81" i="25"/>
  <c r="N54" i="25"/>
  <c r="N59" i="25"/>
  <c r="N67" i="25"/>
  <c r="AA19" i="24"/>
  <c r="AA20" i="24"/>
  <c r="AA21" i="24"/>
  <c r="AA22" i="24"/>
  <c r="AA23" i="24"/>
  <c r="AA24" i="24"/>
  <c r="AA25" i="24"/>
  <c r="AA18" i="24"/>
  <c r="Z19" i="24"/>
  <c r="Z20" i="24"/>
  <c r="Z21" i="24"/>
  <c r="Z22" i="24"/>
  <c r="Z23" i="24"/>
  <c r="Z24" i="24"/>
  <c r="Z25" i="24"/>
  <c r="Z18" i="24"/>
  <c r="Y19" i="24"/>
  <c r="Y20" i="24"/>
  <c r="Y21" i="24"/>
  <c r="Y22" i="24"/>
  <c r="Y23" i="24"/>
  <c r="Y24" i="24"/>
  <c r="Y25" i="24"/>
  <c r="Y18" i="24"/>
  <c r="X19" i="24"/>
  <c r="X20" i="24"/>
  <c r="X21" i="24"/>
  <c r="X22" i="24"/>
  <c r="X23" i="24"/>
  <c r="X24" i="24"/>
  <c r="X25" i="24"/>
  <c r="X18" i="24"/>
  <c r="W19" i="24"/>
  <c r="W20" i="24"/>
  <c r="W21" i="24"/>
  <c r="W22" i="24"/>
  <c r="W23" i="24"/>
  <c r="W24" i="24"/>
  <c r="W25" i="24"/>
  <c r="W18" i="24"/>
  <c r="V20" i="24"/>
  <c r="V21" i="24"/>
  <c r="V22" i="24"/>
  <c r="V23" i="24"/>
  <c r="V24" i="24"/>
  <c r="V25" i="24"/>
  <c r="V18" i="24"/>
  <c r="V19" i="24"/>
  <c r="U25" i="24"/>
  <c r="AD25" i="24" s="1"/>
  <c r="U24" i="24"/>
  <c r="AD24" i="24" s="1"/>
  <c r="U23" i="24"/>
  <c r="AD23" i="24" s="1"/>
  <c r="U22" i="24"/>
  <c r="AD22" i="24" s="1"/>
  <c r="U21" i="24"/>
  <c r="AD21" i="24" s="1"/>
  <c r="U20" i="24"/>
  <c r="AD20" i="24" s="1"/>
  <c r="U19" i="24"/>
  <c r="AD19" i="24" s="1"/>
  <c r="U18" i="24"/>
  <c r="AD18" i="24" s="1"/>
  <c r="N19" i="24"/>
  <c r="N20" i="24"/>
  <c r="N21" i="24"/>
  <c r="N22" i="24"/>
  <c r="N23" i="24"/>
  <c r="N24" i="24"/>
  <c r="N25" i="24"/>
  <c r="N18" i="24"/>
  <c r="E78" i="23"/>
  <c r="I78" i="23"/>
  <c r="M78" i="23"/>
  <c r="Q78" i="23"/>
  <c r="U78" i="23"/>
  <c r="Y78" i="23"/>
  <c r="AC78" i="23"/>
  <c r="AG78" i="23"/>
  <c r="AK78" i="23"/>
  <c r="AO78" i="23"/>
  <c r="AS78" i="23"/>
  <c r="AW78" i="23"/>
  <c r="BA78" i="23"/>
  <c r="BE78" i="23"/>
  <c r="BI78" i="23"/>
  <c r="BM78" i="23"/>
  <c r="BQ78" i="23"/>
  <c r="BU78" i="23"/>
  <c r="BY78" i="23"/>
  <c r="CC78" i="23"/>
  <c r="CG78" i="23"/>
  <c r="CK78" i="23"/>
  <c r="CO78" i="23"/>
  <c r="CS78" i="23"/>
  <c r="CW78" i="23"/>
  <c r="DA78" i="23"/>
  <c r="DE78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Q77" i="23"/>
  <c r="AR77" i="23"/>
  <c r="AS77" i="23"/>
  <c r="AT77" i="23"/>
  <c r="AU77" i="23"/>
  <c r="AV77" i="23"/>
  <c r="AW77" i="23"/>
  <c r="AX77" i="23"/>
  <c r="AY77" i="23"/>
  <c r="AZ77" i="23"/>
  <c r="BA77" i="23"/>
  <c r="BB77" i="23"/>
  <c r="BC77" i="23"/>
  <c r="BD77" i="23"/>
  <c r="BE77" i="23"/>
  <c r="BF77" i="23"/>
  <c r="BG77" i="23"/>
  <c r="BH77" i="23"/>
  <c r="BI77" i="23"/>
  <c r="BJ77" i="23"/>
  <c r="BK77" i="23"/>
  <c r="BL77" i="23"/>
  <c r="BM77" i="23"/>
  <c r="BN77" i="23"/>
  <c r="BO77" i="23"/>
  <c r="BP77" i="23"/>
  <c r="BQ77" i="23"/>
  <c r="BR77" i="23"/>
  <c r="BS77" i="23"/>
  <c r="BT77" i="23"/>
  <c r="BU77" i="23"/>
  <c r="BV77" i="23"/>
  <c r="BW77" i="23"/>
  <c r="BX77" i="23"/>
  <c r="BY77" i="23"/>
  <c r="BZ77" i="23"/>
  <c r="CA77" i="23"/>
  <c r="CB77" i="23"/>
  <c r="CC77" i="23"/>
  <c r="CD77" i="23"/>
  <c r="CE77" i="23"/>
  <c r="CF77" i="23"/>
  <c r="CG77" i="23"/>
  <c r="CH77" i="23"/>
  <c r="CI77" i="23"/>
  <c r="CJ77" i="23"/>
  <c r="CK77" i="23"/>
  <c r="CL77" i="23"/>
  <c r="CM77" i="23"/>
  <c r="CN77" i="23"/>
  <c r="CO77" i="23"/>
  <c r="CP77" i="23"/>
  <c r="CQ77" i="23"/>
  <c r="CR77" i="23"/>
  <c r="CS77" i="23"/>
  <c r="CT77" i="23"/>
  <c r="CU77" i="23"/>
  <c r="CV77" i="23"/>
  <c r="CW77" i="23"/>
  <c r="CX77" i="23"/>
  <c r="CY77" i="23"/>
  <c r="CZ77" i="23"/>
  <c r="DA77" i="23"/>
  <c r="DB77" i="23"/>
  <c r="DC77" i="23"/>
  <c r="DD77" i="23"/>
  <c r="DE77" i="23"/>
  <c r="C77" i="23"/>
  <c r="D76" i="23"/>
  <c r="D78" i="23" s="1"/>
  <c r="E76" i="23"/>
  <c r="F76" i="23"/>
  <c r="F78" i="23" s="1"/>
  <c r="G76" i="23"/>
  <c r="G78" i="23" s="1"/>
  <c r="H76" i="23"/>
  <c r="H78" i="23" s="1"/>
  <c r="I76" i="23"/>
  <c r="J76" i="23"/>
  <c r="J78" i="23" s="1"/>
  <c r="K76" i="23"/>
  <c r="K78" i="23" s="1"/>
  <c r="L76" i="23"/>
  <c r="L78" i="23" s="1"/>
  <c r="M76" i="23"/>
  <c r="N76" i="23"/>
  <c r="N78" i="23" s="1"/>
  <c r="O76" i="23"/>
  <c r="O78" i="23" s="1"/>
  <c r="P76" i="23"/>
  <c r="P78" i="23" s="1"/>
  <c r="Q76" i="23"/>
  <c r="R76" i="23"/>
  <c r="R78" i="23" s="1"/>
  <c r="S76" i="23"/>
  <c r="S78" i="23" s="1"/>
  <c r="T76" i="23"/>
  <c r="T78" i="23" s="1"/>
  <c r="U76" i="23"/>
  <c r="V76" i="23"/>
  <c r="V78" i="23" s="1"/>
  <c r="W76" i="23"/>
  <c r="W78" i="23" s="1"/>
  <c r="X76" i="23"/>
  <c r="X78" i="23" s="1"/>
  <c r="Y76" i="23"/>
  <c r="Z76" i="23"/>
  <c r="Z78" i="23" s="1"/>
  <c r="AA76" i="23"/>
  <c r="AA78" i="23" s="1"/>
  <c r="AB76" i="23"/>
  <c r="AB78" i="23" s="1"/>
  <c r="AC76" i="23"/>
  <c r="AD76" i="23"/>
  <c r="AD78" i="23" s="1"/>
  <c r="AE76" i="23"/>
  <c r="AE78" i="23" s="1"/>
  <c r="AF76" i="23"/>
  <c r="AF78" i="23" s="1"/>
  <c r="AG76" i="23"/>
  <c r="AH76" i="23"/>
  <c r="AH78" i="23" s="1"/>
  <c r="AI76" i="23"/>
  <c r="AI78" i="23" s="1"/>
  <c r="AJ76" i="23"/>
  <c r="AJ78" i="23" s="1"/>
  <c r="AK76" i="23"/>
  <c r="AL76" i="23"/>
  <c r="AL78" i="23" s="1"/>
  <c r="AM76" i="23"/>
  <c r="AM78" i="23" s="1"/>
  <c r="AN76" i="23"/>
  <c r="AN78" i="23" s="1"/>
  <c r="AO76" i="23"/>
  <c r="AP76" i="23"/>
  <c r="AP78" i="23" s="1"/>
  <c r="AQ76" i="23"/>
  <c r="AQ78" i="23" s="1"/>
  <c r="AR76" i="23"/>
  <c r="AR78" i="23" s="1"/>
  <c r="AS76" i="23"/>
  <c r="AT76" i="23"/>
  <c r="AT78" i="23" s="1"/>
  <c r="AU76" i="23"/>
  <c r="AU78" i="23" s="1"/>
  <c r="AV76" i="23"/>
  <c r="AV78" i="23" s="1"/>
  <c r="AW76" i="23"/>
  <c r="AX76" i="23"/>
  <c r="AX78" i="23" s="1"/>
  <c r="AY76" i="23"/>
  <c r="AY78" i="23" s="1"/>
  <c r="AZ76" i="23"/>
  <c r="AZ78" i="23" s="1"/>
  <c r="BA76" i="23"/>
  <c r="BB76" i="23"/>
  <c r="BB78" i="23" s="1"/>
  <c r="BC76" i="23"/>
  <c r="BC78" i="23" s="1"/>
  <c r="BD76" i="23"/>
  <c r="BD78" i="23" s="1"/>
  <c r="BE76" i="23"/>
  <c r="BF76" i="23"/>
  <c r="BF78" i="23" s="1"/>
  <c r="BG76" i="23"/>
  <c r="BG78" i="23" s="1"/>
  <c r="BH76" i="23"/>
  <c r="BH78" i="23" s="1"/>
  <c r="BI76" i="23"/>
  <c r="BJ76" i="23"/>
  <c r="BJ78" i="23" s="1"/>
  <c r="BK76" i="23"/>
  <c r="BK78" i="23" s="1"/>
  <c r="BL76" i="23"/>
  <c r="BL78" i="23" s="1"/>
  <c r="BM76" i="23"/>
  <c r="BN76" i="23"/>
  <c r="BN78" i="23" s="1"/>
  <c r="BO76" i="23"/>
  <c r="BO78" i="23" s="1"/>
  <c r="BP76" i="23"/>
  <c r="BP78" i="23" s="1"/>
  <c r="BQ76" i="23"/>
  <c r="BR76" i="23"/>
  <c r="BR78" i="23" s="1"/>
  <c r="BS76" i="23"/>
  <c r="BS78" i="23" s="1"/>
  <c r="BT76" i="23"/>
  <c r="BT78" i="23" s="1"/>
  <c r="BU76" i="23"/>
  <c r="BV76" i="23"/>
  <c r="BV78" i="23" s="1"/>
  <c r="BW76" i="23"/>
  <c r="BW78" i="23" s="1"/>
  <c r="BX76" i="23"/>
  <c r="BX78" i="23" s="1"/>
  <c r="BY76" i="23"/>
  <c r="BZ76" i="23"/>
  <c r="BZ78" i="23" s="1"/>
  <c r="CA76" i="23"/>
  <c r="CA78" i="23" s="1"/>
  <c r="CB76" i="23"/>
  <c r="CB78" i="23" s="1"/>
  <c r="CC76" i="23"/>
  <c r="CD76" i="23"/>
  <c r="CD78" i="23" s="1"/>
  <c r="CE76" i="23"/>
  <c r="CE78" i="23" s="1"/>
  <c r="CF76" i="23"/>
  <c r="CF78" i="23" s="1"/>
  <c r="CG76" i="23"/>
  <c r="CH76" i="23"/>
  <c r="CH78" i="23" s="1"/>
  <c r="CI76" i="23"/>
  <c r="CI78" i="23" s="1"/>
  <c r="CJ76" i="23"/>
  <c r="CJ78" i="23" s="1"/>
  <c r="CK76" i="23"/>
  <c r="CL76" i="23"/>
  <c r="CL78" i="23" s="1"/>
  <c r="CM76" i="23"/>
  <c r="CM78" i="23" s="1"/>
  <c r="CN76" i="23"/>
  <c r="CN78" i="23" s="1"/>
  <c r="CO76" i="23"/>
  <c r="CP76" i="23"/>
  <c r="CP78" i="23" s="1"/>
  <c r="CQ76" i="23"/>
  <c r="CQ78" i="23" s="1"/>
  <c r="CR76" i="23"/>
  <c r="CR78" i="23" s="1"/>
  <c r="CS76" i="23"/>
  <c r="CT76" i="23"/>
  <c r="CT78" i="23" s="1"/>
  <c r="CU76" i="23"/>
  <c r="CU78" i="23" s="1"/>
  <c r="CV76" i="23"/>
  <c r="CV78" i="23" s="1"/>
  <c r="CW76" i="23"/>
  <c r="CX76" i="23"/>
  <c r="CX78" i="23" s="1"/>
  <c r="CY76" i="23"/>
  <c r="CY78" i="23" s="1"/>
  <c r="CZ76" i="23"/>
  <c r="CZ78" i="23" s="1"/>
  <c r="DA76" i="23"/>
  <c r="DB76" i="23"/>
  <c r="DB78" i="23" s="1"/>
  <c r="DC76" i="23"/>
  <c r="DC78" i="23" s="1"/>
  <c r="DD76" i="23"/>
  <c r="DD78" i="23" s="1"/>
  <c r="DE76" i="23"/>
  <c r="C76" i="23"/>
  <c r="C78" i="23" s="1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AP75" i="23"/>
  <c r="AQ75" i="23"/>
  <c r="AR75" i="23"/>
  <c r="AS75" i="23"/>
  <c r="AT75" i="23"/>
  <c r="AU75" i="23"/>
  <c r="AV75" i="23"/>
  <c r="AW75" i="23"/>
  <c r="AX75" i="23"/>
  <c r="AY75" i="23"/>
  <c r="AZ75" i="23"/>
  <c r="BA75" i="23"/>
  <c r="BB75" i="23"/>
  <c r="BC75" i="23"/>
  <c r="BD75" i="23"/>
  <c r="BE75" i="23"/>
  <c r="BF75" i="23"/>
  <c r="BG75" i="23"/>
  <c r="BH75" i="23"/>
  <c r="BI75" i="23"/>
  <c r="BJ75" i="23"/>
  <c r="BK75" i="23"/>
  <c r="BL75" i="23"/>
  <c r="BM75" i="23"/>
  <c r="BN75" i="23"/>
  <c r="BO75" i="23"/>
  <c r="BP75" i="23"/>
  <c r="BQ75" i="23"/>
  <c r="BR75" i="23"/>
  <c r="BS75" i="23"/>
  <c r="BT75" i="23"/>
  <c r="BU75" i="23"/>
  <c r="BV75" i="23"/>
  <c r="BW75" i="23"/>
  <c r="BX75" i="23"/>
  <c r="BY75" i="23"/>
  <c r="BZ75" i="23"/>
  <c r="CA75" i="23"/>
  <c r="CB75" i="23"/>
  <c r="CC75" i="23"/>
  <c r="CD75" i="23"/>
  <c r="CE75" i="23"/>
  <c r="CF75" i="23"/>
  <c r="CG75" i="23"/>
  <c r="CH75" i="23"/>
  <c r="CI75" i="23"/>
  <c r="CJ75" i="23"/>
  <c r="CK75" i="23"/>
  <c r="CL75" i="23"/>
  <c r="CM75" i="23"/>
  <c r="CN75" i="23"/>
  <c r="CO75" i="23"/>
  <c r="CP75" i="23"/>
  <c r="CQ75" i="23"/>
  <c r="CR75" i="23"/>
  <c r="CS75" i="23"/>
  <c r="CT75" i="23"/>
  <c r="CU75" i="23"/>
  <c r="CV75" i="23"/>
  <c r="CW75" i="23"/>
  <c r="CX75" i="23"/>
  <c r="CY75" i="23"/>
  <c r="CZ75" i="23"/>
  <c r="DA75" i="23"/>
  <c r="DB75" i="23"/>
  <c r="DC75" i="23"/>
  <c r="DD75" i="23"/>
  <c r="DE75" i="23"/>
  <c r="C75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Q74" i="23"/>
  <c r="AR74" i="23"/>
  <c r="AS74" i="23"/>
  <c r="AT74" i="23"/>
  <c r="AU74" i="23"/>
  <c r="AV74" i="23"/>
  <c r="AW74" i="23"/>
  <c r="AX74" i="23"/>
  <c r="AY74" i="23"/>
  <c r="AZ74" i="23"/>
  <c r="BA74" i="23"/>
  <c r="BB74" i="23"/>
  <c r="BC74" i="23"/>
  <c r="BD74" i="23"/>
  <c r="BE74" i="23"/>
  <c r="BF74" i="23"/>
  <c r="BG74" i="23"/>
  <c r="BH74" i="23"/>
  <c r="BI74" i="23"/>
  <c r="BJ74" i="23"/>
  <c r="BK74" i="23"/>
  <c r="BL74" i="23"/>
  <c r="BM74" i="23"/>
  <c r="BN74" i="23"/>
  <c r="BO74" i="23"/>
  <c r="BP74" i="23"/>
  <c r="BQ74" i="23"/>
  <c r="BR74" i="23"/>
  <c r="BS74" i="23"/>
  <c r="BT74" i="23"/>
  <c r="BU74" i="23"/>
  <c r="BV74" i="23"/>
  <c r="BW74" i="23"/>
  <c r="BX74" i="23"/>
  <c r="BY74" i="23"/>
  <c r="BZ74" i="23"/>
  <c r="CA74" i="23"/>
  <c r="CB74" i="23"/>
  <c r="CC74" i="23"/>
  <c r="CD74" i="23"/>
  <c r="CE74" i="23"/>
  <c r="CF74" i="23"/>
  <c r="CG74" i="23"/>
  <c r="CH74" i="23"/>
  <c r="CI74" i="23"/>
  <c r="CJ74" i="23"/>
  <c r="CK74" i="23"/>
  <c r="CL74" i="23"/>
  <c r="CM74" i="23"/>
  <c r="CN74" i="23"/>
  <c r="CO74" i="23"/>
  <c r="CP74" i="23"/>
  <c r="CQ74" i="23"/>
  <c r="CR74" i="23"/>
  <c r="CS74" i="23"/>
  <c r="CT74" i="23"/>
  <c r="CU74" i="23"/>
  <c r="CV74" i="23"/>
  <c r="CW74" i="23"/>
  <c r="CX74" i="23"/>
  <c r="CY74" i="23"/>
  <c r="CZ74" i="23"/>
  <c r="DA74" i="23"/>
  <c r="DB74" i="23"/>
  <c r="DC74" i="23"/>
  <c r="DD74" i="23"/>
  <c r="DE74" i="23"/>
  <c r="C74" i="23"/>
  <c r="AC15" i="21" l="1"/>
  <c r="AC14" i="21"/>
  <c r="AC13" i="21"/>
  <c r="AB15" i="21"/>
  <c r="AB14" i="21"/>
  <c r="AB13" i="21"/>
  <c r="AA15" i="21"/>
  <c r="AA14" i="21"/>
  <c r="AA13" i="21"/>
  <c r="Z15" i="21"/>
  <c r="Z14" i="21"/>
  <c r="Z13" i="21"/>
  <c r="Y15" i="21"/>
  <c r="Y14" i="21"/>
  <c r="Y13" i="21"/>
  <c r="X15" i="21"/>
  <c r="X14" i="21"/>
  <c r="X13" i="21"/>
  <c r="W15" i="21"/>
  <c r="W14" i="21"/>
  <c r="W13" i="21"/>
  <c r="V15" i="21"/>
  <c r="V14" i="21"/>
  <c r="V13" i="21"/>
  <c r="U15" i="21"/>
  <c r="AD15" i="21" s="1"/>
  <c r="U14" i="21"/>
  <c r="AD14" i="21" s="1"/>
  <c r="U13" i="21"/>
  <c r="AD13" i="21" s="1"/>
  <c r="K14" i="21"/>
  <c r="K15" i="21"/>
  <c r="K13" i="21"/>
  <c r="F45" i="22"/>
  <c r="J45" i="22"/>
  <c r="N45" i="22"/>
  <c r="R45" i="22"/>
  <c r="V45" i="22"/>
  <c r="Z45" i="22"/>
  <c r="AD45" i="22"/>
  <c r="AH45" i="22"/>
  <c r="AL45" i="22"/>
  <c r="AP45" i="22"/>
  <c r="AT45" i="22"/>
  <c r="AX45" i="22"/>
  <c r="BB45" i="22"/>
  <c r="BF45" i="22"/>
  <c r="BJ45" i="22"/>
  <c r="BN45" i="22"/>
  <c r="BR45" i="22"/>
  <c r="BV45" i="22"/>
  <c r="BZ45" i="22"/>
  <c r="CD45" i="22"/>
  <c r="CH45" i="22"/>
  <c r="CL45" i="22"/>
  <c r="CP45" i="22"/>
  <c r="CT45" i="22"/>
  <c r="CX45" i="22"/>
  <c r="DB45" i="22"/>
  <c r="DF45" i="22"/>
  <c r="DJ45" i="22"/>
  <c r="DN45" i="22"/>
  <c r="DR45" i="22"/>
  <c r="DV45" i="22"/>
  <c r="DZ45" i="22"/>
  <c r="ED45" i="22"/>
  <c r="EH45" i="22"/>
  <c r="EL45" i="22"/>
  <c r="EP45" i="22"/>
  <c r="ET45" i="22"/>
  <c r="EX45" i="22"/>
  <c r="FB45" i="22"/>
  <c r="FF45" i="22"/>
  <c r="FJ45" i="22"/>
  <c r="FN45" i="22"/>
  <c r="FR45" i="22"/>
  <c r="FV45" i="22"/>
  <c r="FZ45" i="22"/>
  <c r="GD45" i="22"/>
  <c r="GH45" i="22"/>
  <c r="C45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AE44" i="22"/>
  <c r="AF44" i="22"/>
  <c r="AG44" i="22"/>
  <c r="AH44" i="22"/>
  <c r="AI44" i="22"/>
  <c r="AJ44" i="22"/>
  <c r="AK44" i="22"/>
  <c r="AL44" i="22"/>
  <c r="AM44" i="22"/>
  <c r="AN44" i="22"/>
  <c r="AO44" i="22"/>
  <c r="AP44" i="22"/>
  <c r="AQ44" i="22"/>
  <c r="AR44" i="22"/>
  <c r="AS44" i="22"/>
  <c r="AT44" i="22"/>
  <c r="AU44" i="22"/>
  <c r="AV44" i="22"/>
  <c r="AW44" i="22"/>
  <c r="AX44" i="22"/>
  <c r="AY44" i="22"/>
  <c r="AZ44" i="22"/>
  <c r="BA44" i="22"/>
  <c r="BB44" i="22"/>
  <c r="BC44" i="22"/>
  <c r="BD44" i="22"/>
  <c r="BE44" i="22"/>
  <c r="BF44" i="22"/>
  <c r="BG44" i="22"/>
  <c r="BH44" i="22"/>
  <c r="BI44" i="22"/>
  <c r="BJ44" i="22"/>
  <c r="BK44" i="22"/>
  <c r="BL44" i="22"/>
  <c r="BM44" i="22"/>
  <c r="BN44" i="22"/>
  <c r="BO44" i="22"/>
  <c r="BP44" i="22"/>
  <c r="BQ44" i="22"/>
  <c r="BR44" i="22"/>
  <c r="BS44" i="22"/>
  <c r="BT44" i="22"/>
  <c r="BU44" i="22"/>
  <c r="BV44" i="22"/>
  <c r="BW44" i="22"/>
  <c r="BX44" i="22"/>
  <c r="BY44" i="22"/>
  <c r="BZ44" i="22"/>
  <c r="CA44" i="22"/>
  <c r="CB44" i="22"/>
  <c r="CC44" i="22"/>
  <c r="CD44" i="22"/>
  <c r="CE44" i="22"/>
  <c r="CF44" i="22"/>
  <c r="CG44" i="22"/>
  <c r="CH44" i="22"/>
  <c r="CI44" i="22"/>
  <c r="CJ44" i="22"/>
  <c r="CK44" i="22"/>
  <c r="CL44" i="22"/>
  <c r="CM44" i="22"/>
  <c r="CN44" i="22"/>
  <c r="CO44" i="22"/>
  <c r="CP44" i="22"/>
  <c r="CQ44" i="22"/>
  <c r="CR44" i="22"/>
  <c r="CS44" i="22"/>
  <c r="CT44" i="22"/>
  <c r="CU44" i="22"/>
  <c r="CV44" i="22"/>
  <c r="CW44" i="22"/>
  <c r="CX44" i="22"/>
  <c r="CY44" i="22"/>
  <c r="CZ44" i="22"/>
  <c r="DA44" i="22"/>
  <c r="DB44" i="22"/>
  <c r="DC44" i="22"/>
  <c r="DD44" i="22"/>
  <c r="DE44" i="22"/>
  <c r="DF44" i="22"/>
  <c r="DG44" i="22"/>
  <c r="DH44" i="22"/>
  <c r="DI44" i="22"/>
  <c r="DJ44" i="22"/>
  <c r="DK44" i="22"/>
  <c r="DL44" i="22"/>
  <c r="DM44" i="22"/>
  <c r="DN44" i="22"/>
  <c r="DO44" i="22"/>
  <c r="DP44" i="22"/>
  <c r="DQ44" i="22"/>
  <c r="DR44" i="22"/>
  <c r="DS44" i="22"/>
  <c r="DT44" i="22"/>
  <c r="DU44" i="22"/>
  <c r="DV44" i="22"/>
  <c r="DW44" i="22"/>
  <c r="DX44" i="22"/>
  <c r="DY44" i="22"/>
  <c r="DZ44" i="22"/>
  <c r="EA44" i="22"/>
  <c r="EB44" i="22"/>
  <c r="EC44" i="22"/>
  <c r="ED44" i="22"/>
  <c r="EE44" i="22"/>
  <c r="EF44" i="22"/>
  <c r="EG44" i="22"/>
  <c r="EH44" i="22"/>
  <c r="EI44" i="22"/>
  <c r="EJ44" i="22"/>
  <c r="EK44" i="22"/>
  <c r="EL44" i="22"/>
  <c r="EM44" i="22"/>
  <c r="EN44" i="22"/>
  <c r="EO44" i="22"/>
  <c r="EP44" i="22"/>
  <c r="EQ44" i="22"/>
  <c r="ER44" i="22"/>
  <c r="ES44" i="22"/>
  <c r="ET44" i="22"/>
  <c r="EU44" i="22"/>
  <c r="EV44" i="22"/>
  <c r="EW44" i="22"/>
  <c r="EX44" i="22"/>
  <c r="EY44" i="22"/>
  <c r="EZ44" i="22"/>
  <c r="FA44" i="22"/>
  <c r="FB44" i="22"/>
  <c r="FC44" i="22"/>
  <c r="FD44" i="22"/>
  <c r="FE44" i="22"/>
  <c r="FF44" i="22"/>
  <c r="FG44" i="22"/>
  <c r="FH44" i="22"/>
  <c r="FI44" i="22"/>
  <c r="FJ44" i="22"/>
  <c r="FK44" i="22"/>
  <c r="FL44" i="22"/>
  <c r="FM44" i="22"/>
  <c r="FN44" i="22"/>
  <c r="FO44" i="22"/>
  <c r="FP44" i="22"/>
  <c r="FQ44" i="22"/>
  <c r="FR44" i="22"/>
  <c r="FS44" i="22"/>
  <c r="FT44" i="22"/>
  <c r="FU44" i="22"/>
  <c r="FV44" i="22"/>
  <c r="FW44" i="22"/>
  <c r="FX44" i="22"/>
  <c r="FY44" i="22"/>
  <c r="FZ44" i="22"/>
  <c r="GA44" i="22"/>
  <c r="GB44" i="22"/>
  <c r="GC44" i="22"/>
  <c r="GD44" i="22"/>
  <c r="GE44" i="22"/>
  <c r="GF44" i="22"/>
  <c r="GG44" i="22"/>
  <c r="GH44" i="22"/>
  <c r="GI44" i="22"/>
  <c r="GJ44" i="22"/>
  <c r="GK44" i="22"/>
  <c r="C44" i="22"/>
  <c r="D43" i="22"/>
  <c r="D45" i="22" s="1"/>
  <c r="E43" i="22"/>
  <c r="E45" i="22" s="1"/>
  <c r="F43" i="22"/>
  <c r="G43" i="22"/>
  <c r="G45" i="22" s="1"/>
  <c r="H43" i="22"/>
  <c r="H45" i="22" s="1"/>
  <c r="I43" i="22"/>
  <c r="I45" i="22" s="1"/>
  <c r="J43" i="22"/>
  <c r="K43" i="22"/>
  <c r="K45" i="22" s="1"/>
  <c r="L43" i="22"/>
  <c r="L45" i="22" s="1"/>
  <c r="M43" i="22"/>
  <c r="M45" i="22" s="1"/>
  <c r="N43" i="22"/>
  <c r="O43" i="22"/>
  <c r="O45" i="22" s="1"/>
  <c r="P43" i="22"/>
  <c r="P45" i="22" s="1"/>
  <c r="Q43" i="22"/>
  <c r="Q45" i="22" s="1"/>
  <c r="R43" i="22"/>
  <c r="S43" i="22"/>
  <c r="S45" i="22" s="1"/>
  <c r="T43" i="22"/>
  <c r="T45" i="22" s="1"/>
  <c r="U43" i="22"/>
  <c r="U45" i="22" s="1"/>
  <c r="V43" i="22"/>
  <c r="W43" i="22"/>
  <c r="W45" i="22" s="1"/>
  <c r="X43" i="22"/>
  <c r="X45" i="22" s="1"/>
  <c r="Y43" i="22"/>
  <c r="Y45" i="22" s="1"/>
  <c r="Z43" i="22"/>
  <c r="AA43" i="22"/>
  <c r="AA45" i="22" s="1"/>
  <c r="AB43" i="22"/>
  <c r="AB45" i="22" s="1"/>
  <c r="AC43" i="22"/>
  <c r="AC45" i="22" s="1"/>
  <c r="AD43" i="22"/>
  <c r="AE43" i="22"/>
  <c r="AE45" i="22" s="1"/>
  <c r="AF43" i="22"/>
  <c r="AF45" i="22" s="1"/>
  <c r="AG43" i="22"/>
  <c r="AG45" i="22" s="1"/>
  <c r="AH43" i="22"/>
  <c r="AI43" i="22"/>
  <c r="AI45" i="22" s="1"/>
  <c r="AJ43" i="22"/>
  <c r="AJ45" i="22" s="1"/>
  <c r="AK43" i="22"/>
  <c r="AK45" i="22" s="1"/>
  <c r="AL43" i="22"/>
  <c r="AM43" i="22"/>
  <c r="AM45" i="22" s="1"/>
  <c r="AN43" i="22"/>
  <c r="AN45" i="22" s="1"/>
  <c r="AO43" i="22"/>
  <c r="AO45" i="22" s="1"/>
  <c r="AP43" i="22"/>
  <c r="AQ43" i="22"/>
  <c r="AQ45" i="22" s="1"/>
  <c r="AR43" i="22"/>
  <c r="AR45" i="22" s="1"/>
  <c r="AS43" i="22"/>
  <c r="AS45" i="22" s="1"/>
  <c r="AT43" i="22"/>
  <c r="AU43" i="22"/>
  <c r="AU45" i="22" s="1"/>
  <c r="AV43" i="22"/>
  <c r="AV45" i="22" s="1"/>
  <c r="AW43" i="22"/>
  <c r="AW45" i="22" s="1"/>
  <c r="AX43" i="22"/>
  <c r="AY43" i="22"/>
  <c r="AY45" i="22" s="1"/>
  <c r="AZ43" i="22"/>
  <c r="AZ45" i="22" s="1"/>
  <c r="BA43" i="22"/>
  <c r="BA45" i="22" s="1"/>
  <c r="BB43" i="22"/>
  <c r="BC43" i="22"/>
  <c r="BC45" i="22" s="1"/>
  <c r="BD43" i="22"/>
  <c r="BD45" i="22" s="1"/>
  <c r="BE43" i="22"/>
  <c r="BE45" i="22" s="1"/>
  <c r="BF43" i="22"/>
  <c r="BG43" i="22"/>
  <c r="BG45" i="22" s="1"/>
  <c r="BH43" i="22"/>
  <c r="BH45" i="22" s="1"/>
  <c r="BI43" i="22"/>
  <c r="BI45" i="22" s="1"/>
  <c r="BJ43" i="22"/>
  <c r="BK43" i="22"/>
  <c r="BK45" i="22" s="1"/>
  <c r="BL43" i="22"/>
  <c r="BL45" i="22" s="1"/>
  <c r="BM43" i="22"/>
  <c r="BM45" i="22" s="1"/>
  <c r="BN43" i="22"/>
  <c r="BO43" i="22"/>
  <c r="BO45" i="22" s="1"/>
  <c r="BP43" i="22"/>
  <c r="BP45" i="22" s="1"/>
  <c r="BQ43" i="22"/>
  <c r="BQ45" i="22" s="1"/>
  <c r="BR43" i="22"/>
  <c r="BS43" i="22"/>
  <c r="BS45" i="22" s="1"/>
  <c r="BT43" i="22"/>
  <c r="BT45" i="22" s="1"/>
  <c r="BU43" i="22"/>
  <c r="BU45" i="22" s="1"/>
  <c r="BV43" i="22"/>
  <c r="BW43" i="22"/>
  <c r="BW45" i="22" s="1"/>
  <c r="BX43" i="22"/>
  <c r="BX45" i="22" s="1"/>
  <c r="BY43" i="22"/>
  <c r="BY45" i="22" s="1"/>
  <c r="BZ43" i="22"/>
  <c r="CA43" i="22"/>
  <c r="CA45" i="22" s="1"/>
  <c r="CB43" i="22"/>
  <c r="CB45" i="22" s="1"/>
  <c r="CC43" i="22"/>
  <c r="CC45" i="22" s="1"/>
  <c r="CD43" i="22"/>
  <c r="CE43" i="22"/>
  <c r="CE45" i="22" s="1"/>
  <c r="CF43" i="22"/>
  <c r="CF45" i="22" s="1"/>
  <c r="CG43" i="22"/>
  <c r="CG45" i="22" s="1"/>
  <c r="CH43" i="22"/>
  <c r="CI43" i="22"/>
  <c r="CI45" i="22" s="1"/>
  <c r="CJ43" i="22"/>
  <c r="CJ45" i="22" s="1"/>
  <c r="CK43" i="22"/>
  <c r="CK45" i="22" s="1"/>
  <c r="CL43" i="22"/>
  <c r="CM43" i="22"/>
  <c r="CM45" i="22" s="1"/>
  <c r="CN43" i="22"/>
  <c r="CN45" i="22" s="1"/>
  <c r="CO43" i="22"/>
  <c r="CO45" i="22" s="1"/>
  <c r="CP43" i="22"/>
  <c r="CQ43" i="22"/>
  <c r="CQ45" i="22" s="1"/>
  <c r="CR43" i="22"/>
  <c r="CR45" i="22" s="1"/>
  <c r="CS43" i="22"/>
  <c r="CS45" i="22" s="1"/>
  <c r="CT43" i="22"/>
  <c r="CU43" i="22"/>
  <c r="CU45" i="22" s="1"/>
  <c r="CV43" i="22"/>
  <c r="CV45" i="22" s="1"/>
  <c r="CW43" i="22"/>
  <c r="CW45" i="22" s="1"/>
  <c r="CX43" i="22"/>
  <c r="CY43" i="22"/>
  <c r="CY45" i="22" s="1"/>
  <c r="CZ43" i="22"/>
  <c r="CZ45" i="22" s="1"/>
  <c r="DA43" i="22"/>
  <c r="DA45" i="22" s="1"/>
  <c r="DB43" i="22"/>
  <c r="DC43" i="22"/>
  <c r="DC45" i="22" s="1"/>
  <c r="DD43" i="22"/>
  <c r="DD45" i="22" s="1"/>
  <c r="DE43" i="22"/>
  <c r="DE45" i="22" s="1"/>
  <c r="DF43" i="22"/>
  <c r="DG43" i="22"/>
  <c r="DG45" i="22" s="1"/>
  <c r="DH43" i="22"/>
  <c r="DH45" i="22" s="1"/>
  <c r="DI43" i="22"/>
  <c r="DI45" i="22" s="1"/>
  <c r="DJ43" i="22"/>
  <c r="DK43" i="22"/>
  <c r="DK45" i="22" s="1"/>
  <c r="DL43" i="22"/>
  <c r="DL45" i="22" s="1"/>
  <c r="DM43" i="22"/>
  <c r="DM45" i="22" s="1"/>
  <c r="DN43" i="22"/>
  <c r="DO43" i="22"/>
  <c r="DO45" i="22" s="1"/>
  <c r="DP43" i="22"/>
  <c r="DP45" i="22" s="1"/>
  <c r="DQ43" i="22"/>
  <c r="DQ45" i="22" s="1"/>
  <c r="DR43" i="22"/>
  <c r="DS43" i="22"/>
  <c r="DS45" i="22" s="1"/>
  <c r="DT43" i="22"/>
  <c r="DT45" i="22" s="1"/>
  <c r="DU43" i="22"/>
  <c r="DU45" i="22" s="1"/>
  <c r="DV43" i="22"/>
  <c r="DW43" i="22"/>
  <c r="DW45" i="22" s="1"/>
  <c r="DX43" i="22"/>
  <c r="DX45" i="22" s="1"/>
  <c r="DY43" i="22"/>
  <c r="DY45" i="22" s="1"/>
  <c r="DZ43" i="22"/>
  <c r="EA43" i="22"/>
  <c r="EA45" i="22" s="1"/>
  <c r="EB43" i="22"/>
  <c r="EB45" i="22" s="1"/>
  <c r="EC43" i="22"/>
  <c r="EC45" i="22" s="1"/>
  <c r="ED43" i="22"/>
  <c r="EE43" i="22"/>
  <c r="EE45" i="22" s="1"/>
  <c r="EF43" i="22"/>
  <c r="EF45" i="22" s="1"/>
  <c r="EG43" i="22"/>
  <c r="EG45" i="22" s="1"/>
  <c r="EH43" i="22"/>
  <c r="EI43" i="22"/>
  <c r="EI45" i="22" s="1"/>
  <c r="EJ43" i="22"/>
  <c r="EJ45" i="22" s="1"/>
  <c r="EK43" i="22"/>
  <c r="EK45" i="22" s="1"/>
  <c r="EL43" i="22"/>
  <c r="EM43" i="22"/>
  <c r="EM45" i="22" s="1"/>
  <c r="EN43" i="22"/>
  <c r="EN45" i="22" s="1"/>
  <c r="EO43" i="22"/>
  <c r="EO45" i="22" s="1"/>
  <c r="EP43" i="22"/>
  <c r="EQ43" i="22"/>
  <c r="EQ45" i="22" s="1"/>
  <c r="ER43" i="22"/>
  <c r="ER45" i="22" s="1"/>
  <c r="ES43" i="22"/>
  <c r="ES45" i="22" s="1"/>
  <c r="ET43" i="22"/>
  <c r="EU43" i="22"/>
  <c r="EU45" i="22" s="1"/>
  <c r="EV43" i="22"/>
  <c r="EV45" i="22" s="1"/>
  <c r="EW43" i="22"/>
  <c r="EW45" i="22" s="1"/>
  <c r="EX43" i="22"/>
  <c r="EY43" i="22"/>
  <c r="EY45" i="22" s="1"/>
  <c r="EZ43" i="22"/>
  <c r="EZ45" i="22" s="1"/>
  <c r="FA43" i="22"/>
  <c r="FA45" i="22" s="1"/>
  <c r="FB43" i="22"/>
  <c r="FC43" i="22"/>
  <c r="FC45" i="22" s="1"/>
  <c r="FD43" i="22"/>
  <c r="FD45" i="22" s="1"/>
  <c r="FE43" i="22"/>
  <c r="FE45" i="22" s="1"/>
  <c r="FF43" i="22"/>
  <c r="FG43" i="22"/>
  <c r="FG45" i="22" s="1"/>
  <c r="FH43" i="22"/>
  <c r="FH45" i="22" s="1"/>
  <c r="FI43" i="22"/>
  <c r="FI45" i="22" s="1"/>
  <c r="FJ43" i="22"/>
  <c r="FK43" i="22"/>
  <c r="FK45" i="22" s="1"/>
  <c r="FL43" i="22"/>
  <c r="FL45" i="22" s="1"/>
  <c r="FM43" i="22"/>
  <c r="FM45" i="22" s="1"/>
  <c r="FN43" i="22"/>
  <c r="FO43" i="22"/>
  <c r="FO45" i="22" s="1"/>
  <c r="FP43" i="22"/>
  <c r="FP45" i="22" s="1"/>
  <c r="FQ43" i="22"/>
  <c r="FQ45" i="22" s="1"/>
  <c r="FR43" i="22"/>
  <c r="FS43" i="22"/>
  <c r="FS45" i="22" s="1"/>
  <c r="FT43" i="22"/>
  <c r="FT45" i="22" s="1"/>
  <c r="FU43" i="22"/>
  <c r="FU45" i="22" s="1"/>
  <c r="FV43" i="22"/>
  <c r="FW43" i="22"/>
  <c r="FW45" i="22" s="1"/>
  <c r="FX43" i="22"/>
  <c r="FX45" i="22" s="1"/>
  <c r="FY43" i="22"/>
  <c r="FY45" i="22" s="1"/>
  <c r="FZ43" i="22"/>
  <c r="GA43" i="22"/>
  <c r="GA45" i="22" s="1"/>
  <c r="GB43" i="22"/>
  <c r="GB45" i="22" s="1"/>
  <c r="GC43" i="22"/>
  <c r="GC45" i="22" s="1"/>
  <c r="GD43" i="22"/>
  <c r="GE43" i="22"/>
  <c r="GE45" i="22" s="1"/>
  <c r="GF43" i="22"/>
  <c r="GF45" i="22" s="1"/>
  <c r="GG43" i="22"/>
  <c r="GG45" i="22" s="1"/>
  <c r="GH43" i="22"/>
  <c r="GI43" i="22"/>
  <c r="GI45" i="22" s="1"/>
  <c r="GJ43" i="22"/>
  <c r="GJ45" i="22" s="1"/>
  <c r="GK43" i="22"/>
  <c r="GK45" i="22" s="1"/>
  <c r="C43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AX42" i="22"/>
  <c r="AY42" i="22"/>
  <c r="AZ42" i="22"/>
  <c r="BA42" i="22"/>
  <c r="BB42" i="22"/>
  <c r="BC42" i="22"/>
  <c r="BD42" i="22"/>
  <c r="BE42" i="22"/>
  <c r="BF42" i="22"/>
  <c r="BG42" i="22"/>
  <c r="BH42" i="22"/>
  <c r="BI42" i="22"/>
  <c r="BJ42" i="22"/>
  <c r="BK42" i="22"/>
  <c r="BL42" i="22"/>
  <c r="BM42" i="22"/>
  <c r="BN42" i="22"/>
  <c r="BO42" i="22"/>
  <c r="BP42" i="22"/>
  <c r="BQ42" i="22"/>
  <c r="BR42" i="22"/>
  <c r="BS42" i="22"/>
  <c r="BT42" i="22"/>
  <c r="BU42" i="22"/>
  <c r="BV42" i="22"/>
  <c r="BW42" i="22"/>
  <c r="BX42" i="22"/>
  <c r="BY42" i="22"/>
  <c r="BZ42" i="22"/>
  <c r="CA42" i="22"/>
  <c r="CB42" i="22"/>
  <c r="CC42" i="22"/>
  <c r="CD42" i="22"/>
  <c r="CE42" i="22"/>
  <c r="CF42" i="22"/>
  <c r="CG42" i="22"/>
  <c r="CH42" i="22"/>
  <c r="CI42" i="22"/>
  <c r="CJ42" i="22"/>
  <c r="CK42" i="22"/>
  <c r="CL42" i="22"/>
  <c r="CM42" i="22"/>
  <c r="CN42" i="22"/>
  <c r="CO42" i="22"/>
  <c r="CP42" i="22"/>
  <c r="CQ42" i="22"/>
  <c r="CR42" i="22"/>
  <c r="CS42" i="22"/>
  <c r="CT42" i="22"/>
  <c r="CU42" i="22"/>
  <c r="CV42" i="22"/>
  <c r="CW42" i="22"/>
  <c r="CX42" i="22"/>
  <c r="CY42" i="22"/>
  <c r="CZ42" i="22"/>
  <c r="DA42" i="22"/>
  <c r="DB42" i="22"/>
  <c r="DC42" i="22"/>
  <c r="DD42" i="22"/>
  <c r="DE42" i="22"/>
  <c r="DF42" i="22"/>
  <c r="DG42" i="22"/>
  <c r="DH42" i="22"/>
  <c r="DI42" i="22"/>
  <c r="DJ42" i="22"/>
  <c r="DK42" i="22"/>
  <c r="DL42" i="22"/>
  <c r="DM42" i="22"/>
  <c r="DN42" i="22"/>
  <c r="DO42" i="22"/>
  <c r="DP42" i="22"/>
  <c r="DQ42" i="22"/>
  <c r="DR42" i="22"/>
  <c r="DS42" i="22"/>
  <c r="DT42" i="22"/>
  <c r="DU42" i="22"/>
  <c r="DV42" i="22"/>
  <c r="DW42" i="22"/>
  <c r="DX42" i="22"/>
  <c r="DY42" i="22"/>
  <c r="DZ42" i="22"/>
  <c r="EA42" i="22"/>
  <c r="EB42" i="22"/>
  <c r="EC42" i="22"/>
  <c r="ED42" i="22"/>
  <c r="EE42" i="22"/>
  <c r="EF42" i="22"/>
  <c r="EG42" i="22"/>
  <c r="EH42" i="22"/>
  <c r="EI42" i="22"/>
  <c r="EJ42" i="22"/>
  <c r="EK42" i="22"/>
  <c r="EL42" i="22"/>
  <c r="EM42" i="22"/>
  <c r="EN42" i="22"/>
  <c r="EO42" i="22"/>
  <c r="EP42" i="22"/>
  <c r="EQ42" i="22"/>
  <c r="ER42" i="22"/>
  <c r="ES42" i="22"/>
  <c r="ET42" i="22"/>
  <c r="EU42" i="22"/>
  <c r="EV42" i="22"/>
  <c r="EW42" i="22"/>
  <c r="EX42" i="22"/>
  <c r="EY42" i="22"/>
  <c r="EZ42" i="22"/>
  <c r="FA42" i="22"/>
  <c r="FB42" i="22"/>
  <c r="FC42" i="22"/>
  <c r="FD42" i="22"/>
  <c r="FE42" i="22"/>
  <c r="FF42" i="22"/>
  <c r="FG42" i="22"/>
  <c r="FH42" i="22"/>
  <c r="FI42" i="22"/>
  <c r="FJ42" i="22"/>
  <c r="FK42" i="22"/>
  <c r="FL42" i="22"/>
  <c r="FM42" i="22"/>
  <c r="FN42" i="22"/>
  <c r="FO42" i="22"/>
  <c r="FP42" i="22"/>
  <c r="FQ42" i="22"/>
  <c r="FR42" i="22"/>
  <c r="FS42" i="22"/>
  <c r="FT42" i="22"/>
  <c r="FU42" i="22"/>
  <c r="FV42" i="22"/>
  <c r="FW42" i="22"/>
  <c r="FX42" i="22"/>
  <c r="FY42" i="22"/>
  <c r="FZ42" i="22"/>
  <c r="GA42" i="22"/>
  <c r="GB42" i="22"/>
  <c r="GC42" i="22"/>
  <c r="GD42" i="22"/>
  <c r="GE42" i="22"/>
  <c r="GF42" i="22"/>
  <c r="GG42" i="22"/>
  <c r="GH42" i="22"/>
  <c r="GI42" i="22"/>
  <c r="GJ42" i="22"/>
  <c r="GK42" i="22"/>
  <c r="C42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AR41" i="22"/>
  <c r="AS41" i="22"/>
  <c r="AT41" i="22"/>
  <c r="AU41" i="22"/>
  <c r="AV41" i="22"/>
  <c r="AW41" i="22"/>
  <c r="AX41" i="22"/>
  <c r="AY41" i="22"/>
  <c r="AZ41" i="22"/>
  <c r="BA41" i="22"/>
  <c r="BB41" i="22"/>
  <c r="BC41" i="22"/>
  <c r="BD41" i="22"/>
  <c r="BE41" i="22"/>
  <c r="BF41" i="22"/>
  <c r="BG41" i="22"/>
  <c r="BH41" i="22"/>
  <c r="BI41" i="22"/>
  <c r="BJ41" i="22"/>
  <c r="BK41" i="22"/>
  <c r="BL41" i="22"/>
  <c r="BM41" i="22"/>
  <c r="BN41" i="22"/>
  <c r="BO41" i="22"/>
  <c r="BP41" i="22"/>
  <c r="BQ41" i="22"/>
  <c r="BR41" i="22"/>
  <c r="BS41" i="22"/>
  <c r="BT41" i="22"/>
  <c r="BU41" i="22"/>
  <c r="BV41" i="22"/>
  <c r="BW41" i="22"/>
  <c r="BX41" i="22"/>
  <c r="BY41" i="22"/>
  <c r="BZ41" i="22"/>
  <c r="CA41" i="22"/>
  <c r="CB41" i="22"/>
  <c r="CC41" i="22"/>
  <c r="CD41" i="22"/>
  <c r="CE41" i="22"/>
  <c r="CF41" i="22"/>
  <c r="CG41" i="22"/>
  <c r="CH41" i="22"/>
  <c r="CI41" i="22"/>
  <c r="CJ41" i="22"/>
  <c r="CK41" i="22"/>
  <c r="CL41" i="22"/>
  <c r="CM41" i="22"/>
  <c r="CN41" i="22"/>
  <c r="CO41" i="22"/>
  <c r="CP41" i="22"/>
  <c r="CQ41" i="22"/>
  <c r="CR41" i="22"/>
  <c r="CS41" i="22"/>
  <c r="CT41" i="22"/>
  <c r="CU41" i="22"/>
  <c r="CV41" i="22"/>
  <c r="CW41" i="22"/>
  <c r="CX41" i="22"/>
  <c r="CY41" i="22"/>
  <c r="CZ41" i="22"/>
  <c r="DA41" i="22"/>
  <c r="DB41" i="22"/>
  <c r="DC41" i="22"/>
  <c r="DD41" i="22"/>
  <c r="DE41" i="22"/>
  <c r="DF41" i="22"/>
  <c r="DG41" i="22"/>
  <c r="DH41" i="22"/>
  <c r="DI41" i="22"/>
  <c r="DJ41" i="22"/>
  <c r="DK41" i="22"/>
  <c r="DL41" i="22"/>
  <c r="DM41" i="22"/>
  <c r="DN41" i="22"/>
  <c r="DO41" i="22"/>
  <c r="DP41" i="22"/>
  <c r="DQ41" i="22"/>
  <c r="DR41" i="22"/>
  <c r="DS41" i="22"/>
  <c r="DT41" i="22"/>
  <c r="DU41" i="22"/>
  <c r="DV41" i="22"/>
  <c r="DW41" i="22"/>
  <c r="DX41" i="22"/>
  <c r="DY41" i="22"/>
  <c r="DZ41" i="22"/>
  <c r="EA41" i="22"/>
  <c r="EB41" i="22"/>
  <c r="EC41" i="22"/>
  <c r="ED41" i="22"/>
  <c r="EE41" i="22"/>
  <c r="EF41" i="22"/>
  <c r="EG41" i="22"/>
  <c r="EH41" i="22"/>
  <c r="EI41" i="22"/>
  <c r="EJ41" i="22"/>
  <c r="EK41" i="22"/>
  <c r="EL41" i="22"/>
  <c r="EM41" i="22"/>
  <c r="EN41" i="22"/>
  <c r="EO41" i="22"/>
  <c r="EP41" i="22"/>
  <c r="EQ41" i="22"/>
  <c r="ER41" i="22"/>
  <c r="ES41" i="22"/>
  <c r="ET41" i="22"/>
  <c r="EU41" i="22"/>
  <c r="EV41" i="22"/>
  <c r="EW41" i="22"/>
  <c r="EX41" i="22"/>
  <c r="EY41" i="22"/>
  <c r="EZ41" i="22"/>
  <c r="FA41" i="22"/>
  <c r="FB41" i="22"/>
  <c r="FC41" i="22"/>
  <c r="FD41" i="22"/>
  <c r="FE41" i="22"/>
  <c r="FF41" i="22"/>
  <c r="FG41" i="22"/>
  <c r="FH41" i="22"/>
  <c r="FI41" i="22"/>
  <c r="FJ41" i="22"/>
  <c r="FK41" i="22"/>
  <c r="FL41" i="22"/>
  <c r="FM41" i="22"/>
  <c r="FN41" i="22"/>
  <c r="FO41" i="22"/>
  <c r="FP41" i="22"/>
  <c r="FQ41" i="22"/>
  <c r="FR41" i="22"/>
  <c r="FS41" i="22"/>
  <c r="FT41" i="22"/>
  <c r="FU41" i="22"/>
  <c r="FV41" i="22"/>
  <c r="FW41" i="22"/>
  <c r="FX41" i="22"/>
  <c r="FY41" i="22"/>
  <c r="FZ41" i="22"/>
  <c r="GA41" i="22"/>
  <c r="GB41" i="22"/>
  <c r="GC41" i="22"/>
  <c r="GD41" i="22"/>
  <c r="GE41" i="22"/>
  <c r="GF41" i="22"/>
  <c r="GG41" i="22"/>
  <c r="GH41" i="22"/>
  <c r="GI41" i="22"/>
  <c r="GJ41" i="22"/>
  <c r="GK41" i="22"/>
  <c r="C41" i="22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B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AA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23" i="19"/>
  <c r="W24" i="19"/>
  <c r="AD24" i="19" s="1"/>
  <c r="W25" i="19"/>
  <c r="W26" i="19"/>
  <c r="W27" i="19"/>
  <c r="W28" i="19"/>
  <c r="AD28" i="19" s="1"/>
  <c r="W29" i="19"/>
  <c r="W30" i="19"/>
  <c r="W31" i="19"/>
  <c r="W32" i="19"/>
  <c r="AD32" i="19" s="1"/>
  <c r="W33" i="19"/>
  <c r="W34" i="19"/>
  <c r="W35" i="19"/>
  <c r="W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23" i="19"/>
  <c r="U35" i="19"/>
  <c r="AD35" i="19" s="1"/>
  <c r="U34" i="19"/>
  <c r="AD34" i="19" s="1"/>
  <c r="U33" i="19"/>
  <c r="AD33" i="19" s="1"/>
  <c r="U32" i="19"/>
  <c r="U31" i="19"/>
  <c r="AD31" i="19" s="1"/>
  <c r="U30" i="19"/>
  <c r="AD30" i="19" s="1"/>
  <c r="U29" i="19"/>
  <c r="AD29" i="19" s="1"/>
  <c r="U28" i="19"/>
  <c r="U27" i="19"/>
  <c r="AD27" i="19" s="1"/>
  <c r="U26" i="19"/>
  <c r="AD26" i="19" s="1"/>
  <c r="U25" i="19"/>
  <c r="AD25" i="19" s="1"/>
  <c r="U24" i="19"/>
  <c r="U23" i="19"/>
  <c r="AD23" i="19" s="1"/>
  <c r="K35" i="19"/>
  <c r="K33" i="19"/>
  <c r="K32" i="19"/>
  <c r="K23" i="19"/>
  <c r="K25" i="19"/>
  <c r="K29" i="19"/>
  <c r="K24" i="19"/>
  <c r="K28" i="19"/>
  <c r="K31" i="19"/>
  <c r="K27" i="19"/>
  <c r="K30" i="19"/>
  <c r="K34" i="19"/>
  <c r="K26" i="19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C39" i="20"/>
  <c r="D38" i="20"/>
  <c r="D40" i="20" s="1"/>
  <c r="E38" i="20"/>
  <c r="E40" i="20" s="1"/>
  <c r="F38" i="20"/>
  <c r="F40" i="20" s="1"/>
  <c r="G38" i="20"/>
  <c r="G40" i="20" s="1"/>
  <c r="H38" i="20"/>
  <c r="H40" i="20" s="1"/>
  <c r="I38" i="20"/>
  <c r="I40" i="20" s="1"/>
  <c r="J38" i="20"/>
  <c r="J40" i="20" s="1"/>
  <c r="K38" i="20"/>
  <c r="K40" i="20" s="1"/>
  <c r="L38" i="20"/>
  <c r="L40" i="20" s="1"/>
  <c r="M38" i="20"/>
  <c r="M40" i="20" s="1"/>
  <c r="N38" i="20"/>
  <c r="N40" i="20" s="1"/>
  <c r="O38" i="20"/>
  <c r="O40" i="20" s="1"/>
  <c r="P38" i="20"/>
  <c r="P40" i="20" s="1"/>
  <c r="Q38" i="20"/>
  <c r="Q40" i="20" s="1"/>
  <c r="R38" i="20"/>
  <c r="R40" i="20" s="1"/>
  <c r="S38" i="20"/>
  <c r="S40" i="20" s="1"/>
  <c r="T38" i="20"/>
  <c r="T40" i="20" s="1"/>
  <c r="U38" i="20"/>
  <c r="U40" i="20" s="1"/>
  <c r="V38" i="20"/>
  <c r="V40" i="20" s="1"/>
  <c r="W38" i="20"/>
  <c r="W40" i="20" s="1"/>
  <c r="X38" i="20"/>
  <c r="X40" i="20" s="1"/>
  <c r="Y38" i="20"/>
  <c r="Y40" i="20" s="1"/>
  <c r="Z38" i="20"/>
  <c r="Z40" i="20" s="1"/>
  <c r="AA38" i="20"/>
  <c r="AA40" i="20" s="1"/>
  <c r="AB38" i="20"/>
  <c r="AB40" i="20" s="1"/>
  <c r="AC38" i="20"/>
  <c r="AC40" i="20" s="1"/>
  <c r="AD38" i="20"/>
  <c r="AD40" i="20" s="1"/>
  <c r="AE38" i="20"/>
  <c r="AE40" i="20" s="1"/>
  <c r="AF38" i="20"/>
  <c r="AF40" i="20" s="1"/>
  <c r="AG38" i="20"/>
  <c r="AG40" i="20" s="1"/>
  <c r="AH38" i="20"/>
  <c r="AH40" i="20" s="1"/>
  <c r="AI38" i="20"/>
  <c r="AI40" i="20" s="1"/>
  <c r="AJ38" i="20"/>
  <c r="AJ40" i="20" s="1"/>
  <c r="AK38" i="20"/>
  <c r="AK40" i="20" s="1"/>
  <c r="AL38" i="20"/>
  <c r="AL40" i="20" s="1"/>
  <c r="C38" i="20"/>
  <c r="C40" i="20" s="1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C37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C36" i="20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59" i="17"/>
  <c r="X107" i="17" l="1"/>
  <c r="X106" i="17"/>
  <c r="X105" i="17"/>
  <c r="X104" i="17"/>
  <c r="X103" i="17"/>
  <c r="X102" i="17"/>
  <c r="X101" i="17"/>
  <c r="X100" i="17"/>
  <c r="X99" i="17"/>
  <c r="X98" i="17"/>
  <c r="X97" i="17"/>
  <c r="X96" i="17"/>
  <c r="X95" i="17"/>
  <c r="X94" i="17"/>
  <c r="X93" i="17"/>
  <c r="X92" i="17"/>
  <c r="X91" i="17"/>
  <c r="X90" i="17"/>
  <c r="X89" i="17"/>
  <c r="X88" i="17"/>
  <c r="X87" i="17"/>
  <c r="X86" i="17"/>
  <c r="X85" i="17"/>
  <c r="X84" i="17"/>
  <c r="X83" i="17"/>
  <c r="X82" i="17"/>
  <c r="X81" i="17"/>
  <c r="X80" i="17"/>
  <c r="X79" i="17"/>
  <c r="X78" i="17"/>
  <c r="X77" i="17"/>
  <c r="X76" i="17"/>
  <c r="X75" i="17"/>
  <c r="X74" i="17"/>
  <c r="X73" i="17"/>
  <c r="X72" i="17"/>
  <c r="X71" i="17"/>
  <c r="X70" i="17"/>
  <c r="X69" i="17"/>
  <c r="X68" i="17"/>
  <c r="X67" i="17"/>
  <c r="X66" i="17"/>
  <c r="X65" i="17"/>
  <c r="X64" i="17"/>
  <c r="X63" i="17"/>
  <c r="X62" i="17"/>
  <c r="X61" i="17"/>
  <c r="X60" i="17"/>
  <c r="X59" i="17"/>
  <c r="W107" i="17"/>
  <c r="W106" i="17"/>
  <c r="W105" i="17"/>
  <c r="W104" i="17"/>
  <c r="W103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89" i="17"/>
  <c r="W88" i="17"/>
  <c r="W87" i="17"/>
  <c r="W86" i="17"/>
  <c r="W85" i="17"/>
  <c r="W84" i="17"/>
  <c r="W83" i="17"/>
  <c r="W82" i="17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V107" i="17"/>
  <c r="AD107" i="17" s="1"/>
  <c r="V106" i="17"/>
  <c r="AD106" i="17" s="1"/>
  <c r="V105" i="17"/>
  <c r="V104" i="17"/>
  <c r="V103" i="17"/>
  <c r="AD103" i="17" s="1"/>
  <c r="V102" i="17"/>
  <c r="AD102" i="17" s="1"/>
  <c r="V101" i="17"/>
  <c r="V100" i="17"/>
  <c r="V99" i="17"/>
  <c r="AD99" i="17" s="1"/>
  <c r="V98" i="17"/>
  <c r="AD98" i="17" s="1"/>
  <c r="V97" i="17"/>
  <c r="V96" i="17"/>
  <c r="V95" i="17"/>
  <c r="AD95" i="17" s="1"/>
  <c r="V94" i="17"/>
  <c r="AD94" i="17" s="1"/>
  <c r="V93" i="17"/>
  <c r="V92" i="17"/>
  <c r="V91" i="17"/>
  <c r="AD91" i="17" s="1"/>
  <c r="V90" i="17"/>
  <c r="AD90" i="17" s="1"/>
  <c r="V89" i="17"/>
  <c r="V88" i="17"/>
  <c r="V87" i="17"/>
  <c r="AD87" i="17" s="1"/>
  <c r="V86" i="17"/>
  <c r="AD86" i="17" s="1"/>
  <c r="V85" i="17"/>
  <c r="V84" i="17"/>
  <c r="V83" i="17"/>
  <c r="AD83" i="17" s="1"/>
  <c r="V82" i="17"/>
  <c r="AD82" i="17" s="1"/>
  <c r="V81" i="17"/>
  <c r="V80" i="17"/>
  <c r="V79" i="17"/>
  <c r="AD79" i="17" s="1"/>
  <c r="V78" i="17"/>
  <c r="AD78" i="17" s="1"/>
  <c r="V77" i="17"/>
  <c r="V76" i="17"/>
  <c r="V75" i="17"/>
  <c r="AD75" i="17" s="1"/>
  <c r="V74" i="17"/>
  <c r="AD74" i="17" s="1"/>
  <c r="V73" i="17"/>
  <c r="V72" i="17"/>
  <c r="V71" i="17"/>
  <c r="AD71" i="17" s="1"/>
  <c r="V70" i="17"/>
  <c r="AD70" i="17" s="1"/>
  <c r="V69" i="17"/>
  <c r="V68" i="17"/>
  <c r="V67" i="17"/>
  <c r="AD67" i="17" s="1"/>
  <c r="V66" i="17"/>
  <c r="AD66" i="17" s="1"/>
  <c r="V65" i="17"/>
  <c r="V64" i="17"/>
  <c r="V63" i="17"/>
  <c r="AD63" i="17" s="1"/>
  <c r="V62" i="17"/>
  <c r="AD62" i="17" s="1"/>
  <c r="V61" i="17"/>
  <c r="V60" i="17"/>
  <c r="V59" i="17"/>
  <c r="AD59" i="17" s="1"/>
  <c r="K101" i="17"/>
  <c r="K103" i="17"/>
  <c r="K95" i="17"/>
  <c r="K102" i="17"/>
  <c r="K78" i="17"/>
  <c r="K85" i="17"/>
  <c r="K67" i="17"/>
  <c r="K97" i="17"/>
  <c r="K82" i="17"/>
  <c r="K100" i="17"/>
  <c r="K93" i="17"/>
  <c r="K88" i="17"/>
  <c r="K92" i="17"/>
  <c r="K89" i="17"/>
  <c r="K75" i="17"/>
  <c r="K76" i="17"/>
  <c r="K65" i="17"/>
  <c r="K90" i="17"/>
  <c r="K63" i="17"/>
  <c r="K66" i="17"/>
  <c r="K62" i="17"/>
  <c r="K96" i="17"/>
  <c r="K71" i="17"/>
  <c r="K72" i="17"/>
  <c r="K80" i="17"/>
  <c r="K74" i="17"/>
  <c r="K86" i="17"/>
  <c r="K83" i="17"/>
  <c r="K91" i="17"/>
  <c r="K87" i="17"/>
  <c r="K68" i="17"/>
  <c r="K59" i="17"/>
  <c r="K106" i="17"/>
  <c r="K61" i="17"/>
  <c r="K64" i="17"/>
  <c r="K70" i="17"/>
  <c r="K77" i="17"/>
  <c r="K81" i="17"/>
  <c r="K104" i="17"/>
  <c r="K105" i="17"/>
  <c r="K60" i="17"/>
  <c r="K69" i="17"/>
  <c r="K107" i="17"/>
  <c r="K73" i="17"/>
  <c r="K99" i="17"/>
  <c r="K84" i="17"/>
  <c r="K94" i="17"/>
  <c r="K98" i="17"/>
  <c r="K79" i="17"/>
  <c r="G31" i="18"/>
  <c r="K31" i="18"/>
  <c r="O31" i="18"/>
  <c r="S31" i="18"/>
  <c r="W31" i="18"/>
  <c r="AA31" i="18"/>
  <c r="AE31" i="18"/>
  <c r="AI31" i="18"/>
  <c r="AM31" i="18"/>
  <c r="AQ31" i="18"/>
  <c r="AU31" i="18"/>
  <c r="AY31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C30" i="18"/>
  <c r="D29" i="18"/>
  <c r="D31" i="18" s="1"/>
  <c r="E29" i="18"/>
  <c r="E31" i="18" s="1"/>
  <c r="F29" i="18"/>
  <c r="F31" i="18" s="1"/>
  <c r="G29" i="18"/>
  <c r="H29" i="18"/>
  <c r="H31" i="18" s="1"/>
  <c r="I29" i="18"/>
  <c r="I31" i="18" s="1"/>
  <c r="J29" i="18"/>
  <c r="J31" i="18" s="1"/>
  <c r="K29" i="18"/>
  <c r="L29" i="18"/>
  <c r="L31" i="18" s="1"/>
  <c r="M29" i="18"/>
  <c r="M31" i="18" s="1"/>
  <c r="N29" i="18"/>
  <c r="N31" i="18" s="1"/>
  <c r="O29" i="18"/>
  <c r="P29" i="18"/>
  <c r="P31" i="18" s="1"/>
  <c r="Q29" i="18"/>
  <c r="Q31" i="18" s="1"/>
  <c r="R29" i="18"/>
  <c r="R31" i="18" s="1"/>
  <c r="S29" i="18"/>
  <c r="T29" i="18"/>
  <c r="T31" i="18" s="1"/>
  <c r="U29" i="18"/>
  <c r="U31" i="18" s="1"/>
  <c r="V29" i="18"/>
  <c r="V31" i="18" s="1"/>
  <c r="W29" i="18"/>
  <c r="X29" i="18"/>
  <c r="X31" i="18" s="1"/>
  <c r="Y29" i="18"/>
  <c r="Y31" i="18" s="1"/>
  <c r="Z29" i="18"/>
  <c r="Z31" i="18" s="1"/>
  <c r="AA29" i="18"/>
  <c r="AB29" i="18"/>
  <c r="AB31" i="18" s="1"/>
  <c r="AC29" i="18"/>
  <c r="AC31" i="18" s="1"/>
  <c r="AD29" i="18"/>
  <c r="AD31" i="18" s="1"/>
  <c r="AE29" i="18"/>
  <c r="AF29" i="18"/>
  <c r="AF31" i="18" s="1"/>
  <c r="AG29" i="18"/>
  <c r="AG31" i="18" s="1"/>
  <c r="AH29" i="18"/>
  <c r="AH31" i="18" s="1"/>
  <c r="AI29" i="18"/>
  <c r="AJ29" i="18"/>
  <c r="AJ31" i="18" s="1"/>
  <c r="AK29" i="18"/>
  <c r="AK31" i="18" s="1"/>
  <c r="AL29" i="18"/>
  <c r="AL31" i="18" s="1"/>
  <c r="AM29" i="18"/>
  <c r="AN29" i="18"/>
  <c r="AN31" i="18" s="1"/>
  <c r="AO29" i="18"/>
  <c r="AO31" i="18" s="1"/>
  <c r="AP29" i="18"/>
  <c r="AP31" i="18" s="1"/>
  <c r="AQ29" i="18"/>
  <c r="AR29" i="18"/>
  <c r="AR31" i="18" s="1"/>
  <c r="AS29" i="18"/>
  <c r="AS31" i="18" s="1"/>
  <c r="AT29" i="18"/>
  <c r="AT31" i="18" s="1"/>
  <c r="AU29" i="18"/>
  <c r="AV29" i="18"/>
  <c r="AV31" i="18" s="1"/>
  <c r="AW29" i="18"/>
  <c r="AW31" i="18" s="1"/>
  <c r="AX29" i="18"/>
  <c r="AX31" i="18" s="1"/>
  <c r="AY29" i="18"/>
  <c r="C29" i="18"/>
  <c r="C31" i="18" s="1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C28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C27" i="18"/>
  <c r="AC19" i="15"/>
  <c r="AC18" i="15"/>
  <c r="AC17" i="15"/>
  <c r="AC16" i="15"/>
  <c r="AC15" i="15"/>
  <c r="AB19" i="15"/>
  <c r="AB18" i="15"/>
  <c r="AB17" i="15"/>
  <c r="AB16" i="15"/>
  <c r="AB15" i="15"/>
  <c r="AA19" i="15"/>
  <c r="AA18" i="15"/>
  <c r="AA17" i="15"/>
  <c r="AA16" i="15"/>
  <c r="AA15" i="15"/>
  <c r="Z19" i="15"/>
  <c r="Z18" i="15"/>
  <c r="Z17" i="15"/>
  <c r="Z16" i="15"/>
  <c r="Z15" i="15"/>
  <c r="Y19" i="15"/>
  <c r="Y18" i="15"/>
  <c r="Y17" i="15"/>
  <c r="Y16" i="15"/>
  <c r="Y15" i="15"/>
  <c r="X19" i="15"/>
  <c r="X18" i="15"/>
  <c r="X17" i="15"/>
  <c r="X16" i="15"/>
  <c r="X15" i="15"/>
  <c r="W19" i="15"/>
  <c r="W18" i="15"/>
  <c r="W17" i="15"/>
  <c r="W16" i="15"/>
  <c r="W15" i="15"/>
  <c r="V19" i="15"/>
  <c r="V18" i="15"/>
  <c r="V17" i="15"/>
  <c r="V16" i="15"/>
  <c r="V15" i="15"/>
  <c r="U19" i="15"/>
  <c r="AD19" i="15" s="1"/>
  <c r="U18" i="15"/>
  <c r="AD18" i="15" s="1"/>
  <c r="U17" i="15"/>
  <c r="AD17" i="15" s="1"/>
  <c r="U16" i="15"/>
  <c r="AD16" i="15" s="1"/>
  <c r="U15" i="15"/>
  <c r="AD15" i="15" s="1"/>
  <c r="N16" i="15"/>
  <c r="N17" i="15"/>
  <c r="N18" i="15"/>
  <c r="N19" i="15"/>
  <c r="N15" i="15"/>
  <c r="K18" i="15"/>
  <c r="K19" i="15"/>
  <c r="K16" i="15"/>
  <c r="K17" i="15"/>
  <c r="K15" i="15"/>
  <c r="F37" i="16"/>
  <c r="J37" i="16"/>
  <c r="N37" i="16"/>
  <c r="R37" i="16"/>
  <c r="V37" i="16"/>
  <c r="Z37" i="16"/>
  <c r="AD37" i="16"/>
  <c r="AH37" i="16"/>
  <c r="AL37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C36" i="16"/>
  <c r="D35" i="16"/>
  <c r="D37" i="16" s="1"/>
  <c r="E35" i="16"/>
  <c r="E37" i="16" s="1"/>
  <c r="F35" i="16"/>
  <c r="G35" i="16"/>
  <c r="G37" i="16" s="1"/>
  <c r="H35" i="16"/>
  <c r="H37" i="16" s="1"/>
  <c r="I35" i="16"/>
  <c r="I37" i="16" s="1"/>
  <c r="J35" i="16"/>
  <c r="K35" i="16"/>
  <c r="K37" i="16" s="1"/>
  <c r="L35" i="16"/>
  <c r="L37" i="16" s="1"/>
  <c r="M35" i="16"/>
  <c r="M37" i="16" s="1"/>
  <c r="N35" i="16"/>
  <c r="O35" i="16"/>
  <c r="O37" i="16" s="1"/>
  <c r="P35" i="16"/>
  <c r="P37" i="16" s="1"/>
  <c r="Q35" i="16"/>
  <c r="Q37" i="16" s="1"/>
  <c r="R35" i="16"/>
  <c r="S35" i="16"/>
  <c r="S37" i="16" s="1"/>
  <c r="T35" i="16"/>
  <c r="T37" i="16" s="1"/>
  <c r="U35" i="16"/>
  <c r="U37" i="16" s="1"/>
  <c r="V35" i="16"/>
  <c r="W35" i="16"/>
  <c r="W37" i="16" s="1"/>
  <c r="X35" i="16"/>
  <c r="X37" i="16" s="1"/>
  <c r="Y35" i="16"/>
  <c r="Y37" i="16" s="1"/>
  <c r="Z35" i="16"/>
  <c r="AA35" i="16"/>
  <c r="AA37" i="16" s="1"/>
  <c r="AB35" i="16"/>
  <c r="AB37" i="16" s="1"/>
  <c r="AC35" i="16"/>
  <c r="AC37" i="16" s="1"/>
  <c r="AD35" i="16"/>
  <c r="AE35" i="16"/>
  <c r="AE37" i="16" s="1"/>
  <c r="AF35" i="16"/>
  <c r="AF37" i="16" s="1"/>
  <c r="AG35" i="16"/>
  <c r="AG37" i="16" s="1"/>
  <c r="AH35" i="16"/>
  <c r="AI35" i="16"/>
  <c r="AI37" i="16" s="1"/>
  <c r="AJ35" i="16"/>
  <c r="AJ37" i="16" s="1"/>
  <c r="AK35" i="16"/>
  <c r="AK37" i="16" s="1"/>
  <c r="AL35" i="16"/>
  <c r="AM35" i="16"/>
  <c r="AM37" i="16" s="1"/>
  <c r="C35" i="16"/>
  <c r="C37" i="16" s="1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C34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C33" i="16"/>
  <c r="AD60" i="17" l="1"/>
  <c r="AD64" i="17"/>
  <c r="AD68" i="17"/>
  <c r="AD72" i="17"/>
  <c r="AD76" i="17"/>
  <c r="AD80" i="17"/>
  <c r="AD84" i="17"/>
  <c r="AD88" i="17"/>
  <c r="AD92" i="17"/>
  <c r="AD96" i="17"/>
  <c r="AD100" i="17"/>
  <c r="AD104" i="17"/>
  <c r="AD61" i="17"/>
  <c r="AD65" i="17"/>
  <c r="AD69" i="17"/>
  <c r="AD73" i="17"/>
  <c r="AD77" i="17"/>
  <c r="AD81" i="17"/>
  <c r="AD85" i="17"/>
  <c r="AD89" i="17"/>
  <c r="AD93" i="17"/>
  <c r="AD97" i="17"/>
  <c r="AD101" i="17"/>
  <c r="AD105" i="17"/>
  <c r="AC18" i="13"/>
  <c r="AC17" i="13"/>
  <c r="AC16" i="13"/>
  <c r="AC15" i="13"/>
  <c r="AB18" i="13"/>
  <c r="AB17" i="13"/>
  <c r="AB16" i="13"/>
  <c r="AB15" i="13"/>
  <c r="AA18" i="13"/>
  <c r="AA17" i="13"/>
  <c r="AA16" i="13"/>
  <c r="AA15" i="13"/>
  <c r="Z18" i="13"/>
  <c r="Z17" i="13"/>
  <c r="Z16" i="13"/>
  <c r="Z15" i="13"/>
  <c r="Y18" i="13"/>
  <c r="Y17" i="13"/>
  <c r="Y16" i="13"/>
  <c r="Y15" i="13"/>
  <c r="X18" i="13"/>
  <c r="X17" i="13"/>
  <c r="X16" i="13"/>
  <c r="X15" i="13"/>
  <c r="W18" i="13"/>
  <c r="W17" i="13"/>
  <c r="W16" i="13"/>
  <c r="W15" i="13"/>
  <c r="V18" i="13"/>
  <c r="V17" i="13"/>
  <c r="V16" i="13"/>
  <c r="V15" i="13"/>
  <c r="U18" i="13"/>
  <c r="AD18" i="13" s="1"/>
  <c r="U17" i="13"/>
  <c r="AD17" i="13" s="1"/>
  <c r="U16" i="13"/>
  <c r="AD16" i="13" s="1"/>
  <c r="U15" i="13"/>
  <c r="AD15" i="13"/>
  <c r="N16" i="13"/>
  <c r="N17" i="13"/>
  <c r="N18" i="13"/>
  <c r="N15" i="13"/>
  <c r="K17" i="13"/>
  <c r="K16" i="13"/>
  <c r="K18" i="13"/>
  <c r="K15" i="13"/>
  <c r="G40" i="14"/>
  <c r="K40" i="14"/>
  <c r="O40" i="14"/>
  <c r="S40" i="14"/>
  <c r="W40" i="14"/>
  <c r="AA40" i="14"/>
  <c r="AE40" i="14"/>
  <c r="AI40" i="14"/>
  <c r="AM40" i="14"/>
  <c r="AQ40" i="14"/>
  <c r="AU40" i="14"/>
  <c r="AY40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C39" i="14"/>
  <c r="D38" i="14"/>
  <c r="D40" i="14" s="1"/>
  <c r="E38" i="14"/>
  <c r="E40" i="14" s="1"/>
  <c r="F38" i="14"/>
  <c r="F40" i="14" s="1"/>
  <c r="G38" i="14"/>
  <c r="H38" i="14"/>
  <c r="H40" i="14" s="1"/>
  <c r="I38" i="14"/>
  <c r="I40" i="14" s="1"/>
  <c r="J38" i="14"/>
  <c r="J40" i="14" s="1"/>
  <c r="K38" i="14"/>
  <c r="L38" i="14"/>
  <c r="L40" i="14" s="1"/>
  <c r="M38" i="14"/>
  <c r="M40" i="14" s="1"/>
  <c r="N38" i="14"/>
  <c r="N40" i="14" s="1"/>
  <c r="O38" i="14"/>
  <c r="P38" i="14"/>
  <c r="P40" i="14" s="1"/>
  <c r="Q38" i="14"/>
  <c r="Q40" i="14" s="1"/>
  <c r="R38" i="14"/>
  <c r="R40" i="14" s="1"/>
  <c r="S38" i="14"/>
  <c r="T38" i="14"/>
  <c r="T40" i="14" s="1"/>
  <c r="U38" i="14"/>
  <c r="U40" i="14" s="1"/>
  <c r="V38" i="14"/>
  <c r="V40" i="14" s="1"/>
  <c r="W38" i="14"/>
  <c r="X38" i="14"/>
  <c r="X40" i="14" s="1"/>
  <c r="Y38" i="14"/>
  <c r="Y40" i="14" s="1"/>
  <c r="Z38" i="14"/>
  <c r="Z40" i="14" s="1"/>
  <c r="AA38" i="14"/>
  <c r="AB38" i="14"/>
  <c r="AB40" i="14" s="1"/>
  <c r="AC38" i="14"/>
  <c r="AC40" i="14" s="1"/>
  <c r="AD38" i="14"/>
  <c r="AD40" i="14" s="1"/>
  <c r="AE38" i="14"/>
  <c r="AF38" i="14"/>
  <c r="AF40" i="14" s="1"/>
  <c r="AG38" i="14"/>
  <c r="AG40" i="14" s="1"/>
  <c r="AH38" i="14"/>
  <c r="AH40" i="14" s="1"/>
  <c r="AI38" i="14"/>
  <c r="AJ38" i="14"/>
  <c r="AJ40" i="14" s="1"/>
  <c r="AK38" i="14"/>
  <c r="AK40" i="14" s="1"/>
  <c r="AL38" i="14"/>
  <c r="AL40" i="14" s="1"/>
  <c r="AM38" i="14"/>
  <c r="AN38" i="14"/>
  <c r="AN40" i="14" s="1"/>
  <c r="AO38" i="14"/>
  <c r="AO40" i="14" s="1"/>
  <c r="AP38" i="14"/>
  <c r="AP40" i="14" s="1"/>
  <c r="AQ38" i="14"/>
  <c r="AR38" i="14"/>
  <c r="AR40" i="14" s="1"/>
  <c r="AS38" i="14"/>
  <c r="AS40" i="14" s="1"/>
  <c r="AT38" i="14"/>
  <c r="AT40" i="14" s="1"/>
  <c r="AU38" i="14"/>
  <c r="AV38" i="14"/>
  <c r="AV40" i="14" s="1"/>
  <c r="AW38" i="14"/>
  <c r="AW40" i="14" s="1"/>
  <c r="AX38" i="14"/>
  <c r="AX40" i="14" s="1"/>
  <c r="AY38" i="14"/>
  <c r="AZ38" i="14"/>
  <c r="AZ40" i="14" s="1"/>
  <c r="BA38" i="14"/>
  <c r="BA40" i="14" s="1"/>
  <c r="C38" i="14"/>
  <c r="C40" i="14" s="1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C37" i="14"/>
  <c r="AT36" i="14"/>
  <c r="AU36" i="14"/>
  <c r="AV36" i="14"/>
  <c r="AW36" i="14"/>
  <c r="AX36" i="14"/>
  <c r="AY36" i="14"/>
  <c r="AZ36" i="14"/>
  <c r="BA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C36" i="14"/>
  <c r="N14" i="9" l="1"/>
  <c r="N15" i="9"/>
  <c r="N16" i="9"/>
  <c r="N13" i="9"/>
  <c r="AC43" i="2" l="1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AC16" i="9"/>
  <c r="AC15" i="9"/>
  <c r="AC14" i="9"/>
  <c r="AC13" i="9"/>
  <c r="AB16" i="9"/>
  <c r="AB15" i="9"/>
  <c r="AB14" i="9"/>
  <c r="AB13" i="9"/>
  <c r="AA16" i="9"/>
  <c r="AA15" i="9"/>
  <c r="AA14" i="9"/>
  <c r="AA13" i="9"/>
  <c r="Z16" i="9"/>
  <c r="Z15" i="9"/>
  <c r="Z14" i="9"/>
  <c r="Z13" i="9"/>
  <c r="U16" i="9"/>
  <c r="Y16" i="9"/>
  <c r="Y15" i="9"/>
  <c r="Y14" i="9"/>
  <c r="Y13" i="9"/>
  <c r="X16" i="9"/>
  <c r="X15" i="9"/>
  <c r="X14" i="9"/>
  <c r="X13" i="9"/>
  <c r="W16" i="9"/>
  <c r="W15" i="9"/>
  <c r="W14" i="9"/>
  <c r="W13" i="9"/>
  <c r="V16" i="9"/>
  <c r="V15" i="9"/>
  <c r="V14" i="9"/>
  <c r="V13" i="9"/>
  <c r="U15" i="9"/>
  <c r="U14" i="9"/>
  <c r="U13" i="9"/>
  <c r="V50" i="12"/>
  <c r="V4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A58" i="12"/>
  <c r="AA57" i="12"/>
  <c r="AA56" i="12"/>
  <c r="AA55" i="12"/>
  <c r="AA54" i="12"/>
  <c r="AA53" i="12"/>
  <c r="AA52" i="12"/>
  <c r="AA51" i="12"/>
  <c r="AA50" i="12"/>
  <c r="AA49" i="12"/>
  <c r="AA48" i="12"/>
  <c r="AA47" i="12"/>
  <c r="AA46" i="12"/>
  <c r="AA45" i="12"/>
  <c r="AA44" i="12"/>
  <c r="AA43" i="12"/>
  <c r="AA42" i="12"/>
  <c r="AA41" i="12"/>
  <c r="AA40" i="12"/>
  <c r="AA39" i="12"/>
  <c r="AA38" i="12"/>
  <c r="AA37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Y58" i="12"/>
  <c r="Y57" i="12"/>
  <c r="Y56" i="12"/>
  <c r="Y55" i="12"/>
  <c r="Y54" i="12"/>
  <c r="Y53" i="12"/>
  <c r="Y52" i="12"/>
  <c r="Y51" i="12"/>
  <c r="Y50" i="12"/>
  <c r="Y49" i="12"/>
  <c r="Y48" i="12"/>
  <c r="Y47" i="12"/>
  <c r="Y46" i="12"/>
  <c r="Y45" i="12"/>
  <c r="Y44" i="12"/>
  <c r="Y43" i="12"/>
  <c r="Y42" i="12"/>
  <c r="Y41" i="12"/>
  <c r="Y40" i="12"/>
  <c r="Y39" i="12"/>
  <c r="Y38" i="12"/>
  <c r="Y37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AC36" i="12"/>
  <c r="AB36" i="12"/>
  <c r="AA36" i="12"/>
  <c r="Z36" i="12"/>
  <c r="Y36" i="12"/>
  <c r="X36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AD66" i="7" l="1"/>
  <c r="AD78" i="7"/>
  <c r="AD98" i="7"/>
  <c r="AD14" i="9"/>
  <c r="AD55" i="7"/>
  <c r="AD59" i="7"/>
  <c r="AD63" i="7"/>
  <c r="AD67" i="7"/>
  <c r="AD71" i="7"/>
  <c r="AD75" i="7"/>
  <c r="AD79" i="7"/>
  <c r="AD83" i="7"/>
  <c r="AD87" i="7"/>
  <c r="AD91" i="7"/>
  <c r="AD95" i="7"/>
  <c r="AD99" i="7"/>
  <c r="AD58" i="7"/>
  <c r="AD74" i="7"/>
  <c r="AD86" i="7"/>
  <c r="AD94" i="7"/>
  <c r="AD15" i="9"/>
  <c r="AD56" i="7"/>
  <c r="AD60" i="7"/>
  <c r="AD64" i="7"/>
  <c r="AD68" i="7"/>
  <c r="AD72" i="7"/>
  <c r="AD76" i="7"/>
  <c r="AD80" i="7"/>
  <c r="AD84" i="7"/>
  <c r="AD88" i="7"/>
  <c r="AD92" i="7"/>
  <c r="AD96" i="7"/>
  <c r="AD100" i="7"/>
  <c r="AD13" i="9"/>
  <c r="AD62" i="7"/>
  <c r="AD70" i="7"/>
  <c r="AD82" i="7"/>
  <c r="AD90" i="7"/>
  <c r="AD16" i="9"/>
  <c r="AD57" i="7"/>
  <c r="AD61" i="7"/>
  <c r="AD65" i="7"/>
  <c r="AD69" i="7"/>
  <c r="AD73" i="7"/>
  <c r="AD77" i="7"/>
  <c r="AD81" i="7"/>
  <c r="AD85" i="7"/>
  <c r="AD89" i="7"/>
  <c r="AD93" i="7"/>
  <c r="AD97" i="7"/>
  <c r="AD28" i="2"/>
  <c r="AD34" i="2"/>
  <c r="AD40" i="2"/>
  <c r="AD29" i="2"/>
  <c r="AD35" i="2"/>
  <c r="AD41" i="2"/>
  <c r="AD30" i="2"/>
  <c r="AD36" i="2"/>
  <c r="AD42" i="2"/>
  <c r="AD31" i="2"/>
  <c r="AD37" i="2"/>
  <c r="AD43" i="2"/>
  <c r="AD32" i="2"/>
  <c r="AD38" i="2"/>
  <c r="AD27" i="2"/>
  <c r="AD33" i="2"/>
  <c r="AD39" i="2"/>
  <c r="AC35" i="12"/>
  <c r="AB35" i="12"/>
  <c r="AA35" i="12"/>
  <c r="Z35" i="12"/>
  <c r="Y35" i="12"/>
  <c r="X35" i="12"/>
  <c r="W35" i="12"/>
  <c r="V58" i="12"/>
  <c r="V57" i="12"/>
  <c r="V56" i="12"/>
  <c r="V55" i="12"/>
  <c r="V54" i="12"/>
  <c r="V53" i="12"/>
  <c r="V52" i="12"/>
  <c r="V51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U58" i="12"/>
  <c r="U57" i="12"/>
  <c r="U56" i="12"/>
  <c r="AD56" i="12" s="1"/>
  <c r="U55" i="12"/>
  <c r="U54" i="12"/>
  <c r="U53" i="12"/>
  <c r="U52" i="12"/>
  <c r="AD52" i="12" s="1"/>
  <c r="U51" i="12"/>
  <c r="AD51" i="12" s="1"/>
  <c r="U50" i="12"/>
  <c r="AD50" i="12" s="1"/>
  <c r="U49" i="12"/>
  <c r="AD49" i="12" s="1"/>
  <c r="U48" i="12"/>
  <c r="AD48" i="12" s="1"/>
  <c r="U47" i="12"/>
  <c r="AD47" i="12" s="1"/>
  <c r="U46" i="12"/>
  <c r="AD46" i="12" s="1"/>
  <c r="U45" i="12"/>
  <c r="AD45" i="12" s="1"/>
  <c r="U44" i="12"/>
  <c r="AD44" i="12" s="1"/>
  <c r="U43" i="12"/>
  <c r="AD43" i="12" s="1"/>
  <c r="U42" i="12"/>
  <c r="AD42" i="12" s="1"/>
  <c r="U41" i="12"/>
  <c r="AD41" i="12" s="1"/>
  <c r="U40" i="12"/>
  <c r="AD40" i="12" s="1"/>
  <c r="U39" i="12"/>
  <c r="AD39" i="12" s="1"/>
  <c r="U38" i="12"/>
  <c r="AD38" i="12" s="1"/>
  <c r="U37" i="12"/>
  <c r="AD37" i="12" s="1"/>
  <c r="U36" i="12"/>
  <c r="AD36" i="12" s="1"/>
  <c r="U35" i="12"/>
  <c r="K35" i="12"/>
  <c r="K50" i="12"/>
  <c r="K36" i="12"/>
  <c r="K41" i="12"/>
  <c r="K56" i="12"/>
  <c r="K38" i="12"/>
  <c r="K45" i="12"/>
  <c r="K49" i="12"/>
  <c r="K39" i="12"/>
  <c r="K46" i="12"/>
  <c r="K37" i="12"/>
  <c r="K51" i="12"/>
  <c r="K58" i="12"/>
  <c r="K55" i="12"/>
  <c r="K40" i="12"/>
  <c r="K47" i="12"/>
  <c r="K43" i="12"/>
  <c r="K48" i="12"/>
  <c r="K57" i="12"/>
  <c r="K52" i="12"/>
  <c r="K54" i="12"/>
  <c r="K42" i="12"/>
  <c r="K53" i="12"/>
  <c r="K44" i="12"/>
  <c r="G49" i="11"/>
  <c r="K49" i="11"/>
  <c r="O49" i="11"/>
  <c r="S49" i="11"/>
  <c r="W49" i="11"/>
  <c r="AA49" i="11"/>
  <c r="AE49" i="11"/>
  <c r="AI49" i="11"/>
  <c r="AM49" i="11"/>
  <c r="AQ49" i="11"/>
  <c r="AU49" i="11"/>
  <c r="AY49" i="11"/>
  <c r="BC49" i="11"/>
  <c r="BG49" i="11"/>
  <c r="BK49" i="11"/>
  <c r="BO49" i="11"/>
  <c r="BS49" i="11"/>
  <c r="BW49" i="11"/>
  <c r="CA49" i="11"/>
  <c r="CE49" i="11"/>
  <c r="CI49" i="11"/>
  <c r="CM49" i="11"/>
  <c r="CQ49" i="11"/>
  <c r="CU49" i="11"/>
  <c r="CY49" i="11"/>
  <c r="DC49" i="11"/>
  <c r="DG49" i="11"/>
  <c r="DK49" i="11"/>
  <c r="DO49" i="11"/>
  <c r="DS49" i="11"/>
  <c r="DW49" i="11"/>
  <c r="EA49" i="11"/>
  <c r="EE49" i="11"/>
  <c r="EI49" i="11"/>
  <c r="EM49" i="11"/>
  <c r="EQ49" i="11"/>
  <c r="EU49" i="11"/>
  <c r="EY49" i="11"/>
  <c r="FC49" i="11"/>
  <c r="FG49" i="11"/>
  <c r="FK49" i="11"/>
  <c r="FO49" i="11"/>
  <c r="FS49" i="11"/>
  <c r="FW49" i="11"/>
  <c r="GA49" i="11"/>
  <c r="GE49" i="11"/>
  <c r="GI49" i="11"/>
  <c r="GM49" i="11"/>
  <c r="GQ49" i="11"/>
  <c r="GU49" i="11"/>
  <c r="GY49" i="11"/>
  <c r="HC49" i="11"/>
  <c r="D48" i="11"/>
  <c r="E48" i="11"/>
  <c r="F48" i="11"/>
  <c r="F49" i="11" s="1"/>
  <c r="G48" i="11"/>
  <c r="H48" i="11"/>
  <c r="I48" i="11"/>
  <c r="J48" i="11"/>
  <c r="J49" i="11" s="1"/>
  <c r="K48" i="11"/>
  <c r="L48" i="11"/>
  <c r="M48" i="11"/>
  <c r="N48" i="11"/>
  <c r="N49" i="11" s="1"/>
  <c r="O48" i="11"/>
  <c r="P48" i="11"/>
  <c r="Q48" i="11"/>
  <c r="R48" i="11"/>
  <c r="R49" i="11" s="1"/>
  <c r="S48" i="11"/>
  <c r="T48" i="11"/>
  <c r="U48" i="11"/>
  <c r="V48" i="11"/>
  <c r="V49" i="11" s="1"/>
  <c r="W48" i="11"/>
  <c r="X48" i="11"/>
  <c r="Y48" i="11"/>
  <c r="Z48" i="11"/>
  <c r="Z49" i="11" s="1"/>
  <c r="AA48" i="11"/>
  <c r="AB48" i="11"/>
  <c r="AC48" i="11"/>
  <c r="AD48" i="11"/>
  <c r="AD49" i="11" s="1"/>
  <c r="AE48" i="11"/>
  <c r="AF48" i="11"/>
  <c r="AG48" i="11"/>
  <c r="AH48" i="11"/>
  <c r="AH49" i="11" s="1"/>
  <c r="AI48" i="11"/>
  <c r="AJ48" i="11"/>
  <c r="AK48" i="11"/>
  <c r="AL48" i="11"/>
  <c r="AL49" i="11" s="1"/>
  <c r="AM48" i="11"/>
  <c r="AN48" i="11"/>
  <c r="AO48" i="11"/>
  <c r="AP48" i="11"/>
  <c r="AP49" i="11" s="1"/>
  <c r="AQ48" i="11"/>
  <c r="AR48" i="11"/>
  <c r="AS48" i="11"/>
  <c r="AT48" i="11"/>
  <c r="AT49" i="11" s="1"/>
  <c r="AU48" i="11"/>
  <c r="AV48" i="11"/>
  <c r="AW48" i="11"/>
  <c r="AX48" i="11"/>
  <c r="AX49" i="11" s="1"/>
  <c r="AY48" i="11"/>
  <c r="AZ48" i="11"/>
  <c r="BA48" i="11"/>
  <c r="BB48" i="11"/>
  <c r="BB49" i="11" s="1"/>
  <c r="BC48" i="11"/>
  <c r="BD48" i="11"/>
  <c r="BE48" i="11"/>
  <c r="BF48" i="11"/>
  <c r="BF49" i="11" s="1"/>
  <c r="BG48" i="11"/>
  <c r="BH48" i="11"/>
  <c r="BI48" i="11"/>
  <c r="BJ48" i="11"/>
  <c r="BJ49" i="11" s="1"/>
  <c r="BK48" i="11"/>
  <c r="BL48" i="11"/>
  <c r="BM48" i="11"/>
  <c r="BN48" i="11"/>
  <c r="BN49" i="11" s="1"/>
  <c r="BO48" i="11"/>
  <c r="BP48" i="11"/>
  <c r="BQ48" i="11"/>
  <c r="BR48" i="11"/>
  <c r="BR49" i="11" s="1"/>
  <c r="BS48" i="11"/>
  <c r="BT48" i="11"/>
  <c r="BU48" i="11"/>
  <c r="BV48" i="11"/>
  <c r="BV49" i="11" s="1"/>
  <c r="BW48" i="11"/>
  <c r="BX48" i="11"/>
  <c r="BY48" i="11"/>
  <c r="BZ48" i="11"/>
  <c r="BZ49" i="11" s="1"/>
  <c r="CA48" i="11"/>
  <c r="CB48" i="11"/>
  <c r="CC48" i="11"/>
  <c r="CD48" i="11"/>
  <c r="CD49" i="11" s="1"/>
  <c r="CE48" i="11"/>
  <c r="CF48" i="11"/>
  <c r="CG48" i="11"/>
  <c r="CH48" i="11"/>
  <c r="CH49" i="11" s="1"/>
  <c r="CI48" i="11"/>
  <c r="CJ48" i="11"/>
  <c r="CK48" i="11"/>
  <c r="CL48" i="11"/>
  <c r="CL49" i="11" s="1"/>
  <c r="CM48" i="11"/>
  <c r="CN48" i="11"/>
  <c r="CO48" i="11"/>
  <c r="CP48" i="11"/>
  <c r="CP49" i="11" s="1"/>
  <c r="CQ48" i="11"/>
  <c r="CR48" i="11"/>
  <c r="CS48" i="11"/>
  <c r="CT48" i="11"/>
  <c r="CT49" i="11" s="1"/>
  <c r="CU48" i="11"/>
  <c r="CV48" i="11"/>
  <c r="CW48" i="11"/>
  <c r="CX48" i="11"/>
  <c r="CX49" i="11" s="1"/>
  <c r="CY48" i="11"/>
  <c r="CZ48" i="11"/>
  <c r="DA48" i="11"/>
  <c r="DB48" i="11"/>
  <c r="DB49" i="11" s="1"/>
  <c r="DC48" i="11"/>
  <c r="DD48" i="11"/>
  <c r="DE48" i="11"/>
  <c r="DF48" i="11"/>
  <c r="DF49" i="11" s="1"/>
  <c r="DG48" i="11"/>
  <c r="DH48" i="11"/>
  <c r="DI48" i="11"/>
  <c r="DJ48" i="11"/>
  <c r="DJ49" i="11" s="1"/>
  <c r="DK48" i="11"/>
  <c r="DL48" i="11"/>
  <c r="DM48" i="11"/>
  <c r="DN48" i="11"/>
  <c r="DN49" i="11" s="1"/>
  <c r="DO48" i="11"/>
  <c r="DP48" i="11"/>
  <c r="DQ48" i="11"/>
  <c r="DR48" i="11"/>
  <c r="DR49" i="11" s="1"/>
  <c r="DS48" i="11"/>
  <c r="DT48" i="11"/>
  <c r="DU48" i="11"/>
  <c r="DV48" i="11"/>
  <c r="DV49" i="11" s="1"/>
  <c r="DW48" i="11"/>
  <c r="DX48" i="11"/>
  <c r="DY48" i="11"/>
  <c r="DZ48" i="11"/>
  <c r="DZ49" i="11" s="1"/>
  <c r="EA48" i="11"/>
  <c r="EB48" i="11"/>
  <c r="EC48" i="11"/>
  <c r="ED48" i="11"/>
  <c r="ED49" i="11" s="1"/>
  <c r="EE48" i="11"/>
  <c r="EF48" i="11"/>
  <c r="EG48" i="11"/>
  <c r="EH48" i="11"/>
  <c r="EH49" i="11" s="1"/>
  <c r="EI48" i="11"/>
  <c r="EJ48" i="11"/>
  <c r="EK48" i="11"/>
  <c r="EL48" i="11"/>
  <c r="EL49" i="11" s="1"/>
  <c r="EM48" i="11"/>
  <c r="EN48" i="11"/>
  <c r="EO48" i="11"/>
  <c r="EP48" i="11"/>
  <c r="EP49" i="11" s="1"/>
  <c r="EQ48" i="11"/>
  <c r="ER48" i="11"/>
  <c r="ES48" i="11"/>
  <c r="ET48" i="11"/>
  <c r="ET49" i="11" s="1"/>
  <c r="EU48" i="11"/>
  <c r="EV48" i="11"/>
  <c r="EW48" i="11"/>
  <c r="EX48" i="11"/>
  <c r="EX49" i="11" s="1"/>
  <c r="EY48" i="11"/>
  <c r="EZ48" i="11"/>
  <c r="FA48" i="11"/>
  <c r="FB48" i="11"/>
  <c r="FB49" i="11" s="1"/>
  <c r="FC48" i="11"/>
  <c r="FD48" i="11"/>
  <c r="FE48" i="11"/>
  <c r="FF48" i="11"/>
  <c r="FF49" i="11" s="1"/>
  <c r="FG48" i="11"/>
  <c r="FH48" i="11"/>
  <c r="FI48" i="11"/>
  <c r="FJ48" i="11"/>
  <c r="FJ49" i="11" s="1"/>
  <c r="FK48" i="11"/>
  <c r="FL48" i="11"/>
  <c r="FM48" i="11"/>
  <c r="FN48" i="11"/>
  <c r="FN49" i="11" s="1"/>
  <c r="FO48" i="11"/>
  <c r="FP48" i="11"/>
  <c r="FQ48" i="11"/>
  <c r="FR48" i="11"/>
  <c r="FR49" i="11" s="1"/>
  <c r="FS48" i="11"/>
  <c r="FT48" i="11"/>
  <c r="FU48" i="11"/>
  <c r="FV48" i="11"/>
  <c r="FV49" i="11" s="1"/>
  <c r="FW48" i="11"/>
  <c r="FX48" i="11"/>
  <c r="FY48" i="11"/>
  <c r="FZ48" i="11"/>
  <c r="FZ49" i="11" s="1"/>
  <c r="GA48" i="11"/>
  <c r="GB48" i="11"/>
  <c r="GC48" i="11"/>
  <c r="GD48" i="11"/>
  <c r="GD49" i="11" s="1"/>
  <c r="GE48" i="11"/>
  <c r="GF48" i="11"/>
  <c r="GG48" i="11"/>
  <c r="GH48" i="11"/>
  <c r="GH49" i="11" s="1"/>
  <c r="GI48" i="11"/>
  <c r="GJ48" i="11"/>
  <c r="GK48" i="11"/>
  <c r="GL48" i="11"/>
  <c r="GL49" i="11" s="1"/>
  <c r="GM48" i="11"/>
  <c r="GN48" i="11"/>
  <c r="GO48" i="11"/>
  <c r="GP48" i="11"/>
  <c r="GP49" i="11" s="1"/>
  <c r="GQ48" i="11"/>
  <c r="GR48" i="11"/>
  <c r="GS48" i="11"/>
  <c r="GT48" i="11"/>
  <c r="GT49" i="11" s="1"/>
  <c r="GU48" i="11"/>
  <c r="GV48" i="11"/>
  <c r="GW48" i="11"/>
  <c r="GX48" i="11"/>
  <c r="GX49" i="11" s="1"/>
  <c r="GY48" i="11"/>
  <c r="GZ48" i="11"/>
  <c r="HA48" i="11"/>
  <c r="HB48" i="11"/>
  <c r="HB49" i="11" s="1"/>
  <c r="HC48" i="11"/>
  <c r="C48" i="11"/>
  <c r="D47" i="11"/>
  <c r="D49" i="11" s="1"/>
  <c r="E47" i="11"/>
  <c r="E49" i="11" s="1"/>
  <c r="F47" i="11"/>
  <c r="G47" i="11"/>
  <c r="H47" i="11"/>
  <c r="H49" i="11" s="1"/>
  <c r="I47" i="11"/>
  <c r="I49" i="11" s="1"/>
  <c r="J47" i="11"/>
  <c r="K47" i="11"/>
  <c r="L47" i="11"/>
  <c r="L49" i="11" s="1"/>
  <c r="M47" i="11"/>
  <c r="M49" i="11" s="1"/>
  <c r="N47" i="11"/>
  <c r="O47" i="11"/>
  <c r="P47" i="11"/>
  <c r="P49" i="11" s="1"/>
  <c r="Q47" i="11"/>
  <c r="Q49" i="11" s="1"/>
  <c r="R47" i="11"/>
  <c r="S47" i="11"/>
  <c r="T47" i="11"/>
  <c r="T49" i="11" s="1"/>
  <c r="U47" i="11"/>
  <c r="U49" i="11" s="1"/>
  <c r="V47" i="11"/>
  <c r="W47" i="11"/>
  <c r="X47" i="11"/>
  <c r="X49" i="11" s="1"/>
  <c r="Y47" i="11"/>
  <c r="Y49" i="11" s="1"/>
  <c r="Z47" i="11"/>
  <c r="AA47" i="11"/>
  <c r="AB47" i="11"/>
  <c r="AB49" i="11" s="1"/>
  <c r="AC47" i="11"/>
  <c r="AC49" i="11" s="1"/>
  <c r="AD47" i="11"/>
  <c r="AE47" i="11"/>
  <c r="AF47" i="11"/>
  <c r="AF49" i="11" s="1"/>
  <c r="AG47" i="11"/>
  <c r="AG49" i="11" s="1"/>
  <c r="AH47" i="11"/>
  <c r="AI47" i="11"/>
  <c r="AJ47" i="11"/>
  <c r="AJ49" i="11" s="1"/>
  <c r="AK47" i="11"/>
  <c r="AK49" i="11" s="1"/>
  <c r="AL47" i="11"/>
  <c r="AM47" i="11"/>
  <c r="AN47" i="11"/>
  <c r="AN49" i="11" s="1"/>
  <c r="AO47" i="11"/>
  <c r="AO49" i="11" s="1"/>
  <c r="AP47" i="11"/>
  <c r="AQ47" i="11"/>
  <c r="AR47" i="11"/>
  <c r="AR49" i="11" s="1"/>
  <c r="AS47" i="11"/>
  <c r="AS49" i="11" s="1"/>
  <c r="AT47" i="11"/>
  <c r="AU47" i="11"/>
  <c r="AV47" i="11"/>
  <c r="AV49" i="11" s="1"/>
  <c r="AW47" i="11"/>
  <c r="AW49" i="11" s="1"/>
  <c r="AX47" i="11"/>
  <c r="AY47" i="11"/>
  <c r="AZ47" i="11"/>
  <c r="AZ49" i="11" s="1"/>
  <c r="BA47" i="11"/>
  <c r="BA49" i="11" s="1"/>
  <c r="BB47" i="11"/>
  <c r="BC47" i="11"/>
  <c r="BD47" i="11"/>
  <c r="BD49" i="11" s="1"/>
  <c r="BE47" i="11"/>
  <c r="BE49" i="11" s="1"/>
  <c r="BF47" i="11"/>
  <c r="BG47" i="11"/>
  <c r="BH47" i="11"/>
  <c r="BH49" i="11" s="1"/>
  <c r="BI47" i="11"/>
  <c r="BI49" i="11" s="1"/>
  <c r="BJ47" i="11"/>
  <c r="BK47" i="11"/>
  <c r="BL47" i="11"/>
  <c r="BL49" i="11" s="1"/>
  <c r="BM47" i="11"/>
  <c r="BM49" i="11" s="1"/>
  <c r="BN47" i="11"/>
  <c r="BO47" i="11"/>
  <c r="BP47" i="11"/>
  <c r="BP49" i="11" s="1"/>
  <c r="BQ47" i="11"/>
  <c r="BQ49" i="11" s="1"/>
  <c r="BR47" i="11"/>
  <c r="BS47" i="11"/>
  <c r="BT47" i="11"/>
  <c r="BT49" i="11" s="1"/>
  <c r="BU47" i="11"/>
  <c r="BU49" i="11" s="1"/>
  <c r="BV47" i="11"/>
  <c r="BW47" i="11"/>
  <c r="BX47" i="11"/>
  <c r="BX49" i="11" s="1"/>
  <c r="BY47" i="11"/>
  <c r="BY49" i="11" s="1"/>
  <c r="BZ47" i="11"/>
  <c r="CA47" i="11"/>
  <c r="CB47" i="11"/>
  <c r="CB49" i="11" s="1"/>
  <c r="CC47" i="11"/>
  <c r="CC49" i="11" s="1"/>
  <c r="CD47" i="11"/>
  <c r="CE47" i="11"/>
  <c r="CF47" i="11"/>
  <c r="CF49" i="11" s="1"/>
  <c r="CG47" i="11"/>
  <c r="CG49" i="11" s="1"/>
  <c r="CH47" i="11"/>
  <c r="CI47" i="11"/>
  <c r="CJ47" i="11"/>
  <c r="CJ49" i="11" s="1"/>
  <c r="CK47" i="11"/>
  <c r="CK49" i="11" s="1"/>
  <c r="CL47" i="11"/>
  <c r="CM47" i="11"/>
  <c r="CN47" i="11"/>
  <c r="CN49" i="11" s="1"/>
  <c r="CO47" i="11"/>
  <c r="CO49" i="11" s="1"/>
  <c r="CP47" i="11"/>
  <c r="CQ47" i="11"/>
  <c r="CR47" i="11"/>
  <c r="CR49" i="11" s="1"/>
  <c r="CS47" i="11"/>
  <c r="CS49" i="11" s="1"/>
  <c r="CT47" i="11"/>
  <c r="CU47" i="11"/>
  <c r="CV47" i="11"/>
  <c r="CV49" i="11" s="1"/>
  <c r="CW47" i="11"/>
  <c r="CW49" i="11" s="1"/>
  <c r="CX47" i="11"/>
  <c r="CY47" i="11"/>
  <c r="CZ47" i="11"/>
  <c r="CZ49" i="11" s="1"/>
  <c r="DA47" i="11"/>
  <c r="DA49" i="11" s="1"/>
  <c r="DB47" i="11"/>
  <c r="DC47" i="11"/>
  <c r="DD47" i="11"/>
  <c r="DD49" i="11" s="1"/>
  <c r="DE47" i="11"/>
  <c r="DE49" i="11" s="1"/>
  <c r="DF47" i="11"/>
  <c r="DG47" i="11"/>
  <c r="DH47" i="11"/>
  <c r="DH49" i="11" s="1"/>
  <c r="DI47" i="11"/>
  <c r="DI49" i="11" s="1"/>
  <c r="DJ47" i="11"/>
  <c r="DK47" i="11"/>
  <c r="DL47" i="11"/>
  <c r="DL49" i="11" s="1"/>
  <c r="DM47" i="11"/>
  <c r="DM49" i="11" s="1"/>
  <c r="DN47" i="11"/>
  <c r="DO47" i="11"/>
  <c r="DP47" i="11"/>
  <c r="DP49" i="11" s="1"/>
  <c r="DQ47" i="11"/>
  <c r="DQ49" i="11" s="1"/>
  <c r="DR47" i="11"/>
  <c r="DS47" i="11"/>
  <c r="DT47" i="11"/>
  <c r="DT49" i="11" s="1"/>
  <c r="DU47" i="11"/>
  <c r="DU49" i="11" s="1"/>
  <c r="DV47" i="11"/>
  <c r="DW47" i="11"/>
  <c r="DX47" i="11"/>
  <c r="DX49" i="11" s="1"/>
  <c r="DY47" i="11"/>
  <c r="DY49" i="11" s="1"/>
  <c r="DZ47" i="11"/>
  <c r="EA47" i="11"/>
  <c r="EB47" i="11"/>
  <c r="EB49" i="11" s="1"/>
  <c r="EC47" i="11"/>
  <c r="EC49" i="11" s="1"/>
  <c r="ED47" i="11"/>
  <c r="EE47" i="11"/>
  <c r="EF47" i="11"/>
  <c r="EF49" i="11" s="1"/>
  <c r="EG47" i="11"/>
  <c r="EG49" i="11" s="1"/>
  <c r="EH47" i="11"/>
  <c r="EI47" i="11"/>
  <c r="EJ47" i="11"/>
  <c r="EJ49" i="11" s="1"/>
  <c r="EK47" i="11"/>
  <c r="EK49" i="11" s="1"/>
  <c r="EL47" i="11"/>
  <c r="EM47" i="11"/>
  <c r="EN47" i="11"/>
  <c r="EN49" i="11" s="1"/>
  <c r="EO47" i="11"/>
  <c r="EO49" i="11" s="1"/>
  <c r="EP47" i="11"/>
  <c r="EQ47" i="11"/>
  <c r="ER47" i="11"/>
  <c r="ER49" i="11" s="1"/>
  <c r="ES47" i="11"/>
  <c r="ES49" i="11" s="1"/>
  <c r="ET47" i="11"/>
  <c r="EU47" i="11"/>
  <c r="EV47" i="11"/>
  <c r="EV49" i="11" s="1"/>
  <c r="EW47" i="11"/>
  <c r="EW49" i="11" s="1"/>
  <c r="EX47" i="11"/>
  <c r="EY47" i="11"/>
  <c r="EZ47" i="11"/>
  <c r="EZ49" i="11" s="1"/>
  <c r="FA47" i="11"/>
  <c r="FA49" i="11" s="1"/>
  <c r="FB47" i="11"/>
  <c r="FC47" i="11"/>
  <c r="FD47" i="11"/>
  <c r="FD49" i="11" s="1"/>
  <c r="FE47" i="11"/>
  <c r="FE49" i="11" s="1"/>
  <c r="FF47" i="11"/>
  <c r="FG47" i="11"/>
  <c r="FH47" i="11"/>
  <c r="FH49" i="11" s="1"/>
  <c r="FI47" i="11"/>
  <c r="FI49" i="11" s="1"/>
  <c r="FJ47" i="11"/>
  <c r="FK47" i="11"/>
  <c r="FL47" i="11"/>
  <c r="FL49" i="11" s="1"/>
  <c r="FM47" i="11"/>
  <c r="FM49" i="11" s="1"/>
  <c r="FN47" i="11"/>
  <c r="FO47" i="11"/>
  <c r="FP47" i="11"/>
  <c r="FP49" i="11" s="1"/>
  <c r="FQ47" i="11"/>
  <c r="FQ49" i="11" s="1"/>
  <c r="FR47" i="11"/>
  <c r="FS47" i="11"/>
  <c r="FT47" i="11"/>
  <c r="FT49" i="11" s="1"/>
  <c r="FU47" i="11"/>
  <c r="FU49" i="11" s="1"/>
  <c r="FV47" i="11"/>
  <c r="FW47" i="11"/>
  <c r="FX47" i="11"/>
  <c r="FX49" i="11" s="1"/>
  <c r="FY47" i="11"/>
  <c r="FY49" i="11" s="1"/>
  <c r="FZ47" i="11"/>
  <c r="GA47" i="11"/>
  <c r="GB47" i="11"/>
  <c r="GB49" i="11" s="1"/>
  <c r="GC47" i="11"/>
  <c r="GC49" i="11" s="1"/>
  <c r="GD47" i="11"/>
  <c r="GE47" i="11"/>
  <c r="GF47" i="11"/>
  <c r="GF49" i="11" s="1"/>
  <c r="GG47" i="11"/>
  <c r="GG49" i="11" s="1"/>
  <c r="GH47" i="11"/>
  <c r="GI47" i="11"/>
  <c r="GJ47" i="11"/>
  <c r="GJ49" i="11" s="1"/>
  <c r="GK47" i="11"/>
  <c r="GK49" i="11" s="1"/>
  <c r="GL47" i="11"/>
  <c r="GM47" i="11"/>
  <c r="GN47" i="11"/>
  <c r="GN49" i="11" s="1"/>
  <c r="GO47" i="11"/>
  <c r="GO49" i="11" s="1"/>
  <c r="GP47" i="11"/>
  <c r="GQ47" i="11"/>
  <c r="GR47" i="11"/>
  <c r="GR49" i="11" s="1"/>
  <c r="GS47" i="11"/>
  <c r="GS49" i="11" s="1"/>
  <c r="GT47" i="11"/>
  <c r="GU47" i="11"/>
  <c r="GV47" i="11"/>
  <c r="GV49" i="11" s="1"/>
  <c r="GW47" i="11"/>
  <c r="GW49" i="11" s="1"/>
  <c r="GX47" i="11"/>
  <c r="GY47" i="11"/>
  <c r="GZ47" i="11"/>
  <c r="GZ49" i="11" s="1"/>
  <c r="HA47" i="11"/>
  <c r="HA49" i="11" s="1"/>
  <c r="HB47" i="11"/>
  <c r="HC47" i="11"/>
  <c r="C47" i="11"/>
  <c r="C49" i="11" s="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FH46" i="11"/>
  <c r="FI46" i="11"/>
  <c r="FJ46" i="11"/>
  <c r="FK46" i="11"/>
  <c r="FL46" i="11"/>
  <c r="FM46" i="11"/>
  <c r="FN46" i="11"/>
  <c r="FO46" i="11"/>
  <c r="FP46" i="11"/>
  <c r="FQ46" i="11"/>
  <c r="FR46" i="11"/>
  <c r="FS46" i="11"/>
  <c r="FT46" i="11"/>
  <c r="FU46" i="11"/>
  <c r="FV46" i="11"/>
  <c r="FW46" i="11"/>
  <c r="FX46" i="11"/>
  <c r="FY46" i="11"/>
  <c r="FZ46" i="11"/>
  <c r="GA46" i="11"/>
  <c r="GB46" i="11"/>
  <c r="GC46" i="11"/>
  <c r="GD46" i="11"/>
  <c r="GE46" i="11"/>
  <c r="GF46" i="11"/>
  <c r="GG46" i="11"/>
  <c r="GH46" i="11"/>
  <c r="GI46" i="11"/>
  <c r="GJ46" i="11"/>
  <c r="GK46" i="11"/>
  <c r="GL46" i="11"/>
  <c r="GM46" i="11"/>
  <c r="GN46" i="11"/>
  <c r="GO46" i="11"/>
  <c r="GP46" i="11"/>
  <c r="GQ46" i="11"/>
  <c r="GR46" i="11"/>
  <c r="GS46" i="11"/>
  <c r="GT46" i="11"/>
  <c r="GU46" i="11"/>
  <c r="GV46" i="11"/>
  <c r="GW46" i="11"/>
  <c r="GX46" i="11"/>
  <c r="GY46" i="11"/>
  <c r="GZ46" i="11"/>
  <c r="HA46" i="11"/>
  <c r="HB46" i="11"/>
  <c r="HC46" i="11"/>
  <c r="C46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FH45" i="11"/>
  <c r="FI45" i="11"/>
  <c r="FJ45" i="11"/>
  <c r="FK45" i="11"/>
  <c r="FL45" i="11"/>
  <c r="FM45" i="11"/>
  <c r="FN45" i="11"/>
  <c r="FO45" i="11"/>
  <c r="FP45" i="11"/>
  <c r="FQ45" i="11"/>
  <c r="FR45" i="11"/>
  <c r="FS45" i="11"/>
  <c r="FT45" i="11"/>
  <c r="FU45" i="11"/>
  <c r="FV45" i="11"/>
  <c r="FW45" i="11"/>
  <c r="FX45" i="11"/>
  <c r="FY45" i="11"/>
  <c r="FZ45" i="11"/>
  <c r="GA45" i="11"/>
  <c r="GB45" i="11"/>
  <c r="GC45" i="11"/>
  <c r="GD45" i="11"/>
  <c r="GE45" i="11"/>
  <c r="GF45" i="11"/>
  <c r="GG45" i="11"/>
  <c r="GH45" i="11"/>
  <c r="GI45" i="11"/>
  <c r="GJ45" i="11"/>
  <c r="GK45" i="11"/>
  <c r="GL45" i="11"/>
  <c r="GM45" i="11"/>
  <c r="GN45" i="11"/>
  <c r="GO45" i="11"/>
  <c r="GP45" i="11"/>
  <c r="GQ45" i="11"/>
  <c r="GR45" i="11"/>
  <c r="GS45" i="11"/>
  <c r="GT45" i="11"/>
  <c r="GU45" i="11"/>
  <c r="GV45" i="11"/>
  <c r="GW45" i="11"/>
  <c r="GX45" i="11"/>
  <c r="GY45" i="11"/>
  <c r="GZ45" i="11"/>
  <c r="HA45" i="11"/>
  <c r="HB45" i="11"/>
  <c r="HC45" i="11"/>
  <c r="C45" i="11"/>
  <c r="K13" i="9"/>
  <c r="K16" i="9"/>
  <c r="K14" i="9"/>
  <c r="K15" i="9"/>
  <c r="N31" i="10"/>
  <c r="R31" i="10"/>
  <c r="AD31" i="10"/>
  <c r="AH31" i="10"/>
  <c r="AS31" i="10"/>
  <c r="AT31" i="10"/>
  <c r="BA31" i="10"/>
  <c r="BB31" i="10"/>
  <c r="BI31" i="10"/>
  <c r="BJ31" i="10"/>
  <c r="BQ31" i="10"/>
  <c r="BR31" i="10"/>
  <c r="BY31" i="10"/>
  <c r="BZ31" i="10"/>
  <c r="CG31" i="10"/>
  <c r="CH31" i="10"/>
  <c r="CO31" i="10"/>
  <c r="CP31" i="10"/>
  <c r="CW31" i="10"/>
  <c r="CX31" i="10"/>
  <c r="DE31" i="10"/>
  <c r="DF31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C30" i="10"/>
  <c r="D29" i="10"/>
  <c r="D31" i="10" s="1"/>
  <c r="E29" i="10"/>
  <c r="E31" i="10" s="1"/>
  <c r="F29" i="10"/>
  <c r="F31" i="10" s="1"/>
  <c r="G29" i="10"/>
  <c r="G31" i="10" s="1"/>
  <c r="H29" i="10"/>
  <c r="H31" i="10" s="1"/>
  <c r="I29" i="10"/>
  <c r="I31" i="10" s="1"/>
  <c r="J29" i="10"/>
  <c r="J31" i="10" s="1"/>
  <c r="K29" i="10"/>
  <c r="K31" i="10" s="1"/>
  <c r="L29" i="10"/>
  <c r="L31" i="10" s="1"/>
  <c r="M29" i="10"/>
  <c r="M31" i="10" s="1"/>
  <c r="N29" i="10"/>
  <c r="O29" i="10"/>
  <c r="O31" i="10" s="1"/>
  <c r="P29" i="10"/>
  <c r="P31" i="10" s="1"/>
  <c r="Q29" i="10"/>
  <c r="Q31" i="10" s="1"/>
  <c r="R29" i="10"/>
  <c r="S29" i="10"/>
  <c r="S31" i="10" s="1"/>
  <c r="T29" i="10"/>
  <c r="T31" i="10" s="1"/>
  <c r="U29" i="10"/>
  <c r="U31" i="10" s="1"/>
  <c r="V29" i="10"/>
  <c r="V31" i="10" s="1"/>
  <c r="W29" i="10"/>
  <c r="W31" i="10" s="1"/>
  <c r="X29" i="10"/>
  <c r="X31" i="10" s="1"/>
  <c r="Y29" i="10"/>
  <c r="Y31" i="10" s="1"/>
  <c r="Z29" i="10"/>
  <c r="Z31" i="10" s="1"/>
  <c r="AA29" i="10"/>
  <c r="AA31" i="10" s="1"/>
  <c r="AB29" i="10"/>
  <c r="AB31" i="10" s="1"/>
  <c r="AC29" i="10"/>
  <c r="AC31" i="10" s="1"/>
  <c r="AD29" i="10"/>
  <c r="AE29" i="10"/>
  <c r="AE31" i="10" s="1"/>
  <c r="AF29" i="10"/>
  <c r="AF31" i="10" s="1"/>
  <c r="AG29" i="10"/>
  <c r="AG31" i="10" s="1"/>
  <c r="AH29" i="10"/>
  <c r="AI29" i="10"/>
  <c r="AI31" i="10" s="1"/>
  <c r="AJ29" i="10"/>
  <c r="AJ31" i="10" s="1"/>
  <c r="AK29" i="10"/>
  <c r="AK31" i="10" s="1"/>
  <c r="AL29" i="10"/>
  <c r="AL31" i="10" s="1"/>
  <c r="AM29" i="10"/>
  <c r="AM31" i="10" s="1"/>
  <c r="AN29" i="10"/>
  <c r="AN31" i="10" s="1"/>
  <c r="AO29" i="10"/>
  <c r="AO31" i="10" s="1"/>
  <c r="AP29" i="10"/>
  <c r="AP31" i="10" s="1"/>
  <c r="AQ29" i="10"/>
  <c r="AQ31" i="10" s="1"/>
  <c r="AR29" i="10"/>
  <c r="AR31" i="10" s="1"/>
  <c r="AS29" i="10"/>
  <c r="AT29" i="10"/>
  <c r="AU29" i="10"/>
  <c r="AU31" i="10" s="1"/>
  <c r="AV29" i="10"/>
  <c r="AV31" i="10" s="1"/>
  <c r="AW29" i="10"/>
  <c r="AW31" i="10" s="1"/>
  <c r="AX29" i="10"/>
  <c r="AX31" i="10" s="1"/>
  <c r="AY29" i="10"/>
  <c r="AY31" i="10" s="1"/>
  <c r="AZ29" i="10"/>
  <c r="AZ31" i="10" s="1"/>
  <c r="BA29" i="10"/>
  <c r="BB29" i="10"/>
  <c r="BC29" i="10"/>
  <c r="BC31" i="10" s="1"/>
  <c r="BD29" i="10"/>
  <c r="BD31" i="10" s="1"/>
  <c r="BE29" i="10"/>
  <c r="BE31" i="10" s="1"/>
  <c r="BF29" i="10"/>
  <c r="BF31" i="10" s="1"/>
  <c r="BG29" i="10"/>
  <c r="BG31" i="10" s="1"/>
  <c r="BH29" i="10"/>
  <c r="BH31" i="10" s="1"/>
  <c r="BI29" i="10"/>
  <c r="BJ29" i="10"/>
  <c r="BK29" i="10"/>
  <c r="BK31" i="10" s="1"/>
  <c r="BL29" i="10"/>
  <c r="BL31" i="10" s="1"/>
  <c r="BM29" i="10"/>
  <c r="BM31" i="10" s="1"/>
  <c r="BN29" i="10"/>
  <c r="BN31" i="10" s="1"/>
  <c r="BO29" i="10"/>
  <c r="BO31" i="10" s="1"/>
  <c r="BP29" i="10"/>
  <c r="BP31" i="10" s="1"/>
  <c r="BQ29" i="10"/>
  <c r="BR29" i="10"/>
  <c r="BS29" i="10"/>
  <c r="BS31" i="10" s="1"/>
  <c r="BT29" i="10"/>
  <c r="BT31" i="10" s="1"/>
  <c r="BU29" i="10"/>
  <c r="BU31" i="10" s="1"/>
  <c r="BV29" i="10"/>
  <c r="BV31" i="10" s="1"/>
  <c r="BW29" i="10"/>
  <c r="BW31" i="10" s="1"/>
  <c r="BX29" i="10"/>
  <c r="BX31" i="10" s="1"/>
  <c r="BY29" i="10"/>
  <c r="BZ29" i="10"/>
  <c r="CA29" i="10"/>
  <c r="CA31" i="10" s="1"/>
  <c r="CB29" i="10"/>
  <c r="CB31" i="10" s="1"/>
  <c r="CC29" i="10"/>
  <c r="CC31" i="10" s="1"/>
  <c r="CD29" i="10"/>
  <c r="CD31" i="10" s="1"/>
  <c r="CE29" i="10"/>
  <c r="CE31" i="10" s="1"/>
  <c r="CF29" i="10"/>
  <c r="CF31" i="10" s="1"/>
  <c r="CG29" i="10"/>
  <c r="CH29" i="10"/>
  <c r="CI29" i="10"/>
  <c r="CI31" i="10" s="1"/>
  <c r="CJ29" i="10"/>
  <c r="CJ31" i="10" s="1"/>
  <c r="CK29" i="10"/>
  <c r="CK31" i="10" s="1"/>
  <c r="CL29" i="10"/>
  <c r="CL31" i="10" s="1"/>
  <c r="CM29" i="10"/>
  <c r="CM31" i="10" s="1"/>
  <c r="CN29" i="10"/>
  <c r="CN31" i="10" s="1"/>
  <c r="CO29" i="10"/>
  <c r="CP29" i="10"/>
  <c r="CQ29" i="10"/>
  <c r="CQ31" i="10" s="1"/>
  <c r="CR29" i="10"/>
  <c r="CR31" i="10" s="1"/>
  <c r="CS29" i="10"/>
  <c r="CS31" i="10" s="1"/>
  <c r="CT29" i="10"/>
  <c r="CT31" i="10" s="1"/>
  <c r="CU29" i="10"/>
  <c r="CU31" i="10" s="1"/>
  <c r="CV29" i="10"/>
  <c r="CV31" i="10" s="1"/>
  <c r="CW29" i="10"/>
  <c r="CX29" i="10"/>
  <c r="CY29" i="10"/>
  <c r="CY31" i="10" s="1"/>
  <c r="CZ29" i="10"/>
  <c r="CZ31" i="10" s="1"/>
  <c r="DA29" i="10"/>
  <c r="DA31" i="10" s="1"/>
  <c r="DB29" i="10"/>
  <c r="DB31" i="10" s="1"/>
  <c r="DC29" i="10"/>
  <c r="DC31" i="10" s="1"/>
  <c r="DD29" i="10"/>
  <c r="DD31" i="10" s="1"/>
  <c r="DE29" i="10"/>
  <c r="DF29" i="10"/>
  <c r="DG29" i="10"/>
  <c r="DG31" i="10" s="1"/>
  <c r="DH29" i="10"/>
  <c r="DH31" i="10" s="1"/>
  <c r="C29" i="10"/>
  <c r="C31" i="10" s="1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C28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C27" i="10"/>
  <c r="AD53" i="12" l="1"/>
  <c r="AD57" i="12"/>
  <c r="AD58" i="12"/>
  <c r="AD35" i="12"/>
  <c r="AD54" i="12"/>
  <c r="AD55" i="12"/>
  <c r="K82" i="7"/>
  <c r="K94" i="7"/>
  <c r="K95" i="7"/>
  <c r="K62" i="7"/>
  <c r="K98" i="7"/>
  <c r="K57" i="7"/>
  <c r="K56" i="7"/>
  <c r="K87" i="7"/>
  <c r="K97" i="7"/>
  <c r="K83" i="7"/>
  <c r="K81" i="7"/>
  <c r="K80" i="7"/>
  <c r="K72" i="7"/>
  <c r="K78" i="7"/>
  <c r="K84" i="7"/>
  <c r="K92" i="7"/>
  <c r="K96" i="7"/>
  <c r="K85" i="7"/>
  <c r="K63" i="7"/>
  <c r="K69" i="7"/>
  <c r="K64" i="7"/>
  <c r="K79" i="7"/>
  <c r="K70" i="7"/>
  <c r="K60" i="7"/>
  <c r="K61" i="7"/>
  <c r="K76" i="7"/>
  <c r="K66" i="7"/>
  <c r="K77" i="7"/>
  <c r="K74" i="7"/>
  <c r="K68" i="7"/>
  <c r="K99" i="7"/>
  <c r="K75" i="7"/>
  <c r="K90" i="7"/>
  <c r="K89" i="7"/>
  <c r="K73" i="7"/>
  <c r="K88" i="7"/>
  <c r="K91" i="7"/>
  <c r="K71" i="7"/>
  <c r="K93" i="7"/>
  <c r="K58" i="7"/>
  <c r="K65" i="7"/>
  <c r="K67" i="7"/>
  <c r="K55" i="7"/>
  <c r="K59" i="7"/>
  <c r="K86" i="7"/>
  <c r="K100" i="7"/>
  <c r="D63" i="8"/>
  <c r="D62" i="8"/>
  <c r="E62" i="8"/>
  <c r="F62" i="8"/>
  <c r="G62" i="8"/>
  <c r="H62" i="8"/>
  <c r="I62" i="8"/>
  <c r="I63" i="8" s="1"/>
  <c r="J62" i="8"/>
  <c r="K62" i="8"/>
  <c r="L62" i="8"/>
  <c r="M62" i="8"/>
  <c r="M63" i="8" s="1"/>
  <c r="N62" i="8"/>
  <c r="O62" i="8"/>
  <c r="P62" i="8"/>
  <c r="Q62" i="8"/>
  <c r="Q63" i="8" s="1"/>
  <c r="R62" i="8"/>
  <c r="S62" i="8"/>
  <c r="T62" i="8"/>
  <c r="U62" i="8"/>
  <c r="U63" i="8" s="1"/>
  <c r="V62" i="8"/>
  <c r="W62" i="8"/>
  <c r="X62" i="8"/>
  <c r="Y62" i="8"/>
  <c r="Y63" i="8" s="1"/>
  <c r="Z62" i="8"/>
  <c r="AA62" i="8"/>
  <c r="AB62" i="8"/>
  <c r="AC62" i="8"/>
  <c r="AC63" i="8" s="1"/>
  <c r="AD62" i="8"/>
  <c r="AE62" i="8"/>
  <c r="AF62" i="8"/>
  <c r="AG62" i="8"/>
  <c r="AG63" i="8" s="1"/>
  <c r="AH62" i="8"/>
  <c r="AI62" i="8"/>
  <c r="AJ62" i="8"/>
  <c r="AK62" i="8"/>
  <c r="AK63" i="8" s="1"/>
  <c r="AL62" i="8"/>
  <c r="AM62" i="8"/>
  <c r="AN62" i="8"/>
  <c r="AO62" i="8"/>
  <c r="AO63" i="8" s="1"/>
  <c r="AP62" i="8"/>
  <c r="AQ62" i="8"/>
  <c r="AR62" i="8"/>
  <c r="AS62" i="8"/>
  <c r="AS63" i="8" s="1"/>
  <c r="AT62" i="8"/>
  <c r="AU62" i="8"/>
  <c r="AV62" i="8"/>
  <c r="AW62" i="8"/>
  <c r="AW63" i="8" s="1"/>
  <c r="AX62" i="8"/>
  <c r="AY62" i="8"/>
  <c r="AZ62" i="8"/>
  <c r="BA62" i="8"/>
  <c r="BA63" i="8" s="1"/>
  <c r="BB62" i="8"/>
  <c r="BC62" i="8"/>
  <c r="BD62" i="8"/>
  <c r="BE62" i="8"/>
  <c r="BE63" i="8" s="1"/>
  <c r="BF62" i="8"/>
  <c r="BG62" i="8"/>
  <c r="BH62" i="8"/>
  <c r="BI62" i="8"/>
  <c r="BI63" i="8" s="1"/>
  <c r="BJ62" i="8"/>
  <c r="BK62" i="8"/>
  <c r="BL62" i="8"/>
  <c r="BM62" i="8"/>
  <c r="BM63" i="8" s="1"/>
  <c r="BN62" i="8"/>
  <c r="BO62" i="8"/>
  <c r="BP62" i="8"/>
  <c r="BQ62" i="8"/>
  <c r="BQ63" i="8" s="1"/>
  <c r="BR62" i="8"/>
  <c r="BS62" i="8"/>
  <c r="BT62" i="8"/>
  <c r="BU62" i="8"/>
  <c r="BU63" i="8" s="1"/>
  <c r="BV62" i="8"/>
  <c r="BW62" i="8"/>
  <c r="BX62" i="8"/>
  <c r="BY62" i="8"/>
  <c r="BY63" i="8" s="1"/>
  <c r="BZ62" i="8"/>
  <c r="CA62" i="8"/>
  <c r="CB62" i="8"/>
  <c r="CC62" i="8"/>
  <c r="CC63" i="8" s="1"/>
  <c r="CD62" i="8"/>
  <c r="CE62" i="8"/>
  <c r="CF62" i="8"/>
  <c r="CG62" i="8"/>
  <c r="CG63" i="8" s="1"/>
  <c r="CH62" i="8"/>
  <c r="CI62" i="8"/>
  <c r="CJ62" i="8"/>
  <c r="CK62" i="8"/>
  <c r="CK63" i="8" s="1"/>
  <c r="CL62" i="8"/>
  <c r="CM62" i="8"/>
  <c r="CN62" i="8"/>
  <c r="CO62" i="8"/>
  <c r="CO63" i="8" s="1"/>
  <c r="CP62" i="8"/>
  <c r="CQ62" i="8"/>
  <c r="CR62" i="8"/>
  <c r="CS62" i="8"/>
  <c r="CS63" i="8" s="1"/>
  <c r="CT62" i="8"/>
  <c r="CU62" i="8"/>
  <c r="CV62" i="8"/>
  <c r="CW62" i="8"/>
  <c r="CW63" i="8" s="1"/>
  <c r="CX62" i="8"/>
  <c r="CY62" i="8"/>
  <c r="CZ62" i="8"/>
  <c r="DA62" i="8"/>
  <c r="DA63" i="8" s="1"/>
  <c r="DB62" i="8"/>
  <c r="DC62" i="8"/>
  <c r="DD62" i="8"/>
  <c r="DE62" i="8"/>
  <c r="DE63" i="8" s="1"/>
  <c r="DF62" i="8"/>
  <c r="DG62" i="8"/>
  <c r="DH62" i="8"/>
  <c r="DI62" i="8"/>
  <c r="DI63" i="8" s="1"/>
  <c r="DJ62" i="8"/>
  <c r="DK62" i="8"/>
  <c r="DL62" i="8"/>
  <c r="C62" i="8"/>
  <c r="D61" i="8"/>
  <c r="E61" i="8"/>
  <c r="E63" i="8" s="1"/>
  <c r="F61" i="8"/>
  <c r="F63" i="8" s="1"/>
  <c r="G61" i="8"/>
  <c r="G63" i="8" s="1"/>
  <c r="H61" i="8"/>
  <c r="H63" i="8" s="1"/>
  <c r="I61" i="8"/>
  <c r="J61" i="8"/>
  <c r="J63" i="8" s="1"/>
  <c r="K61" i="8"/>
  <c r="K63" i="8" s="1"/>
  <c r="L61" i="8"/>
  <c r="L63" i="8" s="1"/>
  <c r="M61" i="8"/>
  <c r="N61" i="8"/>
  <c r="N63" i="8" s="1"/>
  <c r="O61" i="8"/>
  <c r="O63" i="8" s="1"/>
  <c r="P61" i="8"/>
  <c r="P63" i="8" s="1"/>
  <c r="Q61" i="8"/>
  <c r="R61" i="8"/>
  <c r="R63" i="8" s="1"/>
  <c r="S61" i="8"/>
  <c r="S63" i="8" s="1"/>
  <c r="T61" i="8"/>
  <c r="T63" i="8" s="1"/>
  <c r="U61" i="8"/>
  <c r="V61" i="8"/>
  <c r="V63" i="8" s="1"/>
  <c r="W61" i="8"/>
  <c r="W63" i="8" s="1"/>
  <c r="X61" i="8"/>
  <c r="X63" i="8" s="1"/>
  <c r="Y61" i="8"/>
  <c r="Z61" i="8"/>
  <c r="Z63" i="8" s="1"/>
  <c r="AA61" i="8"/>
  <c r="AA63" i="8" s="1"/>
  <c r="AB61" i="8"/>
  <c r="AB63" i="8" s="1"/>
  <c r="AC61" i="8"/>
  <c r="AD61" i="8"/>
  <c r="AD63" i="8" s="1"/>
  <c r="AE61" i="8"/>
  <c r="AE63" i="8" s="1"/>
  <c r="AF61" i="8"/>
  <c r="AF63" i="8" s="1"/>
  <c r="AG61" i="8"/>
  <c r="AH61" i="8"/>
  <c r="AH63" i="8" s="1"/>
  <c r="AI61" i="8"/>
  <c r="AI63" i="8" s="1"/>
  <c r="AJ61" i="8"/>
  <c r="AJ63" i="8" s="1"/>
  <c r="AK61" i="8"/>
  <c r="AL61" i="8"/>
  <c r="AL63" i="8" s="1"/>
  <c r="AM61" i="8"/>
  <c r="AM63" i="8" s="1"/>
  <c r="AN61" i="8"/>
  <c r="AN63" i="8" s="1"/>
  <c r="AO61" i="8"/>
  <c r="AP61" i="8"/>
  <c r="AP63" i="8" s="1"/>
  <c r="AQ61" i="8"/>
  <c r="AQ63" i="8" s="1"/>
  <c r="AR61" i="8"/>
  <c r="AR63" i="8" s="1"/>
  <c r="AS61" i="8"/>
  <c r="AT61" i="8"/>
  <c r="AT63" i="8" s="1"/>
  <c r="AU61" i="8"/>
  <c r="AU63" i="8" s="1"/>
  <c r="AV61" i="8"/>
  <c r="AV63" i="8" s="1"/>
  <c r="AW61" i="8"/>
  <c r="AX61" i="8"/>
  <c r="AX63" i="8" s="1"/>
  <c r="AY61" i="8"/>
  <c r="AY63" i="8" s="1"/>
  <c r="AZ61" i="8"/>
  <c r="AZ63" i="8" s="1"/>
  <c r="BA61" i="8"/>
  <c r="BB61" i="8"/>
  <c r="BB63" i="8" s="1"/>
  <c r="BC61" i="8"/>
  <c r="BC63" i="8" s="1"/>
  <c r="BD61" i="8"/>
  <c r="BD63" i="8" s="1"/>
  <c r="BE61" i="8"/>
  <c r="BF61" i="8"/>
  <c r="BF63" i="8" s="1"/>
  <c r="BG61" i="8"/>
  <c r="BG63" i="8" s="1"/>
  <c r="BH61" i="8"/>
  <c r="BH63" i="8" s="1"/>
  <c r="BI61" i="8"/>
  <c r="BJ61" i="8"/>
  <c r="BJ63" i="8" s="1"/>
  <c r="BK61" i="8"/>
  <c r="BK63" i="8" s="1"/>
  <c r="BL61" i="8"/>
  <c r="BL63" i="8" s="1"/>
  <c r="BM61" i="8"/>
  <c r="BN61" i="8"/>
  <c r="BN63" i="8" s="1"/>
  <c r="BO61" i="8"/>
  <c r="BO63" i="8" s="1"/>
  <c r="BP61" i="8"/>
  <c r="BP63" i="8" s="1"/>
  <c r="BQ61" i="8"/>
  <c r="BR61" i="8"/>
  <c r="BR63" i="8" s="1"/>
  <c r="BS61" i="8"/>
  <c r="BS63" i="8" s="1"/>
  <c r="BT61" i="8"/>
  <c r="BT63" i="8" s="1"/>
  <c r="BU61" i="8"/>
  <c r="BV61" i="8"/>
  <c r="BV63" i="8" s="1"/>
  <c r="BW61" i="8"/>
  <c r="BW63" i="8" s="1"/>
  <c r="BX61" i="8"/>
  <c r="BX63" i="8" s="1"/>
  <c r="BY61" i="8"/>
  <c r="BZ61" i="8"/>
  <c r="BZ63" i="8" s="1"/>
  <c r="CA61" i="8"/>
  <c r="CA63" i="8" s="1"/>
  <c r="CB61" i="8"/>
  <c r="CB63" i="8" s="1"/>
  <c r="CC61" i="8"/>
  <c r="CD61" i="8"/>
  <c r="CD63" i="8" s="1"/>
  <c r="CE61" i="8"/>
  <c r="CE63" i="8" s="1"/>
  <c r="CF61" i="8"/>
  <c r="CF63" i="8" s="1"/>
  <c r="CG61" i="8"/>
  <c r="CH61" i="8"/>
  <c r="CH63" i="8" s="1"/>
  <c r="CI61" i="8"/>
  <c r="CI63" i="8" s="1"/>
  <c r="CJ61" i="8"/>
  <c r="CJ63" i="8" s="1"/>
  <c r="CK61" i="8"/>
  <c r="CL61" i="8"/>
  <c r="CL63" i="8" s="1"/>
  <c r="CM61" i="8"/>
  <c r="CM63" i="8" s="1"/>
  <c r="CN61" i="8"/>
  <c r="CN63" i="8" s="1"/>
  <c r="CO61" i="8"/>
  <c r="CP61" i="8"/>
  <c r="CP63" i="8" s="1"/>
  <c r="CQ61" i="8"/>
  <c r="CQ63" i="8" s="1"/>
  <c r="CR61" i="8"/>
  <c r="CR63" i="8" s="1"/>
  <c r="CS61" i="8"/>
  <c r="CT61" i="8"/>
  <c r="CT63" i="8" s="1"/>
  <c r="CU61" i="8"/>
  <c r="CU63" i="8" s="1"/>
  <c r="CV61" i="8"/>
  <c r="CV63" i="8" s="1"/>
  <c r="CW61" i="8"/>
  <c r="CX61" i="8"/>
  <c r="CX63" i="8" s="1"/>
  <c r="CY61" i="8"/>
  <c r="CY63" i="8" s="1"/>
  <c r="CZ61" i="8"/>
  <c r="CZ63" i="8" s="1"/>
  <c r="DA61" i="8"/>
  <c r="DB61" i="8"/>
  <c r="DB63" i="8" s="1"/>
  <c r="DC61" i="8"/>
  <c r="DC63" i="8" s="1"/>
  <c r="DD61" i="8"/>
  <c r="DD63" i="8" s="1"/>
  <c r="DE61" i="8"/>
  <c r="DF61" i="8"/>
  <c r="DF63" i="8" s="1"/>
  <c r="DG61" i="8"/>
  <c r="DG63" i="8" s="1"/>
  <c r="DH61" i="8"/>
  <c r="DH63" i="8" s="1"/>
  <c r="DI61" i="8"/>
  <c r="DJ61" i="8"/>
  <c r="DJ63" i="8" s="1"/>
  <c r="DK61" i="8"/>
  <c r="DK63" i="8" s="1"/>
  <c r="DL61" i="8"/>
  <c r="DL63" i="8" s="1"/>
  <c r="C61" i="8"/>
  <c r="C63" i="8" s="1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C60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C59" i="8"/>
  <c r="K34" i="2"/>
  <c r="K41" i="2"/>
  <c r="K36" i="2"/>
  <c r="K38" i="2"/>
  <c r="K42" i="2"/>
  <c r="K37" i="2"/>
  <c r="K40" i="2"/>
  <c r="K35" i="2"/>
  <c r="K31" i="2"/>
  <c r="K39" i="2"/>
  <c r="K27" i="2"/>
  <c r="K29" i="2"/>
  <c r="K32" i="2"/>
  <c r="K33" i="2"/>
  <c r="K28" i="2"/>
  <c r="K30" i="2"/>
  <c r="K43" i="2"/>
  <c r="D40" i="3" l="1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C40" i="3"/>
  <c r="T39" i="3"/>
  <c r="T41" i="3" s="1"/>
  <c r="U39" i="3"/>
  <c r="U41" i="3" s="1"/>
  <c r="V39" i="3"/>
  <c r="V41" i="3" s="1"/>
  <c r="W39" i="3"/>
  <c r="W41" i="3" s="1"/>
  <c r="X39" i="3"/>
  <c r="X41" i="3" s="1"/>
  <c r="Y39" i="3"/>
  <c r="Y41" i="3" s="1"/>
  <c r="Z39" i="3"/>
  <c r="Z41" i="3" s="1"/>
  <c r="AA39" i="3"/>
  <c r="AA41" i="3" s="1"/>
  <c r="AB39" i="3"/>
  <c r="AB41" i="3" s="1"/>
  <c r="AC39" i="3"/>
  <c r="AC41" i="3" s="1"/>
  <c r="AD39" i="3"/>
  <c r="AD41" i="3" s="1"/>
  <c r="AE39" i="3"/>
  <c r="AE41" i="3" s="1"/>
  <c r="AF39" i="3"/>
  <c r="AF41" i="3" s="1"/>
  <c r="AG39" i="3"/>
  <c r="AG41" i="3" s="1"/>
  <c r="AH39" i="3"/>
  <c r="AH41" i="3" s="1"/>
  <c r="AI39" i="3"/>
  <c r="AI41" i="3" s="1"/>
  <c r="AJ39" i="3"/>
  <c r="AJ41" i="3" s="1"/>
  <c r="AK39" i="3"/>
  <c r="AK41" i="3" s="1"/>
  <c r="AL39" i="3"/>
  <c r="AL41" i="3" s="1"/>
  <c r="AM39" i="3"/>
  <c r="AM41" i="3" s="1"/>
  <c r="AN39" i="3"/>
  <c r="AN41" i="3" s="1"/>
  <c r="AO39" i="3"/>
  <c r="AO41" i="3" s="1"/>
  <c r="AP39" i="3"/>
  <c r="AP41" i="3" s="1"/>
  <c r="AQ39" i="3"/>
  <c r="AQ41" i="3" s="1"/>
  <c r="AR39" i="3"/>
  <c r="AR41" i="3" s="1"/>
  <c r="AS39" i="3"/>
  <c r="AS41" i="3" s="1"/>
  <c r="AT39" i="3"/>
  <c r="AT41" i="3" s="1"/>
  <c r="AU39" i="3"/>
  <c r="AU41" i="3" s="1"/>
  <c r="AV39" i="3"/>
  <c r="AV41" i="3" s="1"/>
  <c r="AW39" i="3"/>
  <c r="AW41" i="3" s="1"/>
  <c r="AX39" i="3"/>
  <c r="AX41" i="3" s="1"/>
  <c r="AY39" i="3"/>
  <c r="AY41" i="3" s="1"/>
  <c r="AZ39" i="3"/>
  <c r="AZ41" i="3" s="1"/>
  <c r="BA39" i="3"/>
  <c r="BA41" i="3" s="1"/>
  <c r="BB39" i="3"/>
  <c r="BB41" i="3" s="1"/>
  <c r="BC39" i="3"/>
  <c r="BC41" i="3" s="1"/>
  <c r="BD39" i="3"/>
  <c r="BD41" i="3" s="1"/>
  <c r="BE39" i="3"/>
  <c r="BE41" i="3" s="1"/>
  <c r="BF39" i="3"/>
  <c r="BF41" i="3" s="1"/>
  <c r="BG39" i="3"/>
  <c r="BG41" i="3" s="1"/>
  <c r="BH39" i="3"/>
  <c r="BH41" i="3" s="1"/>
  <c r="BI39" i="3"/>
  <c r="BI41" i="3" s="1"/>
  <c r="BJ39" i="3"/>
  <c r="BJ41" i="3" s="1"/>
  <c r="BK39" i="3"/>
  <c r="BK41" i="3" s="1"/>
  <c r="BL39" i="3"/>
  <c r="BL41" i="3" s="1"/>
  <c r="BM39" i="3"/>
  <c r="BM41" i="3" s="1"/>
  <c r="BN39" i="3"/>
  <c r="BN41" i="3" s="1"/>
  <c r="BO39" i="3"/>
  <c r="BO41" i="3" s="1"/>
  <c r="BP39" i="3"/>
  <c r="BP41" i="3" s="1"/>
  <c r="BQ39" i="3"/>
  <c r="BQ41" i="3" s="1"/>
  <c r="BR39" i="3"/>
  <c r="BR41" i="3" s="1"/>
  <c r="BS39" i="3"/>
  <c r="BS41" i="3" s="1"/>
  <c r="BT39" i="3"/>
  <c r="BT41" i="3" s="1"/>
  <c r="BU39" i="3"/>
  <c r="BU41" i="3" s="1"/>
  <c r="BV39" i="3"/>
  <c r="BV41" i="3" s="1"/>
  <c r="BW39" i="3"/>
  <c r="BW41" i="3" s="1"/>
  <c r="BX39" i="3"/>
  <c r="BX41" i="3" s="1"/>
  <c r="BY39" i="3"/>
  <c r="BY41" i="3" s="1"/>
  <c r="BZ39" i="3"/>
  <c r="BZ41" i="3" s="1"/>
  <c r="CA39" i="3"/>
  <c r="CA41" i="3" s="1"/>
  <c r="CB39" i="3"/>
  <c r="CB41" i="3" s="1"/>
  <c r="CC39" i="3"/>
  <c r="CC41" i="3" s="1"/>
  <c r="CD39" i="3"/>
  <c r="CD41" i="3" s="1"/>
  <c r="CE39" i="3"/>
  <c r="CE41" i="3" s="1"/>
  <c r="CF39" i="3"/>
  <c r="CF41" i="3" s="1"/>
  <c r="CG39" i="3"/>
  <c r="CG41" i="3" s="1"/>
  <c r="CH39" i="3"/>
  <c r="CH41" i="3" s="1"/>
  <c r="CI39" i="3"/>
  <c r="CI41" i="3" s="1"/>
  <c r="CJ39" i="3"/>
  <c r="CJ41" i="3" s="1"/>
  <c r="CK39" i="3"/>
  <c r="CK41" i="3" s="1"/>
  <c r="CL39" i="3"/>
  <c r="CL41" i="3" s="1"/>
  <c r="CM39" i="3"/>
  <c r="CM41" i="3" s="1"/>
  <c r="CN39" i="3"/>
  <c r="CN41" i="3" s="1"/>
  <c r="CO39" i="3"/>
  <c r="CO41" i="3" s="1"/>
  <c r="CP39" i="3"/>
  <c r="CP41" i="3" s="1"/>
  <c r="CQ39" i="3"/>
  <c r="CQ41" i="3" s="1"/>
  <c r="CR39" i="3"/>
  <c r="CR41" i="3" s="1"/>
  <c r="CS39" i="3"/>
  <c r="CS41" i="3" s="1"/>
  <c r="CT39" i="3"/>
  <c r="CT41" i="3" s="1"/>
  <c r="CU39" i="3"/>
  <c r="CU41" i="3" s="1"/>
  <c r="CV39" i="3"/>
  <c r="CV41" i="3" s="1"/>
  <c r="CW39" i="3"/>
  <c r="CW41" i="3" s="1"/>
  <c r="CX39" i="3"/>
  <c r="CX41" i="3" s="1"/>
  <c r="CY39" i="3"/>
  <c r="CY41" i="3" s="1"/>
  <c r="CZ39" i="3"/>
  <c r="CZ41" i="3" s="1"/>
  <c r="DA39" i="3"/>
  <c r="DA41" i="3" s="1"/>
  <c r="DB39" i="3"/>
  <c r="DB41" i="3" s="1"/>
  <c r="DC39" i="3"/>
  <c r="DC41" i="3" s="1"/>
  <c r="DD39" i="3"/>
  <c r="DD41" i="3" s="1"/>
  <c r="DE39" i="3"/>
  <c r="DE41" i="3" s="1"/>
  <c r="DF39" i="3"/>
  <c r="DF41" i="3" s="1"/>
  <c r="DG39" i="3"/>
  <c r="DG41" i="3" s="1"/>
  <c r="DH39" i="3"/>
  <c r="DH41" i="3" s="1"/>
  <c r="DI39" i="3"/>
  <c r="DI41" i="3" s="1"/>
  <c r="DJ39" i="3"/>
  <c r="DJ41" i="3" s="1"/>
  <c r="DK39" i="3"/>
  <c r="DK41" i="3" s="1"/>
  <c r="DL39" i="3"/>
  <c r="DL41" i="3" s="1"/>
  <c r="DM39" i="3"/>
  <c r="DM41" i="3" s="1"/>
  <c r="DN39" i="3"/>
  <c r="DN41" i="3" s="1"/>
  <c r="DO39" i="3"/>
  <c r="DO41" i="3" s="1"/>
  <c r="DP39" i="3"/>
  <c r="DP41" i="3" s="1"/>
  <c r="DQ39" i="3"/>
  <c r="DQ41" i="3" s="1"/>
  <c r="DR39" i="3"/>
  <c r="DR41" i="3" s="1"/>
  <c r="DS39" i="3"/>
  <c r="DS41" i="3" s="1"/>
  <c r="DT39" i="3"/>
  <c r="DT41" i="3" s="1"/>
  <c r="DU39" i="3"/>
  <c r="DU41" i="3" s="1"/>
  <c r="DV39" i="3"/>
  <c r="DV41" i="3" s="1"/>
  <c r="DW39" i="3"/>
  <c r="DW41" i="3" s="1"/>
  <c r="DX39" i="3"/>
  <c r="DX41" i="3" s="1"/>
  <c r="DY39" i="3"/>
  <c r="DY41" i="3" s="1"/>
  <c r="DZ39" i="3"/>
  <c r="DZ41" i="3" s="1"/>
  <c r="EA39" i="3"/>
  <c r="EA41" i="3" s="1"/>
  <c r="EB39" i="3"/>
  <c r="EB41" i="3" s="1"/>
  <c r="EC39" i="3"/>
  <c r="EC41" i="3" s="1"/>
  <c r="ED39" i="3"/>
  <c r="ED41" i="3" s="1"/>
  <c r="EE39" i="3"/>
  <c r="EE41" i="3" s="1"/>
  <c r="EF39" i="3"/>
  <c r="EF41" i="3" s="1"/>
  <c r="EG39" i="3"/>
  <c r="EG41" i="3" s="1"/>
  <c r="EH39" i="3"/>
  <c r="EH41" i="3" s="1"/>
  <c r="EI39" i="3"/>
  <c r="EI41" i="3" s="1"/>
  <c r="EJ39" i="3"/>
  <c r="EJ41" i="3" s="1"/>
  <c r="EK39" i="3"/>
  <c r="EK41" i="3" s="1"/>
  <c r="EL39" i="3"/>
  <c r="EL41" i="3" s="1"/>
  <c r="EM39" i="3"/>
  <c r="EM41" i="3" s="1"/>
  <c r="EN39" i="3"/>
  <c r="EN41" i="3" s="1"/>
  <c r="EO39" i="3"/>
  <c r="EO41" i="3" s="1"/>
  <c r="EP39" i="3"/>
  <c r="EP41" i="3" s="1"/>
  <c r="EQ39" i="3"/>
  <c r="EQ41" i="3" s="1"/>
  <c r="ER39" i="3"/>
  <c r="ER41" i="3" s="1"/>
  <c r="ES39" i="3"/>
  <c r="ES41" i="3" s="1"/>
  <c r="ET39" i="3"/>
  <c r="ET41" i="3" s="1"/>
  <c r="EU39" i="3"/>
  <c r="EU41" i="3" s="1"/>
  <c r="EV39" i="3"/>
  <c r="EV41" i="3" s="1"/>
  <c r="EW39" i="3"/>
  <c r="EW41" i="3" s="1"/>
  <c r="EX39" i="3"/>
  <c r="EX41" i="3" s="1"/>
  <c r="EY39" i="3"/>
  <c r="EY41" i="3" s="1"/>
  <c r="EZ39" i="3"/>
  <c r="EZ41" i="3" s="1"/>
  <c r="FA39" i="3"/>
  <c r="FA41" i="3" s="1"/>
  <c r="FB39" i="3"/>
  <c r="FB41" i="3" s="1"/>
  <c r="FC39" i="3"/>
  <c r="FC41" i="3" s="1"/>
  <c r="FD39" i="3"/>
  <c r="FD41" i="3" s="1"/>
  <c r="FE39" i="3"/>
  <c r="FE41" i="3" s="1"/>
  <c r="FF39" i="3"/>
  <c r="FF41" i="3" s="1"/>
  <c r="FG39" i="3"/>
  <c r="FG41" i="3" s="1"/>
  <c r="FH39" i="3"/>
  <c r="FH41" i="3" s="1"/>
  <c r="FI39" i="3"/>
  <c r="FI41" i="3" s="1"/>
  <c r="FJ39" i="3"/>
  <c r="FJ41" i="3" s="1"/>
  <c r="FK39" i="3"/>
  <c r="FK41" i="3" s="1"/>
  <c r="FL39" i="3"/>
  <c r="FL41" i="3" s="1"/>
  <c r="FM39" i="3"/>
  <c r="FM41" i="3" s="1"/>
  <c r="FN39" i="3"/>
  <c r="FN41" i="3" s="1"/>
  <c r="FO39" i="3"/>
  <c r="FO41" i="3" s="1"/>
  <c r="FP39" i="3"/>
  <c r="FP41" i="3" s="1"/>
  <c r="FQ39" i="3"/>
  <c r="FQ41" i="3" s="1"/>
  <c r="FR39" i="3"/>
  <c r="FR41" i="3" s="1"/>
  <c r="FS39" i="3"/>
  <c r="FS41" i="3" s="1"/>
  <c r="FT39" i="3"/>
  <c r="FT41" i="3" s="1"/>
  <c r="FU39" i="3"/>
  <c r="FU41" i="3" s="1"/>
  <c r="FV39" i="3"/>
  <c r="FV41" i="3" s="1"/>
  <c r="FW39" i="3"/>
  <c r="FW41" i="3" s="1"/>
  <c r="FX39" i="3"/>
  <c r="FX41" i="3" s="1"/>
  <c r="FY39" i="3"/>
  <c r="FY41" i="3" s="1"/>
  <c r="FZ39" i="3"/>
  <c r="FZ41" i="3" s="1"/>
  <c r="GA39" i="3"/>
  <c r="GA41" i="3" s="1"/>
  <c r="GB39" i="3"/>
  <c r="GB41" i="3" s="1"/>
  <c r="GC39" i="3"/>
  <c r="GC41" i="3" s="1"/>
  <c r="GD39" i="3"/>
  <c r="GD41" i="3" s="1"/>
  <c r="GE39" i="3"/>
  <c r="GE41" i="3" s="1"/>
  <c r="GF39" i="3"/>
  <c r="GF41" i="3" s="1"/>
  <c r="GG39" i="3"/>
  <c r="GG41" i="3" s="1"/>
  <c r="GH39" i="3"/>
  <c r="GH41" i="3" s="1"/>
  <c r="GI39" i="3"/>
  <c r="GI41" i="3" s="1"/>
  <c r="GJ39" i="3"/>
  <c r="GJ41" i="3" s="1"/>
  <c r="GK39" i="3"/>
  <c r="GK41" i="3" s="1"/>
  <c r="GL39" i="3"/>
  <c r="GL41" i="3" s="1"/>
  <c r="GM39" i="3"/>
  <c r="GM41" i="3" s="1"/>
  <c r="GN39" i="3"/>
  <c r="GN41" i="3" s="1"/>
  <c r="GO39" i="3"/>
  <c r="GO41" i="3" s="1"/>
  <c r="GP39" i="3"/>
  <c r="GP41" i="3" s="1"/>
  <c r="GQ39" i="3"/>
  <c r="GQ41" i="3" s="1"/>
  <c r="GR39" i="3"/>
  <c r="GR41" i="3" s="1"/>
  <c r="GS39" i="3"/>
  <c r="GS41" i="3" s="1"/>
  <c r="GT39" i="3"/>
  <c r="GT41" i="3" s="1"/>
  <c r="GU39" i="3"/>
  <c r="GU41" i="3" s="1"/>
  <c r="D39" i="3"/>
  <c r="D41" i="3" s="1"/>
  <c r="E39" i="3"/>
  <c r="E41" i="3" s="1"/>
  <c r="F39" i="3"/>
  <c r="F41" i="3" s="1"/>
  <c r="G39" i="3"/>
  <c r="G41" i="3" s="1"/>
  <c r="H39" i="3"/>
  <c r="H41" i="3" s="1"/>
  <c r="I39" i="3"/>
  <c r="I41" i="3" s="1"/>
  <c r="J39" i="3"/>
  <c r="J41" i="3" s="1"/>
  <c r="K39" i="3"/>
  <c r="K41" i="3" s="1"/>
  <c r="L39" i="3"/>
  <c r="L41" i="3" s="1"/>
  <c r="M39" i="3"/>
  <c r="M41" i="3" s="1"/>
  <c r="N39" i="3"/>
  <c r="N41" i="3" s="1"/>
  <c r="O39" i="3"/>
  <c r="O41" i="3" s="1"/>
  <c r="P39" i="3"/>
  <c r="P41" i="3" s="1"/>
  <c r="Q39" i="3"/>
  <c r="Q41" i="3" s="1"/>
  <c r="R39" i="3"/>
  <c r="R41" i="3" s="1"/>
  <c r="S39" i="3"/>
  <c r="S41" i="3" s="1"/>
  <c r="C39" i="3"/>
  <c r="C41" i="3" s="1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C38" i="3"/>
  <c r="GR37" i="3"/>
  <c r="GS37" i="3"/>
  <c r="GT37" i="3"/>
  <c r="GU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A37" i="3"/>
  <c r="DB37" i="3"/>
  <c r="DC37" i="3"/>
  <c r="DD37" i="3"/>
  <c r="DE37" i="3"/>
  <c r="DF37" i="3"/>
  <c r="DG37" i="3"/>
  <c r="CT37" i="3"/>
  <c r="CU37" i="3"/>
  <c r="CV37" i="3"/>
  <c r="CW37" i="3"/>
  <c r="CX37" i="3"/>
  <c r="CY37" i="3"/>
  <c r="CZ37" i="3"/>
  <c r="CM37" i="3"/>
  <c r="CN37" i="3"/>
  <c r="CO37" i="3"/>
  <c r="CP37" i="3"/>
  <c r="CQ37" i="3"/>
  <c r="CR37" i="3"/>
  <c r="CS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BM37" i="3"/>
  <c r="BN37" i="3"/>
  <c r="BO37" i="3"/>
  <c r="BP37" i="3"/>
  <c r="BQ37" i="3"/>
  <c r="BR37" i="3"/>
  <c r="BS37" i="3"/>
  <c r="BT37" i="3"/>
  <c r="BU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AR37" i="3"/>
  <c r="AS37" i="3"/>
  <c r="AT37" i="3"/>
  <c r="AU37" i="3"/>
  <c r="AV37" i="3"/>
  <c r="AW37" i="3"/>
  <c r="AX37" i="3"/>
  <c r="AY37" i="3"/>
  <c r="AZ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T37" i="3"/>
  <c r="U37" i="3"/>
  <c r="V37" i="3"/>
  <c r="W37" i="3"/>
  <c r="X37" i="3"/>
  <c r="Y37" i="3"/>
  <c r="Z37" i="3"/>
  <c r="AA37" i="3"/>
  <c r="AB37" i="3"/>
  <c r="AC37" i="3"/>
  <c r="AD37" i="3"/>
  <c r="AE37" i="3"/>
  <c r="O37" i="3"/>
  <c r="P37" i="3"/>
  <c r="Q37" i="3"/>
  <c r="R37" i="3"/>
  <c r="S37" i="3"/>
  <c r="K37" i="3"/>
  <c r="L37" i="3"/>
  <c r="M37" i="3"/>
  <c r="N37" i="3"/>
  <c r="I37" i="3"/>
  <c r="J37" i="3"/>
  <c r="E37" i="3"/>
  <c r="F37" i="3"/>
  <c r="G37" i="3"/>
  <c r="H37" i="3"/>
  <c r="D37" i="3"/>
  <c r="C37" i="3"/>
</calcChain>
</file>

<file path=xl/sharedStrings.xml><?xml version="1.0" encoding="utf-8"?>
<sst xmlns="http://schemas.openxmlformats.org/spreadsheetml/2006/main" count="15546" uniqueCount="784">
  <si>
    <t>metacell-188</t>
  </si>
  <si>
    <t>metacell-169</t>
  </si>
  <si>
    <t>metacell-198</t>
  </si>
  <si>
    <t>metacell-94</t>
  </si>
  <si>
    <t>metacell-196</t>
  </si>
  <si>
    <t>metacell-189</t>
  </si>
  <si>
    <t>metacell-96</t>
  </si>
  <si>
    <t>metacell-93</t>
  </si>
  <si>
    <t>metacell-197</t>
  </si>
  <si>
    <t>metacell-89</t>
  </si>
  <si>
    <t>metacell-76</t>
  </si>
  <si>
    <t>metacell-172</t>
  </si>
  <si>
    <t>metacell-201</t>
  </si>
  <si>
    <t>metacell-95</t>
  </si>
  <si>
    <t>metacell-63</t>
  </si>
  <si>
    <t>metacell-88</t>
  </si>
  <si>
    <t>metacell-78</t>
  </si>
  <si>
    <t>Ranking</t>
  </si>
  <si>
    <t>Score 1: Highest opsin lfp</t>
  </si>
  <si>
    <t>Value</t>
  </si>
  <si>
    <t>* ties get same ranking.</t>
  </si>
  <si>
    <t>Metacells</t>
  </si>
  <si>
    <t>Score 2: Highest mean lfp for all phototr</t>
  </si>
  <si>
    <t>Score 3: Highest mean lfp for common genes</t>
  </si>
  <si>
    <t>Score 4: Highest mean lfp for ciliary or rhabdom genes (whichever is highest)</t>
  </si>
  <si>
    <t>Score 5: Highest % of tot. phototr genes.</t>
  </si>
  <si>
    <t>Score 6: Highest % of common phototr genes.</t>
  </si>
  <si>
    <t>Score 8: Highest number of TFs in common with other metacells (top 100 dataset)</t>
  </si>
  <si>
    <t>Score 9: Highest number of TFs in common with other metacells excluding metacells of same species (top 100 dataset)</t>
  </si>
  <si>
    <t>Score 1 Ranking</t>
  </si>
  <si>
    <t xml:space="preserve">Metacells </t>
  </si>
  <si>
    <t>Score 2 Ranking</t>
  </si>
  <si>
    <t>Score 3 Ranking</t>
  </si>
  <si>
    <t>Score 4 Ranking</t>
  </si>
  <si>
    <t>Score 5 Ranking</t>
  </si>
  <si>
    <t>Score 6 Ranking</t>
  </si>
  <si>
    <t>Score 7 Ranking</t>
  </si>
  <si>
    <t>Score 9 Ranking</t>
  </si>
  <si>
    <t>Sum of all Rankings</t>
  </si>
  <si>
    <t>Final Ranking</t>
  </si>
  <si>
    <t>t38455aep|PDE11_DROME</t>
  </si>
  <si>
    <t>t32166aep|GBB5_PONAB</t>
  </si>
  <si>
    <t>t31398aep|ANPRB_HUMAN</t>
  </si>
  <si>
    <t>t31809aep|KPCA_RAT</t>
  </si>
  <si>
    <t>t29959aep|OPN4B_XENLA</t>
  </si>
  <si>
    <t>t14420aep|ARRB1_MACFA</t>
  </si>
  <si>
    <t>t24564aep|OPSR_CAPHI</t>
  </si>
  <si>
    <t>t31083aep|TRPM3_HUMAN</t>
  </si>
  <si>
    <t>t30622aep|DGLA_RAT</t>
  </si>
  <si>
    <t>t28436aep|CALM_METSE</t>
  </si>
  <si>
    <t>t27685aep|NCKX5_DANRE</t>
  </si>
  <si>
    <t>t27688aep|OPSP_COLLI</t>
  </si>
  <si>
    <t>t27676aep|MYO3A_HUMAN</t>
  </si>
  <si>
    <t>t25874aep|PLCB4_RAT</t>
  </si>
  <si>
    <t>t29781aep|PIP1_DROME</t>
  </si>
  <si>
    <t>t24044aep|OPSP_ICTPU</t>
  </si>
  <si>
    <t>t15699aep|GNAO_BOVIN</t>
  </si>
  <si>
    <t>t13671aep|GRK5_BOVIN</t>
  </si>
  <si>
    <t>t26339aep|ANPRA_HUMAN</t>
  </si>
  <si>
    <t>t22223aep|MPDZ_HUMAN</t>
  </si>
  <si>
    <t>t11116aep|ACT_HYDVU</t>
  </si>
  <si>
    <t>t21920aep|ITPR1_BOVIN</t>
  </si>
  <si>
    <t>t17074aep|ARBK2_BOVIN</t>
  </si>
  <si>
    <t>t26793aep|OPSO_RUTRU</t>
  </si>
  <si>
    <t>t612aep|GNAQ_MIZYE</t>
  </si>
  <si>
    <t>t12031aep|GNAI_PATPE</t>
  </si>
  <si>
    <t>t20170aep|RGS7_HUMAN</t>
  </si>
  <si>
    <t>t19432aep|GBB_PINFU</t>
  </si>
  <si>
    <t>t1695aep|NCKX5_HUMAN</t>
  </si>
  <si>
    <t>t10575aep|OPSR_BOVIN</t>
  </si>
  <si>
    <t>t11598aep|KCC2A_DROME</t>
  </si>
  <si>
    <t>t27655aep|CNGA3_HUMAN</t>
  </si>
  <si>
    <t>t26652aep|GBG7_HUMAN</t>
  </si>
  <si>
    <t>t25988aep|CALM_HALOK</t>
  </si>
  <si>
    <t>metacell-1</t>
  </si>
  <si>
    <t>metacell-2</t>
  </si>
  <si>
    <t>metacell-3</t>
  </si>
  <si>
    <t>metacell-4</t>
  </si>
  <si>
    <t>metacell-5</t>
  </si>
  <si>
    <t>metacell-6</t>
  </si>
  <si>
    <t>Phototr genes</t>
  </si>
  <si>
    <t>Mean all phototr:</t>
  </si>
  <si>
    <t>metacell-7</t>
  </si>
  <si>
    <t>metacell-8</t>
  </si>
  <si>
    <t>metacell-9</t>
  </si>
  <si>
    <t>metacell-10</t>
  </si>
  <si>
    <t>metacell-11</t>
  </si>
  <si>
    <t>metacell-12</t>
  </si>
  <si>
    <t>metacell-13</t>
  </si>
  <si>
    <t>metacell-14</t>
  </si>
  <si>
    <t>metacell-15</t>
  </si>
  <si>
    <t>metacell-16</t>
  </si>
  <si>
    <t>metacell-17</t>
  </si>
  <si>
    <t>metacell-18</t>
  </si>
  <si>
    <t>metacell-19</t>
  </si>
  <si>
    <t>metacell-20</t>
  </si>
  <si>
    <t>metacell-21</t>
  </si>
  <si>
    <t>metacell-22</t>
  </si>
  <si>
    <t>metacell-23</t>
  </si>
  <si>
    <t>metacell-24</t>
  </si>
  <si>
    <t>metacell-25</t>
  </si>
  <si>
    <t>metacell-26</t>
  </si>
  <si>
    <t>metacell-27</t>
  </si>
  <si>
    <t>metacell-28</t>
  </si>
  <si>
    <t>metacell-29</t>
  </si>
  <si>
    <t>metacell-30</t>
  </si>
  <si>
    <t>metacell-31</t>
  </si>
  <si>
    <t>metacell-32</t>
  </si>
  <si>
    <t>metacell-33</t>
  </si>
  <si>
    <t>metacell-34</t>
  </si>
  <si>
    <t>metacell-35</t>
  </si>
  <si>
    <t>metacell-36</t>
  </si>
  <si>
    <t>metacell-37</t>
  </si>
  <si>
    <t>metacell-38</t>
  </si>
  <si>
    <t>metacell-39</t>
  </si>
  <si>
    <t>metacell-40</t>
  </si>
  <si>
    <t>metacell-41</t>
  </si>
  <si>
    <t>metacell-42</t>
  </si>
  <si>
    <t>metacell-43</t>
  </si>
  <si>
    <t>metacell-44</t>
  </si>
  <si>
    <t>metacell-45</t>
  </si>
  <si>
    <t>metacell-46</t>
  </si>
  <si>
    <t>metacell-47</t>
  </si>
  <si>
    <t>metacell-48</t>
  </si>
  <si>
    <t>metacell-49</t>
  </si>
  <si>
    <t>metacell-50</t>
  </si>
  <si>
    <t>metacell-51</t>
  </si>
  <si>
    <t>metacell-52</t>
  </si>
  <si>
    <t>metacell-53</t>
  </si>
  <si>
    <t>metacell-54</t>
  </si>
  <si>
    <t>metacell-55</t>
  </si>
  <si>
    <t>metacell-56</t>
  </si>
  <si>
    <t>metacell-57</t>
  </si>
  <si>
    <t>metacell-58</t>
  </si>
  <si>
    <t>metacell-59</t>
  </si>
  <si>
    <t>metacell-60</t>
  </si>
  <si>
    <t>metacell-61</t>
  </si>
  <si>
    <t>metacell-62</t>
  </si>
  <si>
    <t>metacell-64</t>
  </si>
  <si>
    <t>metacell-65</t>
  </si>
  <si>
    <t>metacell-66</t>
  </si>
  <si>
    <t>metacell-67</t>
  </si>
  <si>
    <t>metacell-68</t>
  </si>
  <si>
    <t>metacell-69</t>
  </si>
  <si>
    <t>metacell-70</t>
  </si>
  <si>
    <t>metacell-71</t>
  </si>
  <si>
    <t>metacell-72</t>
  </si>
  <si>
    <t>metacell-73</t>
  </si>
  <si>
    <t>metacell-74</t>
  </si>
  <si>
    <t>metacell-75</t>
  </si>
  <si>
    <t>metacell-77</t>
  </si>
  <si>
    <t>metacell-79</t>
  </si>
  <si>
    <t>metacell-80</t>
  </si>
  <si>
    <t>metacell-81</t>
  </si>
  <si>
    <t>metacell-82</t>
  </si>
  <si>
    <t>metacell-83</t>
  </si>
  <si>
    <t>metacell-84</t>
  </si>
  <si>
    <t>metacell-85</t>
  </si>
  <si>
    <t>metacell-86</t>
  </si>
  <si>
    <t>metacell-87</t>
  </si>
  <si>
    <t>metacell-90</t>
  </si>
  <si>
    <t>metacell-91</t>
  </si>
  <si>
    <t>metacell-92</t>
  </si>
  <si>
    <t>metacell-97</t>
  </si>
  <si>
    <t>metacell-98</t>
  </si>
  <si>
    <t>metacell-99</t>
  </si>
  <si>
    <t>metacell-100</t>
  </si>
  <si>
    <t>metacell-101</t>
  </si>
  <si>
    <t>metacell-102</t>
  </si>
  <si>
    <t>metacell-103</t>
  </si>
  <si>
    <t>metacell-104</t>
  </si>
  <si>
    <t>metacell-105</t>
  </si>
  <si>
    <t>metacell-106</t>
  </si>
  <si>
    <t>metacell-107</t>
  </si>
  <si>
    <t>metacell-108</t>
  </si>
  <si>
    <t>metacell-109</t>
  </si>
  <si>
    <t>metacell-110</t>
  </si>
  <si>
    <t>metacell-111</t>
  </si>
  <si>
    <t>metacell-112</t>
  </si>
  <si>
    <t>metacell-113</t>
  </si>
  <si>
    <t>metacell-114</t>
  </si>
  <si>
    <t>metacell-115</t>
  </si>
  <si>
    <t>metacell-116</t>
  </si>
  <si>
    <t>metacell-117</t>
  </si>
  <si>
    <t>metacell-118</t>
  </si>
  <si>
    <t>metacell-119</t>
  </si>
  <si>
    <t>metacell-120</t>
  </si>
  <si>
    <t>metacell-121</t>
  </si>
  <si>
    <t>metacell-122</t>
  </si>
  <si>
    <t>metacell-123</t>
  </si>
  <si>
    <t>metacell-124</t>
  </si>
  <si>
    <t>metacell-125</t>
  </si>
  <si>
    <t>metacell-126</t>
  </si>
  <si>
    <t>metacell-127</t>
  </si>
  <si>
    <t>metacell-128</t>
  </si>
  <si>
    <t>metacell-129</t>
  </si>
  <si>
    <t>metacell-130</t>
  </si>
  <si>
    <t>metacell-131</t>
  </si>
  <si>
    <t>metacell-132</t>
  </si>
  <si>
    <t>metacell-133</t>
  </si>
  <si>
    <t>metacell-134</t>
  </si>
  <si>
    <t>metacell-135</t>
  </si>
  <si>
    <t>metacell-136</t>
  </si>
  <si>
    <t>metacell-137</t>
  </si>
  <si>
    <t>metacell-138</t>
  </si>
  <si>
    <t>metacell-139</t>
  </si>
  <si>
    <t>metacell-140</t>
  </si>
  <si>
    <t>metacell-141</t>
  </si>
  <si>
    <t>metacell-142</t>
  </si>
  <si>
    <t>metacell-143</t>
  </si>
  <si>
    <t>metacell-144</t>
  </si>
  <si>
    <t>metacell-145</t>
  </si>
  <si>
    <t>metacell-146</t>
  </si>
  <si>
    <t>metacell-147</t>
  </si>
  <si>
    <t>metacell-148</t>
  </si>
  <si>
    <t>metacell-149</t>
  </si>
  <si>
    <t>metacell-150</t>
  </si>
  <si>
    <t>metacell-151</t>
  </si>
  <si>
    <t>metacell-152</t>
  </si>
  <si>
    <t>metacell-153</t>
  </si>
  <si>
    <t>metacell-154</t>
  </si>
  <si>
    <t>metacell-155</t>
  </si>
  <si>
    <t>metacell-156</t>
  </si>
  <si>
    <t>metacell-157</t>
  </si>
  <si>
    <t>metacell-158</t>
  </si>
  <si>
    <t>metacell-159</t>
  </si>
  <si>
    <t>metacell-160</t>
  </si>
  <si>
    <t>metacell-161</t>
  </si>
  <si>
    <t>metacell-162</t>
  </si>
  <si>
    <t>metacell-163</t>
  </si>
  <si>
    <t>metacell-164</t>
  </si>
  <si>
    <t>metacell-165</t>
  </si>
  <si>
    <t>metacell-166</t>
  </si>
  <si>
    <t>metacell-167</t>
  </si>
  <si>
    <t>metacell-168</t>
  </si>
  <si>
    <t>metacell-170</t>
  </si>
  <si>
    <t>metacell-171</t>
  </si>
  <si>
    <t>metacell-173</t>
  </si>
  <si>
    <t>metacell-174</t>
  </si>
  <si>
    <t>metacell-175</t>
  </si>
  <si>
    <t>metacell-176</t>
  </si>
  <si>
    <t>metacell-177</t>
  </si>
  <si>
    <t>metacell-178</t>
  </si>
  <si>
    <t>metacell-179</t>
  </si>
  <si>
    <t>metacell-180</t>
  </si>
  <si>
    <t>metacell-181</t>
  </si>
  <si>
    <t>metacell-182</t>
  </si>
  <si>
    <t>metacell-183</t>
  </si>
  <si>
    <t>metacell-184</t>
  </si>
  <si>
    <t>metacell-185</t>
  </si>
  <si>
    <t>metacell-186</t>
  </si>
  <si>
    <t>metacell-187</t>
  </si>
  <si>
    <t>metacell-190</t>
  </si>
  <si>
    <t>metacell-191</t>
  </si>
  <si>
    <t>metacell-192</t>
  </si>
  <si>
    <t>metacell-193</t>
  </si>
  <si>
    <t>metacell-194</t>
  </si>
  <si>
    <t>metacell-195</t>
  </si>
  <si>
    <t>metacell-199</t>
  </si>
  <si>
    <t>metacell-200</t>
  </si>
  <si>
    <t>Top by mean all phototr:</t>
  </si>
  <si>
    <t>Top by common:</t>
  </si>
  <si>
    <t>Mean common:</t>
  </si>
  <si>
    <t>Mean ciliary:</t>
  </si>
  <si>
    <t>Mean rhabdomeric:</t>
  </si>
  <si>
    <t>ciliary</t>
  </si>
  <si>
    <t>common</t>
  </si>
  <si>
    <t>rhabdomeric</t>
  </si>
  <si>
    <t>Highest mean between ciliary and rhabdomeric:</t>
  </si>
  <si>
    <t>Top by ciliary / rhabdomeric:</t>
  </si>
  <si>
    <t>=metacell already chosen based on opsin lfp cut-off .</t>
  </si>
  <si>
    <t>Score 8 Ranking</t>
  </si>
  <si>
    <t>*Note that mets 93 and 94 did not have any TF in top 100, so were not be used for TF comparison. Added here in last position.</t>
  </si>
  <si>
    <t>Num of times in top 5:</t>
  </si>
  <si>
    <t>v1g123451</t>
  </si>
  <si>
    <t>v1g94740</t>
  </si>
  <si>
    <t>v1g197433</t>
  </si>
  <si>
    <t>v1g219988</t>
  </si>
  <si>
    <t>v1g33918</t>
  </si>
  <si>
    <t>v1g214775</t>
  </si>
  <si>
    <t>v1g214773</t>
  </si>
  <si>
    <t>v1g85309</t>
  </si>
  <si>
    <t>v1g214772</t>
  </si>
  <si>
    <t>v1g13116</t>
  </si>
  <si>
    <t>Score 7: Highest % either ciliary or rhabdom. genes (whichever is highest)</t>
  </si>
  <si>
    <t>v1g101739</t>
  </si>
  <si>
    <t>v1g105798</t>
  </si>
  <si>
    <t>v1g120467</t>
  </si>
  <si>
    <t>v1g122927</t>
  </si>
  <si>
    <t>v1g125284</t>
  </si>
  <si>
    <t>v1g130042</t>
  </si>
  <si>
    <t>v1g134893</t>
  </si>
  <si>
    <t>v1g157748</t>
  </si>
  <si>
    <t>v1g157808</t>
  </si>
  <si>
    <t>v1g159077</t>
  </si>
  <si>
    <t>v1g164057</t>
  </si>
  <si>
    <t>v1g164927</t>
  </si>
  <si>
    <t>v1g174</t>
  </si>
  <si>
    <t>v1g177378</t>
  </si>
  <si>
    <t>v1g179295</t>
  </si>
  <si>
    <t>v1g186733</t>
  </si>
  <si>
    <t>v1g188289</t>
  </si>
  <si>
    <t>v1g198469</t>
  </si>
  <si>
    <t>v1g199627</t>
  </si>
  <si>
    <t>v1g202361</t>
  </si>
  <si>
    <t>v1g206699</t>
  </si>
  <si>
    <t>v1g20862</t>
  </si>
  <si>
    <t>v1g212694</t>
  </si>
  <si>
    <t>v1g216282</t>
  </si>
  <si>
    <t>v1g21809</t>
  </si>
  <si>
    <t>v1g220432</t>
  </si>
  <si>
    <t>v1g230662</t>
  </si>
  <si>
    <t>v1g237532</t>
  </si>
  <si>
    <t>v1g238752</t>
  </si>
  <si>
    <t>v1g239552</t>
  </si>
  <si>
    <t>v1g239788</t>
  </si>
  <si>
    <t>v1g242737</t>
  </si>
  <si>
    <t>v1g244707</t>
  </si>
  <si>
    <t>v1g244849</t>
  </si>
  <si>
    <t>v1g246204</t>
  </si>
  <si>
    <t>v1g31537</t>
  </si>
  <si>
    <t>v1g60191</t>
  </si>
  <si>
    <t>v1g83881</t>
  </si>
  <si>
    <t>v1g85050</t>
  </si>
  <si>
    <t>v1g88970</t>
  </si>
  <si>
    <t>v1g92648</t>
  </si>
  <si>
    <t>v1g93634</t>
  </si>
  <si>
    <t>v1g93709</t>
  </si>
  <si>
    <t>v1g93878</t>
  </si>
  <si>
    <t>v1g93932</t>
  </si>
  <si>
    <t>v1g97737</t>
  </si>
  <si>
    <t>XLOC-001548</t>
  </si>
  <si>
    <t>XLOC-001915</t>
  </si>
  <si>
    <t>XLOC-004433</t>
  </si>
  <si>
    <t>XLOC-007220</t>
  </si>
  <si>
    <t>XLOC-008369</t>
  </si>
  <si>
    <t>XLOC-013404</t>
  </si>
  <si>
    <t>XLOC-013466</t>
  </si>
  <si>
    <t>XLOC-014565</t>
  </si>
  <si>
    <t>XLOC-021750</t>
  </si>
  <si>
    <t>XLOC-024731</t>
  </si>
  <si>
    <t>XLOC-029206</t>
  </si>
  <si>
    <t>XLOC-029997</t>
  </si>
  <si>
    <t>XLOC-030008</t>
  </si>
  <si>
    <t>XLOC-030364</t>
  </si>
  <si>
    <t>XLOC-033745</t>
  </si>
  <si>
    <t>XLOC-034293</t>
  </si>
  <si>
    <t>XLOC-035197</t>
  </si>
  <si>
    <t>XLOC-035588</t>
  </si>
  <si>
    <t>XLOC-036877</t>
  </si>
  <si>
    <t>XLOC-037999</t>
  </si>
  <si>
    <t>XLOC-040487</t>
  </si>
  <si>
    <t>XLOC-042993</t>
  </si>
  <si>
    <t>XLOC-043843</t>
  </si>
  <si>
    <t>XLOC-045142</t>
  </si>
  <si>
    <t>metacell-202</t>
  </si>
  <si>
    <t>metacell-203</t>
  </si>
  <si>
    <t>metacell-204</t>
  </si>
  <si>
    <t>metacell-205</t>
  </si>
  <si>
    <t>metacell-206</t>
  </si>
  <si>
    <t>metacell-207</t>
  </si>
  <si>
    <t>metacell-208</t>
  </si>
  <si>
    <t>metacell-209</t>
  </si>
  <si>
    <t>Spis_XP_022777933_1</t>
  </si>
  <si>
    <t>Spis_XP_022779110_1</t>
  </si>
  <si>
    <t>Spis_XP_022779111_1</t>
  </si>
  <si>
    <t>Spis_XP_022779762_1</t>
  </si>
  <si>
    <t>Spis_XP_022779808_1</t>
  </si>
  <si>
    <t>Spis_XP_022779812_1</t>
  </si>
  <si>
    <t>Spis_XP_022779968_1</t>
  </si>
  <si>
    <t>Spis_XP_022780033_1</t>
  </si>
  <si>
    <t>Spis_XP_022780293_1</t>
  </si>
  <si>
    <t>Spis_XP_022780572_1</t>
  </si>
  <si>
    <t>Spis_XP_022781094_1</t>
  </si>
  <si>
    <t>Spis_XP_022781927_1</t>
  </si>
  <si>
    <t>Spis_XP_022783573_1</t>
  </si>
  <si>
    <t>Spis_XP_022785172_1</t>
  </si>
  <si>
    <t>Spis_XP_022785277_1</t>
  </si>
  <si>
    <t>Spis_XP_022785315_1</t>
  </si>
  <si>
    <t>Spis_XP_022785402_1</t>
  </si>
  <si>
    <t>Spis_XP_022785429_1</t>
  </si>
  <si>
    <t>Spis_XP_022787547_1</t>
  </si>
  <si>
    <t>Spis_XP_022788667_1</t>
  </si>
  <si>
    <t>Spis_XP_022789140_1</t>
  </si>
  <si>
    <t>Spis_XP_022789647_1</t>
  </si>
  <si>
    <t>Spis_XP_022791467_1</t>
  </si>
  <si>
    <t>Spis_XP_022792240_1</t>
  </si>
  <si>
    <t>Spis_XP_022792530_1</t>
  </si>
  <si>
    <t>Spis_XP_022792971_1</t>
  </si>
  <si>
    <t>Spis_XP_022793483_1</t>
  </si>
  <si>
    <t>Spis_XP_022793717_1</t>
  </si>
  <si>
    <t>Spis_XP_022794886_1</t>
  </si>
  <si>
    <t>Spis_XP_022795448_1</t>
  </si>
  <si>
    <t>Spis_XP_022796132_1</t>
  </si>
  <si>
    <t>Spis_XP_022798091_1</t>
  </si>
  <si>
    <t>Spis_XP_022799130_1</t>
  </si>
  <si>
    <t>Spis_XP_022800306_1</t>
  </si>
  <si>
    <t>Spis_XP_022803925_1</t>
  </si>
  <si>
    <t>Spis_XP_022803931_1</t>
  </si>
  <si>
    <t>Spis_XP_022804911_1</t>
  </si>
  <si>
    <t>Spis_XP_022806086_1</t>
  </si>
  <si>
    <t>Spis_XP_022806875_1</t>
  </si>
  <si>
    <t>Spis_XP_022806881_1</t>
  </si>
  <si>
    <t>Spis_XP_022808146_1</t>
  </si>
  <si>
    <t>Spis_XP_022809903_1</t>
  </si>
  <si>
    <t>*Note that mets 158 and 171 did not have any TF in top 100, so were not be used for TF comparison. Added here in last position.</t>
  </si>
  <si>
    <t>Sum</t>
  </si>
  <si>
    <t>Top in score1?</t>
  </si>
  <si>
    <t>Top in score2?</t>
  </si>
  <si>
    <t>Top in score3?</t>
  </si>
  <si>
    <t>Top in score4?</t>
  </si>
  <si>
    <t>Top in score5?</t>
  </si>
  <si>
    <t>Top in score6?</t>
  </si>
  <si>
    <t>Top in score7?</t>
  </si>
  <si>
    <t>Top in score8?</t>
  </si>
  <si>
    <t>Top in score9?</t>
  </si>
  <si>
    <t>Top 5 based on final ranking</t>
  </si>
  <si>
    <t>Num times in top 5 (minimum 5x)</t>
  </si>
  <si>
    <t>Without scores 8&amp;9</t>
  </si>
  <si>
    <t>Sum Rankings 1-7</t>
  </si>
  <si>
    <t>Final Ranking for scores 1-7</t>
  </si>
  <si>
    <t>Final Ranking for all scores</t>
  </si>
  <si>
    <t>ML003265a</t>
  </si>
  <si>
    <t>ML009124a</t>
  </si>
  <si>
    <t>ML009153a</t>
  </si>
  <si>
    <t>ML02234a</t>
  </si>
  <si>
    <t>ML02651a</t>
  </si>
  <si>
    <t>ML03701a</t>
  </si>
  <si>
    <t>ML047926a</t>
  </si>
  <si>
    <t>ML04904a</t>
  </si>
  <si>
    <t>ML04921a</t>
  </si>
  <si>
    <t>ML054419a</t>
  </si>
  <si>
    <t>ML07011a</t>
  </si>
  <si>
    <t>ML08605a</t>
  </si>
  <si>
    <t>ML093041a</t>
  </si>
  <si>
    <t>ML104636a</t>
  </si>
  <si>
    <t>ML10611a</t>
  </si>
  <si>
    <t>ML12047a</t>
  </si>
  <si>
    <t>ML13055a</t>
  </si>
  <si>
    <t>ML13931a</t>
  </si>
  <si>
    <t>ML14122a</t>
  </si>
  <si>
    <t>ML149631a</t>
  </si>
  <si>
    <t>ML149632a</t>
  </si>
  <si>
    <t>ML154511a</t>
  </si>
  <si>
    <t>ML156513a</t>
  </si>
  <si>
    <t>ML156514a</t>
  </si>
  <si>
    <t>ML174735a</t>
  </si>
  <si>
    <t>ML181719a</t>
  </si>
  <si>
    <t>ML20265a</t>
  </si>
  <si>
    <t>ML234550a</t>
  </si>
  <si>
    <t>ML261714a</t>
  </si>
  <si>
    <t>ML30617a</t>
  </si>
  <si>
    <t>ML35309a</t>
  </si>
  <si>
    <t>ML35651a</t>
  </si>
  <si>
    <t>ML35935a</t>
  </si>
  <si>
    <t>Tadh_P13081</t>
  </si>
  <si>
    <t>Tadh_P20496</t>
  </si>
  <si>
    <t>Tadh_P27973</t>
  </si>
  <si>
    <t>Tadh_P28308</t>
  </si>
  <si>
    <t>Tadh_P33154</t>
  </si>
  <si>
    <t>Tadh_P35956</t>
  </si>
  <si>
    <t>Tadh_P37105</t>
  </si>
  <si>
    <t>Tadh_P37130</t>
  </si>
  <si>
    <t>Tadh_P49626</t>
  </si>
  <si>
    <t>Tadh_P49804</t>
  </si>
  <si>
    <t>Tadh_P50756</t>
  </si>
  <si>
    <t>Tadh_P50797</t>
  </si>
  <si>
    <t>Tadh_P52866</t>
  </si>
  <si>
    <t>Tadh_P53544</t>
  </si>
  <si>
    <t>Tadh_P53545</t>
  </si>
  <si>
    <t>Tadh_P53546</t>
  </si>
  <si>
    <t>Tadh_P56111</t>
  </si>
  <si>
    <t>Tadh_P56332</t>
  </si>
  <si>
    <t>Tadh_P56365</t>
  </si>
  <si>
    <t>Tadh_P58590</t>
  </si>
  <si>
    <t>Tadh_P59012</t>
  </si>
  <si>
    <t>Tadh_P60588</t>
  </si>
  <si>
    <t>Tadh_P61893</t>
  </si>
  <si>
    <t>Tadh_P61894</t>
  </si>
  <si>
    <t>Tadh_P63252</t>
  </si>
  <si>
    <t>Tadh_P63375</t>
  </si>
  <si>
    <t>Tadh_P64010</t>
  </si>
  <si>
    <t>Tadh_P64255</t>
  </si>
  <si>
    <t>Tadh_P64258</t>
  </si>
  <si>
    <t>Tadh_P951</t>
  </si>
  <si>
    <t>Aqu2.1.24128_001</t>
  </si>
  <si>
    <t>Aqu2.1.25927_001</t>
  </si>
  <si>
    <t>Aqu2.1.26962_001</t>
  </si>
  <si>
    <t>Aqu2.1.27482_001</t>
  </si>
  <si>
    <t>Aqu2.1.27833_001</t>
  </si>
  <si>
    <t>Aqu2.1.32747_001</t>
  </si>
  <si>
    <t>Aqu2.1.34432_001</t>
  </si>
  <si>
    <t>Aqu2.1.36017_001</t>
  </si>
  <si>
    <t>Aqu2.1.37082_001</t>
  </si>
  <si>
    <t>Aqu2.1.37083_001</t>
  </si>
  <si>
    <t>Aqu2.1.38104_001</t>
  </si>
  <si>
    <t>Aqu2.1.38628_001</t>
  </si>
  <si>
    <t>Aqu2.1.39671_001</t>
  </si>
  <si>
    <t>Aqu2.1.39733_001</t>
  </si>
  <si>
    <t>Aqu2.1.39940_001</t>
  </si>
  <si>
    <t>Aqu2.1.40012_001</t>
  </si>
  <si>
    <t>Aqu2.1.41113_001</t>
  </si>
  <si>
    <t>Aqu2.1.41582_001</t>
  </si>
  <si>
    <t>Aqu2.1.42503_001</t>
  </si>
  <si>
    <t>Aqu2.1.43329_001</t>
  </si>
  <si>
    <t>Aqu2.1.43436_001</t>
  </si>
  <si>
    <t>Aqu2.1.43540_001</t>
  </si>
  <si>
    <t>Aqu2.1.43541_001</t>
  </si>
  <si>
    <t>Aqu2.1.44326_001</t>
  </si>
  <si>
    <t>N/A</t>
  </si>
  <si>
    <t>KH2013:KH.C1.1125</t>
  </si>
  <si>
    <t>KH2013:KH.C1.612</t>
  </si>
  <si>
    <t>KH2013:KH.C10.392</t>
  </si>
  <si>
    <t>KH2013:KH.C2.705</t>
  </si>
  <si>
    <t>KH2013:KH.C2.249</t>
  </si>
  <si>
    <t>KH2013:KH.C2.757</t>
  </si>
  <si>
    <t>KH2013:KH.C2.758</t>
  </si>
  <si>
    <t>KH2013:KH.C2.958</t>
  </si>
  <si>
    <t>KH2013:KH.C3.45</t>
  </si>
  <si>
    <t>KH2013:KH.C4.381</t>
  </si>
  <si>
    <t>KH2013:KH.C5.57</t>
  </si>
  <si>
    <t>KH2013:KH.C7.88</t>
  </si>
  <si>
    <t>KH2013:KH.C7.605</t>
  </si>
  <si>
    <t>KH2013:KH.C7.385</t>
  </si>
  <si>
    <t>KH2013:KH.C7.343</t>
  </si>
  <si>
    <t>KH2013:KH.C8.571</t>
  </si>
  <si>
    <t>KH2013:KH.C8.649</t>
  </si>
  <si>
    <t>KH2013:KH.C8.374</t>
  </si>
  <si>
    <t>KH2013:KH.C8.70</t>
  </si>
  <si>
    <t>KH2013:KH.C9.379</t>
  </si>
  <si>
    <t>KH2013:KH.C9.789</t>
  </si>
  <si>
    <t>KH2013:KH.L112.32</t>
  </si>
  <si>
    <t>KH2013:KH.L138.1</t>
  </si>
  <si>
    <t>KH2013:KH.L154.32</t>
  </si>
  <si>
    <t>KH2013:KH.L171.13</t>
  </si>
  <si>
    <t>KH2013:KH.L18.65</t>
  </si>
  <si>
    <t>KH2013:KH.L42.6</t>
  </si>
  <si>
    <t>KH2013:KH.L44.22</t>
  </si>
  <si>
    <t>KH2013:KH.L50.5</t>
  </si>
  <si>
    <t>KH2013:KH.L56.1</t>
  </si>
  <si>
    <t>KH2013:KH.L96.97</t>
  </si>
  <si>
    <t>KH2013:KH.L96.22</t>
  </si>
  <si>
    <t>KH2013:KH.S1440.1</t>
  </si>
  <si>
    <t>WHL22.4013</t>
  </si>
  <si>
    <t>WHL22.4059</t>
  </si>
  <si>
    <t>WHL22.3956</t>
  </si>
  <si>
    <t>WHL22.34179</t>
  </si>
  <si>
    <t>WHL22.51293</t>
  </si>
  <si>
    <t>WHL22.64904</t>
  </si>
  <si>
    <t>WHL22.72626</t>
  </si>
  <si>
    <t>WHL22.77417</t>
  </si>
  <si>
    <t>WHL22.92304</t>
  </si>
  <si>
    <t>WHL22.101602</t>
  </si>
  <si>
    <t>WHL22.253891</t>
  </si>
  <si>
    <t>WHL22.272775</t>
  </si>
  <si>
    <t>WHL22.290080</t>
  </si>
  <si>
    <t>WHL22.316252</t>
  </si>
  <si>
    <t>WHL22.324194</t>
  </si>
  <si>
    <t>WHL22.343472</t>
  </si>
  <si>
    <t>WHL22.408109</t>
  </si>
  <si>
    <t>WHL22.421157</t>
  </si>
  <si>
    <t>WHL22.469735</t>
  </si>
  <si>
    <t>WHL22.488878</t>
  </si>
  <si>
    <t>WHL22.499001</t>
  </si>
  <si>
    <t>WHL22.521535</t>
  </si>
  <si>
    <t>WHL22.521547</t>
  </si>
  <si>
    <t>WHL22.550412</t>
  </si>
  <si>
    <t>WHL22.554631</t>
  </si>
  <si>
    <t>WHL22.557017</t>
  </si>
  <si>
    <t>WHL22.608502</t>
  </si>
  <si>
    <t>WHL22.635333</t>
  </si>
  <si>
    <t>WHL22.635570</t>
  </si>
  <si>
    <t>WHL22.652873</t>
  </si>
  <si>
    <t>WHL22.668748</t>
  </si>
  <si>
    <t>WHL22.677837</t>
  </si>
  <si>
    <t>WHL22.692880</t>
  </si>
  <si>
    <t>WHL22.697968</t>
  </si>
  <si>
    <t>WHL22.709217</t>
  </si>
  <si>
    <t>WHL22.731493</t>
  </si>
  <si>
    <t>WHL22.751707</t>
  </si>
  <si>
    <t>WHL22.762062</t>
  </si>
  <si>
    <t>GNB1</t>
  </si>
  <si>
    <t>PATJ</t>
  </si>
  <si>
    <t>GNAT2</t>
  </si>
  <si>
    <t>OPN3</t>
  </si>
  <si>
    <t>CNGA3</t>
  </si>
  <si>
    <t>MYO3B</t>
  </si>
  <si>
    <t>SAG</t>
  </si>
  <si>
    <t>ITPR1</t>
  </si>
  <si>
    <t>GNAT1</t>
  </si>
  <si>
    <t>GUCA1C</t>
  </si>
  <si>
    <t>RHO</t>
  </si>
  <si>
    <t>GRK7</t>
  </si>
  <si>
    <t>TRPC1</t>
  </si>
  <si>
    <t>GNB4</t>
  </si>
  <si>
    <t>PDE6B</t>
  </si>
  <si>
    <t>GRK4</t>
  </si>
  <si>
    <t>CNGA1</t>
  </si>
  <si>
    <t>PPEF2</t>
  </si>
  <si>
    <t>CAMK2D</t>
  </si>
  <si>
    <t>PDE6A</t>
  </si>
  <si>
    <t>CAMK2A</t>
  </si>
  <si>
    <t>GRK6</t>
  </si>
  <si>
    <t>ITPR3</t>
  </si>
  <si>
    <t>GUCA1A</t>
  </si>
  <si>
    <t>GUCA1B</t>
  </si>
  <si>
    <t>ACTB</t>
  </si>
  <si>
    <t>CAMK2B</t>
  </si>
  <si>
    <t>GNGT1</t>
  </si>
  <si>
    <t>GNG11</t>
  </si>
  <si>
    <t>GNB2</t>
  </si>
  <si>
    <t>OPN1SW</t>
  </si>
  <si>
    <t>PPEF1</t>
  </si>
  <si>
    <t>ARR3</t>
  </si>
  <si>
    <t>GUCY2F</t>
  </si>
  <si>
    <t>OPN1LW</t>
  </si>
  <si>
    <t>OPN1MW3</t>
  </si>
  <si>
    <t>CNGB3</t>
  </si>
  <si>
    <t>MPDZ</t>
  </si>
  <si>
    <t>SLC24A2</t>
  </si>
  <si>
    <t>GNAQ</t>
  </si>
  <si>
    <t>DAGLA</t>
  </si>
  <si>
    <t>GRK2</t>
  </si>
  <si>
    <t>ARRB1</t>
  </si>
  <si>
    <t>MYO3A</t>
  </si>
  <si>
    <t>CAMK2G</t>
  </si>
  <si>
    <t>PDE6C</t>
  </si>
  <si>
    <t>GRK5</t>
  </si>
  <si>
    <t>GNB3</t>
  </si>
  <si>
    <t>PDE6H</t>
  </si>
  <si>
    <t>ITPR2</t>
  </si>
  <si>
    <t>GRK1</t>
  </si>
  <si>
    <t>CALM1</t>
  </si>
  <si>
    <t>SLC24A4</t>
  </si>
  <si>
    <t>GNB5</t>
  </si>
  <si>
    <t>SLC24A1</t>
  </si>
  <si>
    <t>GNG13</t>
  </si>
  <si>
    <t>PRKCB</t>
  </si>
  <si>
    <t>CNGB1</t>
  </si>
  <si>
    <t>ARRB2</t>
  </si>
  <si>
    <t>GUCY2D</t>
  </si>
  <si>
    <t>RCVRN</t>
  </si>
  <si>
    <t>GNGT2</t>
  </si>
  <si>
    <t>RGS9</t>
  </si>
  <si>
    <t>PRKCA</t>
  </si>
  <si>
    <t>ACTG1</t>
  </si>
  <si>
    <t>PDE6G</t>
  </si>
  <si>
    <t>PLCB1</t>
  </si>
  <si>
    <t>PLCB4</t>
  </si>
  <si>
    <t>GNA11</t>
  </si>
  <si>
    <t>RGS9BP</t>
  </si>
  <si>
    <t>GRK3</t>
  </si>
  <si>
    <t>=metacell already chosen based on highest opsin lfp for cone and rods.</t>
  </si>
  <si>
    <t>Score 1: Highest ROD opsin (=RHO) lfp</t>
  </si>
  <si>
    <t>=purple: metacells that have a cone opsin (OPN1LW or OPN1SW) with lfp&gt;0.2</t>
  </si>
  <si>
    <t>Score 1: Highest CONE (OPN1LW or OPN1SW) opsin lfp</t>
  </si>
  <si>
    <t>=orange: metacells that have a rod opsin (RHO) with lfp&gt;0.2</t>
  </si>
  <si>
    <t>metacell-211</t>
  </si>
  <si>
    <t>metacell-296</t>
  </si>
  <si>
    <t>metacell-322</t>
  </si>
  <si>
    <t>metacell-324</t>
  </si>
  <si>
    <t>metacell-326</t>
  </si>
  <si>
    <t>metacell-328</t>
  </si>
  <si>
    <t>metacell-332</t>
  </si>
  <si>
    <t>metacell-342</t>
  </si>
  <si>
    <t>metacell-343</t>
  </si>
  <si>
    <t>metacell-345</t>
  </si>
  <si>
    <t>metacell-350</t>
  </si>
  <si>
    <t>metacell-352</t>
  </si>
  <si>
    <t>metacell-353</t>
  </si>
  <si>
    <t>metacell-357</t>
  </si>
  <si>
    <t>metacell-358</t>
  </si>
  <si>
    <t>metacell-359</t>
  </si>
  <si>
    <t>metacell-360</t>
  </si>
  <si>
    <t>metacell-361</t>
  </si>
  <si>
    <t>metacell-362</t>
  </si>
  <si>
    <t>metacell-363</t>
  </si>
  <si>
    <t>metacell-364</t>
  </si>
  <si>
    <t>metacell-365</t>
  </si>
  <si>
    <t>metacell-366</t>
  </si>
  <si>
    <t>metacell-367</t>
  </si>
  <si>
    <t>metacell-368</t>
  </si>
  <si>
    <t>metacell-369</t>
  </si>
  <si>
    <t>metacell-370</t>
  </si>
  <si>
    <t>metacell-371</t>
  </si>
  <si>
    <t>metacell-372</t>
  </si>
  <si>
    <t>metacell-375</t>
  </si>
  <si>
    <t>metacell-376</t>
  </si>
  <si>
    <t>metacell-377</t>
  </si>
  <si>
    <t>metacell-378</t>
  </si>
  <si>
    <t>metacell-379</t>
  </si>
  <si>
    <t>metacell-380</t>
  </si>
  <si>
    <t>metacell-381</t>
  </si>
  <si>
    <t>metacell-382</t>
  </si>
  <si>
    <t>metacell-383</t>
  </si>
  <si>
    <t>metacell-384</t>
  </si>
  <si>
    <t>metacell-385</t>
  </si>
  <si>
    <t>metacell-386</t>
  </si>
  <si>
    <t>metacell-387</t>
  </si>
  <si>
    <t>metacell-388</t>
  </si>
  <si>
    <t>metacell-389</t>
  </si>
  <si>
    <t>metacell-390</t>
  </si>
  <si>
    <t>metacell-392</t>
  </si>
  <si>
    <t>metacell-393</t>
  </si>
  <si>
    <t>metacell-395</t>
  </si>
  <si>
    <t>metacell-396</t>
  </si>
  <si>
    <t>metacell-210</t>
  </si>
  <si>
    <t>metacell-216</t>
  </si>
  <si>
    <t>metacell-219</t>
  </si>
  <si>
    <t>metacell-227</t>
  </si>
  <si>
    <t>metacell-228</t>
  </si>
  <si>
    <t>metacell-230</t>
  </si>
  <si>
    <t>metacell-231</t>
  </si>
  <si>
    <t>metacell-233</t>
  </si>
  <si>
    <t>metacell-238</t>
  </si>
  <si>
    <t>metacell-243</t>
  </si>
  <si>
    <t>metacell-245</t>
  </si>
  <si>
    <t>metacell-250</t>
  </si>
  <si>
    <t>metacell-257</t>
  </si>
  <si>
    <t>metacell-261</t>
  </si>
  <si>
    <t>metacell-262</t>
  </si>
  <si>
    <t>metacell-267</t>
  </si>
  <si>
    <t>metacell-271</t>
  </si>
  <si>
    <t>metacell-274</t>
  </si>
  <si>
    <t>metacell-278</t>
  </si>
  <si>
    <t>metacell-281</t>
  </si>
  <si>
    <t>metacell-285</t>
  </si>
  <si>
    <t>metacell-290</t>
  </si>
  <si>
    <t>metacell-291</t>
  </si>
  <si>
    <t>metacell-292</t>
  </si>
  <si>
    <t>metacell-297</t>
  </si>
  <si>
    <t>metacell-302</t>
  </si>
  <si>
    <t>metacell-329</t>
  </si>
  <si>
    <t>metacell-330</t>
  </si>
  <si>
    <t>metacell-337</t>
  </si>
  <si>
    <t>metacell-340</t>
  </si>
  <si>
    <t>metacell-344</t>
  </si>
  <si>
    <t>metacell-356</t>
  </si>
  <si>
    <t>metacell-229</t>
  </si>
  <si>
    <t>metacell-234</t>
  </si>
  <si>
    <t>metacell-251</t>
  </si>
  <si>
    <t>metacell-254</t>
  </si>
  <si>
    <t>metacell-255</t>
  </si>
  <si>
    <t>metacell-260</t>
  </si>
  <si>
    <t>metacell-263</t>
  </si>
  <si>
    <t>metacell-282</t>
  </si>
  <si>
    <t>metacell-286</t>
  </si>
  <si>
    <t>metacell-298</t>
  </si>
  <si>
    <t>metacell-307</t>
  </si>
  <si>
    <t>metacell-313</t>
  </si>
  <si>
    <t>metacell-355</t>
  </si>
  <si>
    <t>GNG7</t>
  </si>
  <si>
    <t>GNA15</t>
  </si>
  <si>
    <t>GUCY2E</t>
  </si>
  <si>
    <t>ACTBL2</t>
  </si>
  <si>
    <t>GNG4</t>
  </si>
  <si>
    <t>TRPC7</t>
  </si>
  <si>
    <t>OPN4</t>
  </si>
  <si>
    <t>RGS11</t>
  </si>
  <si>
    <t>GNA14</t>
  </si>
  <si>
    <t>GUCY2G</t>
  </si>
  <si>
    <t>PLCB3</t>
  </si>
  <si>
    <t>PLCB2</t>
  </si>
  <si>
    <t>SLC24A3</t>
  </si>
  <si>
    <t>GNAI3</t>
  </si>
  <si>
    <t>GNG5</t>
  </si>
  <si>
    <t>TRPC3</t>
  </si>
  <si>
    <t>TRPC4</t>
  </si>
  <si>
    <t>GNG10</t>
  </si>
  <si>
    <t>DAGLB</t>
  </si>
  <si>
    <t>GNAT3</t>
  </si>
  <si>
    <t>GNG12</t>
  </si>
  <si>
    <t>CNGA4</t>
  </si>
  <si>
    <t>GNG8</t>
  </si>
  <si>
    <t>PRKCG</t>
  </si>
  <si>
    <t>GNAI2</t>
  </si>
  <si>
    <t>TRPC6</t>
  </si>
  <si>
    <t>TRPC5</t>
  </si>
  <si>
    <t>CNGA2</t>
  </si>
  <si>
    <t>OPN1MW</t>
  </si>
  <si>
    <t>=purple: metacells that have a cone opsin (OPN1SW or OPN1MW) with lfp&gt;0.2</t>
  </si>
  <si>
    <t>=blue: metacells that have both a cone and a rod opsin with lfp&gt;0.2</t>
  </si>
  <si>
    <t>=green: metacells that have a rhabdomeric opsin (OPN4) with lfp&gt;0.2</t>
  </si>
  <si>
    <t>=metacell already chosen based on highest (top 5) opsin lfp for cone and rods.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</si>
</sst>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b/>
      <sz val="11"/>
      <color rgb="FF7030A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AB1AB6"/>
      <name val="Calibri"/>
      <family val="2"/>
      <scheme val="minor"/>
    </font>
    <font>
      <sz val="11"/>
      <color rgb="FFAB1AB6"/>
      <name val="Calibri"/>
      <family val="2"/>
      <scheme val="minor"/>
    </font>
    <font>
      <sz val="11"/>
      <color rgb="FFF4A10C"/>
      <name val="Calibri"/>
      <family val="2"/>
      <scheme val="minor"/>
    </font>
    <font>
      <b/>
      <sz val="11"/>
      <color rgb="FFF4A10C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/>
    <xf numFmtId="11" fontId="0" fillId="0" borderId="0" xfId="0" applyNumberFormat="1"/>
    <xf numFmtId="0" fontId="0" fillId="0" borderId="13" xfId="0" applyBorder="1"/>
    <xf numFmtId="0" fontId="0" fillId="0" borderId="0" xfId="0" applyFill="1" applyBorder="1"/>
    <xf numFmtId="0" fontId="1" fillId="2" borderId="0" xfId="0" applyFont="1" applyFill="1"/>
    <xf numFmtId="0" fontId="0" fillId="0" borderId="0" xfId="0" quotePrefix="1"/>
    <xf numFmtId="0" fontId="0" fillId="2" borderId="0" xfId="0" quotePrefix="1" applyFill="1"/>
    <xf numFmtId="0" fontId="1" fillId="0" borderId="0" xfId="0" applyFont="1" applyFill="1"/>
    <xf numFmtId="0" fontId="2" fillId="0" borderId="10" xfId="0" applyFont="1" applyBorder="1"/>
    <xf numFmtId="0" fontId="3" fillId="2" borderId="0" xfId="0" applyFont="1" applyFill="1"/>
    <xf numFmtId="0" fontId="2" fillId="0" borderId="0" xfId="0" applyFont="1"/>
    <xf numFmtId="0" fontId="4" fillId="0" borderId="0" xfId="0" applyFont="1" applyFill="1" applyBorder="1"/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Fill="1"/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11" xfId="0" applyFont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2" fontId="0" fillId="0" borderId="0" xfId="0" applyNumberFormat="1" applyFill="1"/>
    <xf numFmtId="0" fontId="3" fillId="0" borderId="0" xfId="0" applyFont="1" applyFill="1" applyBorder="1"/>
    <xf numFmtId="2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4" fillId="0" borderId="0" xfId="0" applyFont="1" applyFill="1"/>
    <xf numFmtId="0" fontId="2" fillId="0" borderId="11" xfId="0" applyFont="1" applyBorder="1" applyAlignment="1">
      <alignment horizontal="right" vertical="center" wrapText="1"/>
    </xf>
    <xf numFmtId="2" fontId="2" fillId="0" borderId="0" xfId="0" applyNumberFormat="1" applyFont="1"/>
    <xf numFmtId="0" fontId="8" fillId="0" borderId="0" xfId="0" applyFont="1" applyBorder="1" applyAlignment="1">
      <alignment horizontal="right" wrapText="1"/>
    </xf>
    <xf numFmtId="0" fontId="2" fillId="0" borderId="11" xfId="0" applyFont="1" applyFill="1" applyBorder="1" applyAlignment="1">
      <alignment horizontal="right"/>
    </xf>
    <xf numFmtId="0" fontId="2" fillId="0" borderId="11" xfId="0" applyFont="1" applyBorder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/>
    <xf numFmtId="0" fontId="2" fillId="0" borderId="11" xfId="0" applyFont="1" applyFill="1" applyBorder="1"/>
    <xf numFmtId="0" fontId="0" fillId="0" borderId="11" xfId="0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9" fillId="0" borderId="0" xfId="0" applyFont="1" applyFill="1"/>
    <xf numFmtId="2" fontId="4" fillId="0" borderId="0" xfId="0" applyNumberFormat="1" applyFont="1" applyFill="1"/>
    <xf numFmtId="0" fontId="1" fillId="0" borderId="0" xfId="0" applyFont="1" applyFill="1" applyAlignment="1"/>
    <xf numFmtId="0" fontId="0" fillId="0" borderId="0" xfId="0" applyFill="1"/>
    <xf numFmtId="0" fontId="0" fillId="0" borderId="11" xfId="0" applyFont="1" applyFill="1" applyBorder="1"/>
    <xf numFmtId="0" fontId="0" fillId="0" borderId="0" xfId="0" applyAlignment="1">
      <alignment vertical="center"/>
    </xf>
    <xf numFmtId="0" fontId="4" fillId="0" borderId="0" xfId="0" applyFont="1" applyBorder="1"/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wrapText="1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4" fillId="0" borderId="10" xfId="0" applyFont="1" applyBorder="1"/>
    <xf numFmtId="0" fontId="4" fillId="0" borderId="12" xfId="0" applyFont="1" applyBorder="1"/>
    <xf numFmtId="0" fontId="0" fillId="0" borderId="14" xfId="0" applyBorder="1"/>
    <xf numFmtId="0" fontId="1" fillId="0" borderId="0" xfId="0" applyFont="1" applyBorder="1" applyAlignment="1">
      <alignment vertical="center" wrapText="1"/>
    </xf>
    <xf numFmtId="0" fontId="4" fillId="0" borderId="13" xfId="0" applyFont="1" applyFill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4" fillId="0" borderId="14" xfId="0" applyFont="1" applyFill="1" applyBorder="1"/>
    <xf numFmtId="0" fontId="0" fillId="0" borderId="12" xfId="0" applyBorder="1"/>
    <xf numFmtId="0" fontId="2" fillId="0" borderId="10" xfId="0" applyFont="1" applyFill="1" applyBorder="1"/>
    <xf numFmtId="0" fontId="2" fillId="0" borderId="12" xfId="0" applyFont="1" applyFill="1" applyBorder="1"/>
    <xf numFmtId="0" fontId="3" fillId="0" borderId="11" xfId="0" applyFont="1" applyBorder="1"/>
    <xf numFmtId="0" fontId="1" fillId="0" borderId="11" xfId="0" applyFont="1" applyBorder="1"/>
    <xf numFmtId="0" fontId="0" fillId="0" borderId="13" xfId="0" applyFont="1" applyBorder="1" applyAlignment="1">
      <alignment horizontal="right" vertical="center" wrapText="1"/>
    </xf>
    <xf numFmtId="0" fontId="0" fillId="0" borderId="13" xfId="0" applyFont="1" applyFill="1" applyBorder="1" applyAlignment="1">
      <alignment horizontal="right"/>
    </xf>
    <xf numFmtId="0" fontId="1" fillId="0" borderId="14" xfId="0" applyFont="1" applyBorder="1"/>
    <xf numFmtId="0" fontId="0" fillId="0" borderId="0" xfId="0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0" xfId="0" applyBorder="1" applyAlignment="1"/>
    <xf numFmtId="0" fontId="4" fillId="0" borderId="10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7" fillId="0" borderId="11" xfId="0" applyFont="1" applyFill="1" applyBorder="1"/>
    <xf numFmtId="0" fontId="0" fillId="0" borderId="13" xfId="0" applyFill="1" applyBorder="1"/>
    <xf numFmtId="0" fontId="7" fillId="0" borderId="14" xfId="0" applyFont="1" applyFill="1" applyBorder="1"/>
    <xf numFmtId="0" fontId="3" fillId="0" borderId="0" xfId="0" applyFont="1" applyBorder="1"/>
    <xf numFmtId="0" fontId="4" fillId="0" borderId="11" xfId="0" applyFont="1" applyBorder="1"/>
    <xf numFmtId="0" fontId="2" fillId="3" borderId="10" xfId="0" applyFont="1" applyFill="1" applyBorder="1"/>
    <xf numFmtId="0" fontId="2" fillId="4" borderId="10" xfId="0" applyFont="1" applyFill="1" applyBorder="1"/>
    <xf numFmtId="0" fontId="3" fillId="0" borderId="11" xfId="0" applyFont="1" applyFill="1" applyBorder="1"/>
    <xf numFmtId="0" fontId="9" fillId="0" borderId="11" xfId="0" applyFont="1" applyFill="1" applyBorder="1"/>
    <xf numFmtId="0" fontId="4" fillId="0" borderId="10" xfId="0" applyFont="1" applyFill="1" applyBorder="1" applyAlignment="1"/>
    <xf numFmtId="0" fontId="4" fillId="4" borderId="10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2" fillId="5" borderId="10" xfId="0" applyFont="1" applyFill="1" applyBorder="1" applyAlignment="1"/>
    <xf numFmtId="0" fontId="4" fillId="5" borderId="11" xfId="0" applyFont="1" applyFill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0" borderId="12" xfId="0" applyFont="1" applyFill="1" applyBorder="1"/>
    <xf numFmtId="0" fontId="9" fillId="0" borderId="14" xfId="0" applyFont="1" applyFill="1" applyBorder="1"/>
    <xf numFmtId="0" fontId="9" fillId="4" borderId="11" xfId="0" applyFont="1" applyFill="1" applyBorder="1"/>
    <xf numFmtId="0" fontId="4" fillId="0" borderId="11" xfId="0" applyFont="1" applyFill="1" applyBorder="1" applyAlignment="1"/>
    <xf numFmtId="0" fontId="4" fillId="5" borderId="11" xfId="0" applyFont="1" applyFill="1" applyBorder="1" applyAlignment="1"/>
    <xf numFmtId="0" fontId="2" fillId="4" borderId="12" xfId="0" applyFont="1" applyFill="1" applyBorder="1"/>
    <xf numFmtId="0" fontId="4" fillId="4" borderId="11" xfId="0" applyFont="1" applyFill="1" applyBorder="1"/>
    <xf numFmtId="0" fontId="4" fillId="4" borderId="14" xfId="0" applyFont="1" applyFill="1" applyBorder="1"/>
    <xf numFmtId="0" fontId="2" fillId="0" borderId="14" xfId="0" applyFont="1" applyFill="1" applyBorder="1"/>
    <xf numFmtId="0" fontId="0" fillId="5" borderId="11" xfId="0" applyFill="1" applyBorder="1"/>
    <xf numFmtId="0" fontId="2" fillId="5" borderId="12" xfId="0" applyFont="1" applyFill="1" applyBorder="1"/>
    <xf numFmtId="0" fontId="0" fillId="5" borderId="14" xfId="0" applyFill="1" applyBorder="1"/>
    <xf numFmtId="0" fontId="0" fillId="0" borderId="5" xfId="0" applyBorder="1"/>
    <xf numFmtId="0" fontId="1" fillId="2" borderId="10" xfId="0" applyFont="1" applyFill="1" applyBorder="1"/>
    <xf numFmtId="2" fontId="0" fillId="0" borderId="0" xfId="0" applyNumberFormat="1" applyBorder="1"/>
    <xf numFmtId="0" fontId="8" fillId="0" borderId="10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2" fillId="0" borderId="14" xfId="0" applyFont="1" applyBorder="1"/>
    <xf numFmtId="0" fontId="8" fillId="4" borderId="10" xfId="0" applyFont="1" applyFill="1" applyBorder="1" applyAlignment="1">
      <alignment wrapText="1"/>
    </xf>
    <xf numFmtId="0" fontId="8" fillId="4" borderId="12" xfId="0" applyFont="1" applyFill="1" applyBorder="1" applyAlignment="1">
      <alignment wrapText="1"/>
    </xf>
    <xf numFmtId="0" fontId="0" fillId="4" borderId="11" xfId="0" applyFill="1" applyBorder="1"/>
    <xf numFmtId="0" fontId="0" fillId="4" borderId="14" xfId="0" applyFill="1" applyBorder="1"/>
    <xf numFmtId="0" fontId="6" fillId="5" borderId="10" xfId="0" applyFont="1" applyFill="1" applyBorder="1" applyAlignment="1">
      <alignment wrapText="1"/>
    </xf>
    <xf numFmtId="0" fontId="6" fillId="5" borderId="12" xfId="0" applyFont="1" applyFill="1" applyBorder="1" applyAlignment="1">
      <alignment wrapText="1"/>
    </xf>
    <xf numFmtId="0" fontId="1" fillId="2" borderId="0" xfId="0" applyFont="1" applyFill="1" applyAlignment="1"/>
    <xf numFmtId="0" fontId="2" fillId="0" borderId="12" xfId="0" applyFont="1" applyBorder="1"/>
    <xf numFmtId="0" fontId="0" fillId="5" borderId="10" xfId="0" applyFill="1" applyBorder="1"/>
    <xf numFmtId="0" fontId="0" fillId="5" borderId="12" xfId="0" applyFill="1" applyBorder="1"/>
    <xf numFmtId="0" fontId="0" fillId="0" borderId="0" xfId="0" quotePrefix="1" applyFill="1"/>
    <xf numFmtId="0" fontId="1" fillId="0" borderId="10" xfId="0" applyFont="1" applyFill="1" applyBorder="1"/>
    <xf numFmtId="0" fontId="1" fillId="0" borderId="10" xfId="0" applyFont="1" applyFill="1" applyBorder="1" applyAlignment="1"/>
    <xf numFmtId="0" fontId="3" fillId="0" borderId="10" xfId="0" applyFont="1" applyFill="1" applyBorder="1"/>
    <xf numFmtId="2" fontId="2" fillId="0" borderId="0" xfId="0" applyNumberFormat="1" applyFont="1" applyBorder="1"/>
    <xf numFmtId="0" fontId="0" fillId="0" borderId="0" xfId="0" applyFont="1" applyBorder="1"/>
    <xf numFmtId="1" fontId="0" fillId="0" borderId="0" xfId="0" applyNumberFormat="1"/>
    <xf numFmtId="0" fontId="2" fillId="6" borderId="0" xfId="0" applyFont="1" applyFill="1" applyBorder="1"/>
    <xf numFmtId="0" fontId="0" fillId="0" borderId="14" xfId="0" applyFill="1" applyBorder="1"/>
    <xf numFmtId="0" fontId="0" fillId="0" borderId="10" xfId="0" applyFill="1" applyBorder="1"/>
    <xf numFmtId="0" fontId="0" fillId="0" borderId="12" xfId="0" applyFill="1" applyBorder="1"/>
    <xf numFmtId="11" fontId="0" fillId="0" borderId="13" xfId="0" applyNumberFormat="1" applyBorder="1"/>
    <xf numFmtId="0" fontId="4" fillId="0" borderId="13" xfId="0" applyFont="1" applyBorder="1"/>
    <xf numFmtId="0" fontId="9" fillId="0" borderId="11" xfId="0" applyFont="1" applyBorder="1" applyAlignment="1">
      <alignment vertical="center" wrapText="1"/>
    </xf>
    <xf numFmtId="0" fontId="4" fillId="0" borderId="0" xfId="0" applyFont="1"/>
    <xf numFmtId="0" fontId="10" fillId="0" borderId="10" xfId="0" applyFont="1" applyFill="1" applyBorder="1"/>
    <xf numFmtId="0" fontId="10" fillId="0" borderId="0" xfId="0" applyFont="1" applyFill="1" applyBorder="1"/>
    <xf numFmtId="0" fontId="9" fillId="0" borderId="0" xfId="0" applyFont="1" applyFill="1" applyAlignment="1"/>
    <xf numFmtId="0" fontId="9" fillId="2" borderId="0" xfId="0" applyFont="1" applyFill="1"/>
    <xf numFmtId="11" fontId="4" fillId="0" borderId="0" xfId="0" applyNumberFormat="1" applyFont="1"/>
    <xf numFmtId="0" fontId="4" fillId="2" borderId="0" xfId="0" quotePrefix="1" applyFont="1" applyFill="1"/>
    <xf numFmtId="0" fontId="11" fillId="2" borderId="0" xfId="0" applyFont="1" applyFill="1"/>
    <xf numFmtId="0" fontId="11" fillId="0" borderId="0" xfId="0" applyFont="1" applyFill="1"/>
    <xf numFmtId="0" fontId="12" fillId="0" borderId="0" xfId="0" quotePrefix="1" applyFont="1"/>
    <xf numFmtId="0" fontId="13" fillId="0" borderId="0" xfId="0" quotePrefix="1" applyFont="1"/>
    <xf numFmtId="0" fontId="14" fillId="2" borderId="0" xfId="0" applyFont="1" applyFill="1"/>
    <xf numFmtId="0" fontId="14" fillId="0" borderId="0" xfId="0" applyFont="1" applyFill="1"/>
    <xf numFmtId="0" fontId="14" fillId="0" borderId="0" xfId="0" applyFont="1" applyFill="1" applyAlignment="1"/>
    <xf numFmtId="0" fontId="10" fillId="0" borderId="0" xfId="0" applyFont="1" applyFill="1" applyBorder="1" applyAlignment="1"/>
    <xf numFmtId="2" fontId="4" fillId="0" borderId="0" xfId="0" applyNumberFormat="1" applyFont="1"/>
    <xf numFmtId="2" fontId="4" fillId="0" borderId="0" xfId="0" applyNumberFormat="1" applyFont="1" applyBorder="1"/>
    <xf numFmtId="2" fontId="4" fillId="0" borderId="0" xfId="0" applyNumberFormat="1" applyFont="1" applyFill="1" applyBorder="1"/>
    <xf numFmtId="0" fontId="9" fillId="2" borderId="10" xfId="0" applyFont="1" applyFill="1" applyBorder="1"/>
    <xf numFmtId="0" fontId="9" fillId="0" borderId="10" xfId="0" applyFont="1" applyFill="1" applyBorder="1"/>
    <xf numFmtId="2" fontId="2" fillId="0" borderId="0" xfId="0" applyNumberFormat="1" applyFont="1" applyFill="1" applyBorder="1"/>
    <xf numFmtId="0" fontId="3" fillId="2" borderId="1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5" borderId="11" xfId="0" applyFont="1" applyFill="1" applyBorder="1"/>
    <xf numFmtId="0" fontId="0" fillId="6" borderId="0" xfId="0" applyFill="1" applyBorder="1"/>
    <xf numFmtId="0" fontId="2" fillId="6" borderId="11" xfId="0" applyFont="1" applyFill="1" applyBorder="1"/>
    <xf numFmtId="0" fontId="2" fillId="6" borderId="10" xfId="0" applyFont="1" applyFill="1" applyBorder="1"/>
    <xf numFmtId="0" fontId="3" fillId="0" borderId="0" xfId="0" applyFont="1" applyFill="1"/>
    <xf numFmtId="0" fontId="3" fillId="0" borderId="0" xfId="0" applyFont="1" applyFill="1" applyAlignment="1"/>
    <xf numFmtId="0" fontId="3" fillId="0" borderId="10" xfId="0" applyFont="1" applyFill="1" applyBorder="1" applyAlignment="1"/>
    <xf numFmtId="0" fontId="9" fillId="0" borderId="10" xfId="0" applyFont="1" applyFill="1" applyBorder="1" applyAlignment="1"/>
    <xf numFmtId="0" fontId="0" fillId="6" borderId="11" xfId="0" applyFill="1" applyBorder="1"/>
    <xf numFmtId="0" fontId="4" fillId="6" borderId="10" xfId="0" applyFont="1" applyFill="1" applyBorder="1"/>
    <xf numFmtId="0" fontId="11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applyFont="1"/>
    <xf numFmtId="0" fontId="10" fillId="0" borderId="0" xfId="0" quotePrefix="1" applyFont="1"/>
    <xf numFmtId="0" fontId="15" fillId="0" borderId="0" xfId="0" quotePrefix="1" applyFont="1"/>
    <xf numFmtId="0" fontId="14" fillId="0" borderId="0" xfId="0" quotePrefix="1" applyFont="1"/>
    <xf numFmtId="0" fontId="11" fillId="0" borderId="0" xfId="0" quotePrefix="1" applyFont="1"/>
    <xf numFmtId="0" fontId="15" fillId="2" borderId="0" xfId="0" applyFont="1" applyFill="1"/>
    <xf numFmtId="0" fontId="16" fillId="2" borderId="0" xfId="0" applyFont="1" applyFill="1"/>
    <xf numFmtId="0" fontId="9" fillId="0" borderId="10" xfId="0" applyFont="1" applyBorder="1"/>
    <xf numFmtId="0" fontId="3" fillId="0" borderId="10" xfId="0" applyFont="1" applyBorder="1"/>
    <xf numFmtId="0" fontId="0" fillId="4" borderId="10" xfId="0" applyFill="1" applyBorder="1"/>
    <xf numFmtId="0" fontId="0" fillId="4" borderId="0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  <color rgb="FFAB1AB6"/>
      <color rgb="FFF4A1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A13" zoomScaleNormal="100" workbookViewId="0">
      <selection activeCell="R46" sqref="R46"/>
    </sheetView>
  </sheetViews>
  <sheetFormatPr defaultRowHeight="15" x14ac:dyDescent="0.25"/>
  <cols>
    <col min="1" max="1" width="12.42578125" bestFit="1" customWidth="1"/>
    <col min="2" max="3" width="8" bestFit="1" customWidth="1"/>
    <col min="4" max="4" width="12.42578125" bestFit="1" customWidth="1"/>
    <col min="5" max="6" width="8" bestFit="1" customWidth="1"/>
    <col min="7" max="7" width="12.42578125" bestFit="1" customWidth="1"/>
    <col min="8" max="9" width="8" bestFit="1" customWidth="1"/>
    <col min="10" max="10" width="12.42578125" bestFit="1" customWidth="1"/>
    <col min="11" max="11" width="9.7109375" bestFit="1" customWidth="1"/>
    <col min="12" max="12" width="8" bestFit="1" customWidth="1"/>
    <col min="13" max="13" width="12.42578125" bestFit="1" customWidth="1"/>
    <col min="14" max="14" width="9.28515625" customWidth="1"/>
    <col min="15" max="15" width="9.5703125" customWidth="1"/>
    <col min="16" max="16" width="12.42578125" bestFit="1" customWidth="1"/>
    <col min="17" max="17" width="12.28515625" customWidth="1"/>
    <col min="18" max="18" width="10.5703125" customWidth="1"/>
    <col min="19" max="19" width="12.42578125" bestFit="1" customWidth="1"/>
    <col min="20" max="20" width="12.28515625" customWidth="1"/>
    <col min="21" max="21" width="8" bestFit="1" customWidth="1"/>
    <col min="22" max="22" width="12.42578125" bestFit="1" customWidth="1"/>
    <col min="23" max="23" width="6.140625" bestFit="1" customWidth="1"/>
    <col min="24" max="24" width="8" bestFit="1" customWidth="1"/>
    <col min="25" max="25" width="12.42578125" bestFit="1" customWidth="1"/>
    <col min="26" max="26" width="6.140625" bestFit="1" customWidth="1"/>
    <col min="27" max="27" width="8" bestFit="1" customWidth="1"/>
    <col min="28" max="28" width="12.42578125" bestFit="1" customWidth="1"/>
    <col min="29" max="29" width="6.140625" bestFit="1" customWidth="1"/>
    <col min="30" max="30" width="8" bestFit="1" customWidth="1"/>
  </cols>
  <sheetData>
    <row r="1" spans="1:27" s="1" customFormat="1" ht="76.5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27" s="1" customFormat="1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27" x14ac:dyDescent="0.25">
      <c r="A3" s="17" t="s">
        <v>0</v>
      </c>
      <c r="B3" s="21">
        <v>0.61</v>
      </c>
      <c r="C3" s="48">
        <v>1</v>
      </c>
      <c r="D3" s="18" t="s">
        <v>12</v>
      </c>
      <c r="E3" s="45">
        <v>0.32664505991394988</v>
      </c>
      <c r="F3" s="48">
        <v>1</v>
      </c>
      <c r="G3" s="18" t="s">
        <v>0</v>
      </c>
      <c r="H3" s="45">
        <v>0.17085334844491881</v>
      </c>
      <c r="I3" s="48">
        <v>1</v>
      </c>
      <c r="J3" s="18" t="s">
        <v>12</v>
      </c>
      <c r="K3" s="45">
        <v>0.45729077749302433</v>
      </c>
      <c r="L3" s="48">
        <v>1</v>
      </c>
      <c r="M3" s="17" t="s">
        <v>12</v>
      </c>
      <c r="N3" s="21">
        <v>68.569999999999993</v>
      </c>
      <c r="O3" s="48">
        <v>1</v>
      </c>
      <c r="P3" s="17" t="s">
        <v>12</v>
      </c>
      <c r="Q3" s="21">
        <v>64.290000000000006</v>
      </c>
      <c r="R3" s="48">
        <v>1</v>
      </c>
      <c r="S3" s="17" t="s">
        <v>10</v>
      </c>
      <c r="T3" s="21">
        <v>90.91</v>
      </c>
      <c r="U3" s="48">
        <v>1</v>
      </c>
      <c r="V3" s="17" t="s">
        <v>5</v>
      </c>
      <c r="W3" s="21">
        <v>49</v>
      </c>
      <c r="X3" s="48">
        <v>1</v>
      </c>
      <c r="Y3" s="17" t="s">
        <v>5</v>
      </c>
      <c r="Z3" s="21">
        <v>39</v>
      </c>
      <c r="AA3" s="48">
        <v>1</v>
      </c>
    </row>
    <row r="4" spans="1:27" x14ac:dyDescent="0.25">
      <c r="A4" s="17" t="s">
        <v>1</v>
      </c>
      <c r="B4" s="21">
        <v>0.55000000000000004</v>
      </c>
      <c r="C4" s="48">
        <v>2</v>
      </c>
      <c r="D4" s="18" t="s">
        <v>2</v>
      </c>
      <c r="E4" s="45">
        <v>0.26654718752116041</v>
      </c>
      <c r="F4" s="48">
        <v>2</v>
      </c>
      <c r="G4" s="18" t="s">
        <v>2</v>
      </c>
      <c r="H4" s="45">
        <v>0.16794864129148701</v>
      </c>
      <c r="I4" s="48">
        <v>1</v>
      </c>
      <c r="J4" s="18" t="s">
        <v>2</v>
      </c>
      <c r="K4" s="45">
        <v>0.43690816459415382</v>
      </c>
      <c r="L4" s="48">
        <v>2</v>
      </c>
      <c r="M4" s="17" t="s">
        <v>10</v>
      </c>
      <c r="N4" s="21">
        <v>65.709999999999994</v>
      </c>
      <c r="O4" s="48">
        <v>2</v>
      </c>
      <c r="P4" s="17" t="s">
        <v>0</v>
      </c>
      <c r="Q4" s="21">
        <v>64.290000000000006</v>
      </c>
      <c r="R4" s="48">
        <v>1</v>
      </c>
      <c r="S4" s="17" t="s">
        <v>3</v>
      </c>
      <c r="T4" s="21">
        <v>90.91</v>
      </c>
      <c r="U4" s="48">
        <v>1</v>
      </c>
      <c r="V4" s="17" t="s">
        <v>0</v>
      </c>
      <c r="W4" s="21">
        <v>37</v>
      </c>
      <c r="X4" s="48">
        <v>2</v>
      </c>
      <c r="Y4" s="17" t="s">
        <v>0</v>
      </c>
      <c r="Z4" s="21">
        <v>27</v>
      </c>
      <c r="AA4" s="48">
        <v>2</v>
      </c>
    </row>
    <row r="5" spans="1:27" x14ac:dyDescent="0.25">
      <c r="A5" s="17" t="s">
        <v>2</v>
      </c>
      <c r="B5" s="21">
        <v>0.5</v>
      </c>
      <c r="C5" s="48">
        <v>3</v>
      </c>
      <c r="D5" s="18" t="s">
        <v>0</v>
      </c>
      <c r="E5" s="45">
        <v>0.24018134254541335</v>
      </c>
      <c r="F5" s="48">
        <v>3</v>
      </c>
      <c r="G5" s="18" t="s">
        <v>12</v>
      </c>
      <c r="H5" s="45">
        <v>0.16602629551517914</v>
      </c>
      <c r="I5" s="48">
        <v>1</v>
      </c>
      <c r="J5" s="18" t="s">
        <v>4</v>
      </c>
      <c r="K5" s="45">
        <v>0.43315446085477793</v>
      </c>
      <c r="L5" s="48">
        <v>3</v>
      </c>
      <c r="M5" s="17" t="s">
        <v>3</v>
      </c>
      <c r="N5" s="21">
        <v>60</v>
      </c>
      <c r="O5" s="48">
        <v>3</v>
      </c>
      <c r="P5" s="17" t="s">
        <v>10</v>
      </c>
      <c r="Q5" s="21">
        <v>57.14</v>
      </c>
      <c r="R5" s="48">
        <v>2</v>
      </c>
      <c r="S5" s="17" t="s">
        <v>6</v>
      </c>
      <c r="T5" s="21">
        <v>81.819999999999993</v>
      </c>
      <c r="U5" s="48">
        <v>2</v>
      </c>
      <c r="V5" s="17" t="s">
        <v>4</v>
      </c>
      <c r="W5" s="21">
        <v>25</v>
      </c>
      <c r="X5" s="48">
        <v>3</v>
      </c>
      <c r="Y5" s="17" t="s">
        <v>4</v>
      </c>
      <c r="Z5" s="21">
        <v>16</v>
      </c>
      <c r="AA5" s="48">
        <v>3</v>
      </c>
    </row>
    <row r="6" spans="1:27" x14ac:dyDescent="0.25">
      <c r="A6" s="17" t="s">
        <v>3</v>
      </c>
      <c r="B6" s="21">
        <v>0.44</v>
      </c>
      <c r="C6" s="48">
        <v>4</v>
      </c>
      <c r="D6" s="18" t="s">
        <v>5</v>
      </c>
      <c r="E6" s="45">
        <v>0.17943689317836903</v>
      </c>
      <c r="F6" s="48">
        <v>4</v>
      </c>
      <c r="G6" s="18" t="s">
        <v>1</v>
      </c>
      <c r="H6" s="45">
        <v>0.10002371916514949</v>
      </c>
      <c r="I6" s="48">
        <v>2</v>
      </c>
      <c r="J6" s="18" t="s">
        <v>8</v>
      </c>
      <c r="K6" s="45">
        <v>0.42624546336630686</v>
      </c>
      <c r="L6" s="48">
        <v>3</v>
      </c>
      <c r="M6" s="17" t="s">
        <v>2</v>
      </c>
      <c r="N6" s="21">
        <v>57.14</v>
      </c>
      <c r="O6" s="48">
        <v>4</v>
      </c>
      <c r="P6" s="17" t="s">
        <v>2</v>
      </c>
      <c r="Q6" s="21">
        <v>57.14</v>
      </c>
      <c r="R6" s="48">
        <v>2</v>
      </c>
      <c r="S6" s="17" t="s">
        <v>9</v>
      </c>
      <c r="T6" s="21">
        <v>81.819999999999993</v>
      </c>
      <c r="U6" s="48">
        <v>2</v>
      </c>
      <c r="V6" s="17" t="s">
        <v>8</v>
      </c>
      <c r="W6" s="21">
        <v>25</v>
      </c>
      <c r="X6" s="48">
        <v>3</v>
      </c>
      <c r="Y6" s="17" t="s">
        <v>8</v>
      </c>
      <c r="Z6" s="21">
        <v>16</v>
      </c>
      <c r="AA6" s="48">
        <v>3</v>
      </c>
    </row>
    <row r="7" spans="1:27" x14ac:dyDescent="0.25">
      <c r="A7" s="17" t="s">
        <v>4</v>
      </c>
      <c r="B7" s="21">
        <v>0.43</v>
      </c>
      <c r="C7" s="48">
        <v>5</v>
      </c>
      <c r="D7" s="18" t="s">
        <v>8</v>
      </c>
      <c r="E7" s="45">
        <v>0.1517291971041721</v>
      </c>
      <c r="F7" s="48">
        <v>5</v>
      </c>
      <c r="G7" s="18" t="s">
        <v>10</v>
      </c>
      <c r="H7" s="45">
        <v>8.3487970318506147E-2</v>
      </c>
      <c r="I7" s="48">
        <v>3</v>
      </c>
      <c r="J7" s="18" t="s">
        <v>5</v>
      </c>
      <c r="K7" s="45">
        <v>0.35778366388010652</v>
      </c>
      <c r="L7" s="48">
        <v>4</v>
      </c>
      <c r="M7" s="17" t="s">
        <v>0</v>
      </c>
      <c r="N7" s="21">
        <v>54.29</v>
      </c>
      <c r="O7" s="48">
        <v>5</v>
      </c>
      <c r="P7" s="17" t="s">
        <v>4</v>
      </c>
      <c r="Q7" s="21">
        <v>57.14</v>
      </c>
      <c r="R7" s="48">
        <v>2</v>
      </c>
      <c r="S7" s="17" t="s">
        <v>12</v>
      </c>
      <c r="T7" s="21">
        <v>72.73</v>
      </c>
      <c r="U7" s="48">
        <v>3</v>
      </c>
      <c r="V7" s="17" t="s">
        <v>15</v>
      </c>
      <c r="W7" s="21">
        <v>17</v>
      </c>
      <c r="X7" s="48">
        <v>4</v>
      </c>
      <c r="Y7" s="17" t="s">
        <v>15</v>
      </c>
      <c r="Z7" s="21">
        <v>13</v>
      </c>
      <c r="AA7" s="48">
        <v>4</v>
      </c>
    </row>
    <row r="8" spans="1:27" x14ac:dyDescent="0.25">
      <c r="A8" s="3" t="s">
        <v>5</v>
      </c>
      <c r="B8" s="2">
        <v>0.4</v>
      </c>
      <c r="C8" s="4">
        <v>6</v>
      </c>
      <c r="D8" s="13" t="s">
        <v>4</v>
      </c>
      <c r="E8" s="32">
        <v>0.14434084516687751</v>
      </c>
      <c r="F8" s="4">
        <v>6</v>
      </c>
      <c r="G8" s="18" t="s">
        <v>6</v>
      </c>
      <c r="H8" s="45">
        <v>7.1540854671741386E-2</v>
      </c>
      <c r="I8" s="48">
        <v>4</v>
      </c>
      <c r="J8" s="18" t="s">
        <v>0</v>
      </c>
      <c r="K8" s="45">
        <v>0.32621091317851142</v>
      </c>
      <c r="L8" s="48">
        <v>5</v>
      </c>
      <c r="M8" s="17" t="s">
        <v>6</v>
      </c>
      <c r="N8" s="21">
        <v>54.29</v>
      </c>
      <c r="O8" s="48">
        <v>5</v>
      </c>
      <c r="P8" s="17" t="s">
        <v>6</v>
      </c>
      <c r="Q8" s="21">
        <v>42.86</v>
      </c>
      <c r="R8" s="48">
        <v>3</v>
      </c>
      <c r="S8" s="17" t="s">
        <v>5</v>
      </c>
      <c r="T8" s="21">
        <v>72.73</v>
      </c>
      <c r="U8" s="48">
        <v>3</v>
      </c>
      <c r="V8" s="17" t="s">
        <v>9</v>
      </c>
      <c r="W8" s="21">
        <v>17</v>
      </c>
      <c r="X8" s="48">
        <v>4</v>
      </c>
      <c r="Y8" s="17" t="s">
        <v>9</v>
      </c>
      <c r="Z8" s="21">
        <v>13</v>
      </c>
      <c r="AA8" s="48">
        <v>4</v>
      </c>
    </row>
    <row r="9" spans="1:27" x14ac:dyDescent="0.25">
      <c r="A9" s="3" t="s">
        <v>6</v>
      </c>
      <c r="B9" s="2">
        <v>0.37</v>
      </c>
      <c r="C9" s="4">
        <v>7</v>
      </c>
      <c r="D9" s="13" t="s">
        <v>1</v>
      </c>
      <c r="E9" s="32">
        <v>0.13107319202518422</v>
      </c>
      <c r="F9" s="4">
        <v>7</v>
      </c>
      <c r="G9" s="18" t="s">
        <v>5</v>
      </c>
      <c r="H9" s="45">
        <v>7.0438550225480262E-2</v>
      </c>
      <c r="I9" s="48">
        <v>4</v>
      </c>
      <c r="J9" s="13" t="s">
        <v>1</v>
      </c>
      <c r="K9" s="32">
        <v>0.20505665463095701</v>
      </c>
      <c r="L9" s="4">
        <v>6</v>
      </c>
      <c r="M9" s="3" t="s">
        <v>1</v>
      </c>
      <c r="N9" s="2">
        <v>51.43</v>
      </c>
      <c r="O9" s="4">
        <v>6</v>
      </c>
      <c r="P9" s="17" t="s">
        <v>1</v>
      </c>
      <c r="Q9" s="21">
        <v>42.86</v>
      </c>
      <c r="R9" s="48">
        <v>3</v>
      </c>
      <c r="S9" s="17" t="s">
        <v>15</v>
      </c>
      <c r="T9" s="21">
        <v>72.73</v>
      </c>
      <c r="U9" s="48">
        <v>3</v>
      </c>
      <c r="V9" s="17" t="s">
        <v>1</v>
      </c>
      <c r="W9" s="21">
        <v>15</v>
      </c>
      <c r="X9" s="48">
        <v>5</v>
      </c>
      <c r="Y9" s="17" t="s">
        <v>1</v>
      </c>
      <c r="Z9" s="21">
        <v>13</v>
      </c>
      <c r="AA9" s="48">
        <v>4</v>
      </c>
    </row>
    <row r="10" spans="1:27" x14ac:dyDescent="0.25">
      <c r="A10" s="3" t="s">
        <v>7</v>
      </c>
      <c r="B10" s="2">
        <v>0.34</v>
      </c>
      <c r="C10" s="4">
        <v>8</v>
      </c>
      <c r="D10" s="13" t="s">
        <v>10</v>
      </c>
      <c r="E10" s="32">
        <v>9.7270015422281544E-2</v>
      </c>
      <c r="F10" s="4">
        <v>8</v>
      </c>
      <c r="G10" s="18" t="s">
        <v>15</v>
      </c>
      <c r="H10" s="45">
        <v>6.5715535532894387E-2</v>
      </c>
      <c r="I10" s="48">
        <v>4</v>
      </c>
      <c r="J10" s="13" t="s">
        <v>10</v>
      </c>
      <c r="K10" s="32">
        <v>0.19842803001592013</v>
      </c>
      <c r="L10" s="4">
        <v>7</v>
      </c>
      <c r="M10" s="3" t="s">
        <v>5</v>
      </c>
      <c r="N10" s="2">
        <v>48.57</v>
      </c>
      <c r="O10" s="4">
        <v>7</v>
      </c>
      <c r="P10" s="17" t="s">
        <v>5</v>
      </c>
      <c r="Q10" s="21">
        <v>42.86</v>
      </c>
      <c r="R10" s="48">
        <v>3</v>
      </c>
      <c r="S10" s="17" t="s">
        <v>11</v>
      </c>
      <c r="T10" s="21">
        <v>70</v>
      </c>
      <c r="U10" s="48">
        <v>4</v>
      </c>
      <c r="V10" s="17" t="s">
        <v>11</v>
      </c>
      <c r="W10" s="21">
        <v>15</v>
      </c>
      <c r="X10" s="48">
        <v>5</v>
      </c>
      <c r="Y10" s="17" t="s">
        <v>11</v>
      </c>
      <c r="Z10" s="21">
        <v>13</v>
      </c>
      <c r="AA10" s="48">
        <v>4</v>
      </c>
    </row>
    <row r="11" spans="1:27" x14ac:dyDescent="0.25">
      <c r="A11" s="3" t="s">
        <v>8</v>
      </c>
      <c r="B11" s="2">
        <v>0.32</v>
      </c>
      <c r="C11" s="4">
        <v>9</v>
      </c>
      <c r="D11" s="13" t="s">
        <v>11</v>
      </c>
      <c r="E11" s="32">
        <v>6.0095550792272627E-2</v>
      </c>
      <c r="F11" s="4">
        <v>9</v>
      </c>
      <c r="G11" s="18" t="s">
        <v>3</v>
      </c>
      <c r="H11" s="45">
        <v>6.5685196022909023E-2</v>
      </c>
      <c r="I11" s="48">
        <v>4</v>
      </c>
      <c r="J11" s="13" t="s">
        <v>15</v>
      </c>
      <c r="K11" s="32">
        <v>0.14073651945828813</v>
      </c>
      <c r="L11" s="4">
        <v>8</v>
      </c>
      <c r="M11" s="3" t="s">
        <v>15</v>
      </c>
      <c r="N11" s="2">
        <v>48.57</v>
      </c>
      <c r="O11" s="4">
        <v>7</v>
      </c>
      <c r="P11" s="17" t="s">
        <v>3</v>
      </c>
      <c r="Q11" s="21">
        <v>35.71</v>
      </c>
      <c r="R11" s="48">
        <v>4</v>
      </c>
      <c r="S11" s="17" t="s">
        <v>2</v>
      </c>
      <c r="T11" s="21">
        <v>60</v>
      </c>
      <c r="U11" s="48">
        <v>5</v>
      </c>
      <c r="V11" s="3" t="s">
        <v>13</v>
      </c>
      <c r="W11" s="2">
        <v>11</v>
      </c>
      <c r="X11" s="4">
        <v>6</v>
      </c>
      <c r="Y11" s="17" t="s">
        <v>13</v>
      </c>
      <c r="Z11" s="21">
        <v>8</v>
      </c>
      <c r="AA11" s="48">
        <v>5</v>
      </c>
    </row>
    <row r="12" spans="1:27" x14ac:dyDescent="0.25">
      <c r="A12" s="3" t="s">
        <v>9</v>
      </c>
      <c r="B12" s="2">
        <v>0.31</v>
      </c>
      <c r="C12" s="4">
        <v>10</v>
      </c>
      <c r="D12" s="13" t="s">
        <v>6</v>
      </c>
      <c r="E12" s="32">
        <v>5.8032875204540361E-2</v>
      </c>
      <c r="F12" s="4">
        <v>9</v>
      </c>
      <c r="G12" s="18" t="s">
        <v>4</v>
      </c>
      <c r="H12" s="45">
        <v>5.364410504449605E-2</v>
      </c>
      <c r="I12" s="48">
        <v>5</v>
      </c>
      <c r="J12" s="13" t="s">
        <v>9</v>
      </c>
      <c r="K12" s="32">
        <v>0.10593268674404968</v>
      </c>
      <c r="L12" s="4">
        <v>9</v>
      </c>
      <c r="M12" s="3" t="s">
        <v>8</v>
      </c>
      <c r="N12" s="2">
        <v>42.86</v>
      </c>
      <c r="O12" s="4">
        <v>8</v>
      </c>
      <c r="P12" s="17" t="s">
        <v>15</v>
      </c>
      <c r="Q12" s="21">
        <v>35.71</v>
      </c>
      <c r="R12" s="48">
        <v>4</v>
      </c>
      <c r="S12" s="17" t="s">
        <v>1</v>
      </c>
      <c r="T12" s="21">
        <v>60</v>
      </c>
      <c r="U12" s="48">
        <v>5</v>
      </c>
      <c r="V12" s="3" t="s">
        <v>6</v>
      </c>
      <c r="W12" s="2">
        <v>11</v>
      </c>
      <c r="X12" s="4">
        <v>6</v>
      </c>
      <c r="Y12" s="17" t="s">
        <v>6</v>
      </c>
      <c r="Z12" s="21">
        <v>8</v>
      </c>
      <c r="AA12" s="48">
        <v>5</v>
      </c>
    </row>
    <row r="13" spans="1:27" x14ac:dyDescent="0.25">
      <c r="A13" s="3" t="s">
        <v>10</v>
      </c>
      <c r="B13" s="2">
        <v>0.28999999999999998</v>
      </c>
      <c r="C13" s="4">
        <v>11</v>
      </c>
      <c r="D13" s="13" t="s">
        <v>15</v>
      </c>
      <c r="E13" s="32">
        <v>5.6879940062111028E-2</v>
      </c>
      <c r="F13" s="4">
        <v>9</v>
      </c>
      <c r="G13" s="13" t="s">
        <v>9</v>
      </c>
      <c r="H13" s="32">
        <v>4.316464897612883E-2</v>
      </c>
      <c r="I13" s="4">
        <v>6</v>
      </c>
      <c r="J13" s="13" t="s">
        <v>6</v>
      </c>
      <c r="K13" s="32">
        <v>0.10133282617719229</v>
      </c>
      <c r="L13" s="4">
        <v>10</v>
      </c>
      <c r="M13" s="3" t="s">
        <v>4</v>
      </c>
      <c r="N13" s="2">
        <v>40</v>
      </c>
      <c r="O13" s="4">
        <v>9</v>
      </c>
      <c r="P13" s="17" t="s">
        <v>8</v>
      </c>
      <c r="Q13" s="21">
        <v>35.71</v>
      </c>
      <c r="R13" s="48">
        <v>4</v>
      </c>
      <c r="S13" s="3" t="s">
        <v>8</v>
      </c>
      <c r="T13" s="2">
        <v>54.55</v>
      </c>
      <c r="U13" s="4">
        <v>6</v>
      </c>
      <c r="V13" s="3" t="s">
        <v>2</v>
      </c>
      <c r="W13" s="2">
        <v>9</v>
      </c>
      <c r="X13" s="4">
        <v>7</v>
      </c>
      <c r="Y13" s="3" t="s">
        <v>2</v>
      </c>
      <c r="Z13" s="2">
        <v>4</v>
      </c>
      <c r="AA13" s="4">
        <v>6</v>
      </c>
    </row>
    <row r="14" spans="1:27" x14ac:dyDescent="0.25">
      <c r="A14" s="3" t="s">
        <v>11</v>
      </c>
      <c r="B14" s="2">
        <v>0.28000000000000003</v>
      </c>
      <c r="C14" s="4">
        <v>12</v>
      </c>
      <c r="D14" s="13" t="s">
        <v>9</v>
      </c>
      <c r="E14" s="32">
        <v>4.3248697376283202E-2</v>
      </c>
      <c r="F14" s="4">
        <v>10</v>
      </c>
      <c r="G14" s="13" t="s">
        <v>8</v>
      </c>
      <c r="H14" s="32">
        <v>4.0160876778502989E-2</v>
      </c>
      <c r="I14" s="4">
        <v>6</v>
      </c>
      <c r="J14" s="13" t="s">
        <v>11</v>
      </c>
      <c r="K14" s="32">
        <v>9.746339121159496E-2</v>
      </c>
      <c r="L14" s="4">
        <v>10</v>
      </c>
      <c r="M14" s="3" t="s">
        <v>9</v>
      </c>
      <c r="N14" s="2">
        <v>40</v>
      </c>
      <c r="O14" s="4">
        <v>9</v>
      </c>
      <c r="P14" s="17" t="s">
        <v>16</v>
      </c>
      <c r="Q14" s="21">
        <v>28.57</v>
      </c>
      <c r="R14" s="48">
        <v>5</v>
      </c>
      <c r="S14" s="3" t="s">
        <v>0</v>
      </c>
      <c r="T14" s="2">
        <v>50</v>
      </c>
      <c r="U14" s="4">
        <v>7</v>
      </c>
      <c r="V14" s="3" t="s">
        <v>12</v>
      </c>
      <c r="W14" s="2">
        <v>8</v>
      </c>
      <c r="X14" s="4">
        <v>8</v>
      </c>
      <c r="Y14" s="3" t="s">
        <v>12</v>
      </c>
      <c r="Z14" s="2">
        <v>3</v>
      </c>
      <c r="AA14" s="4">
        <v>7</v>
      </c>
    </row>
    <row r="15" spans="1:27" x14ac:dyDescent="0.25">
      <c r="A15" s="3" t="s">
        <v>12</v>
      </c>
      <c r="B15" s="2">
        <v>0.25</v>
      </c>
      <c r="C15" s="4">
        <v>13</v>
      </c>
      <c r="D15" s="13" t="s">
        <v>3</v>
      </c>
      <c r="E15" s="32">
        <v>2.3861089921121386E-2</v>
      </c>
      <c r="F15" s="4">
        <v>11</v>
      </c>
      <c r="G15" s="13" t="s">
        <v>11</v>
      </c>
      <c r="H15" s="32">
        <v>1.305365558996416E-2</v>
      </c>
      <c r="I15" s="4">
        <v>7</v>
      </c>
      <c r="J15" s="13" t="s">
        <v>13</v>
      </c>
      <c r="K15" s="32">
        <v>6.1614740432737299E-2</v>
      </c>
      <c r="L15" s="4">
        <v>11</v>
      </c>
      <c r="M15" s="3" t="s">
        <v>11</v>
      </c>
      <c r="N15" s="2">
        <v>37.14</v>
      </c>
      <c r="O15" s="4">
        <v>10</v>
      </c>
      <c r="P15" s="3" t="s">
        <v>9</v>
      </c>
      <c r="Q15" s="2">
        <v>21.43</v>
      </c>
      <c r="R15" s="4">
        <v>6</v>
      </c>
      <c r="S15" s="3" t="s">
        <v>13</v>
      </c>
      <c r="T15" s="2">
        <v>45.45</v>
      </c>
      <c r="U15" s="4">
        <v>8</v>
      </c>
      <c r="V15" s="3" t="s">
        <v>10</v>
      </c>
      <c r="W15" s="2">
        <v>1</v>
      </c>
      <c r="X15" s="4">
        <v>9</v>
      </c>
      <c r="Y15" s="3" t="s">
        <v>14</v>
      </c>
      <c r="Z15" s="2">
        <v>0</v>
      </c>
      <c r="AA15" s="4">
        <v>8</v>
      </c>
    </row>
    <row r="16" spans="1:27" x14ac:dyDescent="0.25">
      <c r="A16" s="3" t="s">
        <v>13</v>
      </c>
      <c r="B16" s="2">
        <v>0.22</v>
      </c>
      <c r="C16" s="4">
        <v>14</v>
      </c>
      <c r="D16" s="13" t="s">
        <v>14</v>
      </c>
      <c r="E16" s="32">
        <v>-6.6029619057662746E-3</v>
      </c>
      <c r="F16" s="4">
        <v>12</v>
      </c>
      <c r="G16" s="13" t="s">
        <v>16</v>
      </c>
      <c r="H16" s="32">
        <v>1.275600004143619E-2</v>
      </c>
      <c r="I16" s="4">
        <v>7</v>
      </c>
      <c r="J16" s="13" t="s">
        <v>3</v>
      </c>
      <c r="K16" s="32">
        <v>4.251944421112281E-2</v>
      </c>
      <c r="L16" s="4">
        <v>12</v>
      </c>
      <c r="M16" s="3" t="s">
        <v>13</v>
      </c>
      <c r="N16" s="2">
        <v>31.43</v>
      </c>
      <c r="O16" s="4">
        <v>11</v>
      </c>
      <c r="P16" s="3" t="s">
        <v>11</v>
      </c>
      <c r="Q16" s="2">
        <v>21.43</v>
      </c>
      <c r="R16" s="4">
        <v>6</v>
      </c>
      <c r="S16" s="3" t="s">
        <v>7</v>
      </c>
      <c r="T16" s="2">
        <v>45.45</v>
      </c>
      <c r="U16" s="4">
        <v>8</v>
      </c>
      <c r="V16" s="3" t="s">
        <v>16</v>
      </c>
      <c r="W16" s="2">
        <v>1</v>
      </c>
      <c r="X16" s="4">
        <v>9</v>
      </c>
      <c r="Y16" s="3" t="s">
        <v>10</v>
      </c>
      <c r="Z16" s="2">
        <v>0</v>
      </c>
      <c r="AA16" s="4">
        <v>8</v>
      </c>
    </row>
    <row r="17" spans="1:30" x14ac:dyDescent="0.25">
      <c r="A17" s="3" t="s">
        <v>14</v>
      </c>
      <c r="B17" s="2">
        <v>0.22</v>
      </c>
      <c r="C17" s="4">
        <v>14</v>
      </c>
      <c r="D17" s="13" t="s">
        <v>13</v>
      </c>
      <c r="E17" s="32">
        <v>-8.8037537833951188E-3</v>
      </c>
      <c r="F17" s="4">
        <v>12</v>
      </c>
      <c r="G17" s="13" t="s">
        <v>7</v>
      </c>
      <c r="H17" s="32">
        <v>7.8211971286455025E-3</v>
      </c>
      <c r="I17" s="4">
        <v>7</v>
      </c>
      <c r="J17" s="13" t="s">
        <v>16</v>
      </c>
      <c r="K17" s="32">
        <v>5.7007484368638145E-3</v>
      </c>
      <c r="L17" s="4">
        <v>13</v>
      </c>
      <c r="M17" s="3" t="s">
        <v>16</v>
      </c>
      <c r="N17" s="2">
        <v>31.43</v>
      </c>
      <c r="O17" s="4">
        <v>11</v>
      </c>
      <c r="P17" s="3" t="s">
        <v>13</v>
      </c>
      <c r="Q17" s="2">
        <v>21.43</v>
      </c>
      <c r="R17" s="4">
        <v>6</v>
      </c>
      <c r="S17" s="3" t="s">
        <v>16</v>
      </c>
      <c r="T17" s="2">
        <v>36.36</v>
      </c>
      <c r="U17" s="4">
        <v>9</v>
      </c>
      <c r="V17" s="3" t="s">
        <v>14</v>
      </c>
      <c r="W17" s="2">
        <v>0</v>
      </c>
      <c r="X17" s="4">
        <v>10</v>
      </c>
      <c r="Y17" s="3" t="s">
        <v>16</v>
      </c>
      <c r="Z17" s="2">
        <v>0</v>
      </c>
      <c r="AA17" s="4">
        <v>8</v>
      </c>
    </row>
    <row r="18" spans="1:30" x14ac:dyDescent="0.25">
      <c r="A18" s="3" t="s">
        <v>15</v>
      </c>
      <c r="B18" s="2">
        <v>0.21</v>
      </c>
      <c r="C18" s="4">
        <v>15</v>
      </c>
      <c r="D18" s="13" t="s">
        <v>16</v>
      </c>
      <c r="E18" s="32">
        <v>-1.9861427143473623E-2</v>
      </c>
      <c r="F18" s="4">
        <v>13</v>
      </c>
      <c r="G18" s="13" t="s">
        <v>14</v>
      </c>
      <c r="H18" s="32">
        <v>4.4613203616023353E-3</v>
      </c>
      <c r="I18" s="4">
        <v>8</v>
      </c>
      <c r="J18" s="13" t="s">
        <v>14</v>
      </c>
      <c r="K18" s="32">
        <v>-3.1619232710540612E-3</v>
      </c>
      <c r="L18" s="4">
        <v>14</v>
      </c>
      <c r="M18" s="3" t="s">
        <v>7</v>
      </c>
      <c r="N18" s="2">
        <v>28.57</v>
      </c>
      <c r="O18" s="4">
        <v>12</v>
      </c>
      <c r="P18" s="3" t="s">
        <v>7</v>
      </c>
      <c r="Q18" s="2">
        <v>21.43</v>
      </c>
      <c r="R18" s="4">
        <v>6</v>
      </c>
      <c r="S18" s="3" t="s">
        <v>14</v>
      </c>
      <c r="T18" s="2">
        <v>36.36</v>
      </c>
      <c r="U18" s="4">
        <v>9</v>
      </c>
      <c r="V18" s="3" t="s">
        <v>7</v>
      </c>
      <c r="W18" s="12">
        <v>0</v>
      </c>
      <c r="X18" s="4">
        <v>11</v>
      </c>
      <c r="Y18" s="3" t="s">
        <v>7</v>
      </c>
      <c r="Z18" s="12">
        <v>0</v>
      </c>
      <c r="AA18" s="4">
        <v>9</v>
      </c>
    </row>
    <row r="19" spans="1:30" ht="15" customHeight="1" x14ac:dyDescent="0.25">
      <c r="A19" s="3" t="s">
        <v>16</v>
      </c>
      <c r="B19" s="2">
        <v>0.21</v>
      </c>
      <c r="C19" s="4">
        <v>15</v>
      </c>
      <c r="D19" s="13" t="s">
        <v>7</v>
      </c>
      <c r="E19" s="32">
        <v>-2.6704817473817064E-2</v>
      </c>
      <c r="F19" s="4">
        <v>14</v>
      </c>
      <c r="G19" s="13" t="s">
        <v>13</v>
      </c>
      <c r="H19" s="32">
        <v>-1.0134551181531747E-2</v>
      </c>
      <c r="I19" s="4">
        <v>9</v>
      </c>
      <c r="J19" s="13" t="s">
        <v>7</v>
      </c>
      <c r="K19" s="32">
        <v>-1.3649280262818536E-2</v>
      </c>
      <c r="L19" s="4">
        <v>15</v>
      </c>
      <c r="M19" s="3" t="s">
        <v>14</v>
      </c>
      <c r="N19" s="2">
        <v>28.57</v>
      </c>
      <c r="O19" s="4">
        <v>12</v>
      </c>
      <c r="P19" s="3" t="s">
        <v>14</v>
      </c>
      <c r="Q19" s="2">
        <v>21.43</v>
      </c>
      <c r="R19" s="4">
        <v>6</v>
      </c>
      <c r="S19" s="3" t="s">
        <v>4</v>
      </c>
      <c r="T19" s="2">
        <v>30</v>
      </c>
      <c r="U19" s="4">
        <v>10</v>
      </c>
      <c r="V19" s="3" t="s">
        <v>3</v>
      </c>
      <c r="W19" s="12">
        <v>0</v>
      </c>
      <c r="X19" s="4">
        <v>11</v>
      </c>
      <c r="Y19" s="3" t="s">
        <v>3</v>
      </c>
      <c r="Z19" s="12">
        <v>0</v>
      </c>
      <c r="AA19" s="4">
        <v>9</v>
      </c>
    </row>
    <row r="20" spans="1:30" x14ac:dyDescent="0.25">
      <c r="A20" s="3"/>
      <c r="B20" s="2"/>
      <c r="C20" s="4"/>
      <c r="D20" s="3"/>
      <c r="E20" s="2"/>
      <c r="F20" s="4"/>
      <c r="G20" s="3"/>
      <c r="H20" s="2"/>
      <c r="I20" s="4"/>
      <c r="J20" s="3"/>
      <c r="K20" s="2"/>
      <c r="L20" s="4"/>
      <c r="M20" s="3"/>
      <c r="N20" s="2"/>
      <c r="O20" s="4"/>
      <c r="P20" s="3"/>
      <c r="Q20" s="2"/>
      <c r="R20" s="4"/>
      <c r="S20" s="3"/>
      <c r="T20" s="2"/>
      <c r="U20" s="4"/>
      <c r="V20" s="3"/>
      <c r="W20" s="2"/>
      <c r="X20" s="4"/>
      <c r="Y20" s="3"/>
      <c r="Z20" s="2"/>
      <c r="AA20" s="4"/>
    </row>
    <row r="21" spans="1:30" ht="15.75" thickBot="1" x14ac:dyDescent="0.3">
      <c r="A21" s="197" t="s">
        <v>20</v>
      </c>
      <c r="B21" s="198"/>
      <c r="C21" s="199"/>
      <c r="D21" s="197" t="s">
        <v>20</v>
      </c>
      <c r="E21" s="198"/>
      <c r="F21" s="199"/>
      <c r="G21" s="197" t="s">
        <v>20</v>
      </c>
      <c r="H21" s="198"/>
      <c r="I21" s="199"/>
      <c r="J21" s="197" t="s">
        <v>20</v>
      </c>
      <c r="K21" s="198"/>
      <c r="L21" s="199"/>
      <c r="M21" s="197" t="s">
        <v>20</v>
      </c>
      <c r="N21" s="198"/>
      <c r="O21" s="199"/>
      <c r="P21" s="197" t="s">
        <v>20</v>
      </c>
      <c r="Q21" s="198"/>
      <c r="R21" s="199"/>
      <c r="S21" s="197" t="s">
        <v>20</v>
      </c>
      <c r="T21" s="198"/>
      <c r="U21" s="199"/>
      <c r="V21" s="197" t="s">
        <v>20</v>
      </c>
      <c r="W21" s="198"/>
      <c r="X21" s="199"/>
      <c r="Y21" s="197" t="s">
        <v>20</v>
      </c>
      <c r="Z21" s="198"/>
      <c r="AA21" s="199"/>
    </row>
    <row r="23" spans="1:30" ht="15.75" customHeight="1" thickBot="1" x14ac:dyDescent="0.3">
      <c r="V23" s="203" t="s">
        <v>272</v>
      </c>
      <c r="W23" s="204"/>
      <c r="X23" s="204"/>
      <c r="Y23" s="204"/>
      <c r="Z23" s="204"/>
      <c r="AA23" s="205"/>
    </row>
    <row r="24" spans="1:30" ht="15" customHeight="1" thickBot="1" x14ac:dyDescent="0.3">
      <c r="Q24" s="209" t="s">
        <v>417</v>
      </c>
      <c r="R24" s="210"/>
      <c r="V24" s="206"/>
      <c r="W24" s="207"/>
      <c r="X24" s="207"/>
      <c r="Y24" s="207"/>
      <c r="Z24" s="207"/>
      <c r="AA24" s="208"/>
    </row>
    <row r="25" spans="1:30" x14ac:dyDescent="0.25">
      <c r="A25" s="200" t="s">
        <v>416</v>
      </c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2"/>
      <c r="M25" s="200" t="s">
        <v>418</v>
      </c>
      <c r="N25" s="201"/>
      <c r="O25" s="202"/>
      <c r="Q25" s="211"/>
      <c r="R25" s="212"/>
    </row>
    <row r="26" spans="1:30" s="50" customFormat="1" ht="60" x14ac:dyDescent="0.25">
      <c r="A26" s="5" t="s">
        <v>30</v>
      </c>
      <c r="B26" s="6" t="s">
        <v>29</v>
      </c>
      <c r="C26" s="6" t="s">
        <v>31</v>
      </c>
      <c r="D26" s="6" t="s">
        <v>32</v>
      </c>
      <c r="E26" s="6" t="s">
        <v>33</v>
      </c>
      <c r="F26" s="6" t="s">
        <v>34</v>
      </c>
      <c r="G26" s="6" t="s">
        <v>35</v>
      </c>
      <c r="H26" s="6" t="s">
        <v>36</v>
      </c>
      <c r="I26" s="6" t="s">
        <v>271</v>
      </c>
      <c r="J26" s="6" t="s">
        <v>37</v>
      </c>
      <c r="K26" s="70" t="s">
        <v>38</v>
      </c>
      <c r="L26" s="66" t="s">
        <v>421</v>
      </c>
      <c r="M26" s="5" t="s">
        <v>30</v>
      </c>
      <c r="N26" s="70" t="s">
        <v>419</v>
      </c>
      <c r="O26" s="66" t="s">
        <v>420</v>
      </c>
      <c r="Q26" s="65" t="s">
        <v>21</v>
      </c>
      <c r="R26" s="66" t="s">
        <v>273</v>
      </c>
      <c r="T26" s="63" t="s">
        <v>21</v>
      </c>
      <c r="U26" s="49" t="s">
        <v>407</v>
      </c>
      <c r="V26" s="49" t="s">
        <v>408</v>
      </c>
      <c r="W26" s="49" t="s">
        <v>409</v>
      </c>
      <c r="X26" s="49" t="s">
        <v>410</v>
      </c>
      <c r="Y26" s="49" t="s">
        <v>411</v>
      </c>
      <c r="Z26" s="49" t="s">
        <v>412</v>
      </c>
      <c r="AA26" s="49" t="s">
        <v>413</v>
      </c>
      <c r="AB26" s="49" t="s">
        <v>414</v>
      </c>
      <c r="AC26" s="49" t="s">
        <v>415</v>
      </c>
      <c r="AD26" s="49" t="s">
        <v>406</v>
      </c>
    </row>
    <row r="27" spans="1:30" x14ac:dyDescent="0.25">
      <c r="A27" s="77" t="s">
        <v>0</v>
      </c>
      <c r="B27" s="20">
        <v>1</v>
      </c>
      <c r="C27" s="20">
        <v>3</v>
      </c>
      <c r="D27" s="20">
        <v>1</v>
      </c>
      <c r="E27" s="20">
        <v>5</v>
      </c>
      <c r="F27" s="20">
        <v>5</v>
      </c>
      <c r="G27" s="20">
        <v>1</v>
      </c>
      <c r="H27" s="20">
        <v>7</v>
      </c>
      <c r="I27" s="20">
        <v>2</v>
      </c>
      <c r="J27" s="20">
        <v>2</v>
      </c>
      <c r="K27" s="20">
        <f t="shared" ref="K27:K43" si="0">SUM(B27:J27)</f>
        <v>27</v>
      </c>
      <c r="L27" s="97">
        <v>1</v>
      </c>
      <c r="M27" s="95" t="s">
        <v>2</v>
      </c>
      <c r="N27" s="20">
        <v>19</v>
      </c>
      <c r="O27" s="102">
        <v>1</v>
      </c>
      <c r="P27" s="43"/>
      <c r="Q27" s="103" t="s">
        <v>0</v>
      </c>
      <c r="R27" s="104">
        <v>7</v>
      </c>
      <c r="T27" t="s">
        <v>1</v>
      </c>
      <c r="U27" s="86">
        <f>COUNTIF(A3:A7,"metacell-169")</f>
        <v>1</v>
      </c>
      <c r="V27" s="86">
        <f>COUNTIF(D3:D7,"metacell-169")</f>
        <v>0</v>
      </c>
      <c r="W27" s="86">
        <f>COUNTIF(G3:G7,"metacell-169")</f>
        <v>1</v>
      </c>
      <c r="X27" s="86">
        <f>COUNTIF(J3:J7,"metacell-169")</f>
        <v>0</v>
      </c>
      <c r="Y27" s="86">
        <f>COUNTIF(M3:M7,"metacell-169")</f>
        <v>0</v>
      </c>
      <c r="Z27" s="86">
        <f>COUNTIF(P3:P7,"metacell-169")</f>
        <v>0</v>
      </c>
      <c r="AA27" s="86">
        <f>COUNTIF(S3:S7,"metacell-169")</f>
        <v>0</v>
      </c>
      <c r="AB27" s="86">
        <f>COUNTIF(V3:V7,"metacell-169")</f>
        <v>0</v>
      </c>
      <c r="AC27" s="86">
        <f>COUNTIF(Y3:Y7,"metacell-169")</f>
        <v>0</v>
      </c>
      <c r="AD27">
        <f>SUM(U27:AC27)</f>
        <v>2</v>
      </c>
    </row>
    <row r="28" spans="1:30" x14ac:dyDescent="0.25">
      <c r="A28" s="77" t="s">
        <v>2</v>
      </c>
      <c r="B28" s="20">
        <v>3</v>
      </c>
      <c r="C28" s="20">
        <v>2</v>
      </c>
      <c r="D28" s="20">
        <v>1</v>
      </c>
      <c r="E28" s="20">
        <v>2</v>
      </c>
      <c r="F28" s="20">
        <v>4</v>
      </c>
      <c r="G28" s="20">
        <v>2</v>
      </c>
      <c r="H28" s="20">
        <v>5</v>
      </c>
      <c r="I28" s="20">
        <v>7</v>
      </c>
      <c r="J28" s="20">
        <v>6</v>
      </c>
      <c r="K28" s="20">
        <f t="shared" si="0"/>
        <v>32</v>
      </c>
      <c r="L28" s="97">
        <v>2</v>
      </c>
      <c r="M28" s="95" t="s">
        <v>12</v>
      </c>
      <c r="N28" s="20">
        <v>21</v>
      </c>
      <c r="O28" s="102">
        <v>2</v>
      </c>
      <c r="P28" s="43"/>
      <c r="Q28" s="105" t="s">
        <v>2</v>
      </c>
      <c r="R28" s="104">
        <v>6</v>
      </c>
      <c r="S28" s="21"/>
      <c r="T28" t="s">
        <v>11</v>
      </c>
      <c r="U28" s="86">
        <f>COUNTIF(A3:A7,"metacell-172")</f>
        <v>0</v>
      </c>
      <c r="V28" s="86">
        <f>COUNTIF(D3:D7,"metacell-172")</f>
        <v>0</v>
      </c>
      <c r="W28" s="86">
        <f>COUNTIF(G3:G7,"metacell-172")</f>
        <v>0</v>
      </c>
      <c r="X28" s="86">
        <f>COUNTIF(J3:J7,"metacell-172")</f>
        <v>0</v>
      </c>
      <c r="Y28" s="86">
        <f>COUNTIF(M3:M7,"metacell-172")</f>
        <v>0</v>
      </c>
      <c r="Z28" s="86">
        <f>COUNTIF(P3:P7,"metacell-172")</f>
        <v>0</v>
      </c>
      <c r="AA28" s="86">
        <f>COUNTIF(S3:S7,"metacell-172")</f>
        <v>0</v>
      </c>
      <c r="AB28" s="86">
        <f>COUNTIF(V3:V7,"metacell-172")</f>
        <v>0</v>
      </c>
      <c r="AC28" s="86">
        <f>COUNTIF(Y3:Y7,"metacell-172")</f>
        <v>0</v>
      </c>
      <c r="AD28">
        <f t="shared" ref="AD28:AD43" si="1">SUM(U28:AC28)</f>
        <v>0</v>
      </c>
    </row>
    <row r="29" spans="1:30" x14ac:dyDescent="0.25">
      <c r="A29" s="77" t="s">
        <v>5</v>
      </c>
      <c r="B29" s="20">
        <v>6</v>
      </c>
      <c r="C29" s="20">
        <v>4</v>
      </c>
      <c r="D29" s="20">
        <v>4</v>
      </c>
      <c r="E29" s="20">
        <v>4</v>
      </c>
      <c r="F29" s="20">
        <v>7</v>
      </c>
      <c r="G29" s="20">
        <v>3</v>
      </c>
      <c r="H29" s="20">
        <v>3</v>
      </c>
      <c r="I29" s="20">
        <v>1</v>
      </c>
      <c r="J29" s="20">
        <v>1</v>
      </c>
      <c r="K29" s="20">
        <f t="shared" si="0"/>
        <v>33</v>
      </c>
      <c r="L29" s="97">
        <v>3</v>
      </c>
      <c r="M29" s="95" t="s">
        <v>0</v>
      </c>
      <c r="N29" s="20">
        <v>23</v>
      </c>
      <c r="O29" s="102">
        <v>3</v>
      </c>
      <c r="P29" s="43"/>
      <c r="Q29" s="105" t="s">
        <v>12</v>
      </c>
      <c r="R29" s="104">
        <v>6</v>
      </c>
      <c r="S29" s="21"/>
      <c r="T29" s="86" t="s">
        <v>0</v>
      </c>
      <c r="U29" s="86">
        <f>COUNTIF(A3:A7,"metacell-188")</f>
        <v>1</v>
      </c>
      <c r="V29" s="86">
        <f>COUNTIF(D3:D7,"metacell-188")</f>
        <v>1</v>
      </c>
      <c r="W29" s="86">
        <f>COUNTIF(G3:G7,"metacell-188")</f>
        <v>1</v>
      </c>
      <c r="X29" s="86">
        <f>COUNTIF(J3:J7,"metacell-188")</f>
        <v>0</v>
      </c>
      <c r="Y29" s="86">
        <f>COUNTIF(M3:M7,"metacell-188")</f>
        <v>1</v>
      </c>
      <c r="Z29" s="86">
        <f>COUNTIF(P3:P7,"metacell-188")</f>
        <v>1</v>
      </c>
      <c r="AA29" s="86">
        <f>COUNTIF(S3:S7,"metacell-188")</f>
        <v>0</v>
      </c>
      <c r="AB29" s="86">
        <f>COUNTIF(V3:V7,"metacell-188")</f>
        <v>1</v>
      </c>
      <c r="AC29" s="86">
        <f>COUNTIF(Y3:Y7,"metacell-188")</f>
        <v>1</v>
      </c>
      <c r="AD29">
        <f t="shared" si="1"/>
        <v>7</v>
      </c>
    </row>
    <row r="30" spans="1:30" x14ac:dyDescent="0.25">
      <c r="A30" s="77" t="s">
        <v>12</v>
      </c>
      <c r="B30" s="20">
        <v>13</v>
      </c>
      <c r="C30" s="20">
        <v>1</v>
      </c>
      <c r="D30" s="20">
        <v>1</v>
      </c>
      <c r="E30" s="20">
        <v>1</v>
      </c>
      <c r="F30" s="20">
        <v>1</v>
      </c>
      <c r="G30" s="20">
        <v>1</v>
      </c>
      <c r="H30" s="20">
        <v>3</v>
      </c>
      <c r="I30" s="20">
        <v>8</v>
      </c>
      <c r="J30" s="20">
        <v>7</v>
      </c>
      <c r="K30" s="20">
        <f t="shared" si="0"/>
        <v>36</v>
      </c>
      <c r="L30" s="97">
        <v>4</v>
      </c>
      <c r="M30" s="95" t="s">
        <v>5</v>
      </c>
      <c r="N30" s="20">
        <v>31</v>
      </c>
      <c r="O30" s="102">
        <v>4</v>
      </c>
      <c r="P30" s="43"/>
      <c r="Q30" s="106" t="s">
        <v>4</v>
      </c>
      <c r="R30" s="104">
        <v>5</v>
      </c>
      <c r="S30" s="21"/>
      <c r="T30" t="s">
        <v>5</v>
      </c>
      <c r="U30" s="86">
        <f>COUNTIF(A3:A7,"metacell-189")</f>
        <v>0</v>
      </c>
      <c r="V30" s="86">
        <f>COUNTIF(D3:D7,"metacell-189")</f>
        <v>1</v>
      </c>
      <c r="W30" s="86">
        <f>COUNTIF(G3:G7,"metacell-189")</f>
        <v>0</v>
      </c>
      <c r="X30" s="86">
        <f>COUNTIF(J3:J7,"metacell-189")</f>
        <v>1</v>
      </c>
      <c r="Y30" s="86">
        <f>COUNTIF(M3:M7,"metacell-189")</f>
        <v>0</v>
      </c>
      <c r="Z30" s="86">
        <f>COUNTIF(P3:P7,"metacell-189")</f>
        <v>0</v>
      </c>
      <c r="AA30" s="86">
        <f>COUNTIF(S3:S7,"metacell-189")</f>
        <v>0</v>
      </c>
      <c r="AB30" s="86">
        <f>COUNTIF(V3:V7,"metacell-189")</f>
        <v>1</v>
      </c>
      <c r="AC30" s="86">
        <f>COUNTIF(Y3:Y7,"metacell-189")</f>
        <v>1</v>
      </c>
      <c r="AD30">
        <f t="shared" si="1"/>
        <v>4</v>
      </c>
    </row>
    <row r="31" spans="1:30" x14ac:dyDescent="0.25">
      <c r="A31" s="77" t="s">
        <v>1</v>
      </c>
      <c r="B31" s="20">
        <v>2</v>
      </c>
      <c r="C31" s="20">
        <v>7</v>
      </c>
      <c r="D31" s="20">
        <v>2</v>
      </c>
      <c r="E31" s="20">
        <v>6</v>
      </c>
      <c r="F31" s="20">
        <v>6</v>
      </c>
      <c r="G31" s="20">
        <v>3</v>
      </c>
      <c r="H31" s="20">
        <v>5</v>
      </c>
      <c r="I31" s="20">
        <v>5</v>
      </c>
      <c r="J31" s="20">
        <v>4</v>
      </c>
      <c r="K31" s="20">
        <f t="shared" si="0"/>
        <v>40</v>
      </c>
      <c r="L31" s="97">
        <v>5</v>
      </c>
      <c r="M31" s="95" t="s">
        <v>1</v>
      </c>
      <c r="N31" s="20">
        <v>31</v>
      </c>
      <c r="O31" s="102">
        <v>4</v>
      </c>
      <c r="P31" s="43"/>
      <c r="Q31" s="77" t="s">
        <v>5</v>
      </c>
      <c r="R31" s="55">
        <v>4</v>
      </c>
      <c r="S31" s="21"/>
      <c r="T31" t="s">
        <v>4</v>
      </c>
      <c r="U31" s="86">
        <f>COUNTIF(A3:A7,"metacell-196")</f>
        <v>1</v>
      </c>
      <c r="V31" s="86">
        <f>COUNTIF(D3:D7,"metacell-196")</f>
        <v>0</v>
      </c>
      <c r="W31" s="86">
        <f>COUNTIF(G3:G7,"metacell-196")</f>
        <v>0</v>
      </c>
      <c r="X31" s="86">
        <f>COUNTIF(J3:J7,"metacell-196")</f>
        <v>1</v>
      </c>
      <c r="Y31" s="86">
        <f>COUNTIF(M3:M7,"metacell-196")</f>
        <v>0</v>
      </c>
      <c r="Z31" s="86">
        <f>COUNTIF(P3:P7,"metacell-196")</f>
        <v>1</v>
      </c>
      <c r="AA31" s="86">
        <f>COUNTIF(S3:S7,"metacell-196")</f>
        <v>0</v>
      </c>
      <c r="AB31" s="86">
        <f>COUNTIF(V3:V7,"metacell-196")</f>
        <v>1</v>
      </c>
      <c r="AC31" s="86">
        <f>COUNTIF(Y3:Y7,"metacell-196")</f>
        <v>1</v>
      </c>
      <c r="AD31">
        <f t="shared" si="1"/>
        <v>5</v>
      </c>
    </row>
    <row r="32" spans="1:30" x14ac:dyDescent="0.25">
      <c r="A32" s="54" t="s">
        <v>4</v>
      </c>
      <c r="B32" s="20">
        <v>5</v>
      </c>
      <c r="C32" s="20">
        <v>6</v>
      </c>
      <c r="D32" s="20">
        <v>5</v>
      </c>
      <c r="E32" s="20">
        <v>3</v>
      </c>
      <c r="F32" s="20">
        <v>9</v>
      </c>
      <c r="G32" s="20">
        <v>2</v>
      </c>
      <c r="H32" s="20">
        <v>10</v>
      </c>
      <c r="I32" s="20">
        <v>3</v>
      </c>
      <c r="J32" s="20">
        <v>3</v>
      </c>
      <c r="K32" s="20">
        <f t="shared" si="0"/>
        <v>46</v>
      </c>
      <c r="L32" s="98">
        <v>6</v>
      </c>
      <c r="M32" s="101" t="s">
        <v>10</v>
      </c>
      <c r="N32" s="20">
        <v>34</v>
      </c>
      <c r="O32" s="102">
        <v>5</v>
      </c>
      <c r="P32" s="43"/>
      <c r="Q32" s="54" t="s">
        <v>8</v>
      </c>
      <c r="R32" s="55">
        <v>4</v>
      </c>
      <c r="S32" s="21"/>
      <c r="T32" t="s">
        <v>8</v>
      </c>
      <c r="U32" s="86">
        <f>COUNTIF(A3:A7,"metacell-197")</f>
        <v>0</v>
      </c>
      <c r="V32" s="86">
        <f>COUNTIF(D3:D7,"metacell-197")</f>
        <v>1</v>
      </c>
      <c r="W32" s="86">
        <f>COUNTIF(G3:G7,"metacell-197")</f>
        <v>0</v>
      </c>
      <c r="X32" s="86">
        <f>COUNTIF(J3:J7,"metacell-197")</f>
        <v>1</v>
      </c>
      <c r="Y32" s="86">
        <f>COUNTIF(M3:M7,"metacell-197")</f>
        <v>0</v>
      </c>
      <c r="Z32" s="86">
        <f>COUNTIF(P3:P7,"metacell-197")</f>
        <v>0</v>
      </c>
      <c r="AA32" s="86">
        <f>COUNTIF(S3:S7,"metacell-197")</f>
        <v>0</v>
      </c>
      <c r="AB32" s="86">
        <f>COUNTIF(V3:V7,"metacell-197")</f>
        <v>1</v>
      </c>
      <c r="AC32" s="86">
        <f>COUNTIF(Y3:Y7,"metacell-197")</f>
        <v>1</v>
      </c>
      <c r="AD32">
        <f t="shared" si="1"/>
        <v>4</v>
      </c>
    </row>
    <row r="33" spans="1:30" x14ac:dyDescent="0.25">
      <c r="A33" s="54" t="s">
        <v>8</v>
      </c>
      <c r="B33" s="20">
        <v>9</v>
      </c>
      <c r="C33" s="20">
        <v>5</v>
      </c>
      <c r="D33" s="20">
        <v>6</v>
      </c>
      <c r="E33" s="20">
        <v>3</v>
      </c>
      <c r="F33" s="20">
        <v>8</v>
      </c>
      <c r="G33" s="20">
        <v>4</v>
      </c>
      <c r="H33" s="20">
        <v>6</v>
      </c>
      <c r="I33" s="20">
        <v>3</v>
      </c>
      <c r="J33" s="20">
        <v>3</v>
      </c>
      <c r="K33" s="20">
        <f t="shared" si="0"/>
        <v>47</v>
      </c>
      <c r="L33" s="98">
        <v>7</v>
      </c>
      <c r="M33" s="54" t="s">
        <v>3</v>
      </c>
      <c r="N33" s="20">
        <v>39</v>
      </c>
      <c r="O33" s="55">
        <v>6</v>
      </c>
      <c r="P33" s="43"/>
      <c r="Q33" s="88" t="s">
        <v>10</v>
      </c>
      <c r="R33" s="55">
        <v>4</v>
      </c>
      <c r="S33" s="2"/>
      <c r="T33" t="s">
        <v>2</v>
      </c>
      <c r="U33" s="86">
        <f>COUNTIF(A3:A7,"metacell-198")</f>
        <v>1</v>
      </c>
      <c r="V33" s="86">
        <f>COUNTIF(D3:D7,"metacell-198")</f>
        <v>1</v>
      </c>
      <c r="W33" s="86">
        <f>COUNTIF(G3:G7,"metacell-198")</f>
        <v>1</v>
      </c>
      <c r="X33" s="86">
        <f>COUNTIF(J3:J7,"metacell-198")</f>
        <v>1</v>
      </c>
      <c r="Y33" s="86">
        <f>COUNTIF(M3:M7,"metacell-198")</f>
        <v>1</v>
      </c>
      <c r="Z33" s="86">
        <f>COUNTIF(P3:P7,"metacell-198")</f>
        <v>1</v>
      </c>
      <c r="AA33" s="86">
        <f>COUNTIF(S3:S7,"metacell-198")</f>
        <v>0</v>
      </c>
      <c r="AB33" s="86">
        <f>COUNTIF(V3:V7,"metacell-198")</f>
        <v>0</v>
      </c>
      <c r="AC33" s="86">
        <f>COUNTIF(Y3:Y7,"metacell-198")</f>
        <v>0</v>
      </c>
      <c r="AD33">
        <f t="shared" si="1"/>
        <v>6</v>
      </c>
    </row>
    <row r="34" spans="1:30" x14ac:dyDescent="0.25">
      <c r="A34" s="54" t="s">
        <v>10</v>
      </c>
      <c r="B34" s="20">
        <v>11</v>
      </c>
      <c r="C34" s="20">
        <v>8</v>
      </c>
      <c r="D34" s="20">
        <v>3</v>
      </c>
      <c r="E34" s="20">
        <v>7</v>
      </c>
      <c r="F34" s="20">
        <v>2</v>
      </c>
      <c r="G34" s="20">
        <v>2</v>
      </c>
      <c r="H34" s="20">
        <v>1</v>
      </c>
      <c r="I34" s="20">
        <v>9</v>
      </c>
      <c r="J34" s="20">
        <v>8</v>
      </c>
      <c r="K34" s="20">
        <f t="shared" si="0"/>
        <v>51</v>
      </c>
      <c r="L34" s="98">
        <v>8</v>
      </c>
      <c r="M34" s="54" t="s">
        <v>4</v>
      </c>
      <c r="N34" s="20">
        <v>40</v>
      </c>
      <c r="O34" s="55">
        <v>7</v>
      </c>
      <c r="P34" s="43"/>
      <c r="Q34" s="54" t="s">
        <v>3</v>
      </c>
      <c r="R34" s="55">
        <v>3</v>
      </c>
      <c r="S34" s="85"/>
      <c r="T34" t="s">
        <v>12</v>
      </c>
      <c r="U34" s="86">
        <f>COUNTIF(A3:A7,"metacell-201")</f>
        <v>0</v>
      </c>
      <c r="V34" s="86">
        <f>COUNTIF(D3:D7,"metacell-201")</f>
        <v>1</v>
      </c>
      <c r="W34" s="86">
        <f>COUNTIF(G3:G7,"metacell-201")</f>
        <v>1</v>
      </c>
      <c r="X34" s="86">
        <f>COUNTIF(J3:J7,"metacell-201")</f>
        <v>1</v>
      </c>
      <c r="Y34" s="86">
        <f>COUNTIF(M3:M7,"metacell-201")</f>
        <v>1</v>
      </c>
      <c r="Z34" s="86">
        <f>COUNTIF(P3:P7,"metacell-201")</f>
        <v>1</v>
      </c>
      <c r="AA34" s="86">
        <f>COUNTIF(S3:S7,"metacell-201")</f>
        <v>1</v>
      </c>
      <c r="AB34" s="86">
        <f>COUNTIF(V3:V7,"metacell-201")</f>
        <v>0</v>
      </c>
      <c r="AC34" s="86">
        <f>COUNTIF(Y3:Y7,"metacell-201")</f>
        <v>0</v>
      </c>
      <c r="AD34">
        <f t="shared" si="1"/>
        <v>6</v>
      </c>
    </row>
    <row r="35" spans="1:30" x14ac:dyDescent="0.25">
      <c r="A35" s="67" t="s">
        <v>6</v>
      </c>
      <c r="B35" s="2">
        <v>7</v>
      </c>
      <c r="C35" s="2">
        <v>9</v>
      </c>
      <c r="D35" s="2">
        <v>4</v>
      </c>
      <c r="E35" s="12">
        <v>10</v>
      </c>
      <c r="F35" s="2">
        <v>5</v>
      </c>
      <c r="G35" s="2">
        <v>3</v>
      </c>
      <c r="H35" s="2">
        <v>2</v>
      </c>
      <c r="I35" s="2">
        <v>6</v>
      </c>
      <c r="J35" s="2">
        <v>5</v>
      </c>
      <c r="K35" s="2">
        <f t="shared" si="0"/>
        <v>51</v>
      </c>
      <c r="L35" s="90">
        <v>9</v>
      </c>
      <c r="M35" s="67" t="s">
        <v>6</v>
      </c>
      <c r="N35" s="2">
        <v>40</v>
      </c>
      <c r="O35" s="4">
        <v>7</v>
      </c>
      <c r="Q35" s="17" t="s">
        <v>1</v>
      </c>
      <c r="R35" s="4">
        <v>2</v>
      </c>
      <c r="S35" s="85"/>
      <c r="T35" t="s">
        <v>14</v>
      </c>
      <c r="U35" s="86">
        <f>COUNTIF(A3:A7,"metacell-63")</f>
        <v>0</v>
      </c>
      <c r="V35" s="86">
        <f>COUNTIF(D3:D7,"metacell-63")</f>
        <v>0</v>
      </c>
      <c r="W35" s="86">
        <f>COUNTIF(G3:G7,"metacell-63")</f>
        <v>0</v>
      </c>
      <c r="X35" s="86">
        <f>COUNTIF(J3:J7,"metacell-63")</f>
        <v>0</v>
      </c>
      <c r="Y35" s="86">
        <f>COUNTIF(M3:M7,"metacell-63")</f>
        <v>0</v>
      </c>
      <c r="Z35" s="86">
        <f>COUNTIF(P3:P7,"metacell-63")</f>
        <v>0</v>
      </c>
      <c r="AA35" s="86">
        <f>COUNTIF(S3:S7,"metacell-63")</f>
        <v>0</v>
      </c>
      <c r="AB35" s="86">
        <f>COUNTIF(V3:V7,"metacell-63")</f>
        <v>0</v>
      </c>
      <c r="AC35" s="86">
        <f>COUNTIF(Y3:Y7,"metacell-63")</f>
        <v>0</v>
      </c>
      <c r="AD35">
        <f t="shared" si="1"/>
        <v>0</v>
      </c>
    </row>
    <row r="36" spans="1:30" x14ac:dyDescent="0.25">
      <c r="A36" s="67" t="s">
        <v>15</v>
      </c>
      <c r="B36" s="2">
        <v>15</v>
      </c>
      <c r="C36" s="2">
        <v>9</v>
      </c>
      <c r="D36" s="2">
        <v>4</v>
      </c>
      <c r="E36" s="12">
        <v>8</v>
      </c>
      <c r="F36" s="2">
        <v>7</v>
      </c>
      <c r="G36" s="2">
        <v>4</v>
      </c>
      <c r="H36" s="2">
        <v>3</v>
      </c>
      <c r="I36" s="2">
        <v>4</v>
      </c>
      <c r="J36" s="2">
        <v>4</v>
      </c>
      <c r="K36" s="2">
        <f t="shared" si="0"/>
        <v>58</v>
      </c>
      <c r="L36" s="90">
        <v>10</v>
      </c>
      <c r="M36" s="67" t="s">
        <v>8</v>
      </c>
      <c r="N36" s="2">
        <v>41</v>
      </c>
      <c r="O36" s="4">
        <v>8</v>
      </c>
      <c r="Q36" s="87" t="s">
        <v>15</v>
      </c>
      <c r="R36" s="4">
        <v>2</v>
      </c>
      <c r="T36" s="85" t="s">
        <v>10</v>
      </c>
      <c r="U36" s="86">
        <f>COUNTIF(A3:A7,"metacell-76")</f>
        <v>0</v>
      </c>
      <c r="V36" s="86">
        <f>COUNTIF(D3:D7,"metacell-76")</f>
        <v>0</v>
      </c>
      <c r="W36" s="86">
        <f>COUNTIF(G3:G7,"metacell-76")</f>
        <v>1</v>
      </c>
      <c r="X36" s="86">
        <f>COUNTIF(J3:J7,"metacell-76")</f>
        <v>0</v>
      </c>
      <c r="Y36" s="86">
        <f>COUNTIF(M3:M7,"metacell-76")</f>
        <v>1</v>
      </c>
      <c r="Z36" s="86">
        <f>COUNTIF(P3:P7,"metacell-76")</f>
        <v>1</v>
      </c>
      <c r="AA36" s="86">
        <f>COUNTIF(S3:S7,"metacell-76")</f>
        <v>1</v>
      </c>
      <c r="AB36" s="86">
        <f>COUNTIF(V3:V7,"metacell-76")</f>
        <v>0</v>
      </c>
      <c r="AC36" s="86">
        <f>COUNTIF(Y3:Y7,"metacell-76")</f>
        <v>0</v>
      </c>
      <c r="AD36">
        <f t="shared" si="1"/>
        <v>4</v>
      </c>
    </row>
    <row r="37" spans="1:30" x14ac:dyDescent="0.25">
      <c r="A37" s="67" t="s">
        <v>3</v>
      </c>
      <c r="B37" s="2">
        <v>4</v>
      </c>
      <c r="C37" s="2">
        <v>11</v>
      </c>
      <c r="D37" s="2">
        <v>4</v>
      </c>
      <c r="E37" s="12">
        <v>12</v>
      </c>
      <c r="F37" s="2">
        <v>3</v>
      </c>
      <c r="G37" s="2">
        <v>4</v>
      </c>
      <c r="H37" s="2">
        <v>1</v>
      </c>
      <c r="I37" s="2">
        <v>11</v>
      </c>
      <c r="J37" s="2">
        <v>9</v>
      </c>
      <c r="K37" s="2">
        <f t="shared" si="0"/>
        <v>59</v>
      </c>
      <c r="L37" s="90">
        <v>11</v>
      </c>
      <c r="M37" s="67" t="s">
        <v>15</v>
      </c>
      <c r="N37" s="2">
        <v>50</v>
      </c>
      <c r="O37" s="4">
        <v>9</v>
      </c>
      <c r="Q37" s="3" t="s">
        <v>9</v>
      </c>
      <c r="R37" s="4">
        <v>1</v>
      </c>
      <c r="S37" s="22"/>
      <c r="T37" t="s">
        <v>16</v>
      </c>
      <c r="U37" s="86">
        <f>COUNTIF(A3:A7,"metacell-78")</f>
        <v>0</v>
      </c>
      <c r="V37" s="86">
        <f>COUNTIF(D3:D7,"metacell-78")</f>
        <v>0</v>
      </c>
      <c r="W37" s="86">
        <f>COUNTIF(G3:G7,"metacell-78")</f>
        <v>0</v>
      </c>
      <c r="X37" s="86">
        <f>COUNTIF(J3:J7,"metacell-78")</f>
        <v>0</v>
      </c>
      <c r="Y37" s="86">
        <f>COUNTIF(M3:M7,"metacell-78")</f>
        <v>0</v>
      </c>
      <c r="Z37" s="86">
        <f>COUNTIF(P3:P7,"metacell-78")</f>
        <v>0</v>
      </c>
      <c r="AA37" s="86">
        <f>COUNTIF(S3:S7,"metacell-78")</f>
        <v>0</v>
      </c>
      <c r="AB37" s="86">
        <f>COUNTIF(V3:V7,"metacell-78")</f>
        <v>0</v>
      </c>
      <c r="AC37" s="86">
        <f>COUNTIF(Y3:Y7,"metacell-78")</f>
        <v>0</v>
      </c>
      <c r="AD37">
        <f t="shared" si="1"/>
        <v>0</v>
      </c>
    </row>
    <row r="38" spans="1:30" x14ac:dyDescent="0.25">
      <c r="A38" s="67" t="s">
        <v>9</v>
      </c>
      <c r="B38" s="2">
        <v>10</v>
      </c>
      <c r="C38" s="2">
        <v>10</v>
      </c>
      <c r="D38" s="2">
        <v>6</v>
      </c>
      <c r="E38" s="12">
        <v>9</v>
      </c>
      <c r="F38" s="2">
        <v>9</v>
      </c>
      <c r="G38" s="2">
        <v>6</v>
      </c>
      <c r="H38" s="2">
        <v>2</v>
      </c>
      <c r="I38" s="2">
        <v>4</v>
      </c>
      <c r="J38" s="2">
        <v>4</v>
      </c>
      <c r="K38" s="2">
        <f t="shared" si="0"/>
        <v>60</v>
      </c>
      <c r="L38" s="90">
        <v>12</v>
      </c>
      <c r="M38" s="67" t="s">
        <v>9</v>
      </c>
      <c r="N38" s="2">
        <v>52</v>
      </c>
      <c r="O38" s="4">
        <v>10</v>
      </c>
      <c r="Q38" s="88" t="s">
        <v>6</v>
      </c>
      <c r="R38" s="4">
        <v>1</v>
      </c>
      <c r="S38" s="23"/>
      <c r="T38" s="86" t="s">
        <v>15</v>
      </c>
      <c r="U38" s="86">
        <f>COUNTIF(A3:A7,"metacell-88")</f>
        <v>0</v>
      </c>
      <c r="V38" s="86">
        <f>COUNTIF(D3:D7,"metacell-88")</f>
        <v>0</v>
      </c>
      <c r="W38" s="86">
        <f>COUNTIF(G3:G7,"metacell-88")</f>
        <v>0</v>
      </c>
      <c r="X38" s="86">
        <f>COUNTIF(J3:J7,"metacell-88")</f>
        <v>0</v>
      </c>
      <c r="Y38" s="86">
        <f>COUNTIF(M3:M7,"metacell-88")</f>
        <v>0</v>
      </c>
      <c r="Z38" s="86">
        <f>COUNTIF(P3:P7,"metacell-88")</f>
        <v>0</v>
      </c>
      <c r="AA38" s="86">
        <f>COUNTIF(S3:S7,"metacell-88")</f>
        <v>0</v>
      </c>
      <c r="AB38" s="86">
        <f>COUNTIF(V3:V7,"metacell-88")</f>
        <v>1</v>
      </c>
      <c r="AC38" s="86">
        <f>COUNTIF(Y3:Y7,"metacell-88")</f>
        <v>1</v>
      </c>
      <c r="AD38">
        <f t="shared" si="1"/>
        <v>2</v>
      </c>
    </row>
    <row r="39" spans="1:30" x14ac:dyDescent="0.25">
      <c r="A39" s="67" t="s">
        <v>11</v>
      </c>
      <c r="B39" s="2">
        <v>12</v>
      </c>
      <c r="C39" s="2">
        <v>9</v>
      </c>
      <c r="D39" s="2">
        <v>7</v>
      </c>
      <c r="E39" s="12">
        <v>10</v>
      </c>
      <c r="F39" s="2">
        <v>10</v>
      </c>
      <c r="G39" s="2">
        <v>6</v>
      </c>
      <c r="H39" s="2">
        <v>4</v>
      </c>
      <c r="I39" s="2">
        <v>5</v>
      </c>
      <c r="J39" s="2">
        <v>4</v>
      </c>
      <c r="K39" s="2">
        <f t="shared" si="0"/>
        <v>67</v>
      </c>
      <c r="L39" s="90">
        <v>13</v>
      </c>
      <c r="M39" s="67" t="s">
        <v>11</v>
      </c>
      <c r="N39" s="2">
        <v>58</v>
      </c>
      <c r="O39" s="4">
        <v>11</v>
      </c>
      <c r="Q39" s="3" t="s">
        <v>11</v>
      </c>
      <c r="R39" s="4">
        <v>0</v>
      </c>
      <c r="S39" s="24"/>
      <c r="T39" t="s">
        <v>9</v>
      </c>
      <c r="U39" s="86">
        <f>COUNTIF(A3:A7,"metacell-89")</f>
        <v>0</v>
      </c>
      <c r="V39" s="86">
        <f>COUNTIF(D3:D7,"metacell-89")</f>
        <v>0</v>
      </c>
      <c r="W39" s="86">
        <f>COUNTIF(G3:G7,"metacell-89")</f>
        <v>0</v>
      </c>
      <c r="X39" s="86">
        <f>COUNTIF(J3:J7,"metacell-89")</f>
        <v>0</v>
      </c>
      <c r="Y39" s="86">
        <f>COUNTIF(M3:M7,"metacell-89")</f>
        <v>0</v>
      </c>
      <c r="Z39" s="86">
        <f>COUNTIF(P3:P7,"metacell-89")</f>
        <v>0</v>
      </c>
      <c r="AA39" s="86">
        <f>COUNTIF(S3:S7,"metacell-89")</f>
        <v>1</v>
      </c>
      <c r="AB39" s="86">
        <f>COUNTIF(V3:V7,"metacell-89")</f>
        <v>0</v>
      </c>
      <c r="AC39" s="86">
        <f>COUNTIF(Y3:Y7,"metacell-89")</f>
        <v>0</v>
      </c>
      <c r="AD39">
        <f t="shared" si="1"/>
        <v>1</v>
      </c>
    </row>
    <row r="40" spans="1:30" x14ac:dyDescent="0.25">
      <c r="A40" s="67" t="s">
        <v>13</v>
      </c>
      <c r="B40" s="2">
        <v>14</v>
      </c>
      <c r="C40" s="2">
        <v>12</v>
      </c>
      <c r="D40" s="2">
        <v>9</v>
      </c>
      <c r="E40" s="12">
        <v>11</v>
      </c>
      <c r="F40" s="2">
        <v>11</v>
      </c>
      <c r="G40" s="2">
        <v>6</v>
      </c>
      <c r="H40" s="2">
        <v>8</v>
      </c>
      <c r="I40" s="2">
        <v>6</v>
      </c>
      <c r="J40" s="2">
        <v>5</v>
      </c>
      <c r="K40" s="2">
        <f t="shared" si="0"/>
        <v>82</v>
      </c>
      <c r="L40" s="90">
        <v>14</v>
      </c>
      <c r="M40" s="67" t="s">
        <v>7</v>
      </c>
      <c r="N40" s="2">
        <v>70</v>
      </c>
      <c r="O40" s="4">
        <v>12</v>
      </c>
      <c r="Q40" s="3" t="s">
        <v>14</v>
      </c>
      <c r="R40" s="4">
        <v>0</v>
      </c>
      <c r="S40" s="22"/>
      <c r="T40" t="s">
        <v>7</v>
      </c>
      <c r="U40" s="86">
        <f>COUNTIF(A3:A7,"metacell-93")</f>
        <v>0</v>
      </c>
      <c r="V40" s="86">
        <f>COUNTIF(D3:D7,"metacell-93")</f>
        <v>0</v>
      </c>
      <c r="W40" s="86">
        <f>COUNTIF(G3:G7,"metacell-93")</f>
        <v>0</v>
      </c>
      <c r="X40" s="86">
        <f>COUNTIF(J3:J7,"metacell-93")</f>
        <v>0</v>
      </c>
      <c r="Y40" s="86">
        <f>COUNTIF(M3:M7,"metacell-93")</f>
        <v>0</v>
      </c>
      <c r="Z40" s="86">
        <f>COUNTIF(P3:P7,"metacell-93")</f>
        <v>0</v>
      </c>
      <c r="AA40" s="86">
        <f>COUNTIF(S3:S7,"metacell-93")</f>
        <v>0</v>
      </c>
      <c r="AB40" s="86">
        <f>COUNTIF(V3:V7,"metacell-93")</f>
        <v>0</v>
      </c>
      <c r="AC40" s="86">
        <f>COUNTIF(Y3:Y7,"metacell-93")</f>
        <v>0</v>
      </c>
      <c r="AD40">
        <f t="shared" si="1"/>
        <v>0</v>
      </c>
    </row>
    <row r="41" spans="1:30" x14ac:dyDescent="0.25">
      <c r="A41" s="67" t="s">
        <v>16</v>
      </c>
      <c r="B41" s="2">
        <v>15</v>
      </c>
      <c r="C41" s="2">
        <v>13</v>
      </c>
      <c r="D41" s="2">
        <v>7</v>
      </c>
      <c r="E41" s="12">
        <v>13</v>
      </c>
      <c r="F41" s="2">
        <v>11</v>
      </c>
      <c r="G41" s="2">
        <v>5</v>
      </c>
      <c r="H41" s="2">
        <v>9</v>
      </c>
      <c r="I41" s="2">
        <v>9</v>
      </c>
      <c r="J41" s="2">
        <v>8</v>
      </c>
      <c r="K41" s="2">
        <f t="shared" si="0"/>
        <v>90</v>
      </c>
      <c r="L41" s="90">
        <v>15</v>
      </c>
      <c r="M41" s="67" t="s">
        <v>13</v>
      </c>
      <c r="N41" s="2">
        <v>71</v>
      </c>
      <c r="O41" s="4">
        <v>13</v>
      </c>
      <c r="Q41" s="3" t="s">
        <v>16</v>
      </c>
      <c r="R41" s="4">
        <v>0</v>
      </c>
      <c r="S41" s="24"/>
      <c r="T41" t="s">
        <v>3</v>
      </c>
      <c r="U41" s="86">
        <f>COUNTIF(A3:A7,"metacell-94")</f>
        <v>1</v>
      </c>
      <c r="V41" s="86">
        <f>COUNTIF(D3:D7,"metacell-94")</f>
        <v>0</v>
      </c>
      <c r="W41" s="86">
        <f>COUNTIF(G3:G7,"metacell-94")</f>
        <v>0</v>
      </c>
      <c r="X41" s="86">
        <f>COUNTIF(J3:J7,"metacell-94")</f>
        <v>0</v>
      </c>
      <c r="Y41" s="86">
        <f>COUNTIF(M3:M7,"metacell-94")</f>
        <v>1</v>
      </c>
      <c r="Z41" s="86">
        <f>COUNTIF(P3:P7,"metacell-94")</f>
        <v>0</v>
      </c>
      <c r="AA41" s="86">
        <f>COUNTIF(S3:S7,"metacell-94")</f>
        <v>1</v>
      </c>
      <c r="AB41" s="86">
        <f>COUNTIF(V3:V7,"metacell-94")</f>
        <v>0</v>
      </c>
      <c r="AC41" s="86">
        <f>COUNTIF(Y3:Y7,"metacell-94")</f>
        <v>0</v>
      </c>
      <c r="AD41">
        <f t="shared" si="1"/>
        <v>3</v>
      </c>
    </row>
    <row r="42" spans="1:30" x14ac:dyDescent="0.25">
      <c r="A42" s="67" t="s">
        <v>7</v>
      </c>
      <c r="B42" s="2">
        <v>8</v>
      </c>
      <c r="C42" s="2">
        <v>14</v>
      </c>
      <c r="D42" s="2">
        <v>7</v>
      </c>
      <c r="E42" s="12">
        <v>15</v>
      </c>
      <c r="F42" s="2">
        <v>12</v>
      </c>
      <c r="G42" s="2">
        <v>6</v>
      </c>
      <c r="H42" s="2">
        <v>8</v>
      </c>
      <c r="I42" s="2">
        <v>11</v>
      </c>
      <c r="J42" s="2">
        <v>9</v>
      </c>
      <c r="K42" s="2">
        <f t="shared" si="0"/>
        <v>90</v>
      </c>
      <c r="L42" s="90">
        <v>16</v>
      </c>
      <c r="M42" s="67" t="s">
        <v>16</v>
      </c>
      <c r="N42" s="2">
        <v>73</v>
      </c>
      <c r="O42" s="4">
        <v>14</v>
      </c>
      <c r="Q42" s="3" t="s">
        <v>7</v>
      </c>
      <c r="R42" s="4">
        <v>0</v>
      </c>
      <c r="S42" s="22"/>
      <c r="T42" t="s">
        <v>13</v>
      </c>
      <c r="U42" s="86">
        <f>COUNTIF(A3:A7,"metacell-95")</f>
        <v>0</v>
      </c>
      <c r="V42" s="86">
        <f>COUNTIF(D3:D7,"metacell-95")</f>
        <v>0</v>
      </c>
      <c r="W42" s="86">
        <f>COUNTIF(G3:G7,"metacell-95")</f>
        <v>0</v>
      </c>
      <c r="X42" s="86">
        <f>COUNTIF(J3:J7,"metacell-95")</f>
        <v>0</v>
      </c>
      <c r="Y42" s="86">
        <f>COUNTIF(M3:M7,"metacell-95")</f>
        <v>0</v>
      </c>
      <c r="Z42" s="86">
        <f>COUNTIF(P3:P7,"metacell-95")</f>
        <v>0</v>
      </c>
      <c r="AA42" s="86">
        <f>COUNTIF(S3:S7,"metacell-95")</f>
        <v>0</v>
      </c>
      <c r="AB42" s="86">
        <f>COUNTIF(V3:V7,"metacell-95")</f>
        <v>0</v>
      </c>
      <c r="AC42" s="86">
        <f>COUNTIF(Y3:Y7,"metacell-95")</f>
        <v>0</v>
      </c>
      <c r="AD42">
        <f t="shared" si="1"/>
        <v>0</v>
      </c>
    </row>
    <row r="43" spans="1:30" ht="15.75" thickBot="1" x14ac:dyDescent="0.3">
      <c r="A43" s="68" t="s">
        <v>14</v>
      </c>
      <c r="B43" s="11">
        <v>14</v>
      </c>
      <c r="C43" s="11">
        <v>12</v>
      </c>
      <c r="D43" s="11">
        <v>8</v>
      </c>
      <c r="E43" s="91">
        <v>14</v>
      </c>
      <c r="F43" s="11">
        <v>12</v>
      </c>
      <c r="G43" s="11">
        <v>6</v>
      </c>
      <c r="H43" s="11">
        <v>9</v>
      </c>
      <c r="I43" s="11">
        <v>10</v>
      </c>
      <c r="J43" s="11">
        <v>8</v>
      </c>
      <c r="K43" s="11">
        <f t="shared" si="0"/>
        <v>93</v>
      </c>
      <c r="L43" s="92">
        <v>17</v>
      </c>
      <c r="M43" s="68" t="s">
        <v>14</v>
      </c>
      <c r="N43" s="11">
        <v>75</v>
      </c>
      <c r="O43" s="69">
        <v>15</v>
      </c>
      <c r="Q43" s="76" t="s">
        <v>13</v>
      </c>
      <c r="R43" s="69">
        <v>0</v>
      </c>
      <c r="S43" s="22"/>
      <c r="T43" s="85" t="s">
        <v>6</v>
      </c>
      <c r="U43" s="86">
        <f>COUNTIF(A3:A7,"metacell-96")</f>
        <v>0</v>
      </c>
      <c r="V43" s="86">
        <f>COUNTIF(D3:D7,"metacell-96")</f>
        <v>0</v>
      </c>
      <c r="W43" s="86">
        <f>COUNTIF(G3:G7,"metacell-96")</f>
        <v>0</v>
      </c>
      <c r="X43" s="86">
        <f>COUNTIF(J3:J7,"metacell-96")</f>
        <v>0</v>
      </c>
      <c r="Y43" s="86">
        <f>COUNTIF(M3:M7,"metacell-96")</f>
        <v>0</v>
      </c>
      <c r="Z43" s="86">
        <f>COUNTIF(P3:P7,"metacell-96")</f>
        <v>0</v>
      </c>
      <c r="AA43" s="86">
        <f>COUNTIF(S3:S7,"metacell-96")</f>
        <v>1</v>
      </c>
      <c r="AB43" s="86">
        <f>COUNTIF(V3:V7,"metacell-96")</f>
        <v>0</v>
      </c>
      <c r="AC43" s="86">
        <f>COUNTIF(Y3:Y7,"metacell-96")</f>
        <v>0</v>
      </c>
      <c r="AD43">
        <f t="shared" si="1"/>
        <v>1</v>
      </c>
    </row>
    <row r="44" spans="1:30" x14ac:dyDescent="0.25">
      <c r="S44" s="22"/>
    </row>
    <row r="45" spans="1:30" x14ac:dyDescent="0.25">
      <c r="S45" s="24"/>
      <c r="V45" s="20"/>
    </row>
    <row r="46" spans="1:30" x14ac:dyDescent="0.25">
      <c r="A46" s="37"/>
      <c r="B46" s="36"/>
      <c r="C46" s="12"/>
      <c r="S46" s="24"/>
      <c r="V46" s="20"/>
    </row>
    <row r="47" spans="1:30" x14ac:dyDescent="0.25">
      <c r="A47" s="37"/>
      <c r="B47" s="36"/>
      <c r="C47" s="12"/>
      <c r="N47" s="21"/>
      <c r="S47" s="20"/>
      <c r="V47" s="20"/>
    </row>
    <row r="48" spans="1:30" x14ac:dyDescent="0.25">
      <c r="A48" s="37"/>
      <c r="B48" s="36"/>
      <c r="C48" s="12"/>
      <c r="N48" s="21"/>
      <c r="S48" s="20"/>
      <c r="V48" s="20"/>
    </row>
    <row r="49" spans="1:22" x14ac:dyDescent="0.25">
      <c r="A49" s="37"/>
      <c r="B49" s="36"/>
      <c r="C49" s="12"/>
      <c r="N49" s="21"/>
      <c r="S49" s="20"/>
      <c r="V49" s="20"/>
    </row>
    <row r="50" spans="1:22" x14ac:dyDescent="0.25">
      <c r="A50" s="37"/>
      <c r="B50" s="36"/>
      <c r="C50" s="12"/>
      <c r="N50" s="21"/>
      <c r="S50" s="20"/>
      <c r="V50" s="20"/>
    </row>
    <row r="51" spans="1:22" x14ac:dyDescent="0.25">
      <c r="A51" s="35"/>
      <c r="B51" s="36"/>
      <c r="C51" s="12"/>
      <c r="N51" s="21"/>
      <c r="S51" s="20"/>
      <c r="V51" s="20"/>
    </row>
    <row r="52" spans="1:22" x14ac:dyDescent="0.25">
      <c r="A52" s="35"/>
      <c r="B52" s="36"/>
      <c r="C52" s="12"/>
      <c r="N52" s="21"/>
      <c r="S52" s="20"/>
      <c r="V52" s="20"/>
    </row>
    <row r="53" spans="1:22" x14ac:dyDescent="0.25">
      <c r="N53" s="21"/>
      <c r="S53" s="20"/>
      <c r="V53" s="20"/>
    </row>
    <row r="54" spans="1:22" x14ac:dyDescent="0.25">
      <c r="A54" s="37"/>
      <c r="B54" s="36"/>
      <c r="C54" s="12"/>
      <c r="N54" s="21"/>
      <c r="S54" s="20"/>
      <c r="V54" s="20"/>
    </row>
    <row r="55" spans="1:22" x14ac:dyDescent="0.25">
      <c r="A55" s="35"/>
      <c r="B55" s="36"/>
      <c r="C55" s="12"/>
      <c r="N55" s="21"/>
      <c r="S55" s="20"/>
      <c r="V55" s="20"/>
    </row>
    <row r="56" spans="1:22" x14ac:dyDescent="0.25">
      <c r="A56" s="37"/>
      <c r="B56" s="36"/>
      <c r="C56" s="12"/>
      <c r="N56" s="21"/>
      <c r="S56" s="20"/>
      <c r="V56" s="20"/>
    </row>
    <row r="57" spans="1:22" x14ac:dyDescent="0.25">
      <c r="A57" s="35"/>
      <c r="B57" s="36"/>
      <c r="C57" s="12"/>
      <c r="N57" s="21"/>
      <c r="S57" s="20"/>
      <c r="V57" s="20"/>
    </row>
    <row r="58" spans="1:22" x14ac:dyDescent="0.25">
      <c r="A58" s="37"/>
      <c r="B58" s="36"/>
      <c r="C58" s="12"/>
      <c r="N58" s="21"/>
      <c r="S58" s="20"/>
    </row>
    <row r="59" spans="1:22" x14ac:dyDescent="0.25">
      <c r="A59" s="37"/>
      <c r="B59" s="36"/>
      <c r="C59" s="12"/>
      <c r="N59" s="21"/>
      <c r="S59" s="20"/>
    </row>
    <row r="60" spans="1:22" x14ac:dyDescent="0.25">
      <c r="A60" s="37"/>
      <c r="B60" s="36"/>
      <c r="C60" s="12"/>
      <c r="N60" s="21"/>
      <c r="S60" s="20"/>
    </row>
    <row r="61" spans="1:22" x14ac:dyDescent="0.25">
      <c r="A61" s="37"/>
      <c r="B61" s="36"/>
      <c r="C61" s="12"/>
      <c r="N61" s="21"/>
      <c r="S61" s="20"/>
    </row>
    <row r="62" spans="1:22" x14ac:dyDescent="0.25">
      <c r="A62" s="35"/>
      <c r="B62" s="36"/>
      <c r="C62" s="12"/>
      <c r="N62" s="21"/>
      <c r="S62" s="20"/>
    </row>
    <row r="63" spans="1:22" x14ac:dyDescent="0.25">
      <c r="A63" s="37"/>
      <c r="B63" s="36"/>
      <c r="C63" s="12"/>
      <c r="N63" s="21"/>
      <c r="S63" s="20"/>
    </row>
    <row r="64" spans="1:22" x14ac:dyDescent="0.25">
      <c r="A64" s="3"/>
      <c r="B64" s="2"/>
      <c r="S64" s="20"/>
    </row>
    <row r="65" spans="1:19" x14ac:dyDescent="0.25">
      <c r="A65" s="3"/>
      <c r="B65" s="2"/>
      <c r="S65" s="20"/>
    </row>
    <row r="66" spans="1:19" x14ac:dyDescent="0.25">
      <c r="S66" s="20"/>
    </row>
    <row r="67" spans="1:19" x14ac:dyDescent="0.25">
      <c r="S67" s="20"/>
    </row>
    <row r="68" spans="1:19" x14ac:dyDescent="0.25">
      <c r="S68" s="20"/>
    </row>
    <row r="69" spans="1:19" x14ac:dyDescent="0.25">
      <c r="S69" s="20"/>
    </row>
    <row r="70" spans="1:19" x14ac:dyDescent="0.25">
      <c r="S70" s="20"/>
    </row>
    <row r="72" spans="1:19" x14ac:dyDescent="0.25">
      <c r="A72" s="2"/>
      <c r="B72" s="2"/>
    </row>
    <row r="73" spans="1:19" x14ac:dyDescent="0.25">
      <c r="A73" s="2"/>
      <c r="B73" s="2"/>
    </row>
  </sheetData>
  <sortState ref="M27:N43">
    <sortCondition ref="N27:N43"/>
  </sortState>
  <mergeCells count="22">
    <mergeCell ref="J1:L1"/>
    <mergeCell ref="Y1:AA1"/>
    <mergeCell ref="A1:C1"/>
    <mergeCell ref="V1:X1"/>
    <mergeCell ref="S1:U1"/>
    <mergeCell ref="P1:R1"/>
    <mergeCell ref="D1:F1"/>
    <mergeCell ref="G1:I1"/>
    <mergeCell ref="M1:O1"/>
    <mergeCell ref="S21:U21"/>
    <mergeCell ref="V21:X21"/>
    <mergeCell ref="Y21:AA21"/>
    <mergeCell ref="D21:F21"/>
    <mergeCell ref="M25:O25"/>
    <mergeCell ref="V23:AA24"/>
    <mergeCell ref="M21:O21"/>
    <mergeCell ref="G21:I21"/>
    <mergeCell ref="J21:L21"/>
    <mergeCell ref="A25:L25"/>
    <mergeCell ref="Q24:R25"/>
    <mergeCell ref="A21:C21"/>
    <mergeCell ref="P21:R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3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7" sqref="J47"/>
    </sheetView>
  </sheetViews>
  <sheetFormatPr defaultRowHeight="15" x14ac:dyDescent="0.25"/>
  <cols>
    <col min="1" max="1" width="22.28515625" customWidth="1"/>
    <col min="2" max="2" width="23.85546875" customWidth="1"/>
    <col min="3" max="3" width="10.42578125" bestFit="1" customWidth="1"/>
    <col min="4" max="4" width="12.7109375" bestFit="1" customWidth="1"/>
    <col min="5" max="6" width="10.42578125" bestFit="1" customWidth="1"/>
    <col min="7" max="7" width="12.7109375" bestFit="1" customWidth="1"/>
    <col min="8" max="11" width="10.42578125" bestFit="1" customWidth="1"/>
    <col min="12" max="53" width="11.42578125" bestFit="1" customWidth="1"/>
  </cols>
  <sheetData>
    <row r="1" spans="1:53" s="59" customFormat="1" x14ac:dyDescent="0.25">
      <c r="B1" s="16" t="s">
        <v>80</v>
      </c>
      <c r="C1" s="58" t="s">
        <v>74</v>
      </c>
      <c r="D1" s="58" t="s">
        <v>75</v>
      </c>
      <c r="E1" s="58" t="s">
        <v>76</v>
      </c>
      <c r="F1" s="58" t="s">
        <v>77</v>
      </c>
      <c r="G1" s="58" t="s">
        <v>78</v>
      </c>
      <c r="H1" s="58" t="s">
        <v>79</v>
      </c>
      <c r="I1" s="16" t="s">
        <v>82</v>
      </c>
      <c r="J1" s="16" t="s">
        <v>83</v>
      </c>
      <c r="K1" s="16" t="s">
        <v>84</v>
      </c>
      <c r="L1" s="16" t="s">
        <v>85</v>
      </c>
      <c r="M1" s="16" t="s">
        <v>86</v>
      </c>
      <c r="N1" s="16" t="s">
        <v>87</v>
      </c>
      <c r="O1" s="16" t="s">
        <v>88</v>
      </c>
      <c r="P1" s="16" t="s">
        <v>89</v>
      </c>
      <c r="Q1" s="16" t="s">
        <v>90</v>
      </c>
      <c r="R1" s="16" t="s">
        <v>91</v>
      </c>
      <c r="S1" s="16" t="s">
        <v>92</v>
      </c>
      <c r="T1" s="16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3" t="s">
        <v>98</v>
      </c>
      <c r="Z1" s="16" t="s">
        <v>99</v>
      </c>
      <c r="AA1" s="16" t="s">
        <v>100</v>
      </c>
      <c r="AB1" s="16" t="s">
        <v>101</v>
      </c>
      <c r="AC1" s="16" t="s">
        <v>102</v>
      </c>
      <c r="AD1" s="16" t="s">
        <v>103</v>
      </c>
      <c r="AE1" s="16" t="s">
        <v>104</v>
      </c>
      <c r="AF1" s="16" t="s">
        <v>105</v>
      </c>
      <c r="AG1" s="13" t="s">
        <v>106</v>
      </c>
      <c r="AH1" s="16" t="s">
        <v>107</v>
      </c>
      <c r="AI1" s="16" t="s">
        <v>108</v>
      </c>
      <c r="AJ1" s="13" t="s">
        <v>109</v>
      </c>
      <c r="AK1" s="16" t="s">
        <v>110</v>
      </c>
      <c r="AL1" s="16" t="s">
        <v>111</v>
      </c>
      <c r="AM1" s="16" t="s">
        <v>112</v>
      </c>
      <c r="AN1" s="16" t="s">
        <v>113</v>
      </c>
      <c r="AO1" s="13" t="s">
        <v>114</v>
      </c>
      <c r="AP1" s="16" t="s">
        <v>115</v>
      </c>
      <c r="AQ1" s="16" t="s">
        <v>116</v>
      </c>
      <c r="AR1" s="16" t="s">
        <v>117</v>
      </c>
      <c r="AS1" s="16" t="s">
        <v>118</v>
      </c>
      <c r="AT1" s="16" t="s">
        <v>119</v>
      </c>
      <c r="AU1" s="16" t="s">
        <v>120</v>
      </c>
      <c r="AV1" s="16" t="s">
        <v>121</v>
      </c>
      <c r="AW1" s="16" t="s">
        <v>122</v>
      </c>
      <c r="AX1" s="16" t="s">
        <v>123</v>
      </c>
      <c r="AY1" s="16" t="s">
        <v>124</v>
      </c>
      <c r="AZ1" s="16" t="s">
        <v>125</v>
      </c>
      <c r="BA1" s="16" t="s">
        <v>126</v>
      </c>
    </row>
    <row r="2" spans="1:53" x14ac:dyDescent="0.25">
      <c r="A2" t="s">
        <v>265</v>
      </c>
      <c r="B2" t="s">
        <v>431</v>
      </c>
      <c r="C2">
        <v>8.2209401415473296E-2</v>
      </c>
      <c r="D2">
        <v>0</v>
      </c>
      <c r="E2">
        <v>0</v>
      </c>
      <c r="F2">
        <v>5.40908653283187E-2</v>
      </c>
      <c r="G2">
        <v>7.4688249146994706E-2</v>
      </c>
      <c r="H2">
        <v>0</v>
      </c>
      <c r="I2">
        <v>6.2177930727246297E-2</v>
      </c>
      <c r="J2">
        <v>0</v>
      </c>
      <c r="K2">
        <v>4.2004545456269402E-2</v>
      </c>
      <c r="L2">
        <v>9.1096557276535095E-2</v>
      </c>
      <c r="M2">
        <v>0</v>
      </c>
      <c r="N2">
        <v>0</v>
      </c>
      <c r="O2">
        <v>1.0274496112805001</v>
      </c>
      <c r="P2">
        <v>0.33710418921719898</v>
      </c>
      <c r="Q2">
        <v>0</v>
      </c>
      <c r="R2">
        <v>8.0592234369260302E-2</v>
      </c>
      <c r="S2">
        <v>0</v>
      </c>
      <c r="T2">
        <v>7.1387223277735307E-2</v>
      </c>
      <c r="U2">
        <v>3.32095005512257E-2</v>
      </c>
      <c r="V2">
        <v>0</v>
      </c>
      <c r="W2">
        <v>0</v>
      </c>
      <c r="X2">
        <v>0</v>
      </c>
      <c r="Y2">
        <v>0</v>
      </c>
      <c r="Z2">
        <v>0.150094264404176</v>
      </c>
      <c r="AA2">
        <v>0</v>
      </c>
      <c r="AB2">
        <v>1.9639432877429201E-2</v>
      </c>
      <c r="AC2">
        <v>4.5132263357236697E-2</v>
      </c>
      <c r="AD2">
        <v>0</v>
      </c>
      <c r="AE2">
        <v>0</v>
      </c>
      <c r="AF2">
        <v>0</v>
      </c>
      <c r="AG2">
        <v>0.40899298617484198</v>
      </c>
      <c r="AH2">
        <v>0</v>
      </c>
      <c r="AI2">
        <v>0.15162207654486601</v>
      </c>
      <c r="AJ2">
        <v>0</v>
      </c>
      <c r="AK2">
        <v>0</v>
      </c>
      <c r="AL2">
        <v>0</v>
      </c>
      <c r="AM2">
        <v>0.306498530531577</v>
      </c>
      <c r="AN2">
        <v>0</v>
      </c>
      <c r="AO2">
        <v>7.2233278947106794E-2</v>
      </c>
      <c r="AP2">
        <v>0.15237338212979101</v>
      </c>
      <c r="AQ2">
        <v>0</v>
      </c>
      <c r="AR2">
        <v>0</v>
      </c>
      <c r="AS2">
        <v>8.4908115266419198E-2</v>
      </c>
      <c r="AT2">
        <v>6.1570953542014702E-2</v>
      </c>
      <c r="AU2">
        <v>0</v>
      </c>
      <c r="AV2">
        <v>0.55866819620172303</v>
      </c>
      <c r="AW2">
        <v>0.29943383928475797</v>
      </c>
      <c r="AX2">
        <v>0</v>
      </c>
      <c r="AY2">
        <v>0</v>
      </c>
      <c r="AZ2">
        <v>0</v>
      </c>
      <c r="BA2">
        <v>0.33858081963033898</v>
      </c>
    </row>
    <row r="3" spans="1:53" x14ac:dyDescent="0.25">
      <c r="A3" t="s">
        <v>265</v>
      </c>
      <c r="B3" t="s">
        <v>433</v>
      </c>
      <c r="C3">
        <v>-0.13595825965826899</v>
      </c>
      <c r="D3">
        <v>-0.218167661073743</v>
      </c>
      <c r="E3">
        <v>-0.218167661073743</v>
      </c>
      <c r="F3">
        <v>-1.05551985746521E-2</v>
      </c>
      <c r="G3">
        <v>0.37344941309494301</v>
      </c>
      <c r="H3">
        <v>-0.218167661073743</v>
      </c>
      <c r="I3">
        <v>1.7544855797612301E-2</v>
      </c>
      <c r="J3">
        <v>-2.4551924779580001E-2</v>
      </c>
      <c r="K3">
        <v>6.5234904180986805E-2</v>
      </c>
      <c r="L3">
        <v>-0.218167661073743</v>
      </c>
      <c r="M3">
        <v>0.15603860318718701</v>
      </c>
      <c r="N3">
        <v>0.23450562969939601</v>
      </c>
      <c r="O3">
        <v>-0.14734657104152399</v>
      </c>
      <c r="P3">
        <v>-0.161640216473287</v>
      </c>
      <c r="Q3">
        <v>-3.89987297149757E-2</v>
      </c>
      <c r="R3">
        <v>-0.218167661073743</v>
      </c>
      <c r="S3">
        <v>-0.218167661073743</v>
      </c>
      <c r="T3">
        <v>-0.218167661073743</v>
      </c>
      <c r="U3">
        <v>-0.218167661073743</v>
      </c>
      <c r="V3">
        <v>-5.4280266734310703E-2</v>
      </c>
      <c r="W3">
        <v>-6.1031979654134804E-3</v>
      </c>
      <c r="X3">
        <v>0.34988729057331602</v>
      </c>
      <c r="Y3">
        <v>0.19932313227468601</v>
      </c>
      <c r="Z3">
        <v>-0.156642493138411</v>
      </c>
      <c r="AA3">
        <v>-0.115504385037395</v>
      </c>
      <c r="AB3">
        <v>0.18304862391318899</v>
      </c>
      <c r="AC3">
        <v>6.2086118819404297E-2</v>
      </c>
      <c r="AD3">
        <v>-0.218167661073743</v>
      </c>
      <c r="AE3">
        <v>0.33095962139261098</v>
      </c>
      <c r="AF3">
        <v>-0.218167661073743</v>
      </c>
      <c r="AG3">
        <v>0</v>
      </c>
      <c r="AH3">
        <v>0.16084791229992501</v>
      </c>
      <c r="AI3">
        <v>0.452443400013046</v>
      </c>
      <c r="AJ3">
        <v>-0.218167661073743</v>
      </c>
      <c r="AK3">
        <v>0.591822718374169</v>
      </c>
      <c r="AL3">
        <v>0.38043642055784899</v>
      </c>
      <c r="AM3">
        <v>-7.8141840978372106E-3</v>
      </c>
      <c r="AN3">
        <v>-0.218167661073743</v>
      </c>
      <c r="AO3">
        <v>0.28657298574107798</v>
      </c>
      <c r="AP3">
        <v>-0.184166826153531</v>
      </c>
      <c r="AQ3">
        <v>2.5367377803403601E-2</v>
      </c>
      <c r="AR3">
        <v>0.48520432548813303</v>
      </c>
      <c r="AS3">
        <v>-6.2754870194332499E-2</v>
      </c>
      <c r="AT3">
        <v>0.66741107021395696</v>
      </c>
      <c r="AU3">
        <v>0.32428250817326199</v>
      </c>
      <c r="AV3">
        <v>0.29257701430837901</v>
      </c>
      <c r="AW3">
        <v>0.31703317461945502</v>
      </c>
      <c r="AX3">
        <v>3.2560679414143901E-3</v>
      </c>
      <c r="AY3">
        <v>9.8557900085391406E-2</v>
      </c>
      <c r="AZ3">
        <v>0.78551355008150503</v>
      </c>
      <c r="BA3">
        <v>0.636108033770311</v>
      </c>
    </row>
    <row r="4" spans="1:53" x14ac:dyDescent="0.25">
      <c r="A4" t="s">
        <v>265</v>
      </c>
      <c r="B4" t="s">
        <v>444</v>
      </c>
      <c r="C4">
        <v>-0.31673320909686198</v>
      </c>
      <c r="D4">
        <v>-0.628466275052047</v>
      </c>
      <c r="E4">
        <v>-0.26962990011692001</v>
      </c>
      <c r="F4">
        <v>-0.47065979920892698</v>
      </c>
      <c r="G4">
        <v>-0.34675303898815202</v>
      </c>
      <c r="H4">
        <v>-0.628466275052047</v>
      </c>
      <c r="I4">
        <v>-0.448593933706742</v>
      </c>
      <c r="J4">
        <v>-0.26085951312322803</v>
      </c>
      <c r="K4">
        <v>-0.505021637777608</v>
      </c>
      <c r="L4">
        <v>-0.146203912591268</v>
      </c>
      <c r="M4">
        <v>-0.49481759442378598</v>
      </c>
      <c r="N4">
        <v>-0.21749113154220501</v>
      </c>
      <c r="O4">
        <v>0.76197697083344396</v>
      </c>
      <c r="P4">
        <v>0.27858874003799999</v>
      </c>
      <c r="Q4">
        <v>0.48969259866839998</v>
      </c>
      <c r="R4">
        <v>0.399171068037524</v>
      </c>
      <c r="S4">
        <v>0.51457122471239503</v>
      </c>
      <c r="T4">
        <v>0.290874499203434</v>
      </c>
      <c r="U4">
        <v>0.45292765161991499</v>
      </c>
      <c r="V4">
        <v>0.18062073997915901</v>
      </c>
      <c r="W4">
        <v>0.29817358564631802</v>
      </c>
      <c r="X4">
        <v>0.56948689188261103</v>
      </c>
      <c r="Y4">
        <v>-1.80679797910329E-2</v>
      </c>
      <c r="Z4">
        <v>1.10423868106886</v>
      </c>
      <c r="AA4">
        <v>0.17006356263553399</v>
      </c>
      <c r="AB4">
        <v>-0.47582748213871001</v>
      </c>
      <c r="AC4">
        <v>-0.483538589202334</v>
      </c>
      <c r="AD4">
        <v>-0.628466275052047</v>
      </c>
      <c r="AE4">
        <v>0.63894902746854398</v>
      </c>
      <c r="AF4">
        <v>-0.628466275052047</v>
      </c>
      <c r="AG4">
        <v>0.37041322062728499</v>
      </c>
      <c r="AH4">
        <v>0.561276182097043</v>
      </c>
      <c r="AI4">
        <v>-0.20806671448053299</v>
      </c>
      <c r="AJ4">
        <v>0.54754851859988596</v>
      </c>
      <c r="AK4">
        <v>-0.116914707431193</v>
      </c>
      <c r="AL4">
        <v>0.34803151785519598</v>
      </c>
      <c r="AM4">
        <v>0.217746446079084</v>
      </c>
      <c r="AN4">
        <v>0.171525645076859</v>
      </c>
      <c r="AO4">
        <v>7.1183081573217899E-2</v>
      </c>
      <c r="AP4">
        <v>-0.412268192435916</v>
      </c>
      <c r="AQ4">
        <v>-0.38493123617489999</v>
      </c>
      <c r="AR4">
        <v>-8.9386611659054094E-2</v>
      </c>
      <c r="AS4">
        <v>-0.461948145152282</v>
      </c>
      <c r="AT4">
        <v>0</v>
      </c>
      <c r="AU4">
        <v>9.5862179358871605E-2</v>
      </c>
      <c r="AV4">
        <v>1.1335736893224699</v>
      </c>
      <c r="AW4">
        <v>1.42605858041527E-2</v>
      </c>
      <c r="AX4">
        <v>0.21080879956642501</v>
      </c>
      <c r="AY4">
        <v>-0.100278371751045</v>
      </c>
      <c r="AZ4">
        <v>0.86693636259623397</v>
      </c>
      <c r="BA4">
        <v>-0.28988545542170702</v>
      </c>
    </row>
    <row r="5" spans="1:53" x14ac:dyDescent="0.25">
      <c r="A5" t="s">
        <v>265</v>
      </c>
      <c r="B5" t="s">
        <v>445</v>
      </c>
      <c r="C5">
        <v>-0.24955831452532501</v>
      </c>
      <c r="D5">
        <v>-0.128832309950764</v>
      </c>
      <c r="E5">
        <v>0.19260744619432299</v>
      </c>
      <c r="F5">
        <v>-0.22510632758190899</v>
      </c>
      <c r="G5">
        <v>-0.11646528394236599</v>
      </c>
      <c r="H5">
        <v>8.2348766065374501E-2</v>
      </c>
      <c r="I5">
        <v>-0.15189537459549399</v>
      </c>
      <c r="J5">
        <v>-0.28125550967885199</v>
      </c>
      <c r="K5">
        <v>-0.20832307866635999</v>
      </c>
      <c r="L5">
        <v>-7.2702991657376606E-2</v>
      </c>
      <c r="M5">
        <v>-0.13489824493368299</v>
      </c>
      <c r="N5">
        <v>-9.0182421596584003E-2</v>
      </c>
      <c r="O5">
        <v>0.62191920220121499</v>
      </c>
      <c r="P5">
        <v>0.29694734854172899</v>
      </c>
      <c r="Q5">
        <v>8.6126268001584197E-2</v>
      </c>
      <c r="R5">
        <v>0.41055063510116502</v>
      </c>
      <c r="S5">
        <v>0</v>
      </c>
      <c r="T5">
        <v>0.25214757489568201</v>
      </c>
      <c r="U5">
        <v>0.33820097557286199</v>
      </c>
      <c r="V5">
        <v>0.10009659874721</v>
      </c>
      <c r="W5">
        <v>-2.32829021044237E-2</v>
      </c>
      <c r="X5">
        <v>0.32316158229726799</v>
      </c>
      <c r="Y5">
        <v>-8.5487535758272906E-2</v>
      </c>
      <c r="Z5">
        <v>0.84467845246720097</v>
      </c>
      <c r="AA5">
        <v>-0.13229997760943801</v>
      </c>
      <c r="AB5">
        <v>-0.27334635827918202</v>
      </c>
      <c r="AC5">
        <v>-0.28663545258356199</v>
      </c>
      <c r="AD5">
        <v>0.82448536203739997</v>
      </c>
      <c r="AE5">
        <v>0.21735956652555499</v>
      </c>
      <c r="AF5">
        <v>0.51660376188992996</v>
      </c>
      <c r="AG5">
        <v>-0.33176771594079801</v>
      </c>
      <c r="AH5">
        <v>8.0872856653752295E-2</v>
      </c>
      <c r="AI5">
        <v>0.124755387512066</v>
      </c>
      <c r="AJ5">
        <v>-9.0098687080337303E-2</v>
      </c>
      <c r="AK5">
        <v>-0.20551724036833599</v>
      </c>
      <c r="AL5">
        <v>0.42398822114849499</v>
      </c>
      <c r="AM5">
        <v>0.43183722559756599</v>
      </c>
      <c r="AN5">
        <v>8.9656977934546897E-2</v>
      </c>
      <c r="AO5">
        <v>-2.2299677785615001E-2</v>
      </c>
      <c r="AP5">
        <v>-0.211883337824225</v>
      </c>
      <c r="AQ5">
        <v>-8.8232677063652204E-2</v>
      </c>
      <c r="AR5">
        <v>4.4877143661328903E-2</v>
      </c>
      <c r="AS5">
        <v>-0.21930546376358701</v>
      </c>
      <c r="AT5">
        <v>-9.8201674399834696E-2</v>
      </c>
      <c r="AU5">
        <v>8.3627016512534097E-2</v>
      </c>
      <c r="AV5">
        <v>1.0779548086622499</v>
      </c>
      <c r="AW5">
        <v>0.14231952929038</v>
      </c>
      <c r="AX5">
        <v>-0.110343986925641</v>
      </c>
      <c r="AY5">
        <v>-8.1891601724503299E-2</v>
      </c>
      <c r="AZ5">
        <v>1.1123098497331401</v>
      </c>
      <c r="BA5">
        <v>0.52250797890325595</v>
      </c>
    </row>
    <row r="6" spans="1:53" x14ac:dyDescent="0.25">
      <c r="A6" t="s">
        <v>265</v>
      </c>
      <c r="B6" t="s">
        <v>450</v>
      </c>
      <c r="C6">
        <v>-8.3041646950499703E-2</v>
      </c>
      <c r="D6">
        <v>0.34293400092191201</v>
      </c>
      <c r="E6">
        <v>-0.12454193413263499</v>
      </c>
      <c r="F6">
        <v>-1.78805457737456E-2</v>
      </c>
      <c r="G6">
        <v>0.129901111369915</v>
      </c>
      <c r="H6">
        <v>0.28957454787353798</v>
      </c>
      <c r="I6">
        <v>5.5330407212669602E-2</v>
      </c>
      <c r="J6">
        <v>-0.12454193413263499</v>
      </c>
      <c r="K6">
        <v>-0.12454193413263499</v>
      </c>
      <c r="L6">
        <v>1.75269676695308E-2</v>
      </c>
      <c r="M6">
        <v>-0.12454193413263499</v>
      </c>
      <c r="N6">
        <v>6.48888956139767E-4</v>
      </c>
      <c r="O6">
        <v>-7.7066766236418296E-2</v>
      </c>
      <c r="P6">
        <v>-6.8014489532179603E-2</v>
      </c>
      <c r="Q6">
        <v>-7.2578524753989196E-2</v>
      </c>
      <c r="R6">
        <v>-8.3831670103333603E-2</v>
      </c>
      <c r="S6">
        <v>-0.12454193413263499</v>
      </c>
      <c r="T6">
        <v>1.5264216497839701E-2</v>
      </c>
      <c r="U6">
        <v>-5.8694551600359003E-2</v>
      </c>
      <c r="V6">
        <v>1.76153832105828E-2</v>
      </c>
      <c r="W6">
        <v>-0.12454193413263499</v>
      </c>
      <c r="X6">
        <v>-1.1786504536034101E-2</v>
      </c>
      <c r="Y6">
        <v>3.3988370637541301E-3</v>
      </c>
      <c r="Z6">
        <v>-9.3518868839287006E-2</v>
      </c>
      <c r="AA6">
        <v>-0.12454193413263499</v>
      </c>
      <c r="AB6">
        <v>1.27144317769166E-2</v>
      </c>
      <c r="AC6">
        <v>5.3776190169526998E-2</v>
      </c>
      <c r="AD6">
        <v>-0.12454193413263499</v>
      </c>
      <c r="AE6">
        <v>-0.12454193413263499</v>
      </c>
      <c r="AF6">
        <v>0.359402793108827</v>
      </c>
      <c r="AG6">
        <v>0.69008695325409097</v>
      </c>
      <c r="AH6">
        <v>0.33444826537824002</v>
      </c>
      <c r="AI6">
        <v>9.8201866305029695E-2</v>
      </c>
      <c r="AJ6">
        <v>0.11712709472782599</v>
      </c>
      <c r="AK6">
        <v>-0.12454193413263499</v>
      </c>
      <c r="AL6">
        <v>0.10197198756516899</v>
      </c>
      <c r="AM6">
        <v>8.5811542843270402E-2</v>
      </c>
      <c r="AN6">
        <v>0.97144516715924301</v>
      </c>
      <c r="AO6">
        <v>0.61278215228256405</v>
      </c>
      <c r="AP6">
        <v>-5.6981713743923197E-2</v>
      </c>
      <c r="AQ6">
        <v>1.90056096110037E-3</v>
      </c>
      <c r="AR6">
        <v>-8.0372331558280496E-2</v>
      </c>
      <c r="AS6">
        <v>-0.12454193413263499</v>
      </c>
      <c r="AT6">
        <v>-3.6270890539689899E-3</v>
      </c>
      <c r="AU6">
        <v>-7.3501150823485004E-2</v>
      </c>
      <c r="AV6">
        <v>0</v>
      </c>
      <c r="AW6">
        <v>0.32081151389426299</v>
      </c>
      <c r="AX6">
        <v>9.6881794882521896E-2</v>
      </c>
      <c r="AY6">
        <v>0.12533418008366001</v>
      </c>
      <c r="AZ6">
        <v>0.53768527406331101</v>
      </c>
      <c r="BA6">
        <v>-0.12454193413263499</v>
      </c>
    </row>
    <row r="7" spans="1:53" s="119" customFormat="1" x14ac:dyDescent="0.25">
      <c r="A7" s="119" t="s">
        <v>265</v>
      </c>
      <c r="B7" s="119" t="s">
        <v>451</v>
      </c>
      <c r="C7" s="119">
        <v>-3.4201665010807798E-2</v>
      </c>
      <c r="D7" s="119">
        <v>0.292686122476425</v>
      </c>
      <c r="E7" s="119">
        <v>0.275083758885246</v>
      </c>
      <c r="F7" s="119">
        <v>-4.6795203656968098E-2</v>
      </c>
      <c r="G7" s="119">
        <v>0.686310690596869</v>
      </c>
      <c r="H7" s="119">
        <v>8.3320999338706098E-2</v>
      </c>
      <c r="I7" s="119">
        <v>0.159143250349639</v>
      </c>
      <c r="J7" s="119">
        <v>0.59850145240230901</v>
      </c>
      <c r="K7" s="119">
        <v>0.21004365094684599</v>
      </c>
      <c r="L7" s="119">
        <v>0.68314832392951197</v>
      </c>
      <c r="M7" s="119">
        <v>0.38970748816003598</v>
      </c>
      <c r="N7" s="119">
        <v>0.27241400417693201</v>
      </c>
      <c r="O7" s="119">
        <v>-0.30692494267777098</v>
      </c>
      <c r="P7" s="119">
        <v>-0.274268038067012</v>
      </c>
      <c r="Q7" s="119">
        <v>-0.22845731095662</v>
      </c>
      <c r="R7" s="119">
        <v>-0.330795482667467</v>
      </c>
      <c r="S7" s="119">
        <v>-0.330795482667467</v>
      </c>
      <c r="T7" s="119">
        <v>-0.330795482667467</v>
      </c>
      <c r="U7" s="119">
        <v>-0.23285953551493099</v>
      </c>
      <c r="V7" s="119">
        <v>-0.330795482667467</v>
      </c>
      <c r="W7" s="119">
        <v>-0.11873101955913801</v>
      </c>
      <c r="X7" s="119">
        <v>-0.27350795603475098</v>
      </c>
      <c r="Y7" s="119">
        <v>-0.330795482667467</v>
      </c>
      <c r="Z7" s="119">
        <v>-0.29977241737411903</v>
      </c>
      <c r="AA7" s="119">
        <v>-0.330795482667467</v>
      </c>
      <c r="AB7" s="119">
        <v>-5.95051556642789E-2</v>
      </c>
      <c r="AC7" s="119">
        <v>-5.0541702774319998E-2</v>
      </c>
      <c r="AD7" s="119">
        <v>0.82545759531073104</v>
      </c>
      <c r="AE7" s="119">
        <v>-0.330795482667467</v>
      </c>
      <c r="AF7" s="119">
        <v>0.69574067201053902</v>
      </c>
      <c r="AG7" s="119">
        <v>0.17973056685892</v>
      </c>
      <c r="AH7" s="119">
        <v>0.48288432716528701</v>
      </c>
      <c r="AI7" s="119">
        <v>0.19588843151135399</v>
      </c>
      <c r="AJ7" s="119">
        <v>0.12109200976025</v>
      </c>
      <c r="AK7" s="119">
        <v>0.27380936944184198</v>
      </c>
      <c r="AL7" s="119">
        <v>0.64570231023977598</v>
      </c>
      <c r="AM7" s="119">
        <v>-2.4296952135890199E-2</v>
      </c>
      <c r="AN7" s="119">
        <v>-0.330795482667467</v>
      </c>
      <c r="AO7" s="119">
        <v>-5.7967200726331602E-2</v>
      </c>
      <c r="AP7" s="119">
        <v>-0.330795482667467</v>
      </c>
      <c r="AQ7" s="119">
        <v>-0.330795482667467</v>
      </c>
      <c r="AR7" s="119">
        <v>0.63462381900328402</v>
      </c>
      <c r="AS7" s="119">
        <v>-0.21833323049025599</v>
      </c>
      <c r="AT7" s="119">
        <v>0.27223535853856201</v>
      </c>
      <c r="AU7" s="119">
        <v>0.25654379565129598</v>
      </c>
      <c r="AV7" s="119">
        <v>0.219815554256657</v>
      </c>
      <c r="AW7" s="119">
        <v>0</v>
      </c>
      <c r="AX7" s="119">
        <v>-0.10937175365231</v>
      </c>
      <c r="AY7" s="119">
        <v>0.23837080172488201</v>
      </c>
      <c r="AZ7" s="119">
        <v>3.2965310452510603E-2</v>
      </c>
      <c r="BA7" s="119">
        <v>1.0136556686643301</v>
      </c>
    </row>
    <row r="8" spans="1:53" x14ac:dyDescent="0.25">
      <c r="A8" t="s">
        <v>266</v>
      </c>
      <c r="B8" t="s">
        <v>423</v>
      </c>
      <c r="C8">
        <v>-0.14240530263881601</v>
      </c>
      <c r="D8">
        <v>-3.9946870456858297E-2</v>
      </c>
      <c r="E8">
        <v>0.152477865437424</v>
      </c>
      <c r="F8">
        <v>-0.120242720250632</v>
      </c>
      <c r="G8">
        <v>-7.7956447340408797E-2</v>
      </c>
      <c r="H8">
        <v>-0.42375820302189499</v>
      </c>
      <c r="I8">
        <v>-0.13402275446233</v>
      </c>
      <c r="J8">
        <v>-5.6151441093076598E-2</v>
      </c>
      <c r="K8">
        <v>-0.34061936133896498</v>
      </c>
      <c r="L8">
        <v>-0.24648295998963801</v>
      </c>
      <c r="M8">
        <v>-0.16582512512498901</v>
      </c>
      <c r="N8">
        <v>0.14128082792977201</v>
      </c>
      <c r="O8">
        <v>0.60433197123608895</v>
      </c>
      <c r="P8">
        <v>0.222154773322503</v>
      </c>
      <c r="Q8">
        <v>-4.7487152402609097E-2</v>
      </c>
      <c r="R8">
        <v>0.31299162823450499</v>
      </c>
      <c r="S8">
        <v>0.61254736995720405</v>
      </c>
      <c r="T8">
        <v>0.16015708781458499</v>
      </c>
      <c r="U8">
        <v>0.35171424992025302</v>
      </c>
      <c r="V8">
        <v>0.40341955549682001</v>
      </c>
      <c r="W8">
        <v>-2.4240191727983099E-2</v>
      </c>
      <c r="X8">
        <v>0.12328718516923499</v>
      </c>
      <c r="Y8">
        <v>0.558379950071759</v>
      </c>
      <c r="Z8">
        <v>0.96576631324138296</v>
      </c>
      <c r="AA8">
        <v>-0.32109492698554798</v>
      </c>
      <c r="AB8">
        <v>-0.30835361092377001</v>
      </c>
      <c r="AC8">
        <v>-0.25770032272406102</v>
      </c>
      <c r="AD8">
        <v>-0.42375820302189499</v>
      </c>
      <c r="AE8">
        <v>0.52654231569759202</v>
      </c>
      <c r="AF8">
        <v>-0.42375820302189499</v>
      </c>
      <c r="AG8">
        <v>0.30790184013642702</v>
      </c>
      <c r="AH8">
        <v>-1.1117630427345E-2</v>
      </c>
      <c r="AI8">
        <v>5.7965247060599197E-2</v>
      </c>
      <c r="AJ8">
        <v>-5.58601770559434E-2</v>
      </c>
      <c r="AK8">
        <v>8.7793364598958507E-2</v>
      </c>
      <c r="AL8">
        <v>0</v>
      </c>
      <c r="AM8">
        <v>0.76350524090640404</v>
      </c>
      <c r="AN8">
        <v>0.171401655239523</v>
      </c>
      <c r="AO8">
        <v>-2.8579159040137001E-2</v>
      </c>
      <c r="AP8">
        <v>-0.22903120277750499</v>
      </c>
      <c r="AQ8">
        <v>-0.18022316414474901</v>
      </c>
      <c r="AR8">
        <v>0.29915159839476901</v>
      </c>
      <c r="AS8">
        <v>-0.33885008775547598</v>
      </c>
      <c r="AT8">
        <v>0.24734603986407799</v>
      </c>
      <c r="AU8">
        <v>-1.3376884533536E-3</v>
      </c>
      <c r="AV8">
        <v>1.03005227884243</v>
      </c>
      <c r="AW8">
        <v>0.244539235502714</v>
      </c>
      <c r="AX8">
        <v>-0.20233447400673901</v>
      </c>
      <c r="AY8">
        <v>0.104429700279106</v>
      </c>
      <c r="AZ8">
        <v>9.5794766871235101E-2</v>
      </c>
      <c r="BA8">
        <v>0.19332147078392201</v>
      </c>
    </row>
    <row r="9" spans="1:53" x14ac:dyDescent="0.25">
      <c r="A9" t="s">
        <v>266</v>
      </c>
      <c r="B9" t="s">
        <v>425</v>
      </c>
      <c r="C9">
        <v>-0.313686412195606</v>
      </c>
      <c r="D9">
        <v>-0.212414672831227</v>
      </c>
      <c r="E9">
        <v>3.5394193825414401E-2</v>
      </c>
      <c r="F9">
        <v>-5.2607439955475899E-2</v>
      </c>
      <c r="G9">
        <v>-0.34096370826565597</v>
      </c>
      <c r="H9">
        <v>-0.95030051871948795</v>
      </c>
      <c r="I9">
        <v>6.0807191568718099E-3</v>
      </c>
      <c r="J9">
        <v>-5.6927541843940097E-2</v>
      </c>
      <c r="K9">
        <v>1.7560977477020099E-2</v>
      </c>
      <c r="L9">
        <v>-0.39992130552322003</v>
      </c>
      <c r="M9">
        <v>5.0109994306402103E-2</v>
      </c>
      <c r="N9">
        <v>0.20882784081157801</v>
      </c>
      <c r="O9">
        <v>1.31301021283538</v>
      </c>
      <c r="P9">
        <v>1.0065854102924201</v>
      </c>
      <c r="Q9">
        <v>0.70561223667133099</v>
      </c>
      <c r="R9">
        <v>1.32102995369591</v>
      </c>
      <c r="S9">
        <v>0.77743962185042703</v>
      </c>
      <c r="T9">
        <v>0.84661012568359795</v>
      </c>
      <c r="U9">
        <v>0.88281728935178905</v>
      </c>
      <c r="V9">
        <v>0.994125006527385</v>
      </c>
      <c r="W9">
        <v>0.87881971194556296</v>
      </c>
      <c r="X9">
        <v>0.70014926595757498</v>
      </c>
      <c r="Y9">
        <v>0.79428511171122396</v>
      </c>
      <c r="Z9">
        <v>1.87851592675421</v>
      </c>
      <c r="AA9">
        <v>0.61098845662708101</v>
      </c>
      <c r="AB9">
        <v>-0.24707076435030201</v>
      </c>
      <c r="AC9">
        <v>-0.32871762766085999</v>
      </c>
      <c r="AD9">
        <v>-0.26320070690054298</v>
      </c>
      <c r="AE9">
        <v>0</v>
      </c>
      <c r="AF9">
        <v>0.33917238283587597</v>
      </c>
      <c r="AG9">
        <v>-7.9360183982752006E-2</v>
      </c>
      <c r="AH9">
        <v>-0.75825065971290495</v>
      </c>
      <c r="AI9">
        <v>-0.26419903964666902</v>
      </c>
      <c r="AJ9">
        <v>0.399612599713283</v>
      </c>
      <c r="AK9">
        <v>-0.22232928467951599</v>
      </c>
      <c r="AL9">
        <v>-5.1724180238561998E-2</v>
      </c>
      <c r="AM9">
        <v>-0.304937155522506</v>
      </c>
      <c r="AN9">
        <v>0.17921632233177401</v>
      </c>
      <c r="AO9">
        <v>-0.40809543983095797</v>
      </c>
      <c r="AP9">
        <v>-0.44687573717444401</v>
      </c>
      <c r="AQ9">
        <v>0.123302661838035</v>
      </c>
      <c r="AR9">
        <v>-0.29221317516781198</v>
      </c>
      <c r="AS9">
        <v>-0.29112242361483698</v>
      </c>
      <c r="AT9">
        <v>0.50128771839338304</v>
      </c>
      <c r="AU9">
        <v>-6.6475406920449107E-2</v>
      </c>
      <c r="AV9">
        <v>-0.43219144888787298</v>
      </c>
      <c r="AW9">
        <v>6.66958819827842E-2</v>
      </c>
      <c r="AX9">
        <v>-0.35769215756642597</v>
      </c>
      <c r="AY9">
        <v>-0.58761605636432401</v>
      </c>
      <c r="AZ9">
        <v>0.41850819190562799</v>
      </c>
      <c r="BA9">
        <v>-9.6024823875433304E-2</v>
      </c>
    </row>
    <row r="10" spans="1:53" x14ac:dyDescent="0.25">
      <c r="A10" t="s">
        <v>266</v>
      </c>
      <c r="B10" t="s">
        <v>426</v>
      </c>
      <c r="C10">
        <v>4.1500287182135102E-2</v>
      </c>
      <c r="D10">
        <v>0</v>
      </c>
      <c r="E10">
        <v>0.109847395238338</v>
      </c>
      <c r="F10">
        <v>5.40908653283187E-2</v>
      </c>
      <c r="G10">
        <v>7.4688249146994706E-2</v>
      </c>
      <c r="H10">
        <v>0</v>
      </c>
      <c r="I10">
        <v>6.2177930727246297E-2</v>
      </c>
      <c r="J10">
        <v>0</v>
      </c>
      <c r="K10">
        <v>0.10681423931134</v>
      </c>
      <c r="L10">
        <v>0.177275243032257</v>
      </c>
      <c r="M10">
        <v>0</v>
      </c>
      <c r="N10">
        <v>0</v>
      </c>
      <c r="O10">
        <v>0.47965430289907801</v>
      </c>
      <c r="P10">
        <v>0.20818795711200999</v>
      </c>
      <c r="Q10">
        <v>0.102338171710847</v>
      </c>
      <c r="R10">
        <v>0.14220080999950399</v>
      </c>
      <c r="S10">
        <v>0.60395834284213601</v>
      </c>
      <c r="T10">
        <v>0.20550943942140901</v>
      </c>
      <c r="U10">
        <v>9.7935947152535896E-2</v>
      </c>
      <c r="V10">
        <v>5.6453641736662501E-2</v>
      </c>
      <c r="W10">
        <v>0.21206446310832899</v>
      </c>
      <c r="X10">
        <v>0</v>
      </c>
      <c r="Y10">
        <v>0</v>
      </c>
      <c r="Z10">
        <v>6.1525167935332102E-2</v>
      </c>
      <c r="AA10">
        <v>0</v>
      </c>
      <c r="AB10">
        <v>0</v>
      </c>
      <c r="AC10">
        <v>6.7322332868655493E-2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0.119884378116573</v>
      </c>
      <c r="AQ10">
        <v>0</v>
      </c>
      <c r="AR10">
        <v>0</v>
      </c>
      <c r="AS10">
        <v>0</v>
      </c>
      <c r="AT10">
        <v>0.120914845078666</v>
      </c>
      <c r="AU10">
        <v>0</v>
      </c>
      <c r="AV10">
        <v>6.3379995559797203E-2</v>
      </c>
      <c r="AW10">
        <v>0</v>
      </c>
      <c r="AX10">
        <v>0.221423729015157</v>
      </c>
      <c r="AY10">
        <v>0</v>
      </c>
      <c r="AZ10">
        <v>0.19192092735017599</v>
      </c>
      <c r="BA10">
        <v>0</v>
      </c>
    </row>
    <row r="11" spans="1:53" x14ac:dyDescent="0.25">
      <c r="A11" t="s">
        <v>266</v>
      </c>
      <c r="B11" t="s">
        <v>428</v>
      </c>
      <c r="C11">
        <v>-0.20236319865712399</v>
      </c>
      <c r="D11">
        <v>-0.20094024231638899</v>
      </c>
      <c r="E11">
        <v>-3.9137928587269999E-2</v>
      </c>
      <c r="F11">
        <v>-6.0245310348714297E-2</v>
      </c>
      <c r="G11">
        <v>-0.14845836112154501</v>
      </c>
      <c r="H11">
        <v>5.0355688886195599E-2</v>
      </c>
      <c r="I11">
        <v>-0.183888451774673</v>
      </c>
      <c r="J11">
        <v>-9.91020676308184E-2</v>
      </c>
      <c r="K11">
        <v>-0.240316155845539</v>
      </c>
      <c r="L11">
        <v>-0.18648555008772</v>
      </c>
      <c r="M11">
        <v>-0.16689132211286301</v>
      </c>
      <c r="N11">
        <v>-5.7663724780752199E-2</v>
      </c>
      <c r="O11">
        <v>0.80627737542008504</v>
      </c>
      <c r="P11">
        <v>0.376420607677244</v>
      </c>
      <c r="Q11">
        <v>0.52264029297526005</v>
      </c>
      <c r="R11">
        <v>0.491241497158032</v>
      </c>
      <c r="S11">
        <v>0.904235104344566</v>
      </c>
      <c r="T11">
        <v>0.63198767195905003</v>
      </c>
      <c r="U11">
        <v>0.55529789858406298</v>
      </c>
      <c r="V11">
        <v>0.59983268077864504</v>
      </c>
      <c r="W11">
        <v>0.63701231221653898</v>
      </c>
      <c r="X11">
        <v>0.165370689931367</v>
      </c>
      <c r="Y11">
        <v>0.53112688865695501</v>
      </c>
      <c r="Z11">
        <v>0.64280245333585495</v>
      </c>
      <c r="AA11">
        <v>0.29520408813351601</v>
      </c>
      <c r="AB11">
        <v>-0.30533943545836101</v>
      </c>
      <c r="AC11">
        <v>-0.29643846025132198</v>
      </c>
      <c r="AD11">
        <v>0.32333901869896697</v>
      </c>
      <c r="AE11">
        <v>0.18536648934637601</v>
      </c>
      <c r="AF11">
        <v>0.120183934121484</v>
      </c>
      <c r="AG11">
        <v>-0.145593132046235</v>
      </c>
      <c r="AH11">
        <v>4.8879779474572997E-2</v>
      </c>
      <c r="AI11">
        <v>-0.21213871657511099</v>
      </c>
      <c r="AJ11">
        <v>-0.122091764259517</v>
      </c>
      <c r="AK11">
        <v>-0.12050059587968399</v>
      </c>
      <c r="AL11">
        <v>5.9997409901918E-2</v>
      </c>
      <c r="AM11">
        <v>0.326146778597808</v>
      </c>
      <c r="AN11">
        <v>5.7663900755367599E-2</v>
      </c>
      <c r="AO11">
        <v>-0.22213174278434999</v>
      </c>
      <c r="AP11">
        <v>-0.14756271050384701</v>
      </c>
      <c r="AQ11">
        <v>-0.363760793119978</v>
      </c>
      <c r="AR11">
        <v>2.8607330563953801E-2</v>
      </c>
      <c r="AS11">
        <v>-3.8537541070195198E-2</v>
      </c>
      <c r="AT11">
        <v>-2.4681519564058101E-2</v>
      </c>
      <c r="AU11">
        <v>-7.6850438451796801E-2</v>
      </c>
      <c r="AV11">
        <v>1.5421738483352601</v>
      </c>
      <c r="AW11">
        <v>0.15000097581122501</v>
      </c>
      <c r="AX11">
        <v>0.22884756803308401</v>
      </c>
      <c r="AY11">
        <v>-0.23435888892720499</v>
      </c>
      <c r="AZ11">
        <v>0</v>
      </c>
      <c r="BA11">
        <v>-2.5179973489638401E-2</v>
      </c>
    </row>
    <row r="12" spans="1:53" x14ac:dyDescent="0.25">
      <c r="A12" t="s">
        <v>266</v>
      </c>
      <c r="B12" t="s">
        <v>429</v>
      </c>
      <c r="C12">
        <v>-0.37728423432631503</v>
      </c>
      <c r="D12">
        <v>7.1660522364215398E-2</v>
      </c>
      <c r="E12">
        <v>-0.33705381378481097</v>
      </c>
      <c r="F12">
        <v>-0.19788752266596299</v>
      </c>
      <c r="G12">
        <v>0</v>
      </c>
      <c r="H12">
        <v>0.10366836286407401</v>
      </c>
      <c r="I12">
        <v>-0.29491630432764898</v>
      </c>
      <c r="J12">
        <v>-0.204955989778945</v>
      </c>
      <c r="K12">
        <v>-0.474019438010859</v>
      </c>
      <c r="L12">
        <v>-0.114531501917203</v>
      </c>
      <c r="M12">
        <v>-0.31998212516901298</v>
      </c>
      <c r="N12">
        <v>-0.51178938569809296</v>
      </c>
      <c r="O12">
        <v>1.5074537246420501</v>
      </c>
      <c r="P12">
        <v>0.93634197913936701</v>
      </c>
      <c r="Q12">
        <v>0.69536809452724802</v>
      </c>
      <c r="R12">
        <v>0.832591189732661</v>
      </c>
      <c r="S12">
        <v>-3.3021865944731298E-2</v>
      </c>
      <c r="T12">
        <v>0.429153573670148</v>
      </c>
      <c r="U12">
        <v>0.23177101213498999</v>
      </c>
      <c r="V12">
        <v>0.52401689616497404</v>
      </c>
      <c r="W12">
        <v>0.48367082202987999</v>
      </c>
      <c r="X12">
        <v>4.8329267010770803E-2</v>
      </c>
      <c r="Y12">
        <v>0.70934650833542501</v>
      </c>
      <c r="Z12">
        <v>-0.28012885999589499</v>
      </c>
      <c r="AA12">
        <v>-0.25885796730094701</v>
      </c>
      <c r="AB12">
        <v>-0.460048025391599</v>
      </c>
      <c r="AC12">
        <v>-0.34027443576597399</v>
      </c>
      <c r="AD12">
        <v>5.0119603032077603E-2</v>
      </c>
      <c r="AE12">
        <v>0.31332030993262</v>
      </c>
      <c r="AF12">
        <v>0.21139126904386099</v>
      </c>
      <c r="AG12">
        <v>3.3018058144800098E-2</v>
      </c>
      <c r="AH12">
        <v>0.38031900710712402</v>
      </c>
      <c r="AI12">
        <v>-0.242656309287889</v>
      </c>
      <c r="AJ12">
        <v>0.16897829613509699</v>
      </c>
      <c r="AK12">
        <v>0.123645466902242</v>
      </c>
      <c r="AL12">
        <v>-0.21322200576497199</v>
      </c>
      <c r="AM12">
        <v>0.94176919371287504</v>
      </c>
      <c r="AN12">
        <v>-0.27793430382108397</v>
      </c>
      <c r="AO12">
        <v>-0.231771790231668</v>
      </c>
      <c r="AP12">
        <v>-0.20328828864139301</v>
      </c>
      <c r="AQ12">
        <v>-0.28435801631927099</v>
      </c>
      <c r="AR12">
        <v>-0.458192355110697</v>
      </c>
      <c r="AS12">
        <v>-0.32631977956601599</v>
      </c>
      <c r="AT12">
        <v>7.5745014541757499E-2</v>
      </c>
      <c r="AU12">
        <v>5.7711747107444297E-2</v>
      </c>
      <c r="AV12">
        <v>2.1613252225842898</v>
      </c>
      <c r="AW12">
        <v>0.351440340293661</v>
      </c>
      <c r="AX12">
        <v>-4.4371847633805403E-2</v>
      </c>
      <c r="AY12">
        <v>-1.15514128583481E-2</v>
      </c>
      <c r="AZ12">
        <v>0.56208705108117596</v>
      </c>
      <c r="BA12">
        <v>-1.99005349810496E-2</v>
      </c>
    </row>
    <row r="13" spans="1:53" x14ac:dyDescent="0.25">
      <c r="A13" t="s">
        <v>266</v>
      </c>
      <c r="B13" t="s">
        <v>434</v>
      </c>
      <c r="C13">
        <v>-7.8167396027047295E-2</v>
      </c>
      <c r="D13">
        <v>0.31322091268800201</v>
      </c>
      <c r="E13">
        <v>-2.23852292101001E-2</v>
      </c>
      <c r="F13">
        <v>0</v>
      </c>
      <c r="G13">
        <v>2.96760585127657E-2</v>
      </c>
      <c r="H13">
        <v>-0.66949431944260096</v>
      </c>
      <c r="I13">
        <v>-0.13299625247990901</v>
      </c>
      <c r="J13">
        <v>-0.12160123366996201</v>
      </c>
      <c r="K13">
        <v>-7.1940476782032095E-2</v>
      </c>
      <c r="L13">
        <v>0.217340392001939</v>
      </c>
      <c r="M13">
        <v>7.8237290891869204E-2</v>
      </c>
      <c r="N13">
        <v>-0.120328548883487</v>
      </c>
      <c r="O13">
        <v>1.3515149266139601</v>
      </c>
      <c r="P13">
        <v>0.86915329698192201</v>
      </c>
      <c r="Q13">
        <v>0.21983578259751699</v>
      </c>
      <c r="R13">
        <v>0.72892356480815201</v>
      </c>
      <c r="S13">
        <v>0.70540893840862795</v>
      </c>
      <c r="T13">
        <v>0.61898127736788999</v>
      </c>
      <c r="U13">
        <v>0.86536659471739297</v>
      </c>
      <c r="V13">
        <v>0.99821450091298802</v>
      </c>
      <c r="W13">
        <v>0.84449251348500998</v>
      </c>
      <c r="X13">
        <v>6.4894193912676701E-2</v>
      </c>
      <c r="Y13">
        <v>6.4784913589788495E-2</v>
      </c>
      <c r="Z13">
        <v>-0.63847125414925299</v>
      </c>
      <c r="AA13">
        <v>-0.56683104340625401</v>
      </c>
      <c r="AB13">
        <v>0.24703680357350799</v>
      </c>
      <c r="AC13">
        <v>-0.106800573701868</v>
      </c>
      <c r="AD13">
        <v>0.48675875853559702</v>
      </c>
      <c r="AE13">
        <v>-0.120367036976248</v>
      </c>
      <c r="AF13">
        <v>-0.18554959220114001</v>
      </c>
      <c r="AG13">
        <v>0.201446015294134</v>
      </c>
      <c r="AH13">
        <v>-0.30442968358399197</v>
      </c>
      <c r="AI13">
        <v>-0.37839476911583497</v>
      </c>
      <c r="AJ13">
        <v>0.37251991566689902</v>
      </c>
      <c r="AK13">
        <v>0.27549756073784498</v>
      </c>
      <c r="AL13">
        <v>-7.0890237811009296E-2</v>
      </c>
      <c r="AM13">
        <v>-0.13670254290328601</v>
      </c>
      <c r="AN13">
        <v>1.11378082620324</v>
      </c>
      <c r="AO13">
        <v>-0.150132148554109</v>
      </c>
      <c r="AP13">
        <v>-0.12658855817982201</v>
      </c>
      <c r="AQ13">
        <v>-0.214716294753688</v>
      </c>
      <c r="AR13">
        <v>0.273870453766067</v>
      </c>
      <c r="AS13">
        <v>-0.23909117292235099</v>
      </c>
      <c r="AT13">
        <v>0.38531615714261802</v>
      </c>
      <c r="AU13">
        <v>0.172457523021503</v>
      </c>
      <c r="AV13">
        <v>-0.48584348374068698</v>
      </c>
      <c r="AW13">
        <v>-0.26550231166121202</v>
      </c>
      <c r="AX13">
        <v>-0.66949431944260096</v>
      </c>
      <c r="AY13">
        <v>-0.30680985708743802</v>
      </c>
      <c r="AZ13">
        <v>-7.2671112466555403E-3</v>
      </c>
      <c r="BA13">
        <v>0.18478137540145301</v>
      </c>
    </row>
    <row r="14" spans="1:53" x14ac:dyDescent="0.25">
      <c r="A14" t="s">
        <v>266</v>
      </c>
      <c r="B14" t="s">
        <v>435</v>
      </c>
      <c r="C14">
        <v>0.52451961507008904</v>
      </c>
      <c r="D14">
        <v>0.441982638506835</v>
      </c>
      <c r="E14">
        <v>0.23187148182283299</v>
      </c>
      <c r="F14">
        <v>9.1357838349387294E-2</v>
      </c>
      <c r="G14">
        <v>0.41035734243799898</v>
      </c>
      <c r="H14">
        <v>0.23357258259428801</v>
      </c>
      <c r="I14">
        <v>5.09501765329506E-2</v>
      </c>
      <c r="J14">
        <v>0</v>
      </c>
      <c r="K14">
        <v>0.479201953013566</v>
      </c>
      <c r="L14">
        <v>0.30333638104274302</v>
      </c>
      <c r="M14">
        <v>0.341890547012973</v>
      </c>
      <c r="N14">
        <v>0.38070837995405299</v>
      </c>
      <c r="O14">
        <v>-0.31165268417745501</v>
      </c>
      <c r="P14">
        <v>-0.23236262009976899</v>
      </c>
      <c r="Q14">
        <v>-0.73852833995641198</v>
      </c>
      <c r="R14">
        <v>-0.63486324589971299</v>
      </c>
      <c r="S14">
        <v>-0.31483913529279201</v>
      </c>
      <c r="T14">
        <v>-1.09761948266156</v>
      </c>
      <c r="U14">
        <v>-0.85677855223474697</v>
      </c>
      <c r="V14">
        <v>-0.97132734020064104</v>
      </c>
      <c r="W14">
        <v>-0.54229619029437304</v>
      </c>
      <c r="X14">
        <v>4.1524453020353597E-2</v>
      </c>
      <c r="Y14">
        <v>0.19479150238836301</v>
      </c>
      <c r="Z14">
        <v>-0.59314555315767603</v>
      </c>
      <c r="AA14">
        <v>0.39670366187328299</v>
      </c>
      <c r="AB14">
        <v>0.63676978659165895</v>
      </c>
      <c r="AC14">
        <v>0.21110767839542299</v>
      </c>
      <c r="AD14">
        <v>-0.96963672705800097</v>
      </c>
      <c r="AE14">
        <v>0.22141171527589301</v>
      </c>
      <c r="AF14">
        <v>-0.29846618820391202</v>
      </c>
      <c r="AG14">
        <v>-0.45211369853504202</v>
      </c>
      <c r="AH14">
        <v>-0.40845889973072003</v>
      </c>
      <c r="AI14">
        <v>-0.143336869871689</v>
      </c>
      <c r="AJ14">
        <v>-6.5889378408059002E-2</v>
      </c>
      <c r="AK14">
        <v>-0.51494590643542104</v>
      </c>
      <c r="AL14">
        <v>0.29512614757880601</v>
      </c>
      <c r="AM14">
        <v>-0.48630967001691999</v>
      </c>
      <c r="AN14">
        <v>-1.3135835533953399</v>
      </c>
      <c r="AO14">
        <v>-0.33363273073345101</v>
      </c>
      <c r="AP14">
        <v>0.348254102024664</v>
      </c>
      <c r="AQ14">
        <v>0.26345866497757098</v>
      </c>
      <c r="AR14">
        <v>-0.47697501392312303</v>
      </c>
      <c r="AS14">
        <v>0.27582308010037598</v>
      </c>
      <c r="AT14">
        <v>0.71582940993760502</v>
      </c>
      <c r="AU14">
        <v>0.69993189142894996</v>
      </c>
      <c r="AV14">
        <v>0.81149898368862505</v>
      </c>
      <c r="AW14">
        <v>-2.94080599396319E-2</v>
      </c>
      <c r="AX14">
        <v>-0.70986188136568296</v>
      </c>
      <c r="AY14">
        <v>-0.52388661150988303</v>
      </c>
      <c r="AZ14">
        <v>0.88705958985280098</v>
      </c>
      <c r="BA14">
        <v>-0.22102183630686201</v>
      </c>
    </row>
    <row r="15" spans="1:53" x14ac:dyDescent="0.25">
      <c r="A15" t="s">
        <v>266</v>
      </c>
      <c r="B15" t="s">
        <v>436</v>
      </c>
      <c r="C15">
        <v>0.115939525484494</v>
      </c>
      <c r="D15">
        <v>0.63844819153596299</v>
      </c>
      <c r="E15">
        <v>0.13064551188454701</v>
      </c>
      <c r="F15">
        <v>-0.25415373975918298</v>
      </c>
      <c r="G15">
        <v>4.8229589531203598E-2</v>
      </c>
      <c r="H15">
        <v>0.105871876918671</v>
      </c>
      <c r="I15">
        <v>-1.8509156527935999E-2</v>
      </c>
      <c r="J15">
        <v>0.100278356886477</v>
      </c>
      <c r="K15">
        <v>-6.8478193144539207E-2</v>
      </c>
      <c r="L15">
        <v>-0.13096936205524501</v>
      </c>
      <c r="M15">
        <v>-0.17459592445924199</v>
      </c>
      <c r="N15">
        <v>-0.30824460508750201</v>
      </c>
      <c r="O15">
        <v>-0.20093422719669701</v>
      </c>
      <c r="P15">
        <v>-0.196400099999679</v>
      </c>
      <c r="Q15">
        <v>-6.3352689127596798E-2</v>
      </c>
      <c r="R15">
        <v>-0.18855993217845299</v>
      </c>
      <c r="S15">
        <v>-0.30824460508750201</v>
      </c>
      <c r="T15">
        <v>-0.16843845445702699</v>
      </c>
      <c r="U15">
        <v>-2.82131236845042E-2</v>
      </c>
      <c r="V15">
        <v>-0.251790963350839</v>
      </c>
      <c r="W15">
        <v>2.40208748872505E-4</v>
      </c>
      <c r="X15">
        <v>-8.9531285236334093E-2</v>
      </c>
      <c r="Y15">
        <v>-0.18030383389111301</v>
      </c>
      <c r="Z15">
        <v>-0.15815034068332601</v>
      </c>
      <c r="AA15">
        <v>-0.108776866756142</v>
      </c>
      <c r="AB15">
        <v>-0.211680304824195</v>
      </c>
      <c r="AC15">
        <v>-0.28555087175546501</v>
      </c>
      <c r="AD15">
        <v>0.84800847289069603</v>
      </c>
      <c r="AE15">
        <v>0.24088267737885199</v>
      </c>
      <c r="AF15">
        <v>-0.30824460508750201</v>
      </c>
      <c r="AG15">
        <v>0.87438774440265499</v>
      </c>
      <c r="AH15">
        <v>1.0432377190506501</v>
      </c>
      <c r="AI15">
        <v>1.3457021519180501</v>
      </c>
      <c r="AJ15">
        <v>1.59490232727146</v>
      </c>
      <c r="AK15">
        <v>1.09037955453155</v>
      </c>
      <c r="AL15">
        <v>0.447511332001791</v>
      </c>
      <c r="AM15">
        <v>2.5543449104205198</v>
      </c>
      <c r="AN15">
        <v>-0.30824460508750201</v>
      </c>
      <c r="AO15">
        <v>0.56423222051996003</v>
      </c>
      <c r="AP15">
        <v>0.481171289896142</v>
      </c>
      <c r="AQ15">
        <v>0</v>
      </c>
      <c r="AR15">
        <v>-0.13647792180728299</v>
      </c>
      <c r="AS15">
        <v>-0.195782352910291</v>
      </c>
      <c r="AT15">
        <v>0.130120500867213</v>
      </c>
      <c r="AU15">
        <v>-8.5103822215029698E-2</v>
      </c>
      <c r="AV15">
        <v>3.2656160126371701</v>
      </c>
      <c r="AW15">
        <v>0.73285281742016595</v>
      </c>
      <c r="AX15">
        <v>0.92250718940744203</v>
      </c>
      <c r="AY15">
        <v>1.41880427393408</v>
      </c>
      <c r="AZ15">
        <v>1.41092447027906</v>
      </c>
      <c r="BA15">
        <v>1.6634894664714099</v>
      </c>
    </row>
    <row r="16" spans="1:53" x14ac:dyDescent="0.25">
      <c r="A16" t="s">
        <v>266</v>
      </c>
      <c r="B16" t="s">
        <v>437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9.1096557276535095E-2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5.7287526632715899E-2</v>
      </c>
      <c r="Y16">
        <v>0.24628018018252501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0.40899298617484198</v>
      </c>
      <c r="AH16">
        <v>0</v>
      </c>
      <c r="AI16">
        <v>7.7473829733754995E-2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0.94435882226166501</v>
      </c>
      <c r="AP16">
        <v>0</v>
      </c>
      <c r="AQ16">
        <v>0</v>
      </c>
      <c r="AR16">
        <v>0</v>
      </c>
      <c r="AS16">
        <v>0</v>
      </c>
      <c r="AT16">
        <v>6.1570953542014702E-2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266</v>
      </c>
      <c r="B17" t="s">
        <v>438</v>
      </c>
      <c r="C17">
        <v>0.12216382261059</v>
      </c>
      <c r="D17">
        <v>0.104582809172511</v>
      </c>
      <c r="E17">
        <v>0</v>
      </c>
      <c r="F17">
        <v>0.106661388358889</v>
      </c>
      <c r="G17">
        <v>0.146369612244342</v>
      </c>
      <c r="H17">
        <v>0</v>
      </c>
      <c r="I17">
        <v>0</v>
      </c>
      <c r="J17">
        <v>0.17451793962218201</v>
      </c>
      <c r="K17">
        <v>4.2004545456269402E-2</v>
      </c>
      <c r="L17">
        <v>0.177275243032257</v>
      </c>
      <c r="M17">
        <v>6.8092552300429807E-2</v>
      </c>
      <c r="N17">
        <v>0</v>
      </c>
      <c r="O17">
        <v>9.3915227107199697E-2</v>
      </c>
      <c r="P17">
        <v>0</v>
      </c>
      <c r="Q17">
        <v>0.15122494055010199</v>
      </c>
      <c r="R17">
        <v>0</v>
      </c>
      <c r="S17">
        <v>0</v>
      </c>
      <c r="T17">
        <v>0</v>
      </c>
      <c r="U17">
        <v>3.32095005512257E-2</v>
      </c>
      <c r="V17">
        <v>0</v>
      </c>
      <c r="W17">
        <v>0</v>
      </c>
      <c r="X17">
        <v>5.7287526632715899E-2</v>
      </c>
      <c r="Y17">
        <v>0</v>
      </c>
      <c r="Z17">
        <v>6.1525167935332102E-2</v>
      </c>
      <c r="AA17">
        <v>0</v>
      </c>
      <c r="AB17">
        <v>0.107603532709278</v>
      </c>
      <c r="AC17">
        <v>2.2693733332036999E-2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0.24166902886046099</v>
      </c>
      <c r="AK17">
        <v>0</v>
      </c>
      <c r="AL17">
        <v>0</v>
      </c>
      <c r="AM17">
        <v>0</v>
      </c>
      <c r="AN17">
        <v>0</v>
      </c>
      <c r="AO17">
        <v>0.30946803815518298</v>
      </c>
      <c r="AP17">
        <v>0.100693843911072</v>
      </c>
      <c r="AQ17">
        <v>0</v>
      </c>
      <c r="AR17">
        <v>0</v>
      </c>
      <c r="AS17">
        <v>5.6987903706626097E-2</v>
      </c>
      <c r="AT17">
        <v>0</v>
      </c>
      <c r="AU17">
        <v>0.10068848539044201</v>
      </c>
      <c r="AV17">
        <v>6.3379995559797203E-2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266</v>
      </c>
      <c r="B18" t="s">
        <v>441</v>
      </c>
      <c r="C18">
        <v>-1.78089836081618E-3</v>
      </c>
      <c r="D18">
        <v>5.6160381362727101E-2</v>
      </c>
      <c r="E18">
        <v>6.2776659578891697E-2</v>
      </c>
      <c r="F18">
        <v>-9.5062046631673197E-2</v>
      </c>
      <c r="G18">
        <v>-0.12703518584356799</v>
      </c>
      <c r="H18">
        <v>-0.201723434990563</v>
      </c>
      <c r="I18">
        <v>3.3989081880792402E-2</v>
      </c>
      <c r="J18">
        <v>-0.102162734178005</v>
      </c>
      <c r="K18">
        <v>0</v>
      </c>
      <c r="L18">
        <v>-0.110626877714028</v>
      </c>
      <c r="M18">
        <v>-0.13363088269013301</v>
      </c>
      <c r="N18">
        <v>0.308048523451527</v>
      </c>
      <c r="O18">
        <v>-4.9230999263805898E-2</v>
      </c>
      <c r="P18">
        <v>-6.2652178293395006E-2</v>
      </c>
      <c r="Q18">
        <v>-9.9385263279715794E-2</v>
      </c>
      <c r="R18">
        <v>-8.20387620815132E-2</v>
      </c>
      <c r="S18">
        <v>0.13004428095023601</v>
      </c>
      <c r="T18">
        <v>-6.1917284360088101E-2</v>
      </c>
      <c r="U18">
        <v>0.123719506303038</v>
      </c>
      <c r="V18">
        <v>-0.14526979325389999</v>
      </c>
      <c r="W18">
        <v>-9.2192718540811805E-2</v>
      </c>
      <c r="X18">
        <v>3.7090405713215802</v>
      </c>
      <c r="Y18">
        <v>4.3716659575982098</v>
      </c>
      <c r="Z18">
        <v>-9.2873733529022104E-2</v>
      </c>
      <c r="AA18">
        <v>-0.201723434990563</v>
      </c>
      <c r="AB18">
        <v>-6.7628377753005398E-2</v>
      </c>
      <c r="AC18">
        <v>-0.13440110212190701</v>
      </c>
      <c r="AD18">
        <v>0.48537637682838197</v>
      </c>
      <c r="AE18">
        <v>1.5533762141977501</v>
      </c>
      <c r="AF18">
        <v>0.50602597363150104</v>
      </c>
      <c r="AG18">
        <v>0.37699311664736501</v>
      </c>
      <c r="AH18">
        <v>-9.6735759839797503E-3</v>
      </c>
      <c r="AI18">
        <v>-0.124249605256808</v>
      </c>
      <c r="AJ18">
        <v>0.53664602339096501</v>
      </c>
      <c r="AK18">
        <v>4.1536762249731199E-2</v>
      </c>
      <c r="AL18">
        <v>2.4790486707240801E-2</v>
      </c>
      <c r="AM18">
        <v>0.28236162678433302</v>
      </c>
      <c r="AN18">
        <v>-7.3809459427314497E-2</v>
      </c>
      <c r="AO18">
        <v>-6.00943846549351E-2</v>
      </c>
      <c r="AP18">
        <v>-0.167722600070351</v>
      </c>
      <c r="AQ18">
        <v>4.18116038865834E-2</v>
      </c>
      <c r="AR18">
        <v>-0.15755383241620799</v>
      </c>
      <c r="AS18">
        <v>-0.116815319724143</v>
      </c>
      <c r="AT18">
        <v>0.115999353168292</v>
      </c>
      <c r="AU18">
        <v>2.1417347881909701E-2</v>
      </c>
      <c r="AV18">
        <v>0.53331008116372902</v>
      </c>
      <c r="AW18">
        <v>0.243630013036335</v>
      </c>
      <c r="AX18">
        <v>1.97002940245944E-2</v>
      </c>
      <c r="AY18">
        <v>0.42370536093795702</v>
      </c>
      <c r="AZ18">
        <v>0.46050377320538299</v>
      </c>
      <c r="BA18">
        <v>0.41535623881525502</v>
      </c>
    </row>
    <row r="19" spans="1:53" s="119" customFormat="1" x14ac:dyDescent="0.25">
      <c r="A19" s="119" t="s">
        <v>266</v>
      </c>
      <c r="B19" s="119" t="s">
        <v>442</v>
      </c>
      <c r="C19" s="119">
        <v>8.0159277154320294E-2</v>
      </c>
      <c r="D19" s="119">
        <v>-4.2004545456269603E-2</v>
      </c>
      <c r="E19" s="119">
        <v>2.8139763789906101E-2</v>
      </c>
      <c r="F19" s="119">
        <v>4.30163667509336E-2</v>
      </c>
      <c r="G19" s="119">
        <v>-4.2004545456269603E-2</v>
      </c>
      <c r="H19" s="119">
        <v>0.37211193654990299</v>
      </c>
      <c r="I19" s="119">
        <v>-4.2004545456269603E-2</v>
      </c>
      <c r="J19" s="119">
        <v>5.7556155356288101E-2</v>
      </c>
      <c r="K19" s="119">
        <v>0</v>
      </c>
      <c r="L19" s="119">
        <v>4.9092011820265499E-2</v>
      </c>
      <c r="M19" s="119">
        <v>-4.2004545456269603E-2</v>
      </c>
      <c r="N19" s="119">
        <v>-4.2004545456269603E-2</v>
      </c>
      <c r="O19" s="119">
        <v>2.8816544575948601E-2</v>
      </c>
      <c r="P19" s="119">
        <v>-1.3584905172788601E-2</v>
      </c>
      <c r="Q19" s="119">
        <v>-4.2004545456269603E-2</v>
      </c>
      <c r="R19" s="119">
        <v>-1.29428142696818E-3</v>
      </c>
      <c r="S19" s="119">
        <v>-4.2004545456269603E-2</v>
      </c>
      <c r="T19" s="119">
        <v>-4.2004545456269603E-2</v>
      </c>
      <c r="U19" s="119">
        <v>0.19658554452365301</v>
      </c>
      <c r="V19" s="119">
        <v>-4.2004545456269603E-2</v>
      </c>
      <c r="W19" s="119">
        <v>-4.2004545456269603E-2</v>
      </c>
      <c r="X19" s="119">
        <v>0.98060958862127801</v>
      </c>
      <c r="Y19" s="119">
        <v>2.8767159322697999</v>
      </c>
      <c r="Z19" s="119">
        <v>1.95206224790626E-2</v>
      </c>
      <c r="AA19" s="119">
        <v>-4.2004545456269603E-2</v>
      </c>
      <c r="AB19" s="119">
        <v>-2.89253547961379E-3</v>
      </c>
      <c r="AC19" s="119">
        <v>-4.2004545456269603E-2</v>
      </c>
      <c r="AD19" s="119">
        <v>0.645095266362675</v>
      </c>
      <c r="AE19" s="119">
        <v>0.50712273701008403</v>
      </c>
      <c r="AF19" s="119">
        <v>-4.2004545456269603E-2</v>
      </c>
      <c r="AG19" s="119">
        <v>-4.2004545456269603E-2</v>
      </c>
      <c r="AH19" s="119">
        <v>-4.2004545456269603E-2</v>
      </c>
      <c r="AI19" s="119">
        <v>3.5469284277485497E-2</v>
      </c>
      <c r="AJ19" s="119">
        <v>0.19966448340419099</v>
      </c>
      <c r="AK19" s="119">
        <v>0.20125565178402399</v>
      </c>
      <c r="AL19" s="119">
        <v>-4.2004545456269603E-2</v>
      </c>
      <c r="AM19" s="119">
        <v>0.12679843720742401</v>
      </c>
      <c r="AN19" s="119">
        <v>-4.2004545456269603E-2</v>
      </c>
      <c r="AO19" s="119">
        <v>3.0228733490837299E-2</v>
      </c>
      <c r="AP19" s="119">
        <v>-4.2004545456269603E-2</v>
      </c>
      <c r="AQ19" s="119">
        <v>8.4437949637465495E-2</v>
      </c>
      <c r="AR19" s="119">
        <v>2.7608174917502899E-2</v>
      </c>
      <c r="AS19" s="119">
        <v>-4.2004545456269603E-2</v>
      </c>
      <c r="AT19" s="119">
        <v>7.8910299622396401E-2</v>
      </c>
      <c r="AU19" s="119">
        <v>-4.2004545456269603E-2</v>
      </c>
      <c r="AV19" s="119">
        <v>0.14164629024564401</v>
      </c>
      <c r="AW19" s="119">
        <v>0.131805938739258</v>
      </c>
      <c r="AX19" s="119">
        <v>0.179419183558887</v>
      </c>
      <c r="AY19" s="119">
        <v>8.7397358736503297E-2</v>
      </c>
      <c r="AZ19" s="119">
        <v>-4.2004545456269603E-2</v>
      </c>
      <c r="BA19" s="119">
        <v>-4.2004545456269603E-2</v>
      </c>
    </row>
    <row r="20" spans="1:53" x14ac:dyDescent="0.25">
      <c r="A20" t="s">
        <v>267</v>
      </c>
      <c r="B20" t="s">
        <v>422</v>
      </c>
      <c r="C20">
        <v>0.32174416267931899</v>
      </c>
      <c r="D20">
        <v>4.3011855630496698E-2</v>
      </c>
      <c r="E20">
        <v>-6.1570953542014799E-2</v>
      </c>
      <c r="F20">
        <v>0.427988206485927</v>
      </c>
      <c r="G20">
        <v>0.72996925708375304</v>
      </c>
      <c r="H20">
        <v>-6.1570953542014799E-2</v>
      </c>
      <c r="I20">
        <v>0.22816449501755101</v>
      </c>
      <c r="J20">
        <v>0.615648035579765</v>
      </c>
      <c r="K20">
        <v>0.28498005436732798</v>
      </c>
      <c r="L20">
        <v>0.420691408918763</v>
      </c>
      <c r="M20">
        <v>0.31263531071891498</v>
      </c>
      <c r="N20">
        <v>-6.1570953542014799E-2</v>
      </c>
      <c r="O20">
        <v>-1.4095785645798199E-2</v>
      </c>
      <c r="P20">
        <v>-3.3151313258533897E-2</v>
      </c>
      <c r="Q20">
        <v>-6.1570953542014799E-2</v>
      </c>
      <c r="R20">
        <v>-2.0860689512713401E-2</v>
      </c>
      <c r="S20">
        <v>-6.1570953542014799E-2</v>
      </c>
      <c r="T20">
        <v>-6.1570953542014799E-2</v>
      </c>
      <c r="U20">
        <v>-2.8361452990789199E-2</v>
      </c>
      <c r="V20">
        <v>-5.11731180535209E-3</v>
      </c>
      <c r="W20">
        <v>-6.1570953542014799E-2</v>
      </c>
      <c r="X20">
        <v>0.80417506097415603</v>
      </c>
      <c r="Y20">
        <v>1.3035876046541801</v>
      </c>
      <c r="Z20" s="10">
        <v>-4.5785606682783E-5</v>
      </c>
      <c r="AA20">
        <v>-6.1570953542014799E-2</v>
      </c>
      <c r="AB20">
        <v>1.6000033796660401E-2</v>
      </c>
      <c r="AC20">
        <v>2.7699469609491E-2</v>
      </c>
      <c r="AD20">
        <v>-6.1570953542014799E-2</v>
      </c>
      <c r="AE20">
        <v>-6.1570953542014799E-2</v>
      </c>
      <c r="AF20">
        <v>-6.1570953542014799E-2</v>
      </c>
      <c r="AG20">
        <v>0.156596707531728</v>
      </c>
      <c r="AH20">
        <v>3.7119738760497102E-2</v>
      </c>
      <c r="AI20">
        <v>1.5902876191740301E-2</v>
      </c>
      <c r="AJ20">
        <v>0.18009807531844599</v>
      </c>
      <c r="AK20">
        <v>6.4679522030447606E-2</v>
      </c>
      <c r="AL20">
        <v>-6.1570953542014799E-2</v>
      </c>
      <c r="AM20">
        <v>0.387119630870778</v>
      </c>
      <c r="AN20">
        <v>-6.1570953542014799E-2</v>
      </c>
      <c r="AO20">
        <v>1.0662325405092E-2</v>
      </c>
      <c r="AP20">
        <v>7.1845639420743804E-2</v>
      </c>
      <c r="AQ20">
        <v>6.4871541551720299E-2</v>
      </c>
      <c r="AR20">
        <v>-6.1570953542014799E-2</v>
      </c>
      <c r="AS20">
        <v>0.172851638373933</v>
      </c>
      <c r="AT20">
        <v>0</v>
      </c>
      <c r="AU20">
        <v>-6.1570953542014799E-2</v>
      </c>
      <c r="AV20">
        <v>1.8090420177823E-3</v>
      </c>
      <c r="AW20">
        <v>2.7674198047145299E-2</v>
      </c>
      <c r="AX20">
        <v>-6.1570953542014799E-2</v>
      </c>
      <c r="AY20">
        <v>-6.1570953542014799E-2</v>
      </c>
      <c r="AZ20">
        <v>-6.1570953542014799E-2</v>
      </c>
      <c r="BA20">
        <v>-6.1570953542014799E-2</v>
      </c>
    </row>
    <row r="21" spans="1:53" x14ac:dyDescent="0.25">
      <c r="A21" t="s">
        <v>267</v>
      </c>
      <c r="B21" t="s">
        <v>424</v>
      </c>
      <c r="C21">
        <v>-0.191236799510411</v>
      </c>
      <c r="D21">
        <v>-0.138896405264502</v>
      </c>
      <c r="E21">
        <v>-1.1191036402966901E-2</v>
      </c>
      <c r="F21">
        <v>-0.55764364487227003</v>
      </c>
      <c r="G21">
        <v>-0.36567817614944698</v>
      </c>
      <c r="H21">
        <v>-1.1161276929533199</v>
      </c>
      <c r="I21">
        <v>-0.71502112010346497</v>
      </c>
      <c r="J21">
        <v>-0.16824630335386401</v>
      </c>
      <c r="K21">
        <v>-0.69067388641204996</v>
      </c>
      <c r="L21">
        <v>-4.0618326790744598E-2</v>
      </c>
      <c r="M21">
        <v>-0.200484574391948</v>
      </c>
      <c r="N21">
        <v>-0.22661917211698299</v>
      </c>
      <c r="O21">
        <v>0.66386677226069202</v>
      </c>
      <c r="P21">
        <v>2.3259660003420501E-2</v>
      </c>
      <c r="Q21">
        <v>0.239949434990194</v>
      </c>
      <c r="R21">
        <v>0.164881645882898</v>
      </c>
      <c r="S21">
        <v>0.31591938303791001</v>
      </c>
      <c r="T21">
        <v>0.80431626472255802</v>
      </c>
      <c r="U21">
        <v>0.439244510697964</v>
      </c>
      <c r="V21">
        <v>0.61294725971736896</v>
      </c>
      <c r="W21">
        <v>0.81334942347724204</v>
      </c>
      <c r="X21">
        <v>7.4612728837768302E-2</v>
      </c>
      <c r="Y21">
        <v>0.65069349339085802</v>
      </c>
      <c r="Z21">
        <v>0.57155609085151904</v>
      </c>
      <c r="AA21">
        <v>0.18186380468751201</v>
      </c>
      <c r="AB21">
        <v>-0.34318762259163199</v>
      </c>
      <c r="AC21">
        <v>-0.49212277077706701</v>
      </c>
      <c r="AD21">
        <v>-0.37399109698129701</v>
      </c>
      <c r="AE21">
        <v>0</v>
      </c>
      <c r="AF21">
        <v>0.80140257419205896</v>
      </c>
      <c r="AG21">
        <v>-0.102699768554485</v>
      </c>
      <c r="AH21">
        <v>8.2241078909561102E-2</v>
      </c>
      <c r="AI21">
        <v>9.8723379077587298E-2</v>
      </c>
      <c r="AJ21">
        <v>0.29181403339467599</v>
      </c>
      <c r="AK21">
        <v>0.36664216795836202</v>
      </c>
      <c r="AL21">
        <v>0.69673154234685497</v>
      </c>
      <c r="AM21">
        <v>0.92270216025982099</v>
      </c>
      <c r="AN21">
        <v>0.79294960173682005</v>
      </c>
      <c r="AO21">
        <v>-0.50592377292298096</v>
      </c>
      <c r="AP21">
        <v>-0.21634680913002499</v>
      </c>
      <c r="AQ21">
        <v>-0.32526138002899302</v>
      </c>
      <c r="AR21">
        <v>0.49161855922682401</v>
      </c>
      <c r="AS21">
        <v>-0.817770594252757</v>
      </c>
      <c r="AT21">
        <v>-0.11806419967250199</v>
      </c>
      <c r="AU21">
        <v>-6.33530315221697E-2</v>
      </c>
      <c r="AV21">
        <v>1.73059458305553</v>
      </c>
      <c r="AW21">
        <v>0.42995134391925899</v>
      </c>
      <c r="AX21">
        <v>-0.29949238046455101</v>
      </c>
      <c r="AY21">
        <v>-9.4450391463801894E-2</v>
      </c>
      <c r="AZ21">
        <v>1.09320854014306</v>
      </c>
      <c r="BA21">
        <v>-9.2174043491365695E-2</v>
      </c>
    </row>
    <row r="22" spans="1:53" x14ac:dyDescent="0.25">
      <c r="A22" t="s">
        <v>267</v>
      </c>
      <c r="B22" t="s">
        <v>427</v>
      </c>
      <c r="C22">
        <v>0.25969597446055198</v>
      </c>
      <c r="D22">
        <v>0</v>
      </c>
      <c r="E22">
        <v>0.238909492405387</v>
      </c>
      <c r="F22">
        <v>5.40908653283187E-2</v>
      </c>
      <c r="G22">
        <v>7.4688249146994706E-2</v>
      </c>
      <c r="H22">
        <v>0.41411648200617301</v>
      </c>
      <c r="I22">
        <v>0.34206390445921803</v>
      </c>
      <c r="J22">
        <v>0.14723475648096601</v>
      </c>
      <c r="K22">
        <v>0.201723434990563</v>
      </c>
      <c r="L22">
        <v>9.1096557276535095E-2</v>
      </c>
      <c r="M22">
        <v>6.8092552300429807E-2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5.7287526632715899E-2</v>
      </c>
      <c r="Y22">
        <v>0.127940771196389</v>
      </c>
      <c r="Z22">
        <v>0.12104293769223</v>
      </c>
      <c r="AA22">
        <v>0</v>
      </c>
      <c r="AB22">
        <v>0.14496006409575099</v>
      </c>
      <c r="AC22">
        <v>2.2693733332036999E-2</v>
      </c>
      <c r="AD22">
        <v>0</v>
      </c>
      <c r="AE22">
        <v>0</v>
      </c>
      <c r="AF22">
        <v>0</v>
      </c>
      <c r="AG22">
        <v>0</v>
      </c>
      <c r="AH22">
        <v>9.8690692302512206E-2</v>
      </c>
      <c r="AI22">
        <v>0</v>
      </c>
      <c r="AJ22">
        <v>0.24166902886046099</v>
      </c>
      <c r="AK22">
        <v>0</v>
      </c>
      <c r="AL22">
        <v>0.42375820302189598</v>
      </c>
      <c r="AM22">
        <v>0</v>
      </c>
      <c r="AN22">
        <v>0.12791397556324799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0.12454193413263499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267</v>
      </c>
      <c r="B23" t="s">
        <v>430</v>
      </c>
      <c r="C23">
        <v>-0.16695457798803501</v>
      </c>
      <c r="D23">
        <v>0.40501817745122398</v>
      </c>
      <c r="E23">
        <v>0.142056173818562</v>
      </c>
      <c r="F23">
        <v>-0.115085429760659</v>
      </c>
      <c r="G23">
        <v>0.128672203032099</v>
      </c>
      <c r="H23">
        <v>-0.56158724872334598</v>
      </c>
      <c r="I23">
        <v>0.22085650272539201</v>
      </c>
      <c r="J23">
        <v>0.115631740398434</v>
      </c>
      <c r="K23">
        <v>-0.121219083567755</v>
      </c>
      <c r="L23">
        <v>6.5080433308284502E-2</v>
      </c>
      <c r="M23">
        <v>-0.30365417082643997</v>
      </c>
      <c r="N23">
        <v>4.1622238121052903E-2</v>
      </c>
      <c r="O23">
        <v>-0.22152395810404199</v>
      </c>
      <c r="P23">
        <v>-0.17453164830903201</v>
      </c>
      <c r="Q23">
        <v>-0.24601351129722299</v>
      </c>
      <c r="R23">
        <v>-0.23059571586647201</v>
      </c>
      <c r="S23">
        <v>-0.22981953278254799</v>
      </c>
      <c r="T23">
        <v>-0.383032346018986</v>
      </c>
      <c r="U23">
        <v>-0.20801549604859201</v>
      </c>
      <c r="V23">
        <v>-0.45054705585461402</v>
      </c>
      <c r="W23">
        <v>-0.25310243488697198</v>
      </c>
      <c r="X23">
        <v>0</v>
      </c>
      <c r="Y23">
        <v>4.8811046537667602E-2</v>
      </c>
      <c r="Z23">
        <v>-0.153778376795388</v>
      </c>
      <c r="AA23">
        <v>0.20883828160062601</v>
      </c>
      <c r="AB23">
        <v>-0.35859715107814599</v>
      </c>
      <c r="AC23">
        <v>-0.33340953320462002</v>
      </c>
      <c r="AD23">
        <v>-0.56158724872334598</v>
      </c>
      <c r="AE23">
        <v>-0.56158724872334598</v>
      </c>
      <c r="AF23">
        <v>0.28678422910738299</v>
      </c>
      <c r="AG23">
        <v>0.194631400397345</v>
      </c>
      <c r="AH23">
        <v>0.46112517745140003</v>
      </c>
      <c r="AI23">
        <v>0.15583157658681801</v>
      </c>
      <c r="AJ23">
        <v>0.96523544412305295</v>
      </c>
      <c r="AK23">
        <v>-1.0777630406761199E-2</v>
      </c>
      <c r="AL23">
        <v>-0.33507332702554299</v>
      </c>
      <c r="AM23">
        <v>1.32947258543896</v>
      </c>
      <c r="AN23">
        <v>1.0399230888531601</v>
      </c>
      <c r="AO23">
        <v>-0.226562154976547</v>
      </c>
      <c r="AP23">
        <v>-0.363901915009958</v>
      </c>
      <c r="AQ23">
        <v>-0.43514475362961103</v>
      </c>
      <c r="AR23">
        <v>0.221572378030061</v>
      </c>
      <c r="AS23">
        <v>-0.40617445784393602</v>
      </c>
      <c r="AT23">
        <v>5.9528688195114997E-2</v>
      </c>
      <c r="AU23">
        <v>6.3333771356439902E-2</v>
      </c>
      <c r="AV23">
        <v>1.8539183780881101</v>
      </c>
      <c r="AW23">
        <v>5.5176863101952002E-2</v>
      </c>
      <c r="AX23">
        <v>0.49469456961682901</v>
      </c>
      <c r="AY23">
        <v>0.45533934245167601</v>
      </c>
      <c r="AZ23">
        <v>0.23239158029854201</v>
      </c>
      <c r="BA23">
        <v>0.56123582147947404</v>
      </c>
    </row>
    <row r="24" spans="1:53" x14ac:dyDescent="0.25">
      <c r="A24" t="s">
        <v>267</v>
      </c>
      <c r="B24" t="s">
        <v>432</v>
      </c>
      <c r="C24">
        <v>6.4876295977874004E-2</v>
      </c>
      <c r="D24">
        <v>-5.7287526632715899E-2</v>
      </c>
      <c r="E24">
        <v>-5.7287526632715899E-2</v>
      </c>
      <c r="F24">
        <v>-3.1966613043972001E-3</v>
      </c>
      <c r="G24">
        <v>1.7400722514279199E-2</v>
      </c>
      <c r="H24">
        <v>-5.7287526632715899E-2</v>
      </c>
      <c r="I24">
        <v>4.8904040945305198E-3</v>
      </c>
      <c r="J24">
        <v>-5.7287526632715899E-2</v>
      </c>
      <c r="K24">
        <v>6.6157110641722403E-2</v>
      </c>
      <c r="L24">
        <v>8.4781375169450099E-2</v>
      </c>
      <c r="M24">
        <v>0.842293615408648</v>
      </c>
      <c r="N24">
        <v>-5.7287526632715899E-2</v>
      </c>
      <c r="O24">
        <v>0.10446463050555101</v>
      </c>
      <c r="P24">
        <v>2.7045226982935901E-2</v>
      </c>
      <c r="Q24">
        <v>-5.3241172540700902E-3</v>
      </c>
      <c r="R24">
        <v>-5.7287526632715899E-2</v>
      </c>
      <c r="S24">
        <v>-5.7287526632715899E-2</v>
      </c>
      <c r="T24">
        <v>-5.7287526632715899E-2</v>
      </c>
      <c r="U24">
        <v>7.2208696546461906E-2</v>
      </c>
      <c r="V24">
        <v>-8.3388489605311898E-4</v>
      </c>
      <c r="W24">
        <v>-5.7287526632715899E-2</v>
      </c>
      <c r="X24">
        <v>0</v>
      </c>
      <c r="Y24">
        <v>0.18899265354980899</v>
      </c>
      <c r="Z24">
        <v>-2.6264461339367998E-2</v>
      </c>
      <c r="AA24">
        <v>-5.7287526632715899E-2</v>
      </c>
      <c r="AB24">
        <v>1.2732222312047801</v>
      </c>
      <c r="AC24">
        <v>3.5688824838951097E-2</v>
      </c>
      <c r="AD24">
        <v>-5.7287526632715899E-2</v>
      </c>
      <c r="AE24">
        <v>-5.7287526632715899E-2</v>
      </c>
      <c r="AF24">
        <v>-5.7287526632715899E-2</v>
      </c>
      <c r="AG24">
        <v>-5.7287526632715899E-2</v>
      </c>
      <c r="AH24">
        <v>0.22338636566539899</v>
      </c>
      <c r="AI24">
        <v>0.16545627380494901</v>
      </c>
      <c r="AJ24">
        <v>0.39459996579500101</v>
      </c>
      <c r="AK24">
        <v>-5.7287526632715899E-2</v>
      </c>
      <c r="AL24">
        <v>0.28765776050924602</v>
      </c>
      <c r="AM24">
        <v>0.340269270220182</v>
      </c>
      <c r="AN24">
        <v>0.18990753232685501</v>
      </c>
      <c r="AO24">
        <v>-5.7287526632715899E-2</v>
      </c>
      <c r="AP24">
        <v>-2.3286691712503998E-2</v>
      </c>
      <c r="AQ24">
        <v>6.9154968461019303E-2</v>
      </c>
      <c r="AR24">
        <v>-5.7287526632715899E-2</v>
      </c>
      <c r="AS24">
        <v>2.76205886337033E-2</v>
      </c>
      <c r="AT24">
        <v>0.120909744313626</v>
      </c>
      <c r="AU24">
        <v>4.3400958757725802E-2</v>
      </c>
      <c r="AV24">
        <v>6.7254407499918997E-2</v>
      </c>
      <c r="AW24">
        <v>0.116522957562812</v>
      </c>
      <c r="AX24">
        <v>-5.7287526632715899E-2</v>
      </c>
      <c r="AY24">
        <v>7.2114377560057105E-2</v>
      </c>
      <c r="AZ24">
        <v>-5.7287526632715899E-2</v>
      </c>
      <c r="BA24">
        <v>-5.7287526632715899E-2</v>
      </c>
    </row>
    <row r="25" spans="1:53" x14ac:dyDescent="0.25">
      <c r="A25" t="s">
        <v>267</v>
      </c>
      <c r="B25" t="s">
        <v>439</v>
      </c>
      <c r="C25">
        <v>0.18664984809854401</v>
      </c>
      <c r="D25">
        <v>0.100265171528575</v>
      </c>
      <c r="E25">
        <v>0.29349751218944198</v>
      </c>
      <c r="F25">
        <v>-0.15954492213191501</v>
      </c>
      <c r="G25">
        <v>-0.32054324574623599</v>
      </c>
      <c r="H25">
        <v>0.94152289741050199</v>
      </c>
      <c r="I25">
        <v>0.308668777972194</v>
      </c>
      <c r="J25">
        <v>0.48969745158272499</v>
      </c>
      <c r="K25">
        <v>0.142723648981365</v>
      </c>
      <c r="L25">
        <v>0.17865848305748899</v>
      </c>
      <c r="M25">
        <v>-0.161639413483739</v>
      </c>
      <c r="N25">
        <v>0.104715718166322</v>
      </c>
      <c r="O25">
        <v>0.46198629122332902</v>
      </c>
      <c r="P25">
        <v>-0.14038801622625</v>
      </c>
      <c r="Q25">
        <v>-0.20224255654545101</v>
      </c>
      <c r="R25">
        <v>-0.26699894569783</v>
      </c>
      <c r="S25">
        <v>-0.53584567774466796</v>
      </c>
      <c r="T25">
        <v>-0.11396353194862401</v>
      </c>
      <c r="U25">
        <v>-0.122555477723873</v>
      </c>
      <c r="V25">
        <v>0</v>
      </c>
      <c r="W25">
        <v>0.15410134149445101</v>
      </c>
      <c r="X25">
        <v>-0.25795592845759802</v>
      </c>
      <c r="Y25">
        <v>-0.17943043730116501</v>
      </c>
      <c r="Z25">
        <v>0.13816238887459301</v>
      </c>
      <c r="AA25">
        <v>-0.33637793941330801</v>
      </c>
      <c r="AB25">
        <v>-0.30739746188994899</v>
      </c>
      <c r="AC25">
        <v>-0.39091799189495602</v>
      </c>
      <c r="AD25">
        <v>0.15125413407427599</v>
      </c>
      <c r="AE25">
        <v>1.32816047216854E-2</v>
      </c>
      <c r="AF25">
        <v>-5.1900950503206797E-2</v>
      </c>
      <c r="AG25">
        <v>-0.12685269156982601</v>
      </c>
      <c r="AH25">
        <v>-1.3055413111826E-2</v>
      </c>
      <c r="AI25">
        <v>-0.17892797272142499</v>
      </c>
      <c r="AJ25">
        <v>0.83386892854688399</v>
      </c>
      <c r="AK25">
        <v>0.19212555629530301</v>
      </c>
      <c r="AL25">
        <v>0.56560637160103799</v>
      </c>
      <c r="AM25">
        <v>0.95857522543145002</v>
      </c>
      <c r="AN25">
        <v>1.58212310221295</v>
      </c>
      <c r="AO25">
        <v>-0.14066663376291</v>
      </c>
      <c r="AP25">
        <v>3.7883370457519799E-2</v>
      </c>
      <c r="AQ25">
        <v>0.40803865485369001</v>
      </c>
      <c r="AR25">
        <v>0.40283143956640299</v>
      </c>
      <c r="AS25">
        <v>-4.3298974864019998E-2</v>
      </c>
      <c r="AT25">
        <v>-0.24869203715049801</v>
      </c>
      <c r="AU25">
        <v>-0.26741586637411602</v>
      </c>
      <c r="AV25">
        <v>0.83241341538229696</v>
      </c>
      <c r="AW25">
        <v>0.41379791923902198</v>
      </c>
      <c r="AX25">
        <v>-0.31442194872951101</v>
      </c>
      <c r="AY25">
        <v>-0.53584567774466796</v>
      </c>
      <c r="AZ25">
        <v>0.49525640424137302</v>
      </c>
      <c r="BA25">
        <v>-0.19726485811432901</v>
      </c>
    </row>
    <row r="26" spans="1:53" x14ac:dyDescent="0.25">
      <c r="A26" t="s">
        <v>267</v>
      </c>
      <c r="B26" t="s">
        <v>440</v>
      </c>
      <c r="C26">
        <v>0</v>
      </c>
      <c r="D26">
        <v>-0.255625798202197</v>
      </c>
      <c r="E26">
        <v>9.6336190160223295E-2</v>
      </c>
      <c r="F26">
        <v>-0.25094874169314102</v>
      </c>
      <c r="G26">
        <v>-0.13908850901436101</v>
      </c>
      <c r="H26">
        <v>0.55253379601390096</v>
      </c>
      <c r="I26">
        <v>0.35666185066379802</v>
      </c>
      <c r="J26">
        <v>1.29297435885742E-2</v>
      </c>
      <c r="K26">
        <v>-7.1867695689831696E-3</v>
      </c>
      <c r="L26">
        <v>2.3701158268546799E-2</v>
      </c>
      <c r="M26">
        <v>1.19283534770756E-2</v>
      </c>
      <c r="N26">
        <v>0.31775337549481297</v>
      </c>
      <c r="O26">
        <v>0.35962606731088997</v>
      </c>
      <c r="P26">
        <v>-2.2406590857116999E-2</v>
      </c>
      <c r="Q26">
        <v>-4.4500074224521097E-2</v>
      </c>
      <c r="R26">
        <v>1.55272753983637E-2</v>
      </c>
      <c r="S26">
        <v>0.37656174098091</v>
      </c>
      <c r="T26">
        <v>0.58440887878797798</v>
      </c>
      <c r="U26">
        <v>0.32811978710808198</v>
      </c>
      <c r="V26">
        <v>0.35385430971070098</v>
      </c>
      <c r="W26">
        <v>2.7207032072858399E-2</v>
      </c>
      <c r="X26">
        <v>8.8484183998898999E-2</v>
      </c>
      <c r="Y26">
        <v>8.9760509865563596E-4</v>
      </c>
      <c r="Z26">
        <v>0.25892612269056298</v>
      </c>
      <c r="AA26">
        <v>-0.167464091544481</v>
      </c>
      <c r="AB26">
        <v>5.0309267126151302E-2</v>
      </c>
      <c r="AC26">
        <v>-8.8988875419142605E-2</v>
      </c>
      <c r="AD26">
        <v>-0.45856120419223101</v>
      </c>
      <c r="AE26">
        <v>-0.45856120419223101</v>
      </c>
      <c r="AF26">
        <v>2.5383523049230101E-2</v>
      </c>
      <c r="AG26">
        <v>5.1964845334155102E-2</v>
      </c>
      <c r="AH26">
        <v>3.2608852903585499E-2</v>
      </c>
      <c r="AI26">
        <v>0.116320127995374</v>
      </c>
      <c r="AJ26">
        <v>-0.21689217533177099</v>
      </c>
      <c r="AK26">
        <v>-0.15059845979784101</v>
      </c>
      <c r="AL26">
        <v>-0.23204728249442799</v>
      </c>
      <c r="AM26">
        <v>-0.248207727216326</v>
      </c>
      <c r="AN26">
        <v>-0.21136614523266001</v>
      </c>
      <c r="AO26">
        <v>-8.8110087839396806E-2</v>
      </c>
      <c r="AP26">
        <v>-1.7716843008437101E-2</v>
      </c>
      <c r="AQ26">
        <v>-0.105939011724635</v>
      </c>
      <c r="AR26">
        <v>-0.28679452091201202</v>
      </c>
      <c r="AS26">
        <v>-0.18353066573603599</v>
      </c>
      <c r="AT26">
        <v>-4.0326491761534598E-2</v>
      </c>
      <c r="AU26">
        <v>-1.9087107961928799E-2</v>
      </c>
      <c r="AV26">
        <v>0.192433419517964</v>
      </c>
      <c r="AW26">
        <v>1.55260410389468E-2</v>
      </c>
      <c r="AX26">
        <v>-0.45856120419223101</v>
      </c>
      <c r="AY26">
        <v>-0.32915929999945898</v>
      </c>
      <c r="AZ26">
        <v>0.33541762482965598</v>
      </c>
      <c r="BA26">
        <v>-0.45856120419223101</v>
      </c>
    </row>
    <row r="27" spans="1:53" x14ac:dyDescent="0.25">
      <c r="A27" t="s">
        <v>267</v>
      </c>
      <c r="B27" t="s">
        <v>443</v>
      </c>
      <c r="C27">
        <v>-0.105734469298831</v>
      </c>
      <c r="D27">
        <v>0.14857002611926301</v>
      </c>
      <c r="E27">
        <v>-9.7782334929871692E-3</v>
      </c>
      <c r="F27">
        <v>6.0377706018124797E-2</v>
      </c>
      <c r="G27">
        <v>-7.2546507333970806E-2</v>
      </c>
      <c r="H27">
        <v>-0.14723475648096601</v>
      </c>
      <c r="I27">
        <v>-8.5056825753719298E-2</v>
      </c>
      <c r="J27">
        <v>0</v>
      </c>
      <c r="K27">
        <v>-0.105230211024696</v>
      </c>
      <c r="L27">
        <v>-0.14723475648096601</v>
      </c>
      <c r="M27">
        <v>-7.9142204180535997E-2</v>
      </c>
      <c r="N27">
        <v>-0.14723475648096601</v>
      </c>
      <c r="O27">
        <v>0.32106828098256301</v>
      </c>
      <c r="P27">
        <v>0.13901999258980199</v>
      </c>
      <c r="Q27">
        <v>3.9901840691358003E-3</v>
      </c>
      <c r="R27">
        <v>7.0093237325854499E-2</v>
      </c>
      <c r="S27">
        <v>0.184532959459832</v>
      </c>
      <c r="T27">
        <v>0.241181884922891</v>
      </c>
      <c r="U27">
        <v>0.23407739690201401</v>
      </c>
      <c r="V27">
        <v>0.25846723627018697</v>
      </c>
      <c r="W27">
        <v>2.30630283540726E-2</v>
      </c>
      <c r="X27">
        <v>0.122180358335889</v>
      </c>
      <c r="Y27">
        <v>-0.14723475648096601</v>
      </c>
      <c r="Z27">
        <v>0.19886995323008799</v>
      </c>
      <c r="AA27">
        <v>-0.14723475648096601</v>
      </c>
      <c r="AB27">
        <v>-0.10812274650431</v>
      </c>
      <c r="AC27">
        <v>-7.9912423612310102E-2</v>
      </c>
      <c r="AD27">
        <v>-0.14723475648096601</v>
      </c>
      <c r="AE27">
        <v>-0.14723475648096601</v>
      </c>
      <c r="AF27">
        <v>-0.14723475648096601</v>
      </c>
      <c r="AG27">
        <v>-0.14723475648096601</v>
      </c>
      <c r="AH27">
        <v>4.48151025256169E-2</v>
      </c>
      <c r="AI27">
        <v>4.3873200639004701E-3</v>
      </c>
      <c r="AJ27">
        <v>-0.14723475648096601</v>
      </c>
      <c r="AK27">
        <v>9.6025440759328104E-2</v>
      </c>
      <c r="AL27">
        <v>7.9279165216837699E-2</v>
      </c>
      <c r="AM27">
        <v>0.33685030529393001</v>
      </c>
      <c r="AN27">
        <v>0.211811148484817</v>
      </c>
      <c r="AO27">
        <v>-3.40790161469572E-2</v>
      </c>
      <c r="AP27">
        <v>-1.38181635182073E-2</v>
      </c>
      <c r="AQ27">
        <v>-0.14723475648096601</v>
      </c>
      <c r="AR27">
        <v>4.8614336173279198E-2</v>
      </c>
      <c r="AS27">
        <v>-6.2326641214546598E-2</v>
      </c>
      <c r="AT27">
        <v>-2.63199114022999E-2</v>
      </c>
      <c r="AU27">
        <v>4.8895750325614697E-2</v>
      </c>
      <c r="AV27">
        <v>0.63436891523174199</v>
      </c>
      <c r="AW27">
        <v>2.6575727714561698E-2</v>
      </c>
      <c r="AX27">
        <v>7.41889725341911E-2</v>
      </c>
      <c r="AY27">
        <v>-0.14723475648096601</v>
      </c>
      <c r="AZ27">
        <v>-0.14723475648096601</v>
      </c>
      <c r="BA27">
        <v>0.191346063149373</v>
      </c>
    </row>
    <row r="28" spans="1:53" x14ac:dyDescent="0.25">
      <c r="A28" t="s">
        <v>267</v>
      </c>
      <c r="B28" t="s">
        <v>446</v>
      </c>
      <c r="C28">
        <v>-0.160042311942521</v>
      </c>
      <c r="D28">
        <v>0.22725039381744899</v>
      </c>
      <c r="E28">
        <v>-0.29380692808629</v>
      </c>
      <c r="F28">
        <v>-0.17137554867441501</v>
      </c>
      <c r="G28">
        <v>-0.30598929936319902</v>
      </c>
      <c r="H28">
        <v>9.0674080690408304E-2</v>
      </c>
      <c r="I28">
        <v>0.27290339937199098</v>
      </c>
      <c r="J28">
        <v>-9.5543641979858901E-2</v>
      </c>
      <c r="K28">
        <v>-3.0942766569549401E-2</v>
      </c>
      <c r="L28">
        <v>-6.5844136071407405E-2</v>
      </c>
      <c r="M28">
        <v>-3.8686537094012402E-2</v>
      </c>
      <c r="N28">
        <v>-9.6517785043345003E-2</v>
      </c>
      <c r="O28">
        <v>0</v>
      </c>
      <c r="P28">
        <v>2.3299102835550201E-2</v>
      </c>
      <c r="Q28">
        <v>-3.1090817475605301E-2</v>
      </c>
      <c r="R28">
        <v>-0.52080032908977603</v>
      </c>
      <c r="S28">
        <v>0.294195471451213</v>
      </c>
      <c r="T28">
        <v>0.13901399254760399</v>
      </c>
      <c r="U28">
        <v>0.48680834806600798</v>
      </c>
      <c r="V28">
        <v>-0.31275333592732502</v>
      </c>
      <c r="W28">
        <v>-0.157698715304355</v>
      </c>
      <c r="X28">
        <v>5.2028448141178298</v>
      </c>
      <c r="Y28">
        <v>4.8220932926614202</v>
      </c>
      <c r="Z28">
        <v>-2.27001615562126E-2</v>
      </c>
      <c r="AA28">
        <v>0.18200625860376199</v>
      </c>
      <c r="AB28">
        <v>-0.30289224008808302</v>
      </c>
      <c r="AC28">
        <v>-0.74565673007588795</v>
      </c>
      <c r="AD28">
        <v>2.7179712725617402</v>
      </c>
      <c r="AE28">
        <v>2.47146752151603</v>
      </c>
      <c r="AF28">
        <v>1.72733230746522</v>
      </c>
      <c r="AG28">
        <v>1.19080074828557</v>
      </c>
      <c r="AH28">
        <v>0.16908485245803301</v>
      </c>
      <c r="AI28">
        <v>6.4876347254564301E-2</v>
      </c>
      <c r="AJ28">
        <v>0.12159331559377599</v>
      </c>
      <c r="AK28">
        <v>2.4570960664721898E-2</v>
      </c>
      <c r="AL28">
        <v>-0.16466498242643099</v>
      </c>
      <c r="AM28">
        <v>0.356234779137792</v>
      </c>
      <c r="AN28">
        <v>-0.32526106125430598</v>
      </c>
      <c r="AO28">
        <v>-0.22077156289045899</v>
      </c>
      <c r="AP28">
        <v>-0.35421725518915798</v>
      </c>
      <c r="AQ28">
        <v>0.32118062100121603</v>
      </c>
      <c r="AR28">
        <v>-0.62765776460463296</v>
      </c>
      <c r="AS28">
        <v>-9.3696528196618001E-2</v>
      </c>
      <c r="AT28">
        <v>9.4188051720840396E-2</v>
      </c>
      <c r="AU28">
        <v>-8.1589222462714703E-2</v>
      </c>
      <c r="AV28">
        <v>0.46099154041207002</v>
      </c>
      <c r="AW28">
        <v>0.79182209432426498</v>
      </c>
      <c r="AX28">
        <v>0.42470097609909102</v>
      </c>
      <c r="AY28">
        <v>0.40634788136003802</v>
      </c>
      <c r="AZ28">
        <v>-0.179915806747902</v>
      </c>
      <c r="BA28">
        <v>-6.6145224671669695E-2</v>
      </c>
    </row>
    <row r="29" spans="1:53" x14ac:dyDescent="0.25">
      <c r="A29" t="s">
        <v>267</v>
      </c>
      <c r="B29" t="s">
        <v>447</v>
      </c>
      <c r="C29">
        <v>-3.8413541397503997E-2</v>
      </c>
      <c r="D29">
        <v>-1.60401336404658E-2</v>
      </c>
      <c r="E29">
        <v>-0.120622942812977</v>
      </c>
      <c r="F29">
        <v>8.6989519686113306E-2</v>
      </c>
      <c r="G29">
        <v>0.26166318798388499</v>
      </c>
      <c r="H29">
        <v>-0.120622942812977</v>
      </c>
      <c r="I29">
        <v>0.146903395334126</v>
      </c>
      <c r="J29">
        <v>2.6611813667988499E-2</v>
      </c>
      <c r="K29">
        <v>-3.7484101130046701E-2</v>
      </c>
      <c r="L29">
        <v>-2.9526385536442299E-2</v>
      </c>
      <c r="M29">
        <v>0.137310135083929</v>
      </c>
      <c r="N29">
        <v>4.5678802757974203E-3</v>
      </c>
      <c r="O29">
        <v>0</v>
      </c>
      <c r="P29">
        <v>0.13985508562743801</v>
      </c>
      <c r="Q29">
        <v>7.8092167022285705E-2</v>
      </c>
      <c r="R29">
        <v>0.14822378923386101</v>
      </c>
      <c r="S29">
        <v>0.21114477312782101</v>
      </c>
      <c r="T29">
        <v>0.18399406263354401</v>
      </c>
      <c r="U29">
        <v>0.398367990558184</v>
      </c>
      <c r="V29">
        <v>0.59699920295824305</v>
      </c>
      <c r="W29">
        <v>0.41358748837798698</v>
      </c>
      <c r="X29">
        <v>4.59040247681635E-2</v>
      </c>
      <c r="Y29">
        <v>-0.120622942812977</v>
      </c>
      <c r="Z29">
        <v>-0.120622942812977</v>
      </c>
      <c r="AA29">
        <v>-0.120622942812977</v>
      </c>
      <c r="AB29">
        <v>-8.1510932836321506E-2</v>
      </c>
      <c r="AC29">
        <v>-8.4772970062124003E-2</v>
      </c>
      <c r="AD29">
        <v>-0.120622942812977</v>
      </c>
      <c r="AE29">
        <v>0.42850433965337598</v>
      </c>
      <c r="AF29">
        <v>-0.120622942812977</v>
      </c>
      <c r="AG29">
        <v>-0.120622942812977</v>
      </c>
      <c r="AH29">
        <v>-2.1932250510465202E-2</v>
      </c>
      <c r="AI29">
        <v>-0.120622942812977</v>
      </c>
      <c r="AJ29">
        <v>-0.120622942812977</v>
      </c>
      <c r="AK29">
        <v>0.122637254427317</v>
      </c>
      <c r="AL29">
        <v>-0.120622942812977</v>
      </c>
      <c r="AM29">
        <v>-1.2167166873458601E-2</v>
      </c>
      <c r="AN29">
        <v>7.2910327502709498E-3</v>
      </c>
      <c r="AO29">
        <v>-0.120622942812977</v>
      </c>
      <c r="AP29">
        <v>-0.120622942812977</v>
      </c>
      <c r="AQ29">
        <v>-0.120622942812977</v>
      </c>
      <c r="AR29">
        <v>-0.120622942812977</v>
      </c>
      <c r="AS29">
        <v>0.33907651989500898</v>
      </c>
      <c r="AT29">
        <v>0.19709984534587699</v>
      </c>
      <c r="AU29">
        <v>0.16628741185520299</v>
      </c>
      <c r="AV29">
        <v>3.9189913196577102E-3</v>
      </c>
      <c r="AW29">
        <v>-3.1377791223817099E-2</v>
      </c>
      <c r="AX29">
        <v>-0.120622942812977</v>
      </c>
      <c r="AY29">
        <v>8.7789613797956498E-3</v>
      </c>
      <c r="AZ29">
        <v>7.1297984537198295E-2</v>
      </c>
      <c r="BA29">
        <v>0.21795787681736201</v>
      </c>
    </row>
    <row r="30" spans="1:53" x14ac:dyDescent="0.25">
      <c r="A30" t="s">
        <v>267</v>
      </c>
      <c r="B30" t="s">
        <v>448</v>
      </c>
      <c r="C30">
        <v>1.2489775319239199E-3</v>
      </c>
      <c r="D30">
        <v>-1.6332035906154299E-2</v>
      </c>
      <c r="E30">
        <v>1.65416779093128E-2</v>
      </c>
      <c r="F30">
        <v>-0.120914845078666</v>
      </c>
      <c r="G30">
        <v>-4.6226595931670902E-2</v>
      </c>
      <c r="H30">
        <v>-0.120914845078666</v>
      </c>
      <c r="I30">
        <v>9.1849986818489701E-2</v>
      </c>
      <c r="J30">
        <v>0.31110937392925597</v>
      </c>
      <c r="K30">
        <v>-3.7776003395735301E-2</v>
      </c>
      <c r="L30">
        <v>-2.9818287802130899E-2</v>
      </c>
      <c r="M30">
        <v>1.2733835549594501E-2</v>
      </c>
      <c r="N30">
        <v>-0.120914845078666</v>
      </c>
      <c r="O30">
        <v>-7.3439677182449398E-2</v>
      </c>
      <c r="P30">
        <v>-9.2495204795184804E-2</v>
      </c>
      <c r="Q30">
        <v>3.0310095471435899E-2</v>
      </c>
      <c r="R30">
        <v>5.92000551084233E-2</v>
      </c>
      <c r="S30">
        <v>-0.120914845078666</v>
      </c>
      <c r="T30">
        <v>-0.120914845078666</v>
      </c>
      <c r="U30">
        <v>2.6806031949027798E-2</v>
      </c>
      <c r="V30">
        <v>-6.4461203342003101E-2</v>
      </c>
      <c r="W30">
        <v>-1.1384128628915101E-2</v>
      </c>
      <c r="X30">
        <v>0.41061269692785501</v>
      </c>
      <c r="Y30">
        <v>-0.120914845078666</v>
      </c>
      <c r="Z30">
        <v>4.5963963346045598E-2</v>
      </c>
      <c r="AA30">
        <v>0.13274198621060301</v>
      </c>
      <c r="AB30">
        <v>-4.3343857739990797E-2</v>
      </c>
      <c r="AC30">
        <v>-7.5782581721429099E-2</v>
      </c>
      <c r="AD30">
        <v>-0.120914845078666</v>
      </c>
      <c r="AE30">
        <v>0.42821243738768799</v>
      </c>
      <c r="AF30">
        <v>1.06491757652895</v>
      </c>
      <c r="AG30">
        <v>0.61074519807965599</v>
      </c>
      <c r="AH30">
        <v>0.159759047219449</v>
      </c>
      <c r="AI30">
        <v>0.101828955358998</v>
      </c>
      <c r="AJ30">
        <v>0.33097264734905102</v>
      </c>
      <c r="AK30">
        <v>5.3356304937964404E-3</v>
      </c>
      <c r="AL30">
        <v>-0.120914845078666</v>
      </c>
      <c r="AM30">
        <v>0.18558368545291101</v>
      </c>
      <c r="AN30">
        <v>-0.120914845078666</v>
      </c>
      <c r="AO30">
        <v>0.15191343686247</v>
      </c>
      <c r="AP30">
        <v>-1.0304669620928299E-3</v>
      </c>
      <c r="AQ30">
        <v>0.187329760008836</v>
      </c>
      <c r="AR30">
        <v>-8.4530851765713903E-3</v>
      </c>
      <c r="AS30">
        <v>-6.3926941372039595E-2</v>
      </c>
      <c r="AT30">
        <v>0</v>
      </c>
      <c r="AU30">
        <v>-2.02263596882243E-2</v>
      </c>
      <c r="AV30">
        <v>-5.7534849518868697E-2</v>
      </c>
      <c r="AW30">
        <v>-0.120914845078666</v>
      </c>
      <c r="AX30">
        <v>0.100508883936491</v>
      </c>
      <c r="AY30">
        <v>8.4870591141069807E-3</v>
      </c>
      <c r="AZ30">
        <v>0.173674602249418</v>
      </c>
      <c r="BA30">
        <v>0.217665974551673</v>
      </c>
    </row>
    <row r="31" spans="1:53" x14ac:dyDescent="0.25">
      <c r="A31" t="s">
        <v>267</v>
      </c>
      <c r="B31" t="s">
        <v>449</v>
      </c>
      <c r="C31">
        <v>0.279216957657557</v>
      </c>
      <c r="D31">
        <v>0.14925102602757701</v>
      </c>
      <c r="E31">
        <v>8.3772143025521606E-2</v>
      </c>
      <c r="F31">
        <v>5.2977008396432199E-2</v>
      </c>
      <c r="G31">
        <v>-5.3684379962456903E-2</v>
      </c>
      <c r="H31">
        <v>-5.3684379962456903E-2</v>
      </c>
      <c r="I31">
        <v>0.38838551827507301</v>
      </c>
      <c r="J31">
        <v>0.139931356331706</v>
      </c>
      <c r="K31">
        <v>0.24498100233313</v>
      </c>
      <c r="L31">
        <v>0.17193710071103399</v>
      </c>
      <c r="M31">
        <v>0.11721767722331899</v>
      </c>
      <c r="N31">
        <v>0.35729076354738498</v>
      </c>
      <c r="O31">
        <v>-5.3684379962456903E-2</v>
      </c>
      <c r="P31">
        <v>-5.3684379962456903E-2</v>
      </c>
      <c r="Q31">
        <v>-1.72097058381134E-3</v>
      </c>
      <c r="R31">
        <v>-5.3684379962456903E-2</v>
      </c>
      <c r="S31">
        <v>-5.3684379962456903E-2</v>
      </c>
      <c r="T31">
        <v>-5.3684379962456903E-2</v>
      </c>
      <c r="U31">
        <v>-5.3684379962456903E-2</v>
      </c>
      <c r="V31">
        <v>2.7692617742056899E-3</v>
      </c>
      <c r="W31">
        <v>-5.3684379962456903E-2</v>
      </c>
      <c r="X31">
        <v>0.30862207791525298</v>
      </c>
      <c r="Y31">
        <v>1.02829130352266</v>
      </c>
      <c r="Z31">
        <v>-5.3684379962456903E-2</v>
      </c>
      <c r="AA31">
        <v>-5.3684379962456903E-2</v>
      </c>
      <c r="AB31">
        <v>-3.4044947085027699E-2</v>
      </c>
      <c r="AC31">
        <v>-3.09906466304199E-2</v>
      </c>
      <c r="AD31">
        <v>-5.3684379962456903E-2</v>
      </c>
      <c r="AE31">
        <v>-5.3684379962456903E-2</v>
      </c>
      <c r="AF31">
        <v>-5.3684379962456903E-2</v>
      </c>
      <c r="AG31">
        <v>-5.3684379962456903E-2</v>
      </c>
      <c r="AH31">
        <v>0.19074793393136799</v>
      </c>
      <c r="AI31">
        <v>0.13989112723630701</v>
      </c>
      <c r="AJ31">
        <v>0.18798464889800401</v>
      </c>
      <c r="AK31">
        <v>-5.3684379962456903E-2</v>
      </c>
      <c r="AL31">
        <v>0.54491970166913495</v>
      </c>
      <c r="AM31">
        <v>5.4771395977061599E-2</v>
      </c>
      <c r="AN31">
        <v>-5.3684379962456903E-2</v>
      </c>
      <c r="AO31">
        <v>-5.3684379962456903E-2</v>
      </c>
      <c r="AP31">
        <v>0</v>
      </c>
      <c r="AQ31">
        <v>-5.3684379962456903E-2</v>
      </c>
      <c r="AR31">
        <v>-9.5147773881025296E-3</v>
      </c>
      <c r="AS31">
        <v>-5.3684379962456903E-2</v>
      </c>
      <c r="AT31">
        <v>0.315042432858685</v>
      </c>
      <c r="AU31">
        <v>0.54933873904115904</v>
      </c>
      <c r="AV31">
        <v>0.129966455739457</v>
      </c>
      <c r="AW31">
        <v>3.5560771626703097E-2</v>
      </c>
      <c r="AX31">
        <v>0.16773934905269999</v>
      </c>
      <c r="AY31">
        <v>7.57175242303159E-2</v>
      </c>
      <c r="AZ31">
        <v>0.13823654738771801</v>
      </c>
      <c r="BA31">
        <v>-5.3684379962456903E-2</v>
      </c>
    </row>
    <row r="32" spans="1:53" x14ac:dyDescent="0.25">
      <c r="A32" t="s">
        <v>267</v>
      </c>
      <c r="B32" t="s">
        <v>452</v>
      </c>
      <c r="C32">
        <v>8.2209401415473296E-2</v>
      </c>
      <c r="D32">
        <v>0</v>
      </c>
      <c r="E32">
        <v>0</v>
      </c>
      <c r="F32">
        <v>0</v>
      </c>
      <c r="G32">
        <v>0.28171323606389498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0.54912728246635401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0.12791397556324799</v>
      </c>
      <c r="AO32">
        <v>0</v>
      </c>
      <c r="AP32">
        <v>3.4000834920211699E-2</v>
      </c>
      <c r="AQ32">
        <v>0</v>
      </c>
      <c r="AR32">
        <v>0</v>
      </c>
      <c r="AS32">
        <v>0</v>
      </c>
      <c r="AT32">
        <v>0</v>
      </c>
      <c r="AU32">
        <v>8.0246420560688606E-2</v>
      </c>
      <c r="AV32">
        <v>0</v>
      </c>
      <c r="AW32">
        <v>0.22130829683716299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267</v>
      </c>
      <c r="B33" t="s">
        <v>453</v>
      </c>
      <c r="C33">
        <v>-0.30756188112786298</v>
      </c>
      <c r="D33">
        <v>-0.19151546502746999</v>
      </c>
      <c r="E33">
        <v>-0.73180383575997798</v>
      </c>
      <c r="F33">
        <v>7.8861093223206499E-3</v>
      </c>
      <c r="G33">
        <v>-0.26063941068313901</v>
      </c>
      <c r="H33">
        <v>-1.0906402106951001</v>
      </c>
      <c r="I33">
        <v>-0.37957640487689998</v>
      </c>
      <c r="J33">
        <v>-0.36795872667269403</v>
      </c>
      <c r="K33">
        <v>-0.35920509403755502</v>
      </c>
      <c r="L33">
        <v>-0.91336496766284603</v>
      </c>
      <c r="M33">
        <v>-0.30491083087229498</v>
      </c>
      <c r="N33">
        <v>-0.101749791835472</v>
      </c>
      <c r="O33">
        <v>9.1907093196321496E-2</v>
      </c>
      <c r="P33">
        <v>-0.19602787357287399</v>
      </c>
      <c r="Q33">
        <v>0.24357226486710201</v>
      </c>
      <c r="R33">
        <v>0.12985295761035601</v>
      </c>
      <c r="S33">
        <v>0.177355686769439</v>
      </c>
      <c r="T33">
        <v>7.8729871292588308E-3</v>
      </c>
      <c r="U33">
        <v>0.27532307216999902</v>
      </c>
      <c r="V33">
        <v>-0.35112080154758901</v>
      </c>
      <c r="W33">
        <v>2.0136863385049102E-2</v>
      </c>
      <c r="X33">
        <v>4.5220387416468597</v>
      </c>
      <c r="Y33">
        <v>4.2006920913422103</v>
      </c>
      <c r="Z33">
        <v>2.3516935095543601</v>
      </c>
      <c r="AA33">
        <v>8.2822971830578102E-2</v>
      </c>
      <c r="AB33">
        <v>-0.43302150440478199</v>
      </c>
      <c r="AC33">
        <v>-0.82205807771139605</v>
      </c>
      <c r="AD33">
        <v>1.17032744669755</v>
      </c>
      <c r="AE33">
        <v>2.3909020210930501</v>
      </c>
      <c r="AF33">
        <v>1.2914227324043599</v>
      </c>
      <c r="AG33">
        <v>0.23061481232516901</v>
      </c>
      <c r="AH33">
        <v>-0.49383469108028699</v>
      </c>
      <c r="AI33">
        <v>-0.57398082574795595</v>
      </c>
      <c r="AJ33">
        <v>-0.28468170577314</v>
      </c>
      <c r="AK33">
        <v>0.25331335040777198</v>
      </c>
      <c r="AL33">
        <v>-0.249775449383144</v>
      </c>
      <c r="AM33">
        <v>0.28052168597091398</v>
      </c>
      <c r="AN33">
        <v>-0.62620532237567195</v>
      </c>
      <c r="AO33">
        <v>0.124516406948206</v>
      </c>
      <c r="AP33">
        <v>0</v>
      </c>
      <c r="AQ33">
        <v>0.67870822376690698</v>
      </c>
      <c r="AR33">
        <v>-3.5481792804152798E-2</v>
      </c>
      <c r="AS33">
        <v>-3.9556433704371702E-2</v>
      </c>
      <c r="AT33">
        <v>-2.1777070078358201E-2</v>
      </c>
      <c r="AU33">
        <v>0.47205526544570198</v>
      </c>
      <c r="AV33">
        <v>1.4509246744569899</v>
      </c>
      <c r="AW33">
        <v>0.120121279337431</v>
      </c>
      <c r="AX33">
        <v>0.20782803267769101</v>
      </c>
      <c r="AY33">
        <v>-0.320717899708718</v>
      </c>
      <c r="AZ33">
        <v>-0.17414483091260399</v>
      </c>
      <c r="BA33">
        <v>0.57832287516819103</v>
      </c>
    </row>
    <row r="34" spans="1:53" s="119" customFormat="1" x14ac:dyDescent="0.25">
      <c r="A34" s="119" t="s">
        <v>267</v>
      </c>
      <c r="B34" s="119" t="s">
        <v>454</v>
      </c>
      <c r="C34" s="119">
        <v>-1.5487616524491E-2</v>
      </c>
      <c r="D34" s="119">
        <v>-5.6987903706626201E-2</v>
      </c>
      <c r="E34" s="119">
        <v>-5.6987903706626201E-2</v>
      </c>
      <c r="F34" s="119">
        <v>-5.6987903706626201E-2</v>
      </c>
      <c r="G34" s="119">
        <v>-5.6987903706626201E-2</v>
      </c>
      <c r="H34" s="119">
        <v>-5.6987903706626201E-2</v>
      </c>
      <c r="I34" s="119">
        <v>0.122884437638678</v>
      </c>
      <c r="J34" s="119">
        <v>2.2387597914533701E-2</v>
      </c>
      <c r="K34" s="119">
        <v>0.11853222397520199</v>
      </c>
      <c r="L34" s="119">
        <v>0.120287339325631</v>
      </c>
      <c r="M34" s="119">
        <v>0.17585276994860799</v>
      </c>
      <c r="N34" s="119">
        <v>6.8202919382148203E-2</v>
      </c>
      <c r="O34" s="119">
        <v>1.38331863255919E-2</v>
      </c>
      <c r="P34" s="119">
        <v>-5.6987903706626201E-2</v>
      </c>
      <c r="Q34" s="119">
        <v>0.14172720612863701</v>
      </c>
      <c r="R34" s="119">
        <v>-5.6987903706626201E-2</v>
      </c>
      <c r="S34" s="119">
        <v>-5.6987903706626201E-2</v>
      </c>
      <c r="T34" s="119">
        <v>8.2818246923848399E-2</v>
      </c>
      <c r="U34" s="119">
        <v>4.0948043445909799E-2</v>
      </c>
      <c r="V34" s="119">
        <v>5.4052289162105797E-2</v>
      </c>
      <c r="W34" s="119">
        <v>0.15507655940170301</v>
      </c>
      <c r="X34" s="119">
        <v>5.5767525889974398E-2</v>
      </c>
      <c r="Y34" s="119">
        <v>0.189292276475899</v>
      </c>
      <c r="Z34" s="119">
        <v>0.29986344508434598</v>
      </c>
      <c r="AA34" s="119">
        <v>-5.6987903706626201E-2</v>
      </c>
      <c r="AB34" s="119">
        <v>-1.78758937299704E-2</v>
      </c>
      <c r="AC34" s="119">
        <v>-1.1855640349389501E-2</v>
      </c>
      <c r="AD34" s="119">
        <v>-5.6987903706626201E-2</v>
      </c>
      <c r="AE34" s="119">
        <v>0.49213937875972702</v>
      </c>
      <c r="AF34" s="119">
        <v>0.79138357412410198</v>
      </c>
      <c r="AG34" s="119">
        <v>-5.6987903706626201E-2</v>
      </c>
      <c r="AH34" s="119">
        <v>-5.6987903706626201E-2</v>
      </c>
      <c r="AI34" s="119">
        <v>-5.6987903706626201E-2</v>
      </c>
      <c r="AJ34" s="119">
        <v>-5.6987903706626201E-2</v>
      </c>
      <c r="AK34" s="119">
        <v>-5.6987903706626201E-2</v>
      </c>
      <c r="AL34" s="119">
        <v>0.169526017991177</v>
      </c>
      <c r="AM34" s="119">
        <v>-5.6987903706626201E-2</v>
      </c>
      <c r="AN34" s="119">
        <v>-5.6987903706626201E-2</v>
      </c>
      <c r="AO34" s="119">
        <v>-5.6987903706626201E-2</v>
      </c>
      <c r="AP34" s="119">
        <v>-2.2987068786414398E-2</v>
      </c>
      <c r="AQ34" s="119">
        <v>-5.6987903706626201E-2</v>
      </c>
      <c r="AR34" s="119">
        <v>-1.28183011322718E-2</v>
      </c>
      <c r="AS34" s="119">
        <v>0</v>
      </c>
      <c r="AT34" s="119">
        <v>6.3926941372039497E-2</v>
      </c>
      <c r="AU34" s="119">
        <v>0.13914260309995399</v>
      </c>
      <c r="AV34" s="119">
        <v>0.37517024143203098</v>
      </c>
      <c r="AW34" s="119">
        <v>3.2257247882533903E-2</v>
      </c>
      <c r="AX34" s="119">
        <v>0.281577502050813</v>
      </c>
      <c r="AY34" s="119">
        <v>7.2414000486146698E-2</v>
      </c>
      <c r="AZ34" s="119">
        <v>-5.6987903706626201E-2</v>
      </c>
      <c r="BA34" s="119">
        <v>0.28159291592371299</v>
      </c>
    </row>
    <row r="36" spans="1:53" x14ac:dyDescent="0.25">
      <c r="A36" s="220" t="s">
        <v>81</v>
      </c>
      <c r="B36" s="220"/>
      <c r="C36">
        <f>AVERAGE(C2:C34)</f>
        <v>-2.2984187530266632E-2</v>
      </c>
      <c r="D36">
        <f t="shared" ref="D36:BA36" si="0">AVERAGE(D2:D34)</f>
        <v>3.4290435881386243E-2</v>
      </c>
      <c r="E36">
        <f t="shared" si="0"/>
        <v>-8.0002594295958459E-3</v>
      </c>
      <c r="F36">
        <f t="shared" si="0"/>
        <v>-5.9011115523540866E-2</v>
      </c>
      <c r="G36">
        <f t="shared" si="0"/>
        <v>1.9598684032056377E-2</v>
      </c>
      <c r="H36">
        <f t="shared" si="0"/>
        <v>-9.572414714172095E-2</v>
      </c>
      <c r="I36">
        <f t="shared" si="0"/>
        <v>1.045896668760554E-2</v>
      </c>
      <c r="J36">
        <f t="shared" si="0"/>
        <v>2.3966354096758468E-2</v>
      </c>
      <c r="K36">
        <f t="shared" si="0"/>
        <v>-4.2455027281009076E-2</v>
      </c>
      <c r="L36">
        <f t="shared" si="0"/>
        <v>3.3612893988887614E-3</v>
      </c>
      <c r="M36">
        <f t="shared" si="0"/>
        <v>-2.53226375097479E-3</v>
      </c>
      <c r="N36">
        <f t="shared" si="0"/>
        <v>8.5147817027836602E-3</v>
      </c>
      <c r="O36">
        <f t="shared" si="0"/>
        <v>0.27749007272610526</v>
      </c>
      <c r="P36">
        <f t="shared" si="0"/>
        <v>9.4102057334404701E-2</v>
      </c>
      <c r="Q36">
        <f t="shared" si="0"/>
        <v>5.4158308535763464E-2</v>
      </c>
      <c r="R36">
        <f t="shared" si="0"/>
        <v>7.7585000478687535E-2</v>
      </c>
      <c r="S36">
        <f t="shared" si="0"/>
        <v>0.10061178329660246</v>
      </c>
      <c r="T36">
        <f t="shared" si="0"/>
        <v>8.6554015563619219E-2</v>
      </c>
      <c r="U36">
        <f t="shared" si="0"/>
        <v>0.14113119144219999</v>
      </c>
      <c r="V36">
        <f t="shared" si="0"/>
        <v>8.4035835700329561E-2</v>
      </c>
      <c r="W36">
        <f t="shared" si="0"/>
        <v>0.10281437924258779</v>
      </c>
      <c r="X36">
        <f t="shared" si="0"/>
        <v>0.5530322454164881</v>
      </c>
      <c r="Y36">
        <f t="shared" si="0"/>
        <v>0.66450100723607819</v>
      </c>
      <c r="Z36">
        <f t="shared" si="0"/>
        <v>0.2128771464243964</v>
      </c>
      <c r="AA36">
        <f t="shared" si="0"/>
        <v>-2.8558423825324523E-2</v>
      </c>
      <c r="AB36">
        <f t="shared" si="0"/>
        <v>-5.3041884865027492E-2</v>
      </c>
      <c r="AC36">
        <f t="shared" si="0"/>
        <v>-0.15820822971920973</v>
      </c>
      <c r="AD36">
        <f t="shared" si="0"/>
        <v>0.11781754368721002</v>
      </c>
      <c r="AE36">
        <f t="shared" si="0"/>
        <v>0.29070590110647598</v>
      </c>
      <c r="AF36">
        <f t="shared" si="0"/>
        <v>0.18606632495401443</v>
      </c>
      <c r="AG36">
        <f>AVERAGE(AG2:AG34)</f>
        <v>0.13851842284811625</v>
      </c>
      <c r="AH36">
        <f t="shared" si="0"/>
        <v>7.4927261759078781E-2</v>
      </c>
      <c r="AI36">
        <f t="shared" si="0"/>
        <v>2.7247817855241569E-2</v>
      </c>
      <c r="AJ36">
        <f t="shared" si="0"/>
        <v>0.19603240101292693</v>
      </c>
      <c r="AK36">
        <f t="shared" si="0"/>
        <v>6.5969235218915859E-2</v>
      </c>
      <c r="AL36">
        <f t="shared" si="0"/>
        <v>0.11613708617813359</v>
      </c>
      <c r="AM36">
        <f t="shared" si="0"/>
        <v>0.30034840467460028</v>
      </c>
      <c r="AN36">
        <f t="shared" si="0"/>
        <v>8.5272537276084845E-2</v>
      </c>
      <c r="AO36">
        <f t="shared" si="0"/>
        <v>4.8106432179332789E-3</v>
      </c>
      <c r="AP36">
        <f t="shared" si="0"/>
        <v>-7.1120924572174227E-2</v>
      </c>
      <c r="AQ36">
        <f t="shared" si="0"/>
        <v>-2.4919097086134035E-2</v>
      </c>
      <c r="AR36">
        <f t="shared" si="0"/>
        <v>1.430504610415065E-3</v>
      </c>
      <c r="AS36">
        <f t="shared" si="0"/>
        <v>-0.10551832236131475</v>
      </c>
      <c r="AT36">
        <f>AVERAGE(AT2:AT34)</f>
        <v>0.11222010258108137</v>
      </c>
      <c r="AU36">
        <f t="shared" si="0"/>
        <v>7.626387336658022E-2</v>
      </c>
      <c r="AV36">
        <f t="shared" si="0"/>
        <v>0.59932449053051451</v>
      </c>
      <c r="AW36">
        <f t="shared" si="0"/>
        <v>0.14708835086083694</v>
      </c>
      <c r="AX36">
        <f t="shared" si="0"/>
        <v>3.5956222857613847E-3</v>
      </c>
      <c r="AY36">
        <f t="shared" si="0"/>
        <v>7.8917255515558189E-3</v>
      </c>
      <c r="AZ36">
        <f t="shared" si="0"/>
        <v>0.27803875655858701</v>
      </c>
      <c r="BA36">
        <f t="shared" si="0"/>
        <v>0.1578992510684753</v>
      </c>
    </row>
    <row r="37" spans="1:53" x14ac:dyDescent="0.25">
      <c r="A37" s="220" t="s">
        <v>262</v>
      </c>
      <c r="B37" s="220"/>
      <c r="C37">
        <f>AVERAGE(C8:C19)</f>
        <v>-1.9283742892008005E-2</v>
      </c>
      <c r="D37">
        <f t="shared" ref="D37:BA37" si="1">AVERAGE(D8:D19)</f>
        <v>9.42290937141258E-2</v>
      </c>
      <c r="E37">
        <f t="shared" si="1"/>
        <v>2.9381324999597763E-2</v>
      </c>
      <c r="F37">
        <f t="shared" si="1"/>
        <v>-4.0422693402009401E-2</v>
      </c>
      <c r="G37">
        <f t="shared" si="1"/>
        <v>-2.2581163461785295E-3</v>
      </c>
      <c r="H37">
        <f t="shared" si="1"/>
        <v>-0.11497466903011794</v>
      </c>
      <c r="I37">
        <f t="shared" si="1"/>
        <v>-5.4428296394242126E-2</v>
      </c>
      <c r="J37">
        <f t="shared" si="1"/>
        <v>-2.5712379694150005E-2</v>
      </c>
      <c r="K37">
        <f t="shared" si="1"/>
        <v>-4.5815992488644902E-2</v>
      </c>
      <c r="L37">
        <f t="shared" si="1"/>
        <v>-1.446681075675478E-2</v>
      </c>
      <c r="M37">
        <f t="shared" si="1"/>
        <v>-3.8716628375069631E-2</v>
      </c>
      <c r="N37">
        <f t="shared" si="1"/>
        <v>-9.7103146597810858E-5</v>
      </c>
      <c r="O37">
        <f t="shared" si="1"/>
        <v>0.46859636455765269</v>
      </c>
      <c r="P37">
        <f t="shared" si="1"/>
        <v>0.2594870184133195</v>
      </c>
      <c r="Q37">
        <f t="shared" si="1"/>
        <v>0.11718846073414178</v>
      </c>
      <c r="R37">
        <f t="shared" si="1"/>
        <v>0.24351853517017638</v>
      </c>
      <c r="S37">
        <f t="shared" si="1"/>
        <v>0.2529602922143252</v>
      </c>
      <c r="T37">
        <f t="shared" si="1"/>
        <v>0.12686828408181125</v>
      </c>
      <c r="U37">
        <f t="shared" si="1"/>
        <v>0.20445215560997412</v>
      </c>
      <c r="V37">
        <f t="shared" si="1"/>
        <v>0.18047246994631883</v>
      </c>
      <c r="W37">
        <f t="shared" si="1"/>
        <v>0.19629719879289631</v>
      </c>
      <c r="X37">
        <f t="shared" si="1"/>
        <v>0.48818741524782783</v>
      </c>
      <c r="Y37">
        <f t="shared" si="1"/>
        <v>0.84725609257607803</v>
      </c>
      <c r="Z37">
        <f t="shared" si="1"/>
        <v>0.15557382584716684</v>
      </c>
      <c r="AA37">
        <f t="shared" si="1"/>
        <v>-1.6366048188486963E-2</v>
      </c>
      <c r="AB37">
        <f t="shared" si="1"/>
        <v>-5.09669109422001E-2</v>
      </c>
      <c r="AC37">
        <f t="shared" si="1"/>
        <v>-0.12423034957013424</v>
      </c>
      <c r="AD37">
        <f t="shared" si="1"/>
        <v>9.8508488280662984E-2</v>
      </c>
      <c r="AE37">
        <f t="shared" si="1"/>
        <v>0.28563795182190993</v>
      </c>
      <c r="AF37">
        <f t="shared" si="1"/>
        <v>-6.7707978614997165E-3</v>
      </c>
      <c r="AG37">
        <f t="shared" si="1"/>
        <v>0.12363901673166038</v>
      </c>
      <c r="AH37">
        <f t="shared" si="1"/>
        <v>-5.1248741052386934E-3</v>
      </c>
      <c r="AI37">
        <f t="shared" si="1"/>
        <v>1.2636266936324069E-2</v>
      </c>
      <c r="AJ37">
        <f t="shared" si="1"/>
        <v>0.27251261289323642</v>
      </c>
      <c r="AK37">
        <f t="shared" si="1"/>
        <v>8.0194381150810803E-2</v>
      </c>
      <c r="AL37">
        <f t="shared" si="1"/>
        <v>3.746536724324525E-2</v>
      </c>
      <c r="AM37">
        <f t="shared" si="1"/>
        <v>0.33891473493222102</v>
      </c>
      <c r="AN37">
        <f t="shared" si="1"/>
        <v>-4.1126146888133777E-2</v>
      </c>
      <c r="AO37">
        <f t="shared" si="1"/>
        <v>3.4487534883169767E-2</v>
      </c>
      <c r="AP37">
        <f t="shared" si="1"/>
        <v>-2.6089169071265055E-2</v>
      </c>
      <c r="AQ37">
        <f t="shared" si="1"/>
        <v>-4.4170615666502593E-2</v>
      </c>
      <c r="AR37">
        <f t="shared" si="1"/>
        <v>-7.4347895065235856E-2</v>
      </c>
      <c r="AS37">
        <f t="shared" si="1"/>
        <v>-0.10464268660104807</v>
      </c>
      <c r="AT37">
        <f t="shared" si="1"/>
        <v>0.20069656438283046</v>
      </c>
      <c r="AU37">
        <f t="shared" si="1"/>
        <v>6.5036257777779174E-2</v>
      </c>
      <c r="AV37">
        <f t="shared" si="1"/>
        <v>0.72452898133234844</v>
      </c>
      <c r="AW37">
        <f t="shared" si="1"/>
        <v>0.1355045692654416</v>
      </c>
      <c r="AX37">
        <f t="shared" si="1"/>
        <v>-3.4321392998007495E-2</v>
      </c>
      <c r="AY37">
        <f t="shared" si="1"/>
        <v>3.0842822261704012E-2</v>
      </c>
      <c r="AZ37">
        <f t="shared" si="1"/>
        <v>0.33146059282021118</v>
      </c>
      <c r="BA37">
        <f t="shared" si="1"/>
        <v>0.17106806978023228</v>
      </c>
    </row>
    <row r="38" spans="1:53" x14ac:dyDescent="0.25">
      <c r="A38" s="220" t="s">
        <v>263</v>
      </c>
      <c r="B38" s="220"/>
      <c r="C38">
        <f>AVERAGE(C2:C7)</f>
        <v>-0.12288061563771503</v>
      </c>
      <c r="D38">
        <f t="shared" ref="D38:BA38" si="2">AVERAGE(D2:D7)</f>
        <v>-5.6641020446369504E-2</v>
      </c>
      <c r="E38">
        <f t="shared" si="2"/>
        <v>-2.4108048373954822E-2</v>
      </c>
      <c r="F38">
        <f t="shared" si="2"/>
        <v>-0.11948436824464718</v>
      </c>
      <c r="G38">
        <f t="shared" si="2"/>
        <v>0.13352185687970061</v>
      </c>
      <c r="H38">
        <f t="shared" si="2"/>
        <v>-6.523160380802856E-2</v>
      </c>
      <c r="I38">
        <f t="shared" si="2"/>
        <v>-5.1048810702511466E-2</v>
      </c>
      <c r="J38">
        <f t="shared" si="2"/>
        <v>-1.5451238218664343E-2</v>
      </c>
      <c r="K38">
        <f t="shared" si="2"/>
        <v>-8.6767258332083486E-2</v>
      </c>
      <c r="L38">
        <f t="shared" si="2"/>
        <v>5.9116213925531715E-2</v>
      </c>
      <c r="M38">
        <f t="shared" si="2"/>
        <v>-3.4751947023813491E-2</v>
      </c>
      <c r="N38">
        <f t="shared" si="2"/>
        <v>3.3315828282279795E-2</v>
      </c>
      <c r="O38">
        <f t="shared" si="2"/>
        <v>0.31333458405990761</v>
      </c>
      <c r="P38">
        <f t="shared" si="2"/>
        <v>6.8119588954074897E-2</v>
      </c>
      <c r="Q38">
        <f t="shared" si="2"/>
        <v>3.929738354073322E-2</v>
      </c>
      <c r="R38">
        <f t="shared" si="2"/>
        <v>4.2919853943900958E-2</v>
      </c>
      <c r="S38">
        <f t="shared" si="2"/>
        <v>-2.648897552690832E-2</v>
      </c>
      <c r="T38">
        <f t="shared" si="2"/>
        <v>1.3451728355580173E-2</v>
      </c>
      <c r="U38">
        <f t="shared" si="2"/>
        <v>5.2436063259161614E-2</v>
      </c>
      <c r="V38">
        <f t="shared" si="2"/>
        <v>-1.4457171244137645E-2</v>
      </c>
      <c r="W38">
        <f t="shared" si="2"/>
        <v>4.2524219807846446E-3</v>
      </c>
      <c r="X38">
        <f t="shared" si="2"/>
        <v>0.159540217363735</v>
      </c>
      <c r="Y38">
        <f t="shared" si="2"/>
        <v>-3.8604838146388772E-2</v>
      </c>
      <c r="Z38">
        <f t="shared" si="2"/>
        <v>0.25817960309807003</v>
      </c>
      <c r="AA38">
        <f t="shared" si="2"/>
        <v>-8.8846369468566833E-2</v>
      </c>
      <c r="AB38">
        <f t="shared" si="2"/>
        <v>-9.8879417919106039E-2</v>
      </c>
      <c r="AC38">
        <f t="shared" si="2"/>
        <v>-0.10995352870234133</v>
      </c>
      <c r="AD38">
        <f t="shared" si="2"/>
        <v>0.11312784784828434</v>
      </c>
      <c r="AE38">
        <f t="shared" si="2"/>
        <v>0.12198846643110133</v>
      </c>
      <c r="AF38">
        <f t="shared" si="2"/>
        <v>0.12085221514725102</v>
      </c>
      <c r="AG38">
        <f t="shared" si="2"/>
        <v>0.21957600182905668</v>
      </c>
      <c r="AH38">
        <f t="shared" si="2"/>
        <v>0.27005492393237457</v>
      </c>
      <c r="AI38">
        <f t="shared" si="2"/>
        <v>0.13580740790097146</v>
      </c>
      <c r="AJ38">
        <f t="shared" si="2"/>
        <v>7.9583545822313626E-2</v>
      </c>
      <c r="AK38">
        <f t="shared" si="2"/>
        <v>6.9776367647307838E-2</v>
      </c>
      <c r="AL38">
        <f t="shared" si="2"/>
        <v>0.31668840956108085</v>
      </c>
      <c r="AM38">
        <f t="shared" si="2"/>
        <v>0.16829710146962831</v>
      </c>
      <c r="AN38">
        <f t="shared" si="2"/>
        <v>0.11394410773823982</v>
      </c>
      <c r="AO38">
        <f t="shared" si="2"/>
        <v>0.16041743667200334</v>
      </c>
      <c r="AP38">
        <f t="shared" si="2"/>
        <v>-0.17395369511587855</v>
      </c>
      <c r="AQ38">
        <f t="shared" si="2"/>
        <v>-0.12944857619025255</v>
      </c>
      <c r="AR38">
        <f t="shared" si="2"/>
        <v>0.16582439082256856</v>
      </c>
      <c r="AS38">
        <f t="shared" si="2"/>
        <v>-0.16699592141111222</v>
      </c>
      <c r="AT38">
        <f t="shared" si="2"/>
        <v>0.14989810314012164</v>
      </c>
      <c r="AU38">
        <f t="shared" si="2"/>
        <v>0.1144690581454131</v>
      </c>
      <c r="AV38">
        <f t="shared" si="2"/>
        <v>0.54709821045857987</v>
      </c>
      <c r="AW38">
        <f t="shared" si="2"/>
        <v>0.18230977381550142</v>
      </c>
      <c r="AX38">
        <f t="shared" si="2"/>
        <v>1.5205153635401716E-2</v>
      </c>
      <c r="AY38">
        <f t="shared" si="2"/>
        <v>4.6682151403064191E-2</v>
      </c>
      <c r="AZ38">
        <f t="shared" si="2"/>
        <v>0.55590172448778341</v>
      </c>
      <c r="BA38">
        <f t="shared" si="2"/>
        <v>0.34940418523564903</v>
      </c>
    </row>
    <row r="39" spans="1:53" x14ac:dyDescent="0.25">
      <c r="A39" s="220" t="s">
        <v>264</v>
      </c>
      <c r="B39" s="220"/>
      <c r="C39">
        <f>AVERAGE(C20:C34)</f>
        <v>1.4014028002105817E-2</v>
      </c>
      <c r="D39">
        <f t="shared" ref="D39:BA39" si="3">AVERAGE(D20:D34)</f>
        <v>2.2712092146296901E-2</v>
      </c>
      <c r="E39">
        <f t="shared" si="3"/>
        <v>-3.1462411395207147E-2</v>
      </c>
      <c r="F39">
        <f t="shared" si="3"/>
        <v>-4.9692552132323521E-2</v>
      </c>
      <c r="G39">
        <f t="shared" si="3"/>
        <v>-8.485144804413397E-3</v>
      </c>
      <c r="H39">
        <f t="shared" si="3"/>
        <v>-9.2520746964480288E-2</v>
      </c>
      <c r="I39">
        <f t="shared" si="3"/>
        <v>8.6971888109130466E-2</v>
      </c>
      <c r="J39">
        <f t="shared" si="3"/>
        <v>7.9476378055654356E-2</v>
      </c>
      <c r="K39">
        <f t="shared" si="3"/>
        <v>-2.2041362694470677E-2</v>
      </c>
      <c r="L39">
        <f t="shared" si="3"/>
        <v>-4.6782002872535842E-3</v>
      </c>
      <c r="M39">
        <f t="shared" si="3"/>
        <v>3.9303101257436565E-2</v>
      </c>
      <c r="N39">
        <f t="shared" si="3"/>
        <v>5.4838709504903878E-3</v>
      </c>
      <c r="O39">
        <f t="shared" si="3"/>
        <v>0.11026723472734612</v>
      </c>
      <c r="P39">
        <f t="shared" si="3"/>
        <v>-2.7812924176595213E-2</v>
      </c>
      <c r="Q39">
        <f t="shared" si="3"/>
        <v>9.6785567750729221E-3</v>
      </c>
      <c r="R39">
        <f t="shared" si="3"/>
        <v>-4.1295768660588934E-2</v>
      </c>
      <c r="S39">
        <f t="shared" si="3"/>
        <v>2.9573279691828613E-2</v>
      </c>
      <c r="T39">
        <f t="shared" si="3"/>
        <v>8.3543515632281254E-2</v>
      </c>
      <c r="U39">
        <f t="shared" si="3"/>
        <v>0.12595247138119597</v>
      </c>
      <c r="V39">
        <f t="shared" si="3"/>
        <v>4.6283731081325004E-2</v>
      </c>
      <c r="W39">
        <f t="shared" si="3"/>
        <v>6.7452906507062219E-2</v>
      </c>
      <c r="X39">
        <f t="shared" si="3"/>
        <v>0.76230492077251777</v>
      </c>
      <c r="Y39">
        <f t="shared" si="3"/>
        <v>0.79953927711706496</v>
      </c>
      <c r="Z39">
        <f t="shared" si="3"/>
        <v>0.24059882021671061</v>
      </c>
      <c r="AA39">
        <f t="shared" si="3"/>
        <v>-1.4197146077497648E-2</v>
      </c>
      <c r="AB39">
        <f t="shared" si="3"/>
        <v>-3.6366850781657981E-2</v>
      </c>
      <c r="AC39">
        <f t="shared" si="3"/>
        <v>-0.20469241424521759</v>
      </c>
      <c r="AD39">
        <f t="shared" si="3"/>
        <v>0.13514066634801794</v>
      </c>
      <c r="AE39">
        <f t="shared" si="3"/>
        <v>0.36224723440427875</v>
      </c>
      <c r="AF39">
        <f t="shared" si="3"/>
        <v>0.3664216671291311</v>
      </c>
      <c r="AG39">
        <f t="shared" si="3"/>
        <v>0.11799891614890466</v>
      </c>
      <c r="AH39">
        <f t="shared" si="3"/>
        <v>6.0917905581214495E-2</v>
      </c>
      <c r="AI39">
        <f t="shared" si="3"/>
        <v>-4.4867774279163889E-3</v>
      </c>
      <c r="AJ39">
        <f t="shared" si="3"/>
        <v>0.18142777358492476</v>
      </c>
      <c r="AK39">
        <f t="shared" si="3"/>
        <v>5.306626550204311E-2</v>
      </c>
      <c r="AL39">
        <f t="shared" si="3"/>
        <v>9.8853931972865405E-2</v>
      </c>
      <c r="AM39">
        <f t="shared" si="3"/>
        <v>0.32231586175049259</v>
      </c>
      <c r="AN39">
        <f t="shared" si="3"/>
        <v>0.17492285642259775</v>
      </c>
      <c r="AO39">
        <f t="shared" si="3"/>
        <v>-8.1173587495883923E-2</v>
      </c>
      <c r="AP39">
        <f t="shared" si="3"/>
        <v>-6.6013220755419891E-2</v>
      </c>
      <c r="AQ39">
        <f t="shared" si="3"/>
        <v>3.2293909419808232E-2</v>
      </c>
      <c r="AR39">
        <f t="shared" si="3"/>
        <v>-3.7043301339256063E-3</v>
      </c>
      <c r="AS39">
        <f t="shared" si="3"/>
        <v>-8.1627791349609097E-2</v>
      </c>
      <c r="AT39">
        <f t="shared" si="3"/>
        <v>2.6367732916066009E-2</v>
      </c>
      <c r="AU39">
        <f t="shared" si="3"/>
        <v>6.9963891926087915E-2</v>
      </c>
      <c r="AV39">
        <f t="shared" si="3"/>
        <v>0.52005140991782106</v>
      </c>
      <c r="AW39">
        <f t="shared" si="3"/>
        <v>0.14226680695528746</v>
      </c>
      <c r="AX39">
        <f t="shared" si="3"/>
        <v>2.9285421972920358E-2</v>
      </c>
      <c r="AY39">
        <f t="shared" si="3"/>
        <v>-2.5985322157166084E-2</v>
      </c>
      <c r="AZ39">
        <f t="shared" si="3"/>
        <v>0.1241561003776091</v>
      </c>
      <c r="BA39">
        <f t="shared" si="3"/>
        <v>7.0762222432200206E-2</v>
      </c>
    </row>
    <row r="40" spans="1:53" x14ac:dyDescent="0.25">
      <c r="A40" s="220" t="s">
        <v>268</v>
      </c>
      <c r="B40" s="220"/>
      <c r="C40">
        <f>MAX(C38:C39)</f>
        <v>1.4014028002105817E-2</v>
      </c>
      <c r="D40">
        <f t="shared" ref="D40:BA40" si="4">MAX(D38:D39)</f>
        <v>2.2712092146296901E-2</v>
      </c>
      <c r="E40">
        <f t="shared" si="4"/>
        <v>-2.4108048373954822E-2</v>
      </c>
      <c r="F40">
        <f t="shared" si="4"/>
        <v>-4.9692552132323521E-2</v>
      </c>
      <c r="G40">
        <f t="shared" si="4"/>
        <v>0.13352185687970061</v>
      </c>
      <c r="H40">
        <f t="shared" si="4"/>
        <v>-6.523160380802856E-2</v>
      </c>
      <c r="I40">
        <f t="shared" si="4"/>
        <v>8.6971888109130466E-2</v>
      </c>
      <c r="J40">
        <f t="shared" si="4"/>
        <v>7.9476378055654356E-2</v>
      </c>
      <c r="K40">
        <f t="shared" si="4"/>
        <v>-2.2041362694470677E-2</v>
      </c>
      <c r="L40">
        <f t="shared" si="4"/>
        <v>5.9116213925531715E-2</v>
      </c>
      <c r="M40">
        <f t="shared" si="4"/>
        <v>3.9303101257436565E-2</v>
      </c>
      <c r="N40">
        <f t="shared" si="4"/>
        <v>3.3315828282279795E-2</v>
      </c>
      <c r="O40">
        <f t="shared" si="4"/>
        <v>0.31333458405990761</v>
      </c>
      <c r="P40">
        <f t="shared" si="4"/>
        <v>6.8119588954074897E-2</v>
      </c>
      <c r="Q40">
        <f t="shared" si="4"/>
        <v>3.929738354073322E-2</v>
      </c>
      <c r="R40">
        <f t="shared" si="4"/>
        <v>4.2919853943900958E-2</v>
      </c>
      <c r="S40">
        <f t="shared" si="4"/>
        <v>2.9573279691828613E-2</v>
      </c>
      <c r="T40">
        <f t="shared" si="4"/>
        <v>8.3543515632281254E-2</v>
      </c>
      <c r="U40">
        <f t="shared" si="4"/>
        <v>0.12595247138119597</v>
      </c>
      <c r="V40">
        <f t="shared" si="4"/>
        <v>4.6283731081325004E-2</v>
      </c>
      <c r="W40">
        <f t="shared" si="4"/>
        <v>6.7452906507062219E-2</v>
      </c>
      <c r="X40">
        <f t="shared" si="4"/>
        <v>0.76230492077251777</v>
      </c>
      <c r="Y40">
        <f t="shared" si="4"/>
        <v>0.79953927711706496</v>
      </c>
      <c r="Z40">
        <f t="shared" si="4"/>
        <v>0.25817960309807003</v>
      </c>
      <c r="AA40">
        <f t="shared" si="4"/>
        <v>-1.4197146077497648E-2</v>
      </c>
      <c r="AB40">
        <f t="shared" si="4"/>
        <v>-3.6366850781657981E-2</v>
      </c>
      <c r="AC40">
        <f t="shared" si="4"/>
        <v>-0.10995352870234133</v>
      </c>
      <c r="AD40">
        <f t="shared" si="4"/>
        <v>0.13514066634801794</v>
      </c>
      <c r="AE40">
        <f t="shared" si="4"/>
        <v>0.36224723440427875</v>
      </c>
      <c r="AF40">
        <f t="shared" si="4"/>
        <v>0.3664216671291311</v>
      </c>
      <c r="AG40">
        <f t="shared" si="4"/>
        <v>0.21957600182905668</v>
      </c>
      <c r="AH40">
        <f t="shared" si="4"/>
        <v>0.27005492393237457</v>
      </c>
      <c r="AI40">
        <f t="shared" si="4"/>
        <v>0.13580740790097146</v>
      </c>
      <c r="AJ40">
        <f t="shared" si="4"/>
        <v>0.18142777358492476</v>
      </c>
      <c r="AK40">
        <f t="shared" si="4"/>
        <v>6.9776367647307838E-2</v>
      </c>
      <c r="AL40">
        <f t="shared" si="4"/>
        <v>0.31668840956108085</v>
      </c>
      <c r="AM40">
        <f t="shared" si="4"/>
        <v>0.32231586175049259</v>
      </c>
      <c r="AN40">
        <f t="shared" si="4"/>
        <v>0.17492285642259775</v>
      </c>
      <c r="AO40">
        <f t="shared" si="4"/>
        <v>0.16041743667200334</v>
      </c>
      <c r="AP40">
        <f t="shared" si="4"/>
        <v>-6.6013220755419891E-2</v>
      </c>
      <c r="AQ40">
        <f t="shared" si="4"/>
        <v>3.2293909419808232E-2</v>
      </c>
      <c r="AR40">
        <f t="shared" si="4"/>
        <v>0.16582439082256856</v>
      </c>
      <c r="AS40">
        <f t="shared" si="4"/>
        <v>-8.1627791349609097E-2</v>
      </c>
      <c r="AT40">
        <f t="shared" si="4"/>
        <v>0.14989810314012164</v>
      </c>
      <c r="AU40">
        <f t="shared" si="4"/>
        <v>0.1144690581454131</v>
      </c>
      <c r="AV40">
        <f t="shared" si="4"/>
        <v>0.54709821045857987</v>
      </c>
      <c r="AW40">
        <f t="shared" si="4"/>
        <v>0.18230977381550142</v>
      </c>
      <c r="AX40">
        <f t="shared" si="4"/>
        <v>2.9285421972920358E-2</v>
      </c>
      <c r="AY40">
        <f t="shared" si="4"/>
        <v>4.6682151403064191E-2</v>
      </c>
      <c r="AZ40">
        <f t="shared" si="4"/>
        <v>0.55590172448778341</v>
      </c>
      <c r="BA40">
        <f t="shared" si="4"/>
        <v>0.34940418523564903</v>
      </c>
    </row>
    <row r="42" spans="1:53" x14ac:dyDescent="0.25">
      <c r="A42" s="220" t="s">
        <v>260</v>
      </c>
      <c r="B42" s="220"/>
      <c r="D42" s="220" t="s">
        <v>261</v>
      </c>
      <c r="E42" s="220"/>
      <c r="G42" s="220" t="s">
        <v>269</v>
      </c>
      <c r="H42" s="220"/>
      <c r="I42" s="220"/>
      <c r="K42" s="15" t="s">
        <v>270</v>
      </c>
    </row>
    <row r="43" spans="1:53" x14ac:dyDescent="0.25">
      <c r="A43" s="13" t="s">
        <v>98</v>
      </c>
      <c r="B43">
        <v>0.66450100723607819</v>
      </c>
      <c r="D43" s="13" t="s">
        <v>98</v>
      </c>
      <c r="E43">
        <v>0.84725609257607803</v>
      </c>
      <c r="G43" s="13" t="s">
        <v>98</v>
      </c>
      <c r="H43">
        <v>0.79953927711706496</v>
      </c>
    </row>
    <row r="44" spans="1:53" x14ac:dyDescent="0.25">
      <c r="A44" s="16" t="s">
        <v>121</v>
      </c>
      <c r="B44">
        <v>0.59932449053051451</v>
      </c>
      <c r="D44" s="16" t="s">
        <v>121</v>
      </c>
      <c r="E44">
        <v>0.72452898133234844</v>
      </c>
      <c r="G44" s="16" t="s">
        <v>97</v>
      </c>
      <c r="H44">
        <v>0.76230492077251777</v>
      </c>
    </row>
    <row r="45" spans="1:53" x14ac:dyDescent="0.25">
      <c r="A45" s="16" t="s">
        <v>97</v>
      </c>
      <c r="B45">
        <v>0.5530322454164881</v>
      </c>
      <c r="D45" s="16" t="s">
        <v>97</v>
      </c>
      <c r="E45">
        <v>0.48818741524782783</v>
      </c>
      <c r="G45" s="16" t="s">
        <v>125</v>
      </c>
      <c r="H45">
        <v>0.55590172448778341</v>
      </c>
    </row>
    <row r="46" spans="1:53" x14ac:dyDescent="0.25">
      <c r="A46" s="16" t="s">
        <v>112</v>
      </c>
      <c r="B46">
        <v>0.30034840467460028</v>
      </c>
      <c r="D46" s="16" t="s">
        <v>88</v>
      </c>
      <c r="E46">
        <v>0.46859636455765269</v>
      </c>
      <c r="G46" s="16" t="s">
        <v>121</v>
      </c>
      <c r="H46">
        <v>0.54709821045857987</v>
      </c>
    </row>
    <row r="47" spans="1:53" x14ac:dyDescent="0.25">
      <c r="A47" s="16" t="s">
        <v>104</v>
      </c>
      <c r="B47">
        <v>0.29070590110647598</v>
      </c>
      <c r="D47" s="16" t="s">
        <v>112</v>
      </c>
      <c r="E47">
        <v>0.33891473493222102</v>
      </c>
      <c r="G47" s="16" t="s">
        <v>105</v>
      </c>
      <c r="H47">
        <v>0.3664216671291311</v>
      </c>
    </row>
    <row r="48" spans="1:53" x14ac:dyDescent="0.25">
      <c r="A48" s="16" t="s">
        <v>125</v>
      </c>
      <c r="B48">
        <v>0.27803875655858701</v>
      </c>
      <c r="D48" s="16" t="s">
        <v>125</v>
      </c>
      <c r="E48">
        <v>0.33146059282021118</v>
      </c>
      <c r="G48" s="16" t="s">
        <v>104</v>
      </c>
      <c r="H48">
        <v>0.36224723440427875</v>
      </c>
    </row>
    <row r="49" spans="1:8" x14ac:dyDescent="0.25">
      <c r="A49" s="16" t="s">
        <v>88</v>
      </c>
      <c r="B49">
        <v>0.27749007272610526</v>
      </c>
      <c r="D49" s="16" t="s">
        <v>104</v>
      </c>
      <c r="E49">
        <v>0.28563795182190993</v>
      </c>
      <c r="G49" s="16" t="s">
        <v>126</v>
      </c>
      <c r="H49">
        <v>0.34940418523564903</v>
      </c>
    </row>
    <row r="50" spans="1:8" x14ac:dyDescent="0.25">
      <c r="A50" s="16" t="s">
        <v>99</v>
      </c>
      <c r="B50">
        <v>0.2128771464243964</v>
      </c>
      <c r="D50" s="13" t="s">
        <v>109</v>
      </c>
      <c r="E50">
        <v>0.27251261289323642</v>
      </c>
      <c r="G50" s="16" t="s">
        <v>112</v>
      </c>
      <c r="H50">
        <v>0.32231586175049259</v>
      </c>
    </row>
    <row r="51" spans="1:8" x14ac:dyDescent="0.25">
      <c r="A51" s="13" t="s">
        <v>109</v>
      </c>
      <c r="B51">
        <v>0.19603240101292693</v>
      </c>
      <c r="D51" s="16" t="s">
        <v>89</v>
      </c>
      <c r="E51">
        <v>0.2594870184133195</v>
      </c>
      <c r="G51" s="16" t="s">
        <v>111</v>
      </c>
      <c r="H51">
        <v>0.31668840956108085</v>
      </c>
    </row>
    <row r="52" spans="1:8" x14ac:dyDescent="0.25">
      <c r="A52" s="16" t="s">
        <v>105</v>
      </c>
      <c r="B52">
        <v>0.18606632495401443</v>
      </c>
      <c r="D52" s="16" t="s">
        <v>92</v>
      </c>
      <c r="E52">
        <v>0.2529602922143252</v>
      </c>
      <c r="G52" s="16" t="s">
        <v>88</v>
      </c>
      <c r="H52">
        <v>0.31333458405990761</v>
      </c>
    </row>
    <row r="53" spans="1:8" x14ac:dyDescent="0.25">
      <c r="A53" s="16" t="s">
        <v>126</v>
      </c>
      <c r="B53">
        <v>0.1578992510684753</v>
      </c>
      <c r="D53" s="16" t="s">
        <v>91</v>
      </c>
      <c r="E53">
        <v>0.24351853517017638</v>
      </c>
      <c r="G53" s="16" t="s">
        <v>107</v>
      </c>
      <c r="H53">
        <v>0.27005492393237457</v>
      </c>
    </row>
    <row r="54" spans="1:8" x14ac:dyDescent="0.25">
      <c r="A54" s="16" t="s">
        <v>122</v>
      </c>
      <c r="B54">
        <v>0.14708835086083694</v>
      </c>
      <c r="D54" s="16" t="s">
        <v>94</v>
      </c>
      <c r="E54">
        <v>0.20445215560997412</v>
      </c>
      <c r="G54" s="16" t="s">
        <v>99</v>
      </c>
      <c r="H54">
        <v>0.25817960309807003</v>
      </c>
    </row>
    <row r="55" spans="1:8" x14ac:dyDescent="0.25">
      <c r="A55" s="16" t="s">
        <v>94</v>
      </c>
      <c r="B55">
        <v>0.14113119144219999</v>
      </c>
      <c r="D55" s="16" t="s">
        <v>119</v>
      </c>
      <c r="E55">
        <v>0.20069656438283046</v>
      </c>
      <c r="G55" s="13" t="s">
        <v>106</v>
      </c>
      <c r="H55">
        <v>0.21957600182905668</v>
      </c>
    </row>
    <row r="56" spans="1:8" x14ac:dyDescent="0.25">
      <c r="A56" s="13" t="s">
        <v>106</v>
      </c>
      <c r="B56">
        <v>0.13851842284811625</v>
      </c>
      <c r="D56" s="16" t="s">
        <v>96</v>
      </c>
      <c r="E56">
        <v>0.19629719879289631</v>
      </c>
      <c r="G56" s="16" t="s">
        <v>122</v>
      </c>
      <c r="H56">
        <v>0.18230977381550142</v>
      </c>
    </row>
    <row r="57" spans="1:8" x14ac:dyDescent="0.25">
      <c r="A57" s="16" t="s">
        <v>103</v>
      </c>
      <c r="B57">
        <v>0.11781754368721002</v>
      </c>
      <c r="D57" s="16" t="s">
        <v>95</v>
      </c>
      <c r="E57">
        <v>0.18047246994631883</v>
      </c>
      <c r="G57" s="13" t="s">
        <v>109</v>
      </c>
      <c r="H57">
        <v>0.18142777358492476</v>
      </c>
    </row>
    <row r="58" spans="1:8" x14ac:dyDescent="0.25">
      <c r="A58" s="16" t="s">
        <v>111</v>
      </c>
      <c r="B58">
        <v>0.11613708617813359</v>
      </c>
      <c r="D58" s="16" t="s">
        <v>126</v>
      </c>
      <c r="E58">
        <v>0.17106806978023228</v>
      </c>
      <c r="G58" s="16" t="s">
        <v>113</v>
      </c>
      <c r="H58">
        <v>0.17492285642259775</v>
      </c>
    </row>
    <row r="59" spans="1:8" x14ac:dyDescent="0.25">
      <c r="A59" s="16" t="s">
        <v>119</v>
      </c>
      <c r="B59">
        <v>0.11222010258108137</v>
      </c>
      <c r="D59" s="16" t="s">
        <v>99</v>
      </c>
      <c r="E59">
        <v>0.15557382584716684</v>
      </c>
      <c r="G59" s="16" t="s">
        <v>117</v>
      </c>
      <c r="H59">
        <v>0.16582439082256856</v>
      </c>
    </row>
    <row r="60" spans="1:8" x14ac:dyDescent="0.25">
      <c r="A60" s="16" t="s">
        <v>96</v>
      </c>
      <c r="B60">
        <v>0.10281437924258779</v>
      </c>
      <c r="D60" s="16" t="s">
        <v>122</v>
      </c>
      <c r="E60">
        <v>0.1355045692654416</v>
      </c>
      <c r="G60" s="13" t="s">
        <v>114</v>
      </c>
      <c r="H60">
        <v>0.16041743667200334</v>
      </c>
    </row>
    <row r="61" spans="1:8" x14ac:dyDescent="0.25">
      <c r="A61" s="16" t="s">
        <v>92</v>
      </c>
      <c r="B61">
        <v>0.10061178329660246</v>
      </c>
      <c r="D61" s="16" t="s">
        <v>93</v>
      </c>
      <c r="E61">
        <v>0.12686828408181125</v>
      </c>
      <c r="G61" s="16" t="s">
        <v>119</v>
      </c>
      <c r="H61">
        <v>0.14989810314012164</v>
      </c>
    </row>
    <row r="62" spans="1:8" x14ac:dyDescent="0.25">
      <c r="A62" s="16" t="s">
        <v>89</v>
      </c>
      <c r="B62">
        <v>9.4102057334404701E-2</v>
      </c>
      <c r="D62" s="13" t="s">
        <v>106</v>
      </c>
      <c r="E62">
        <v>0.12363901673166038</v>
      </c>
      <c r="G62" s="16" t="s">
        <v>108</v>
      </c>
      <c r="H62">
        <v>0.13580740790097146</v>
      </c>
    </row>
    <row r="63" spans="1:8" x14ac:dyDescent="0.25">
      <c r="A63" s="16" t="s">
        <v>93</v>
      </c>
      <c r="B63">
        <v>8.6554015563619219E-2</v>
      </c>
      <c r="D63" s="16" t="s">
        <v>90</v>
      </c>
      <c r="E63">
        <v>0.11718846073414178</v>
      </c>
      <c r="G63" s="16" t="s">
        <v>103</v>
      </c>
      <c r="H63">
        <v>0.13514066634801794</v>
      </c>
    </row>
    <row r="64" spans="1:8" x14ac:dyDescent="0.25">
      <c r="A64" s="16" t="s">
        <v>113</v>
      </c>
      <c r="B64">
        <v>8.5272537276084845E-2</v>
      </c>
      <c r="D64" s="16" t="s">
        <v>103</v>
      </c>
      <c r="E64">
        <v>9.8508488280662984E-2</v>
      </c>
      <c r="G64" s="58" t="s">
        <v>78</v>
      </c>
      <c r="H64">
        <v>0.13352185687970061</v>
      </c>
    </row>
    <row r="65" spans="1:8" x14ac:dyDescent="0.25">
      <c r="A65" s="16" t="s">
        <v>95</v>
      </c>
      <c r="B65">
        <v>8.4035835700329561E-2</v>
      </c>
      <c r="D65" s="58" t="s">
        <v>75</v>
      </c>
      <c r="E65">
        <v>9.42290937141258E-2</v>
      </c>
      <c r="G65" s="16" t="s">
        <v>94</v>
      </c>
      <c r="H65">
        <v>0.12595247138119597</v>
      </c>
    </row>
    <row r="66" spans="1:8" x14ac:dyDescent="0.25">
      <c r="A66" s="16" t="s">
        <v>91</v>
      </c>
      <c r="B66">
        <v>7.7585000478687535E-2</v>
      </c>
      <c r="D66" s="16" t="s">
        <v>110</v>
      </c>
      <c r="E66">
        <v>8.0194381150810803E-2</v>
      </c>
      <c r="G66" s="16" t="s">
        <v>120</v>
      </c>
      <c r="H66">
        <v>0.1144690581454131</v>
      </c>
    </row>
    <row r="67" spans="1:8" x14ac:dyDescent="0.25">
      <c r="A67" s="16" t="s">
        <v>120</v>
      </c>
      <c r="B67">
        <v>7.626387336658022E-2</v>
      </c>
      <c r="D67" s="16" t="s">
        <v>120</v>
      </c>
      <c r="E67">
        <v>6.5036257777779174E-2</v>
      </c>
      <c r="G67" s="16" t="s">
        <v>82</v>
      </c>
      <c r="H67">
        <v>8.6971888109130466E-2</v>
      </c>
    </row>
    <row r="68" spans="1:8" x14ac:dyDescent="0.25">
      <c r="A68" s="16" t="s">
        <v>107</v>
      </c>
      <c r="B68">
        <v>7.4927261759078781E-2</v>
      </c>
      <c r="D68" s="16" t="s">
        <v>111</v>
      </c>
      <c r="E68">
        <v>3.746536724324525E-2</v>
      </c>
      <c r="G68" s="16" t="s">
        <v>93</v>
      </c>
      <c r="H68">
        <v>8.3543515632281254E-2</v>
      </c>
    </row>
    <row r="69" spans="1:8" x14ac:dyDescent="0.25">
      <c r="A69" s="16" t="s">
        <v>110</v>
      </c>
      <c r="B69">
        <v>6.5969235218915859E-2</v>
      </c>
      <c r="D69" s="13" t="s">
        <v>114</v>
      </c>
      <c r="E69">
        <v>3.4487534883169767E-2</v>
      </c>
      <c r="G69" s="16" t="s">
        <v>83</v>
      </c>
      <c r="H69">
        <v>7.9476378055654356E-2</v>
      </c>
    </row>
    <row r="70" spans="1:8" x14ac:dyDescent="0.25">
      <c r="A70" s="16" t="s">
        <v>90</v>
      </c>
      <c r="B70">
        <v>5.4158308535763464E-2</v>
      </c>
      <c r="D70" s="16" t="s">
        <v>124</v>
      </c>
      <c r="E70">
        <v>3.0842822261704012E-2</v>
      </c>
      <c r="G70" s="16" t="s">
        <v>110</v>
      </c>
      <c r="H70">
        <v>6.9776367647307838E-2</v>
      </c>
    </row>
    <row r="71" spans="1:8" x14ac:dyDescent="0.25">
      <c r="A71" s="58" t="s">
        <v>75</v>
      </c>
      <c r="B71">
        <v>3.4290435881386243E-2</v>
      </c>
      <c r="D71" s="58" t="s">
        <v>76</v>
      </c>
      <c r="E71">
        <v>2.9381324999597763E-2</v>
      </c>
      <c r="G71" s="16" t="s">
        <v>89</v>
      </c>
      <c r="H71">
        <v>6.8119588954074897E-2</v>
      </c>
    </row>
    <row r="72" spans="1:8" x14ac:dyDescent="0.25">
      <c r="A72" s="16" t="s">
        <v>108</v>
      </c>
      <c r="B72">
        <v>2.7247817855241569E-2</v>
      </c>
      <c r="D72" s="16" t="s">
        <v>108</v>
      </c>
      <c r="E72">
        <v>1.2636266936324069E-2</v>
      </c>
      <c r="G72" s="16" t="s">
        <v>96</v>
      </c>
      <c r="H72">
        <v>6.7452906507062219E-2</v>
      </c>
    </row>
    <row r="73" spans="1:8" x14ac:dyDescent="0.25">
      <c r="A73" s="16" t="s">
        <v>83</v>
      </c>
      <c r="B73">
        <v>2.3966354096758468E-2</v>
      </c>
      <c r="D73" s="16" t="s">
        <v>87</v>
      </c>
      <c r="E73">
        <v>-9.7103146597810858E-5</v>
      </c>
      <c r="G73" s="16" t="s">
        <v>85</v>
      </c>
      <c r="H73">
        <v>5.9116213925531715E-2</v>
      </c>
    </row>
    <row r="74" spans="1:8" x14ac:dyDescent="0.25">
      <c r="A74" s="58" t="s">
        <v>78</v>
      </c>
      <c r="B74">
        <v>1.9598684032056377E-2</v>
      </c>
      <c r="D74" s="58" t="s">
        <v>78</v>
      </c>
      <c r="E74">
        <v>-2.2581163461785295E-3</v>
      </c>
      <c r="G74" s="16" t="s">
        <v>124</v>
      </c>
      <c r="H74">
        <v>4.6682151403064191E-2</v>
      </c>
    </row>
    <row r="75" spans="1:8" x14ac:dyDescent="0.25">
      <c r="A75" s="16" t="s">
        <v>82</v>
      </c>
      <c r="B75">
        <v>1.045896668760554E-2</v>
      </c>
      <c r="D75" s="16" t="s">
        <v>107</v>
      </c>
      <c r="E75">
        <v>-5.1248741052386934E-3</v>
      </c>
      <c r="G75" s="16" t="s">
        <v>95</v>
      </c>
      <c r="H75">
        <v>4.6283731081325004E-2</v>
      </c>
    </row>
    <row r="76" spans="1:8" x14ac:dyDescent="0.25">
      <c r="A76" s="16" t="s">
        <v>87</v>
      </c>
      <c r="B76">
        <v>8.5147817027836602E-3</v>
      </c>
      <c r="D76" s="16" t="s">
        <v>105</v>
      </c>
      <c r="E76">
        <v>-6.7707978614997165E-3</v>
      </c>
      <c r="G76" s="16" t="s">
        <v>91</v>
      </c>
      <c r="H76">
        <v>4.2919853943900958E-2</v>
      </c>
    </row>
    <row r="77" spans="1:8" x14ac:dyDescent="0.25">
      <c r="A77" s="16" t="s">
        <v>124</v>
      </c>
      <c r="B77">
        <v>7.8917255515558189E-3</v>
      </c>
      <c r="D77" s="16" t="s">
        <v>85</v>
      </c>
      <c r="E77">
        <v>-1.446681075675478E-2</v>
      </c>
      <c r="G77" s="16" t="s">
        <v>86</v>
      </c>
      <c r="H77">
        <v>3.9303101257436565E-2</v>
      </c>
    </row>
    <row r="78" spans="1:8" x14ac:dyDescent="0.25">
      <c r="A78" s="13" t="s">
        <v>114</v>
      </c>
      <c r="B78">
        <v>4.8106432179332789E-3</v>
      </c>
      <c r="D78" s="16" t="s">
        <v>100</v>
      </c>
      <c r="E78">
        <v>-1.6366048188486963E-2</v>
      </c>
      <c r="G78" s="16" t="s">
        <v>90</v>
      </c>
      <c r="H78">
        <v>3.929738354073322E-2</v>
      </c>
    </row>
    <row r="79" spans="1:8" x14ac:dyDescent="0.25">
      <c r="A79" s="16" t="s">
        <v>123</v>
      </c>
      <c r="B79">
        <v>3.5956222857613847E-3</v>
      </c>
      <c r="D79" s="58" t="s">
        <v>74</v>
      </c>
      <c r="E79">
        <v>-1.9283742892008005E-2</v>
      </c>
      <c r="G79" s="16" t="s">
        <v>87</v>
      </c>
      <c r="H79">
        <v>3.3315828282279795E-2</v>
      </c>
    </row>
    <row r="80" spans="1:8" x14ac:dyDescent="0.25">
      <c r="A80" s="16" t="s">
        <v>85</v>
      </c>
      <c r="B80">
        <v>3.3612893988887614E-3</v>
      </c>
      <c r="D80" s="16" t="s">
        <v>83</v>
      </c>
      <c r="E80">
        <v>-2.5712379694150005E-2</v>
      </c>
      <c r="G80" s="16" t="s">
        <v>116</v>
      </c>
      <c r="H80">
        <v>3.2293909419808232E-2</v>
      </c>
    </row>
    <row r="81" spans="1:8" x14ac:dyDescent="0.25">
      <c r="A81" s="16" t="s">
        <v>117</v>
      </c>
      <c r="B81">
        <v>1.430504610415065E-3</v>
      </c>
      <c r="D81" s="16" t="s">
        <v>115</v>
      </c>
      <c r="E81">
        <v>-2.6089169071265055E-2</v>
      </c>
      <c r="G81" s="16" t="s">
        <v>92</v>
      </c>
      <c r="H81">
        <v>2.9573279691828613E-2</v>
      </c>
    </row>
    <row r="82" spans="1:8" x14ac:dyDescent="0.25">
      <c r="A82" s="16" t="s">
        <v>86</v>
      </c>
      <c r="B82">
        <v>-2.53226375097479E-3</v>
      </c>
      <c r="D82" s="16" t="s">
        <v>123</v>
      </c>
      <c r="E82">
        <v>-3.4321392998007495E-2</v>
      </c>
      <c r="G82" s="16" t="s">
        <v>123</v>
      </c>
      <c r="H82">
        <v>2.9285421972920358E-2</v>
      </c>
    </row>
    <row r="83" spans="1:8" x14ac:dyDescent="0.25">
      <c r="A83" s="58" t="s">
        <v>76</v>
      </c>
      <c r="B83">
        <v>-8.0002594295958459E-3</v>
      </c>
      <c r="D83" s="16" t="s">
        <v>86</v>
      </c>
      <c r="E83">
        <v>-3.8716628375069631E-2</v>
      </c>
      <c r="G83" s="58" t="s">
        <v>75</v>
      </c>
      <c r="H83">
        <v>2.2712092146296901E-2</v>
      </c>
    </row>
    <row r="84" spans="1:8" x14ac:dyDescent="0.25">
      <c r="A84" s="58" t="s">
        <v>74</v>
      </c>
      <c r="B84">
        <v>-2.2984187530266632E-2</v>
      </c>
      <c r="D84" s="58" t="s">
        <v>77</v>
      </c>
      <c r="E84">
        <v>-4.0422693402009401E-2</v>
      </c>
      <c r="G84" s="58" t="s">
        <v>74</v>
      </c>
      <c r="H84">
        <v>1.4014028002105817E-2</v>
      </c>
    </row>
    <row r="85" spans="1:8" x14ac:dyDescent="0.25">
      <c r="A85" s="16" t="s">
        <v>116</v>
      </c>
      <c r="B85">
        <v>-2.4919097086134035E-2</v>
      </c>
      <c r="D85" s="16" t="s">
        <v>113</v>
      </c>
      <c r="E85">
        <v>-4.1126146888133777E-2</v>
      </c>
      <c r="G85" s="16" t="s">
        <v>100</v>
      </c>
      <c r="H85">
        <v>-1.4197146077497648E-2</v>
      </c>
    </row>
    <row r="86" spans="1:8" x14ac:dyDescent="0.25">
      <c r="A86" s="16" t="s">
        <v>100</v>
      </c>
      <c r="B86">
        <v>-2.8558423825324523E-2</v>
      </c>
      <c r="D86" s="16" t="s">
        <v>116</v>
      </c>
      <c r="E86">
        <v>-4.4170615666502593E-2</v>
      </c>
      <c r="G86" s="16" t="s">
        <v>84</v>
      </c>
      <c r="H86">
        <v>-2.2041362694470677E-2</v>
      </c>
    </row>
    <row r="87" spans="1:8" x14ac:dyDescent="0.25">
      <c r="A87" s="16" t="s">
        <v>84</v>
      </c>
      <c r="B87">
        <v>-4.2455027281009076E-2</v>
      </c>
      <c r="D87" s="16" t="s">
        <v>84</v>
      </c>
      <c r="E87">
        <v>-4.5815992488644902E-2</v>
      </c>
      <c r="G87" s="58" t="s">
        <v>76</v>
      </c>
      <c r="H87">
        <v>-2.4108048373954822E-2</v>
      </c>
    </row>
    <row r="88" spans="1:8" x14ac:dyDescent="0.25">
      <c r="A88" s="16" t="s">
        <v>101</v>
      </c>
      <c r="B88">
        <v>-5.3041884865027492E-2</v>
      </c>
      <c r="D88" s="16" t="s">
        <v>101</v>
      </c>
      <c r="E88">
        <v>-5.09669109422001E-2</v>
      </c>
      <c r="G88" s="16" t="s">
        <v>101</v>
      </c>
      <c r="H88">
        <v>-3.6366850781657981E-2</v>
      </c>
    </row>
    <row r="89" spans="1:8" x14ac:dyDescent="0.25">
      <c r="A89" s="58" t="s">
        <v>77</v>
      </c>
      <c r="B89">
        <v>-5.9011115523540866E-2</v>
      </c>
      <c r="D89" s="16" t="s">
        <v>82</v>
      </c>
      <c r="E89">
        <v>-5.4428296394242126E-2</v>
      </c>
      <c r="G89" s="58" t="s">
        <v>77</v>
      </c>
      <c r="H89">
        <v>-4.9692552132323521E-2</v>
      </c>
    </row>
    <row r="90" spans="1:8" x14ac:dyDescent="0.25">
      <c r="A90" s="16" t="s">
        <v>115</v>
      </c>
      <c r="B90">
        <v>-7.1120924572174227E-2</v>
      </c>
      <c r="D90" s="16" t="s">
        <v>117</v>
      </c>
      <c r="E90">
        <v>-7.4347895065235856E-2</v>
      </c>
      <c r="G90" s="58" t="s">
        <v>79</v>
      </c>
      <c r="H90">
        <v>-6.523160380802856E-2</v>
      </c>
    </row>
    <row r="91" spans="1:8" x14ac:dyDescent="0.25">
      <c r="A91" s="58" t="s">
        <v>79</v>
      </c>
      <c r="B91">
        <v>-9.572414714172095E-2</v>
      </c>
      <c r="D91" s="16" t="s">
        <v>118</v>
      </c>
      <c r="E91">
        <v>-0.10464268660104807</v>
      </c>
      <c r="G91" s="16" t="s">
        <v>115</v>
      </c>
      <c r="H91">
        <v>-6.6013220755419891E-2</v>
      </c>
    </row>
    <row r="92" spans="1:8" x14ac:dyDescent="0.25">
      <c r="A92" s="16" t="s">
        <v>118</v>
      </c>
      <c r="B92">
        <v>-0.10551832236131475</v>
      </c>
      <c r="D92" s="58" t="s">
        <v>79</v>
      </c>
      <c r="E92">
        <v>-0.11497466903011794</v>
      </c>
      <c r="G92" s="16" t="s">
        <v>118</v>
      </c>
      <c r="H92">
        <v>-8.1627791349609097E-2</v>
      </c>
    </row>
    <row r="93" spans="1:8" x14ac:dyDescent="0.25">
      <c r="A93" s="16" t="s">
        <v>102</v>
      </c>
      <c r="B93">
        <v>-0.15820822971920973</v>
      </c>
      <c r="D93" s="16" t="s">
        <v>102</v>
      </c>
      <c r="E93">
        <v>-0.12423034957013424</v>
      </c>
      <c r="G93" s="16" t="s">
        <v>102</v>
      </c>
      <c r="H93">
        <v>-0.10995352870234133</v>
      </c>
    </row>
  </sheetData>
  <sortState ref="G43:H93">
    <sortCondition descending="1" ref="H43:H93"/>
  </sortState>
  <mergeCells count="8">
    <mergeCell ref="D42:E42"/>
    <mergeCell ref="G42:I42"/>
    <mergeCell ref="A36:B36"/>
    <mergeCell ref="A37:B37"/>
    <mergeCell ref="A38:B38"/>
    <mergeCell ref="A39:B39"/>
    <mergeCell ref="A40:B40"/>
    <mergeCell ref="A42:B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I23" sqref="I23"/>
    </sheetView>
  </sheetViews>
  <sheetFormatPr defaultRowHeight="15" x14ac:dyDescent="0.25"/>
  <cols>
    <col min="1" max="1" width="11.140625" customWidth="1"/>
    <col min="4" max="4" width="11.7109375" customWidth="1"/>
    <col min="7" max="7" width="11" customWidth="1"/>
    <col min="10" max="10" width="12.7109375" customWidth="1"/>
    <col min="13" max="13" width="11.7109375" customWidth="1"/>
    <col min="15" max="16" width="12.140625" customWidth="1"/>
    <col min="17" max="17" width="12.5703125" customWidth="1"/>
    <col min="19" max="19" width="13.42578125" customWidth="1"/>
    <col min="20" max="20" width="12.28515625" customWidth="1"/>
    <col min="22" max="22" width="11.28515625" customWidth="1"/>
    <col min="25" max="25" width="12.7109375" customWidth="1"/>
  </cols>
  <sheetData>
    <row r="1" spans="1:30" ht="65.25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30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30" x14ac:dyDescent="0.25">
      <c r="A3" s="3" t="s">
        <v>74</v>
      </c>
      <c r="B3" s="2">
        <v>0.51</v>
      </c>
      <c r="C3" s="4">
        <v>1</v>
      </c>
      <c r="D3" s="13" t="s">
        <v>84</v>
      </c>
      <c r="E3" s="32">
        <v>0.23227279639054632</v>
      </c>
      <c r="F3" s="4">
        <v>1</v>
      </c>
      <c r="G3" s="131" t="s">
        <v>74</v>
      </c>
      <c r="H3" s="32">
        <v>0.23583015467103841</v>
      </c>
      <c r="I3" s="4">
        <v>1</v>
      </c>
      <c r="J3" s="13" t="s">
        <v>84</v>
      </c>
      <c r="K3" s="32">
        <v>0.28803242522702677</v>
      </c>
      <c r="L3" s="4">
        <v>1</v>
      </c>
      <c r="M3" s="3" t="s">
        <v>79</v>
      </c>
      <c r="N3" s="2">
        <v>70</v>
      </c>
      <c r="O3" s="4">
        <v>1</v>
      </c>
      <c r="P3" s="3" t="s">
        <v>74</v>
      </c>
      <c r="Q3" s="2">
        <v>87.5</v>
      </c>
      <c r="R3" s="4">
        <v>1</v>
      </c>
      <c r="S3" s="3" t="s">
        <v>79</v>
      </c>
      <c r="T3" s="2">
        <v>81.25</v>
      </c>
      <c r="U3" s="4">
        <v>1</v>
      </c>
      <c r="V3" t="s">
        <v>84</v>
      </c>
      <c r="W3">
        <v>25</v>
      </c>
      <c r="X3" s="4">
        <v>1</v>
      </c>
      <c r="Y3" t="s">
        <v>84</v>
      </c>
      <c r="Z3">
        <v>19</v>
      </c>
      <c r="AA3" s="4">
        <v>1</v>
      </c>
    </row>
    <row r="4" spans="1:30" x14ac:dyDescent="0.25">
      <c r="A4" s="3" t="s">
        <v>79</v>
      </c>
      <c r="B4" s="2">
        <v>0.39</v>
      </c>
      <c r="C4" s="4">
        <v>2</v>
      </c>
      <c r="D4" s="131" t="s">
        <v>74</v>
      </c>
      <c r="E4" s="32">
        <v>0.19814867957153384</v>
      </c>
      <c r="F4" s="4">
        <v>2</v>
      </c>
      <c r="G4" s="131" t="s">
        <v>79</v>
      </c>
      <c r="H4" s="32">
        <v>0.13312284647878836</v>
      </c>
      <c r="I4" s="4">
        <v>2</v>
      </c>
      <c r="J4" s="131" t="s">
        <v>79</v>
      </c>
      <c r="K4" s="32">
        <v>0.21863682799782155</v>
      </c>
      <c r="L4" s="4">
        <v>2</v>
      </c>
      <c r="M4" s="3" t="s">
        <v>74</v>
      </c>
      <c r="N4" s="2">
        <v>66.67</v>
      </c>
      <c r="O4" s="4">
        <v>2</v>
      </c>
      <c r="P4" s="3" t="s">
        <v>79</v>
      </c>
      <c r="Q4" s="2">
        <v>62.5</v>
      </c>
      <c r="R4" s="4">
        <v>2</v>
      </c>
      <c r="S4" s="3" t="s">
        <v>74</v>
      </c>
      <c r="T4" s="2">
        <v>68.75</v>
      </c>
      <c r="U4" s="4">
        <v>2</v>
      </c>
      <c r="V4" t="s">
        <v>74</v>
      </c>
      <c r="W4">
        <v>9</v>
      </c>
      <c r="X4" s="4">
        <v>2</v>
      </c>
      <c r="Y4" t="s">
        <v>74</v>
      </c>
      <c r="Z4">
        <v>3</v>
      </c>
      <c r="AA4" s="4">
        <v>2</v>
      </c>
    </row>
    <row r="5" spans="1:30" x14ac:dyDescent="0.25">
      <c r="A5" s="3" t="s">
        <v>75</v>
      </c>
      <c r="B5" s="2">
        <v>0.23</v>
      </c>
      <c r="C5" s="4">
        <v>3</v>
      </c>
      <c r="D5" s="131" t="s">
        <v>79</v>
      </c>
      <c r="E5" s="32">
        <v>0.17849685732533718</v>
      </c>
      <c r="F5" s="4">
        <v>3</v>
      </c>
      <c r="G5" s="13" t="s">
        <v>84</v>
      </c>
      <c r="H5" s="32">
        <v>9.2322988908184841E-2</v>
      </c>
      <c r="I5" s="4">
        <v>3</v>
      </c>
      <c r="J5" s="131" t="s">
        <v>74</v>
      </c>
      <c r="K5" s="32">
        <v>0.20287528264963561</v>
      </c>
      <c r="L5" s="4">
        <v>3</v>
      </c>
      <c r="M5" s="3" t="s">
        <v>84</v>
      </c>
      <c r="N5" s="2">
        <v>60</v>
      </c>
      <c r="O5" s="4">
        <v>3</v>
      </c>
      <c r="P5" s="3" t="s">
        <v>84</v>
      </c>
      <c r="Q5" s="2">
        <v>50</v>
      </c>
      <c r="R5" s="4">
        <v>3</v>
      </c>
      <c r="S5" s="3" t="s">
        <v>84</v>
      </c>
      <c r="T5" s="2">
        <v>68.75</v>
      </c>
      <c r="U5" s="4">
        <v>3</v>
      </c>
      <c r="V5" t="s">
        <v>75</v>
      </c>
      <c r="W5">
        <v>6</v>
      </c>
      <c r="X5" s="4">
        <v>3</v>
      </c>
      <c r="Y5" t="s">
        <v>75</v>
      </c>
      <c r="Z5">
        <v>0</v>
      </c>
      <c r="AA5" s="4">
        <v>3</v>
      </c>
    </row>
    <row r="6" spans="1:30" x14ac:dyDescent="0.25">
      <c r="A6" s="3" t="s">
        <v>85</v>
      </c>
      <c r="B6" s="2">
        <v>0.22</v>
      </c>
      <c r="C6" s="4">
        <v>4</v>
      </c>
      <c r="D6" s="13" t="s">
        <v>85</v>
      </c>
      <c r="E6" s="32">
        <v>5.6421930371445453E-2</v>
      </c>
      <c r="F6" s="4">
        <v>4</v>
      </c>
      <c r="G6" s="13" t="s">
        <v>85</v>
      </c>
      <c r="H6" s="32">
        <v>-1.3205835214517011E-2</v>
      </c>
      <c r="I6" s="4">
        <v>4</v>
      </c>
      <c r="J6" s="13" t="s">
        <v>85</v>
      </c>
      <c r="K6" s="32">
        <v>0.20268892593270668</v>
      </c>
      <c r="L6" s="4">
        <v>3</v>
      </c>
      <c r="M6" s="3" t="s">
        <v>75</v>
      </c>
      <c r="N6" s="2">
        <v>43.33</v>
      </c>
      <c r="O6" s="4">
        <v>4</v>
      </c>
      <c r="P6" s="3" t="s">
        <v>85</v>
      </c>
      <c r="Q6" s="2">
        <v>37.5</v>
      </c>
      <c r="R6" s="4">
        <v>4</v>
      </c>
      <c r="S6" s="3" t="s">
        <v>75</v>
      </c>
      <c r="T6" s="2">
        <v>50</v>
      </c>
      <c r="U6" s="4">
        <v>4</v>
      </c>
      <c r="V6" t="s">
        <v>79</v>
      </c>
      <c r="W6">
        <v>4</v>
      </c>
      <c r="X6" s="4">
        <v>4</v>
      </c>
      <c r="Y6" t="s">
        <v>79</v>
      </c>
      <c r="Z6">
        <v>0</v>
      </c>
      <c r="AA6" s="4">
        <v>3</v>
      </c>
    </row>
    <row r="7" spans="1:30" x14ac:dyDescent="0.25">
      <c r="A7" s="3" t="s">
        <v>84</v>
      </c>
      <c r="B7" s="2">
        <v>0.2</v>
      </c>
      <c r="C7" s="4">
        <v>5</v>
      </c>
      <c r="D7" s="131" t="s">
        <v>75</v>
      </c>
      <c r="E7" s="32">
        <v>4.0218316570557388E-3</v>
      </c>
      <c r="F7" s="4">
        <v>5</v>
      </c>
      <c r="G7" s="131" t="s">
        <v>75</v>
      </c>
      <c r="H7" s="32">
        <v>-6.0718930231896881E-2</v>
      </c>
      <c r="I7" s="4">
        <v>5</v>
      </c>
      <c r="J7" s="131" t="s">
        <v>75</v>
      </c>
      <c r="K7" s="32">
        <v>7.5405025542925483E-2</v>
      </c>
      <c r="L7" s="4">
        <v>4</v>
      </c>
      <c r="M7" s="3" t="s">
        <v>85</v>
      </c>
      <c r="N7" s="2">
        <v>40</v>
      </c>
      <c r="O7" s="4">
        <v>5</v>
      </c>
      <c r="P7" s="3" t="s">
        <v>75</v>
      </c>
      <c r="Q7" s="2">
        <v>25</v>
      </c>
      <c r="R7" s="4">
        <v>5</v>
      </c>
      <c r="S7" s="3" t="s">
        <v>85</v>
      </c>
      <c r="T7" s="2">
        <v>50</v>
      </c>
      <c r="U7" s="4">
        <v>5</v>
      </c>
      <c r="V7" t="s">
        <v>85</v>
      </c>
      <c r="W7">
        <v>4</v>
      </c>
      <c r="X7" s="4">
        <v>4</v>
      </c>
      <c r="Y7" t="s">
        <v>85</v>
      </c>
      <c r="Z7">
        <v>0</v>
      </c>
      <c r="AA7" s="4">
        <v>3</v>
      </c>
    </row>
    <row r="8" spans="1:30" x14ac:dyDescent="0.25">
      <c r="A8" s="3"/>
      <c r="B8" s="2"/>
      <c r="C8" s="4"/>
      <c r="D8" s="3"/>
      <c r="E8" s="2"/>
      <c r="F8" s="4"/>
      <c r="G8" s="3"/>
      <c r="H8" s="2"/>
      <c r="I8" s="4"/>
      <c r="J8" s="3"/>
      <c r="K8" s="2"/>
      <c r="L8" s="4"/>
      <c r="M8" s="3"/>
      <c r="N8" s="2"/>
      <c r="O8" s="4"/>
      <c r="P8" s="3"/>
      <c r="Q8" s="2"/>
      <c r="R8" s="4"/>
      <c r="S8" s="3"/>
      <c r="T8" s="2"/>
      <c r="U8" s="4"/>
      <c r="V8" s="3"/>
      <c r="W8" s="2"/>
      <c r="X8" s="4"/>
      <c r="Y8" s="3"/>
      <c r="Z8" s="2"/>
      <c r="AA8" s="4"/>
    </row>
    <row r="9" spans="1:30" ht="15.75" thickBot="1" x14ac:dyDescent="0.3">
      <c r="A9" s="197" t="s">
        <v>20</v>
      </c>
      <c r="B9" s="198"/>
      <c r="C9" s="199"/>
      <c r="D9" s="197" t="s">
        <v>20</v>
      </c>
      <c r="E9" s="198"/>
      <c r="F9" s="199"/>
      <c r="G9" s="197" t="s">
        <v>20</v>
      </c>
      <c r="H9" s="198"/>
      <c r="I9" s="199"/>
      <c r="J9" s="197" t="s">
        <v>20</v>
      </c>
      <c r="K9" s="198"/>
      <c r="L9" s="199"/>
      <c r="M9" s="197" t="s">
        <v>20</v>
      </c>
      <c r="N9" s="198"/>
      <c r="O9" s="199"/>
      <c r="P9" s="197" t="s">
        <v>20</v>
      </c>
      <c r="Q9" s="198"/>
      <c r="R9" s="199"/>
      <c r="S9" s="197" t="s">
        <v>20</v>
      </c>
      <c r="T9" s="198"/>
      <c r="U9" s="199"/>
      <c r="V9" s="197" t="s">
        <v>20</v>
      </c>
      <c r="W9" s="198"/>
      <c r="X9" s="199"/>
      <c r="Y9" s="197" t="s">
        <v>20</v>
      </c>
      <c r="Z9" s="198"/>
      <c r="AA9" s="199"/>
    </row>
    <row r="11" spans="1:30" ht="15.75" thickBot="1" x14ac:dyDescent="0.3"/>
    <row r="12" spans="1:30" ht="15.75" thickBot="1" x14ac:dyDescent="0.3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224" t="s">
        <v>417</v>
      </c>
      <c r="R12" s="225"/>
      <c r="S12" s="61"/>
      <c r="T12" s="61"/>
      <c r="U12" s="61"/>
      <c r="V12" s="61"/>
      <c r="W12" s="61"/>
      <c r="X12" s="61"/>
      <c r="Y12" s="64"/>
      <c r="Z12" s="64"/>
      <c r="AA12" s="64"/>
      <c r="AB12" s="64"/>
      <c r="AC12" s="64"/>
      <c r="AD12" s="64"/>
    </row>
    <row r="13" spans="1:30" x14ac:dyDescent="0.25">
      <c r="A13" s="221" t="s">
        <v>416</v>
      </c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3"/>
      <c r="M13" s="228" t="s">
        <v>418</v>
      </c>
      <c r="N13" s="229"/>
      <c r="O13" s="230"/>
      <c r="Q13" s="226"/>
      <c r="R13" s="227"/>
    </row>
    <row r="14" spans="1:30" ht="45" x14ac:dyDescent="0.25">
      <c r="A14" s="5" t="s">
        <v>30</v>
      </c>
      <c r="B14" s="6" t="s">
        <v>29</v>
      </c>
      <c r="C14" s="6" t="s">
        <v>31</v>
      </c>
      <c r="D14" s="6" t="s">
        <v>32</v>
      </c>
      <c r="E14" s="6" t="s">
        <v>33</v>
      </c>
      <c r="F14" s="6" t="s">
        <v>34</v>
      </c>
      <c r="G14" s="6" t="s">
        <v>35</v>
      </c>
      <c r="H14" s="6" t="s">
        <v>36</v>
      </c>
      <c r="I14" s="6" t="s">
        <v>271</v>
      </c>
      <c r="J14" s="6" t="s">
        <v>37</v>
      </c>
      <c r="K14" s="70" t="s">
        <v>38</v>
      </c>
      <c r="L14" s="66" t="s">
        <v>39</v>
      </c>
      <c r="M14" s="5" t="s">
        <v>30</v>
      </c>
      <c r="N14" s="70" t="s">
        <v>419</v>
      </c>
      <c r="O14" s="66" t="s">
        <v>420</v>
      </c>
      <c r="Q14" s="65" t="s">
        <v>21</v>
      </c>
      <c r="R14" s="66" t="s">
        <v>273</v>
      </c>
      <c r="T14" s="63" t="s">
        <v>21</v>
      </c>
      <c r="U14" s="49" t="s">
        <v>407</v>
      </c>
      <c r="V14" s="49" t="s">
        <v>408</v>
      </c>
      <c r="W14" s="49" t="s">
        <v>409</v>
      </c>
      <c r="X14" s="49" t="s">
        <v>410</v>
      </c>
      <c r="Y14" s="49" t="s">
        <v>411</v>
      </c>
      <c r="Z14" s="49" t="s">
        <v>412</v>
      </c>
      <c r="AA14" s="49" t="s">
        <v>413</v>
      </c>
      <c r="AB14" s="49" t="s">
        <v>414</v>
      </c>
      <c r="AC14" s="49" t="s">
        <v>415</v>
      </c>
      <c r="AD14" s="49" t="s">
        <v>406</v>
      </c>
    </row>
    <row r="15" spans="1:30" x14ac:dyDescent="0.25">
      <c r="A15" s="17" t="s">
        <v>74</v>
      </c>
      <c r="B15" s="2">
        <v>1</v>
      </c>
      <c r="C15" s="2">
        <v>2</v>
      </c>
      <c r="D15" s="2">
        <v>1</v>
      </c>
      <c r="E15" s="2">
        <v>3</v>
      </c>
      <c r="F15" s="2">
        <v>2</v>
      </c>
      <c r="G15" s="2">
        <v>1</v>
      </c>
      <c r="H15" s="2">
        <v>2</v>
      </c>
      <c r="I15" s="2">
        <v>2</v>
      </c>
      <c r="J15" s="2">
        <v>2</v>
      </c>
      <c r="K15" s="2">
        <f>SUM(B15:J15)</f>
        <v>16</v>
      </c>
      <c r="L15" s="52">
        <v>1</v>
      </c>
      <c r="M15" s="96" t="s">
        <v>74</v>
      </c>
      <c r="N15" s="2">
        <f>SUM(B15:H15)</f>
        <v>12</v>
      </c>
      <c r="O15" s="4">
        <v>1</v>
      </c>
      <c r="Q15" s="133" t="s">
        <v>74</v>
      </c>
      <c r="R15" s="116">
        <v>9</v>
      </c>
      <c r="T15" s="2" t="s">
        <v>74</v>
      </c>
      <c r="U15">
        <f>COUNTIF(A3:A7, "metacell-1")</f>
        <v>1</v>
      </c>
      <c r="V15">
        <f>COUNTIF(D3:D7, "metacell-1")</f>
        <v>1</v>
      </c>
      <c r="W15">
        <f>COUNTIF(G3:G7, "metacell-1")</f>
        <v>1</v>
      </c>
      <c r="X15">
        <f>COUNTIF(J3:J7, "metacell-1")</f>
        <v>1</v>
      </c>
      <c r="Y15">
        <f>COUNTIF(M3:M7, "metacell-1")</f>
        <v>1</v>
      </c>
      <c r="Z15">
        <f>COUNTIF(P3:P7, "metacell-1")</f>
        <v>1</v>
      </c>
      <c r="AA15">
        <f>COUNTIF(S3:S7, "metacell-1")</f>
        <v>1</v>
      </c>
      <c r="AB15">
        <f>COUNTIF(V3:V7, "metacell-1")</f>
        <v>1</v>
      </c>
      <c r="AC15">
        <f>COUNTIF(Y3:Y7, "metacell-1")</f>
        <v>1</v>
      </c>
      <c r="AD15">
        <f>SUM(U15:AC15)</f>
        <v>9</v>
      </c>
    </row>
    <row r="16" spans="1:30" x14ac:dyDescent="0.25">
      <c r="A16" s="17" t="s">
        <v>79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2</v>
      </c>
      <c r="H16" s="2">
        <v>1</v>
      </c>
      <c r="I16" s="2">
        <v>4</v>
      </c>
      <c r="J16" s="2">
        <v>3</v>
      </c>
      <c r="K16" s="2">
        <f>SUM(B16:J16)</f>
        <v>20</v>
      </c>
      <c r="L16" s="52">
        <v>2</v>
      </c>
      <c r="M16" s="96" t="s">
        <v>79</v>
      </c>
      <c r="N16" s="2">
        <f>SUM(B16:H16)</f>
        <v>13</v>
      </c>
      <c r="O16" s="4">
        <v>2</v>
      </c>
      <c r="Q16" s="133" t="s">
        <v>85</v>
      </c>
      <c r="R16" s="116">
        <v>9</v>
      </c>
      <c r="T16" s="2" t="s">
        <v>79</v>
      </c>
      <c r="U16">
        <f>COUNTIF(A3:A7, "metacell-6")</f>
        <v>1</v>
      </c>
      <c r="V16">
        <f>COUNTIF(D3:D7, "metacell-6")</f>
        <v>1</v>
      </c>
      <c r="W16">
        <f>COUNTIF(G3:G7, "metacell-6")</f>
        <v>1</v>
      </c>
      <c r="X16">
        <f>COUNTIF(J3:J7, "metacell-6")</f>
        <v>1</v>
      </c>
      <c r="Y16">
        <f>COUNTIF(M3:M7, "metacell-6")</f>
        <v>1</v>
      </c>
      <c r="Z16">
        <f>COUNTIF(P3:P7, "metacell-6")</f>
        <v>1</v>
      </c>
      <c r="AA16">
        <f>COUNTIF(S3:S7, "metacell-6")</f>
        <v>1</v>
      </c>
      <c r="AB16">
        <f>COUNTIF(V3:V7, "metacell-6")</f>
        <v>1</v>
      </c>
      <c r="AC16">
        <f>COUNTIF(Y3:Y7, "metacell-6")</f>
        <v>1</v>
      </c>
      <c r="AD16">
        <f t="shared" ref="AD16:AD19" si="0">SUM(U16:AC16)</f>
        <v>9</v>
      </c>
    </row>
    <row r="17" spans="1:30" x14ac:dyDescent="0.25">
      <c r="A17" s="17" t="s">
        <v>84</v>
      </c>
      <c r="B17" s="2">
        <v>5</v>
      </c>
      <c r="C17" s="2">
        <v>1</v>
      </c>
      <c r="D17" s="2">
        <v>3</v>
      </c>
      <c r="E17" s="2">
        <v>1</v>
      </c>
      <c r="F17" s="2">
        <v>3</v>
      </c>
      <c r="G17" s="2">
        <v>3</v>
      </c>
      <c r="H17" s="2">
        <v>3</v>
      </c>
      <c r="I17" s="2">
        <v>1</v>
      </c>
      <c r="J17" s="2">
        <v>1</v>
      </c>
      <c r="K17" s="2">
        <f>SUM(B17:J17)</f>
        <v>21</v>
      </c>
      <c r="L17" s="52">
        <v>3</v>
      </c>
      <c r="M17" s="96" t="s">
        <v>84</v>
      </c>
      <c r="N17" s="2">
        <f>SUM(B17:H17)</f>
        <v>19</v>
      </c>
      <c r="O17" s="4">
        <v>3</v>
      </c>
      <c r="Q17" s="133" t="s">
        <v>75</v>
      </c>
      <c r="R17" s="116">
        <v>9</v>
      </c>
      <c r="T17" s="2" t="s">
        <v>75</v>
      </c>
      <c r="U17">
        <f>COUNTIF(A3:A7, "metacell-2")</f>
        <v>1</v>
      </c>
      <c r="V17">
        <f>COUNTIF(D3:D7, "metacell-2")</f>
        <v>1</v>
      </c>
      <c r="W17">
        <f>COUNTIF(G3:G7, "metacell-2")</f>
        <v>1</v>
      </c>
      <c r="X17">
        <f>COUNTIF(J3:J7, "metacell-2")</f>
        <v>1</v>
      </c>
      <c r="Y17">
        <f>COUNTIF(M3:M7, "metacell-2")</f>
        <v>1</v>
      </c>
      <c r="Z17">
        <f>COUNTIF(P3:P7, "metacell-2")</f>
        <v>1</v>
      </c>
      <c r="AA17">
        <f>COUNTIF(S3:S7, "metacell-2")</f>
        <v>1</v>
      </c>
      <c r="AB17">
        <f>COUNTIF(V3:V7, "metacell-2")</f>
        <v>1</v>
      </c>
      <c r="AC17">
        <f>COUNTIF(Y3:Y7, "metacell-2")</f>
        <v>1</v>
      </c>
      <c r="AD17">
        <f t="shared" si="0"/>
        <v>9</v>
      </c>
    </row>
    <row r="18" spans="1:30" x14ac:dyDescent="0.25">
      <c r="A18" s="17" t="s">
        <v>85</v>
      </c>
      <c r="B18" s="2">
        <v>4</v>
      </c>
      <c r="C18" s="2">
        <v>4</v>
      </c>
      <c r="D18" s="2">
        <v>4</v>
      </c>
      <c r="E18" s="2">
        <v>3</v>
      </c>
      <c r="F18" s="2">
        <v>5</v>
      </c>
      <c r="G18" s="2">
        <v>4</v>
      </c>
      <c r="H18" s="2">
        <v>5</v>
      </c>
      <c r="I18" s="2">
        <v>4</v>
      </c>
      <c r="J18" s="2">
        <v>3</v>
      </c>
      <c r="K18" s="2">
        <f>SUM(B18:J18)</f>
        <v>36</v>
      </c>
      <c r="L18" s="52">
        <v>4</v>
      </c>
      <c r="M18" s="96" t="s">
        <v>85</v>
      </c>
      <c r="N18" s="2">
        <f>SUM(B18:H18)</f>
        <v>29</v>
      </c>
      <c r="O18" s="4">
        <v>4</v>
      </c>
      <c r="Q18" s="133" t="s">
        <v>79</v>
      </c>
      <c r="R18" s="116">
        <v>9</v>
      </c>
      <c r="T18" s="2" t="s">
        <v>85</v>
      </c>
      <c r="U18">
        <f>COUNTIF(A3:A7, "metacell-10")</f>
        <v>1</v>
      </c>
      <c r="V18">
        <f>COUNTIF(D3:D7, "metacell-10")</f>
        <v>1</v>
      </c>
      <c r="W18">
        <f>COUNTIF(G3:G7, "metacell-10")</f>
        <v>1</v>
      </c>
      <c r="X18">
        <f>COUNTIF(J3:J7, "metacell-10")</f>
        <v>1</v>
      </c>
      <c r="Y18">
        <f>COUNTIF(M3:M7, "metacell-10")</f>
        <v>1</v>
      </c>
      <c r="Z18">
        <f>COUNTIF(P3:P7, "metacell-10")</f>
        <v>1</v>
      </c>
      <c r="AA18">
        <f>COUNTIF(S3:S7, "metacell-10")</f>
        <v>1</v>
      </c>
      <c r="AB18">
        <f>COUNTIF(V3:V7, "metacell-10")</f>
        <v>1</v>
      </c>
      <c r="AC18">
        <f>COUNTIF(Y3:Y7, "metacell-10")</f>
        <v>1</v>
      </c>
      <c r="AD18">
        <f t="shared" si="0"/>
        <v>9</v>
      </c>
    </row>
    <row r="19" spans="1:30" ht="15.75" thickBot="1" x14ac:dyDescent="0.3">
      <c r="A19" s="132" t="s">
        <v>75</v>
      </c>
      <c r="B19" s="11">
        <v>3</v>
      </c>
      <c r="C19" s="11">
        <v>5</v>
      </c>
      <c r="D19" s="11">
        <v>5</v>
      </c>
      <c r="E19" s="11">
        <v>4</v>
      </c>
      <c r="F19" s="11">
        <v>4</v>
      </c>
      <c r="G19" s="11">
        <v>5</v>
      </c>
      <c r="H19" s="11">
        <v>4</v>
      </c>
      <c r="I19" s="11">
        <v>3</v>
      </c>
      <c r="J19" s="11">
        <v>3</v>
      </c>
      <c r="K19" s="11">
        <f>SUM(B19:J19)</f>
        <v>36</v>
      </c>
      <c r="L19" s="115">
        <v>5</v>
      </c>
      <c r="M19" s="112" t="s">
        <v>75</v>
      </c>
      <c r="N19" s="11">
        <f>SUM(B19:H19)</f>
        <v>30</v>
      </c>
      <c r="O19" s="69">
        <v>5</v>
      </c>
      <c r="Q19" s="134" t="s">
        <v>84</v>
      </c>
      <c r="R19" s="118">
        <v>9</v>
      </c>
      <c r="T19" s="2" t="s">
        <v>84</v>
      </c>
      <c r="U19">
        <f>COUNTIF(A3:A7, "metacell-9")</f>
        <v>1</v>
      </c>
      <c r="V19">
        <f>COUNTIF(D3:D7, "metacell-9")</f>
        <v>1</v>
      </c>
      <c r="W19">
        <f>COUNTIF(G3:G7, "metacell-9")</f>
        <v>1</v>
      </c>
      <c r="X19">
        <f>COUNTIF(J3:J7, "metacell-9")</f>
        <v>1</v>
      </c>
      <c r="Y19">
        <f>COUNTIF(M3:M7, "metacell-9")</f>
        <v>1</v>
      </c>
      <c r="Z19">
        <f>COUNTIF(P3:P7, "metacell-9")</f>
        <v>1</v>
      </c>
      <c r="AA19">
        <f>COUNTIF(S3:S7, "metacell-9")</f>
        <v>1</v>
      </c>
      <c r="AB19">
        <f>COUNTIF(V3:V7, "metacell-9")</f>
        <v>1</v>
      </c>
      <c r="AC19">
        <f>COUNTIF(Y3:Y7, "metacell-9")</f>
        <v>1</v>
      </c>
      <c r="AD19">
        <f t="shared" si="0"/>
        <v>9</v>
      </c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3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3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3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sortState ref="Q15:R19">
    <sortCondition ref="Q15"/>
  </sortState>
  <mergeCells count="21">
    <mergeCell ref="S1:U1"/>
    <mergeCell ref="V1:X1"/>
    <mergeCell ref="Y1:AA1"/>
    <mergeCell ref="A9:C9"/>
    <mergeCell ref="D9:F9"/>
    <mergeCell ref="G9:I9"/>
    <mergeCell ref="J9:L9"/>
    <mergeCell ref="M9:O9"/>
    <mergeCell ref="P9:R9"/>
    <mergeCell ref="S9:U9"/>
    <mergeCell ref="A1:C1"/>
    <mergeCell ref="D1:F1"/>
    <mergeCell ref="G1:I1"/>
    <mergeCell ref="J1:L1"/>
    <mergeCell ref="M1:O1"/>
    <mergeCell ref="P1:R1"/>
    <mergeCell ref="V9:X9"/>
    <mergeCell ref="Y9:AA9"/>
    <mergeCell ref="Q12:R13"/>
    <mergeCell ref="A13:L13"/>
    <mergeCell ref="M13:O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K46" sqref="K46"/>
    </sheetView>
  </sheetViews>
  <sheetFormatPr defaultRowHeight="15" x14ac:dyDescent="0.25"/>
  <cols>
    <col min="1" max="1" width="17.5703125" customWidth="1"/>
    <col min="2" max="2" width="28" customWidth="1"/>
    <col min="3" max="3" width="10.42578125" customWidth="1"/>
    <col min="4" max="4" width="12.7109375" bestFit="1" customWidth="1"/>
    <col min="5" max="6" width="10.42578125" bestFit="1" customWidth="1"/>
    <col min="7" max="7" width="12.7109375" customWidth="1"/>
    <col min="8" max="11" width="10.42578125" bestFit="1" customWidth="1"/>
    <col min="12" max="39" width="11.42578125" bestFit="1" customWidth="1"/>
  </cols>
  <sheetData>
    <row r="1" spans="1:39" x14ac:dyDescent="0.25">
      <c r="A1" s="59"/>
      <c r="B1" s="16" t="s">
        <v>80</v>
      </c>
      <c r="C1" s="131" t="s">
        <v>74</v>
      </c>
      <c r="D1" s="131" t="s">
        <v>75</v>
      </c>
      <c r="E1" s="58" t="s">
        <v>76</v>
      </c>
      <c r="F1" s="58" t="s">
        <v>77</v>
      </c>
      <c r="G1" s="58" t="s">
        <v>78</v>
      </c>
      <c r="H1" s="131" t="s">
        <v>79</v>
      </c>
      <c r="I1" s="16" t="s">
        <v>82</v>
      </c>
      <c r="J1" s="16" t="s">
        <v>83</v>
      </c>
      <c r="K1" s="13" t="s">
        <v>84</v>
      </c>
      <c r="L1" s="13" t="s">
        <v>85</v>
      </c>
      <c r="M1" s="16" t="s">
        <v>86</v>
      </c>
      <c r="N1" s="16" t="s">
        <v>87</v>
      </c>
      <c r="O1" s="16" t="s">
        <v>88</v>
      </c>
      <c r="P1" s="16" t="s">
        <v>89</v>
      </c>
      <c r="Q1" s="16" t="s">
        <v>90</v>
      </c>
      <c r="R1" s="16" t="s">
        <v>91</v>
      </c>
      <c r="S1" s="16" t="s">
        <v>92</v>
      </c>
      <c r="T1" s="16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102</v>
      </c>
      <c r="AD1" s="16" t="s">
        <v>103</v>
      </c>
      <c r="AE1" s="16" t="s">
        <v>104</v>
      </c>
      <c r="AF1" s="16" t="s">
        <v>105</v>
      </c>
      <c r="AG1" s="16" t="s">
        <v>106</v>
      </c>
      <c r="AH1" s="16" t="s">
        <v>107</v>
      </c>
      <c r="AI1" s="16" t="s">
        <v>108</v>
      </c>
      <c r="AJ1" s="16" t="s">
        <v>109</v>
      </c>
      <c r="AK1" s="16" t="s">
        <v>110</v>
      </c>
      <c r="AL1" s="16" t="s">
        <v>111</v>
      </c>
      <c r="AM1" s="16" t="s">
        <v>112</v>
      </c>
    </row>
    <row r="2" spans="1:39" x14ac:dyDescent="0.25">
      <c r="A2" t="s">
        <v>265</v>
      </c>
      <c r="B2" t="s">
        <v>455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0.11230322896971499</v>
      </c>
      <c r="M2">
        <v>0</v>
      </c>
      <c r="N2">
        <v>7.9487698695942993E-2</v>
      </c>
      <c r="O2">
        <v>0</v>
      </c>
      <c r="P2">
        <v>0</v>
      </c>
      <c r="Q2">
        <v>0</v>
      </c>
      <c r="R2">
        <v>4.4194039445698899E-2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0.233946957452629</v>
      </c>
      <c r="AA2">
        <v>0.15416842514966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5.2592903339116003E-2</v>
      </c>
    </row>
    <row r="3" spans="1:39" x14ac:dyDescent="0.25">
      <c r="A3" t="s">
        <v>265</v>
      </c>
      <c r="B3" t="s">
        <v>459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6.6707630122905703E-2</v>
      </c>
      <c r="O3">
        <v>0</v>
      </c>
      <c r="P3">
        <v>0</v>
      </c>
      <c r="Q3">
        <v>0</v>
      </c>
      <c r="R3">
        <v>6.9552716036363996E-2</v>
      </c>
      <c r="S3">
        <v>0</v>
      </c>
      <c r="T3">
        <v>0.21194018266202899</v>
      </c>
      <c r="U3">
        <v>0</v>
      </c>
      <c r="V3">
        <v>5.9406786881409698E-2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0.34762572712737499</v>
      </c>
      <c r="AJ3">
        <v>0</v>
      </c>
      <c r="AK3">
        <v>0</v>
      </c>
      <c r="AL3">
        <v>0.14463838308851801</v>
      </c>
      <c r="AM3">
        <v>5.2592903339116003E-2</v>
      </c>
    </row>
    <row r="4" spans="1:39" x14ac:dyDescent="0.25">
      <c r="A4" t="s">
        <v>265</v>
      </c>
      <c r="B4" t="s">
        <v>464</v>
      </c>
      <c r="C4">
        <v>0.50707668989794297</v>
      </c>
      <c r="D4">
        <v>0.23191195356496999</v>
      </c>
      <c r="E4">
        <v>0</v>
      </c>
      <c r="F4">
        <v>6.1286626400193403E-2</v>
      </c>
      <c r="G4">
        <v>0.116245532388992</v>
      </c>
      <c r="H4">
        <v>0.16406262803116201</v>
      </c>
      <c r="I4">
        <v>0.110367205313672</v>
      </c>
      <c r="J4">
        <v>0.108070404463334</v>
      </c>
      <c r="K4">
        <v>0.29259977808020698</v>
      </c>
      <c r="L4">
        <v>0.315773820508782</v>
      </c>
      <c r="M4">
        <v>8.3425356018956107E-2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0.139167253381941</v>
      </c>
      <c r="AI4">
        <v>0</v>
      </c>
      <c r="AJ4">
        <v>0</v>
      </c>
      <c r="AK4">
        <v>8.0163129862864904E-2</v>
      </c>
      <c r="AL4">
        <v>0</v>
      </c>
      <c r="AM4">
        <v>5.2592903339116003E-2</v>
      </c>
    </row>
    <row r="5" spans="1:39" x14ac:dyDescent="0.25">
      <c r="A5" t="s">
        <v>265</v>
      </c>
      <c r="B5" t="s">
        <v>466</v>
      </c>
      <c r="C5">
        <v>-0.17894633026304799</v>
      </c>
      <c r="D5">
        <v>6.13537790938537E-2</v>
      </c>
      <c r="E5">
        <v>2.7798638166619101E-2</v>
      </c>
      <c r="F5">
        <v>2.0969267150707301E-2</v>
      </c>
      <c r="G5">
        <v>-0.135033117368487</v>
      </c>
      <c r="H5">
        <v>0.12576641454266901</v>
      </c>
      <c r="I5">
        <v>-0.23163768389072401</v>
      </c>
      <c r="J5">
        <v>1.39297805819063E-2</v>
      </c>
      <c r="K5">
        <v>0.187245787664758</v>
      </c>
      <c r="L5">
        <v>0</v>
      </c>
      <c r="M5">
        <v>-0.34345519779828698</v>
      </c>
      <c r="N5">
        <v>-0.37401556452135198</v>
      </c>
      <c r="O5">
        <v>-0.348341647651495</v>
      </c>
      <c r="P5">
        <v>-0.35216458344573498</v>
      </c>
      <c r="Q5">
        <v>-9.7763922042692603E-2</v>
      </c>
      <c r="R5">
        <v>-0.42418041197761203</v>
      </c>
      <c r="S5">
        <v>-0.117607070565327</v>
      </c>
      <c r="T5">
        <v>-0.59836533660467195</v>
      </c>
      <c r="U5">
        <v>-0.73537813097793203</v>
      </c>
      <c r="V5">
        <v>0.41486184183811298</v>
      </c>
      <c r="W5">
        <v>0.65416206075367</v>
      </c>
      <c r="X5">
        <v>0.56101856002662598</v>
      </c>
      <c r="Y5">
        <v>-0.38029187682754101</v>
      </c>
      <c r="Z5">
        <v>-0.14497341100738301</v>
      </c>
      <c r="AA5">
        <v>0.48931373824799101</v>
      </c>
      <c r="AB5">
        <v>-0.145777578885224</v>
      </c>
      <c r="AC5">
        <v>-0.73537813097793203</v>
      </c>
      <c r="AD5">
        <v>0.90792282674916802</v>
      </c>
      <c r="AE5">
        <v>1.55333107228143</v>
      </c>
      <c r="AF5">
        <v>1.1062480990944401</v>
      </c>
      <c r="AG5">
        <v>-0.73537813097793203</v>
      </c>
      <c r="AH5">
        <v>1.0530323837916999</v>
      </c>
      <c r="AI5">
        <v>0.57706179660443602</v>
      </c>
      <c r="AJ5">
        <v>-2.3401060259985802E-2</v>
      </c>
      <c r="AK5">
        <v>0.81976070801731504</v>
      </c>
      <c r="AL5">
        <v>1.32829886190322E-2</v>
      </c>
      <c r="AM5">
        <v>3.2265448512930603E-2</v>
      </c>
    </row>
    <row r="6" spans="1:39" x14ac:dyDescent="0.25">
      <c r="A6" t="s">
        <v>265</v>
      </c>
      <c r="B6" t="s">
        <v>467</v>
      </c>
      <c r="C6">
        <v>0.55643180071488396</v>
      </c>
      <c r="D6">
        <v>0.23191195356496999</v>
      </c>
      <c r="E6">
        <v>0.165764148346593</v>
      </c>
      <c r="F6">
        <v>0.79663258612818899</v>
      </c>
      <c r="G6">
        <v>0.42176197176345798</v>
      </c>
      <c r="H6">
        <v>0.57465219035707205</v>
      </c>
      <c r="I6">
        <v>0.33270399222784203</v>
      </c>
      <c r="J6">
        <v>0.749307911559838</v>
      </c>
      <c r="K6">
        <v>1.2139831440397599</v>
      </c>
      <c r="L6">
        <v>0.86080403908398395</v>
      </c>
      <c r="M6">
        <v>0.24036019403933001</v>
      </c>
      <c r="N6">
        <v>2.24571896647675E-2</v>
      </c>
      <c r="O6">
        <v>0</v>
      </c>
      <c r="P6">
        <v>0</v>
      </c>
      <c r="Q6">
        <v>0.28481455082382601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0.12080110095959901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0.103963417155979</v>
      </c>
      <c r="AJ6">
        <v>0</v>
      </c>
      <c r="AK6">
        <v>0</v>
      </c>
      <c r="AL6">
        <v>0.14463838308851801</v>
      </c>
      <c r="AM6">
        <v>5.2592903339116003E-2</v>
      </c>
    </row>
    <row r="7" spans="1:39" s="11" customFormat="1" ht="15.75" thickBot="1" x14ac:dyDescent="0.3">
      <c r="A7" s="11" t="s">
        <v>265</v>
      </c>
      <c r="B7" s="11" t="s">
        <v>479</v>
      </c>
      <c r="C7" s="11">
        <v>-7.2747532966240799E-2</v>
      </c>
      <c r="D7" s="11">
        <v>-7.2747532966240799E-2</v>
      </c>
      <c r="E7" s="11">
        <v>-7.2747532966240799E-2</v>
      </c>
      <c r="F7" s="11">
        <v>0.13748124661112399</v>
      </c>
      <c r="G7" s="11">
        <v>-2.6925166034646002E-2</v>
      </c>
      <c r="H7" s="11">
        <v>-7.2747532966240799E-2</v>
      </c>
      <c r="I7" s="11">
        <v>7.3046890619513596E-2</v>
      </c>
      <c r="J7" s="11">
        <v>0</v>
      </c>
      <c r="K7" s="11">
        <v>-7.2747532966240799E-2</v>
      </c>
      <c r="L7" s="11">
        <v>-7.2747532966240799E-2</v>
      </c>
      <c r="M7" s="11">
        <v>9.06937269565955E-2</v>
      </c>
      <c r="N7" s="11">
        <v>1.5764305587185098E-2</v>
      </c>
      <c r="O7" s="11">
        <v>-1.3662197714283999E-2</v>
      </c>
      <c r="P7" s="11">
        <v>0.105551397912015</v>
      </c>
      <c r="Q7" s="11">
        <v>-7.2747532966240799E-2</v>
      </c>
      <c r="R7" s="11">
        <v>0.161359050845122</v>
      </c>
      <c r="S7" s="11">
        <v>0.357907598973289</v>
      </c>
      <c r="T7" s="11">
        <v>-7.2747532966240799E-2</v>
      </c>
      <c r="U7" s="11">
        <v>-7.2747532966240799E-2</v>
      </c>
      <c r="V7" s="11">
        <v>0.15302692083590599</v>
      </c>
      <c r="W7" s="11">
        <v>-7.5861122260757296E-4</v>
      </c>
      <c r="X7" s="11">
        <v>7.5562640855731694E-2</v>
      </c>
      <c r="Y7" s="11">
        <v>-7.2747532966240799E-2</v>
      </c>
      <c r="Z7" s="11">
        <v>0.105515216898942</v>
      </c>
      <c r="AA7" s="11">
        <v>8.14208921834189E-2</v>
      </c>
      <c r="AB7" s="11">
        <v>0.14923649478498599</v>
      </c>
      <c r="AC7" s="11">
        <v>-7.2747532966240799E-2</v>
      </c>
      <c r="AD7" s="11">
        <v>0.42923684813566698</v>
      </c>
      <c r="AE7" s="11">
        <v>-7.2747532966240799E-2</v>
      </c>
      <c r="AF7" s="11">
        <v>0.51389856701936498</v>
      </c>
      <c r="AG7" s="11">
        <v>-7.2747532966240799E-2</v>
      </c>
      <c r="AH7" s="11">
        <v>-7.2747532966240799E-2</v>
      </c>
      <c r="AI7" s="11">
        <v>0.59803769133162599</v>
      </c>
      <c r="AJ7" s="11">
        <v>0.19665633182658701</v>
      </c>
      <c r="AK7" s="11">
        <v>0.15713735482229499</v>
      </c>
      <c r="AL7" s="11">
        <v>0.36383544598005502</v>
      </c>
      <c r="AM7" s="11">
        <v>-2.01546296271247E-2</v>
      </c>
    </row>
    <row r="8" spans="1:39" x14ac:dyDescent="0.25">
      <c r="A8" t="s">
        <v>266</v>
      </c>
      <c r="B8" t="s">
        <v>458</v>
      </c>
      <c r="C8">
        <v>1.5239989213473399E-3</v>
      </c>
      <c r="D8">
        <v>0</v>
      </c>
      <c r="E8">
        <v>0.14693924781632201</v>
      </c>
      <c r="F8">
        <v>-1.5102323328833199E-2</v>
      </c>
      <c r="G8">
        <v>9.75026498045269E-2</v>
      </c>
      <c r="H8">
        <v>0.25813757999889397</v>
      </c>
      <c r="I8">
        <v>4.5942877283148803E-2</v>
      </c>
      <c r="J8">
        <v>-0.23687339759093901</v>
      </c>
      <c r="K8">
        <v>-0.140658097459713</v>
      </c>
      <c r="L8">
        <v>-0.117484055031138</v>
      </c>
      <c r="M8">
        <v>-0.18649622850507799</v>
      </c>
      <c r="N8">
        <v>-0.206113105662137</v>
      </c>
      <c r="O8">
        <v>-7.4979106492918404E-2</v>
      </c>
      <c r="P8">
        <v>-0.25495894466166502</v>
      </c>
      <c r="Q8">
        <v>-8.1823878078159398E-2</v>
      </c>
      <c r="R8">
        <v>9.7731108963094795E-2</v>
      </c>
      <c r="S8">
        <v>-0.13330033844719699</v>
      </c>
      <c r="T8">
        <v>5.5205262945547701E-2</v>
      </c>
      <c r="U8">
        <v>-0.43325787553992001</v>
      </c>
      <c r="V8">
        <v>-0.155531534435566</v>
      </c>
      <c r="W8">
        <v>0.22492105804062501</v>
      </c>
      <c r="X8">
        <v>0.10311718026074899</v>
      </c>
      <c r="Y8">
        <v>-7.8171621389529003E-2</v>
      </c>
      <c r="Z8">
        <v>-6.2792603680180498E-2</v>
      </c>
      <c r="AA8">
        <v>0.20175980544236899</v>
      </c>
      <c r="AB8">
        <v>3.5783887252703997E-2</v>
      </c>
      <c r="AC8">
        <v>-5.02749811969651E-2</v>
      </c>
      <c r="AD8">
        <v>0.15103287247566299</v>
      </c>
      <c r="AE8">
        <v>0.48264704064725999</v>
      </c>
      <c r="AF8">
        <v>0.59257708127556397</v>
      </c>
      <c r="AG8">
        <v>-0.43325787553992001</v>
      </c>
      <c r="AH8">
        <v>0.31214648220649399</v>
      </c>
      <c r="AI8">
        <v>0.161765452685358</v>
      </c>
      <c r="AJ8">
        <v>-0.29251292401617401</v>
      </c>
      <c r="AK8">
        <v>0.18068051131384799</v>
      </c>
      <c r="AL8">
        <v>-3.40767639474399E-2</v>
      </c>
      <c r="AM8">
        <v>0.176737932542334</v>
      </c>
    </row>
    <row r="9" spans="1:39" x14ac:dyDescent="0.25">
      <c r="A9" t="s">
        <v>266</v>
      </c>
      <c r="B9" t="s">
        <v>461</v>
      </c>
      <c r="C9">
        <v>4.1411299621435402E-2</v>
      </c>
      <c r="D9">
        <v>-0.55095228843012301</v>
      </c>
      <c r="E9">
        <v>-3.4038569649874E-2</v>
      </c>
      <c r="F9">
        <v>-1.35339976677856E-2</v>
      </c>
      <c r="G9">
        <v>-0.16765667704097501</v>
      </c>
      <c r="H9">
        <v>9.9745076897650407E-3</v>
      </c>
      <c r="I9">
        <v>0</v>
      </c>
      <c r="J9">
        <v>-0.18958070792060699</v>
      </c>
      <c r="K9">
        <v>-8.7338315025340105E-2</v>
      </c>
      <c r="L9">
        <v>-0.38943032144859302</v>
      </c>
      <c r="M9">
        <v>6.3775402400845699E-2</v>
      </c>
      <c r="N9">
        <v>0.32486024843642902</v>
      </c>
      <c r="O9">
        <v>0.270816982240076</v>
      </c>
      <c r="P9">
        <v>0.22983711202287599</v>
      </c>
      <c r="Q9">
        <v>0.234283047166672</v>
      </c>
      <c r="R9">
        <v>0.55340866624448803</v>
      </c>
      <c r="S9">
        <v>0.77991953892085297</v>
      </c>
      <c r="T9">
        <v>-9.5811685861274004E-2</v>
      </c>
      <c r="U9">
        <v>-0.40535416717744699</v>
      </c>
      <c r="V9">
        <v>-1.03479168032047</v>
      </c>
      <c r="W9">
        <v>-0.64076231098964898</v>
      </c>
      <c r="X9">
        <v>-0.513264743484109</v>
      </c>
      <c r="Y9">
        <v>0.482790559208717</v>
      </c>
      <c r="Z9">
        <v>1.2591109566631</v>
      </c>
      <c r="AA9">
        <v>0.78721761931935896</v>
      </c>
      <c r="AB9">
        <v>0.67821749961405797</v>
      </c>
      <c r="AC9">
        <v>-0.69249266965767897</v>
      </c>
      <c r="AD9">
        <v>-0.76597763656385598</v>
      </c>
      <c r="AE9">
        <v>5.75547318901245E-2</v>
      </c>
      <c r="AF9">
        <v>-0.15416237965847401</v>
      </c>
      <c r="AG9">
        <v>0.60018545509557397</v>
      </c>
      <c r="AH9">
        <v>9.5836814979778806E-2</v>
      </c>
      <c r="AI9">
        <v>-0.80172529949688498</v>
      </c>
      <c r="AJ9">
        <v>-0.96791545189297401</v>
      </c>
      <c r="AK9">
        <v>-0.35762024065143999</v>
      </c>
      <c r="AL9">
        <v>0.48780130958272699</v>
      </c>
      <c r="AM9">
        <v>0.83030038109403004</v>
      </c>
    </row>
    <row r="10" spans="1:39" x14ac:dyDescent="0.25">
      <c r="A10" t="s">
        <v>266</v>
      </c>
      <c r="B10" t="s">
        <v>462</v>
      </c>
      <c r="C10">
        <v>0.116223271781598</v>
      </c>
      <c r="D10">
        <v>0.44923049575986301</v>
      </c>
      <c r="E10">
        <v>-5.8225577582358599E-2</v>
      </c>
      <c r="F10">
        <v>0.153409455215092</v>
      </c>
      <c r="G10">
        <v>-0.10282182259258101</v>
      </c>
      <c r="H10">
        <v>0.28865243640619898</v>
      </c>
      <c r="I10">
        <v>0.14729654540801601</v>
      </c>
      <c r="J10">
        <v>0</v>
      </c>
      <c r="K10">
        <v>5.5081026822046401E-2</v>
      </c>
      <c r="L10">
        <v>0.34408829946193298</v>
      </c>
      <c r="M10">
        <v>-0.30041222192915101</v>
      </c>
      <c r="N10">
        <v>-0.72625990985153099</v>
      </c>
      <c r="O10">
        <v>-0.65890045868110103</v>
      </c>
      <c r="P10">
        <v>-0.32758507968566197</v>
      </c>
      <c r="Q10">
        <v>-0.13592335145016099</v>
      </c>
      <c r="R10">
        <v>-0.27581125090261299</v>
      </c>
      <c r="S10">
        <v>-0.77179003552573699</v>
      </c>
      <c r="T10">
        <v>-1.2042730801594199</v>
      </c>
      <c r="U10">
        <v>-0.70859628200800495</v>
      </c>
      <c r="V10">
        <v>-0.65778044629207999</v>
      </c>
      <c r="W10">
        <v>-0.79869001880073798</v>
      </c>
      <c r="X10">
        <v>-1.0753714126266201</v>
      </c>
      <c r="Y10">
        <v>0.57538892948666198</v>
      </c>
      <c r="Z10">
        <v>0.33250421142145498</v>
      </c>
      <c r="AA10">
        <v>0.561514045933176</v>
      </c>
      <c r="AB10">
        <v>-0.129208454639887</v>
      </c>
      <c r="AC10">
        <v>0.26985166576348801</v>
      </c>
      <c r="AD10">
        <v>1.0260291606288401</v>
      </c>
      <c r="AE10">
        <v>2.2994191910598798</v>
      </c>
      <c r="AF10">
        <v>1.59969391644547</v>
      </c>
      <c r="AG10">
        <v>2.9547772607754399</v>
      </c>
      <c r="AH10">
        <v>0.68469401617119696</v>
      </c>
      <c r="AI10">
        <v>-0.46824639799916101</v>
      </c>
      <c r="AJ10">
        <v>-0.421657472857495</v>
      </c>
      <c r="AK10">
        <v>1.3378465524951499</v>
      </c>
      <c r="AL10">
        <v>0.27066552554506101</v>
      </c>
      <c r="AM10">
        <v>-3.9861109341770201E-2</v>
      </c>
    </row>
    <row r="11" spans="1:39" x14ac:dyDescent="0.25">
      <c r="A11" t="s">
        <v>266</v>
      </c>
      <c r="B11" t="s">
        <v>474</v>
      </c>
      <c r="C11">
        <v>0.43478187446126698</v>
      </c>
      <c r="D11">
        <v>0.23191195356496999</v>
      </c>
      <c r="E11">
        <v>0</v>
      </c>
      <c r="F11">
        <v>0.120446368590544</v>
      </c>
      <c r="G11">
        <v>9.0557685203848604E-2</v>
      </c>
      <c r="H11">
        <v>0</v>
      </c>
      <c r="I11">
        <v>0</v>
      </c>
      <c r="J11">
        <v>0.108070404463334</v>
      </c>
      <c r="K11">
        <v>0.20083174346809199</v>
      </c>
      <c r="L11">
        <v>0</v>
      </c>
      <c r="M11">
        <v>4.2160203144046601E-2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0.18793829029475201</v>
      </c>
      <c r="Z11">
        <v>9.6399597122327499E-2</v>
      </c>
      <c r="AA11">
        <v>7.8912461857574306E-2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8.0163129862864904E-2</v>
      </c>
      <c r="AL11">
        <v>0.14463838308851801</v>
      </c>
      <c r="AM11">
        <v>0</v>
      </c>
    </row>
    <row r="12" spans="1:39" x14ac:dyDescent="0.25">
      <c r="A12" t="s">
        <v>266</v>
      </c>
      <c r="B12" t="s">
        <v>475</v>
      </c>
      <c r="C12">
        <v>-1.2972872057301601E-2</v>
      </c>
      <c r="D12">
        <v>-0.17182527455301599</v>
      </c>
      <c r="E12">
        <v>-0.17182527455301599</v>
      </c>
      <c r="F12">
        <v>6.1163462286944699E-2</v>
      </c>
      <c r="G12">
        <v>-1.24507012889047E-2</v>
      </c>
      <c r="H12">
        <v>-7.7626465218543104E-3</v>
      </c>
      <c r="I12">
        <v>-4.0656065638025103E-2</v>
      </c>
      <c r="J12">
        <v>0.140559967444708</v>
      </c>
      <c r="K12">
        <v>2.90064689150763E-2</v>
      </c>
      <c r="L12">
        <v>-0.17182527455301599</v>
      </c>
      <c r="M12">
        <v>5.2813561554691503E-2</v>
      </c>
      <c r="N12">
        <v>-1.9123185626907201E-2</v>
      </c>
      <c r="O12">
        <v>0</v>
      </c>
      <c r="P12">
        <v>-8.0225678488208704E-2</v>
      </c>
      <c r="Q12">
        <v>-0.17182527455301599</v>
      </c>
      <c r="R12">
        <v>-1.1683591030609999E-3</v>
      </c>
      <c r="S12">
        <v>-0.17182527455301599</v>
      </c>
      <c r="T12">
        <v>9.1196086401236706E-2</v>
      </c>
      <c r="U12">
        <v>-0.17182527455301599</v>
      </c>
      <c r="V12">
        <v>0.29903293976886203</v>
      </c>
      <c r="W12">
        <v>-9.9836352809382606E-2</v>
      </c>
      <c r="X12">
        <v>5.0613325427002601E-2</v>
      </c>
      <c r="Y12">
        <v>0.183260979597375</v>
      </c>
      <c r="Z12">
        <v>0.14702565115864499</v>
      </c>
      <c r="AA12">
        <v>0.123211139295667</v>
      </c>
      <c r="AB12">
        <v>0.15036601811077899</v>
      </c>
      <c r="AC12">
        <v>0.21115761978993899</v>
      </c>
      <c r="AD12">
        <v>-0.17182527455301599</v>
      </c>
      <c r="AE12">
        <v>0.19526610970382</v>
      </c>
      <c r="AF12">
        <v>0.41482082543259002</v>
      </c>
      <c r="AG12">
        <v>-0.17182527455301599</v>
      </c>
      <c r="AH12">
        <v>0.61045275035930202</v>
      </c>
      <c r="AI12">
        <v>0.175800452574359</v>
      </c>
      <c r="AJ12">
        <v>-0.17182527455301599</v>
      </c>
      <c r="AK12">
        <v>0.168028583616286</v>
      </c>
      <c r="AL12">
        <v>-2.71868914644979E-2</v>
      </c>
      <c r="AM12">
        <v>0.19106491087470101</v>
      </c>
    </row>
    <row r="13" spans="1:39" x14ac:dyDescent="0.25">
      <c r="A13" t="s">
        <v>266</v>
      </c>
      <c r="B13" t="s">
        <v>481</v>
      </c>
      <c r="C13">
        <v>6.2380327170496901E-2</v>
      </c>
      <c r="D13">
        <v>-0.25129410580825001</v>
      </c>
      <c r="E13">
        <v>0.25182780909381702</v>
      </c>
      <c r="F13">
        <v>0.36147533766801698</v>
      </c>
      <c r="G13">
        <v>-0.15032941683183201</v>
      </c>
      <c r="H13">
        <v>0.15088696096802801</v>
      </c>
      <c r="I13">
        <v>-1.5364676936520399E-4</v>
      </c>
      <c r="J13">
        <v>-0.23414618481539101</v>
      </c>
      <c r="K13">
        <v>-2.25084534267408E-2</v>
      </c>
      <c r="L13">
        <v>-0.20408786406512899</v>
      </c>
      <c r="M13">
        <v>-0.119449619634049</v>
      </c>
      <c r="N13">
        <v>-0.34710500474543599</v>
      </c>
      <c r="O13">
        <v>-0.473643618248756</v>
      </c>
      <c r="P13">
        <v>-0.48937969447468999</v>
      </c>
      <c r="Q13">
        <v>-0.22330960428732499</v>
      </c>
      <c r="R13">
        <v>2.42604973552045E-2</v>
      </c>
      <c r="S13">
        <v>-0.31448732947482899</v>
      </c>
      <c r="T13">
        <v>-0.21657320480034201</v>
      </c>
      <c r="U13">
        <v>-0.37056426790952302</v>
      </c>
      <c r="V13">
        <v>0.18803839580825599</v>
      </c>
      <c r="W13">
        <v>0.13074946827049699</v>
      </c>
      <c r="X13">
        <v>9.8402864268206602E-2</v>
      </c>
      <c r="Y13">
        <v>0</v>
      </c>
      <c r="Z13">
        <v>0.240731644923701</v>
      </c>
      <c r="AA13">
        <v>0.52383963846386095</v>
      </c>
      <c r="AB13">
        <v>-0.30560025460142898</v>
      </c>
      <c r="AC13">
        <v>-0.33130348330661102</v>
      </c>
      <c r="AD13">
        <v>0.61026491959554197</v>
      </c>
      <c r="AE13">
        <v>0.81632451703164099</v>
      </c>
      <c r="AF13">
        <v>1.2179318790287801</v>
      </c>
      <c r="AG13">
        <v>0.34527476221023201</v>
      </c>
      <c r="AH13">
        <v>0.68645475782389798</v>
      </c>
      <c r="AI13">
        <v>0.16245942386775999</v>
      </c>
      <c r="AJ13">
        <v>-0.794304725790005</v>
      </c>
      <c r="AK13">
        <v>0.83706642000477605</v>
      </c>
      <c r="AL13">
        <v>-4.3605469356880297E-2</v>
      </c>
      <c r="AM13">
        <v>3.2035397993350402E-2</v>
      </c>
    </row>
    <row r="14" spans="1:39" x14ac:dyDescent="0.25">
      <c r="A14" t="s">
        <v>266</v>
      </c>
      <c r="B14" t="s">
        <v>482</v>
      </c>
      <c r="C14">
        <v>0.73621664757152105</v>
      </c>
      <c r="D14">
        <v>-0.19282222238861901</v>
      </c>
      <c r="E14">
        <v>-2.7058074042025902E-2</v>
      </c>
      <c r="F14">
        <v>-1.5188035411677301E-2</v>
      </c>
      <c r="G14">
        <v>0.1462684365345</v>
      </c>
      <c r="H14">
        <v>-2.87595943574579E-2</v>
      </c>
      <c r="I14">
        <v>-9.7351061639478403E-2</v>
      </c>
      <c r="J14">
        <v>-5.0089614570673797E-2</v>
      </c>
      <c r="K14">
        <v>0.70416953797205795</v>
      </c>
      <c r="L14">
        <v>0.215848464341901</v>
      </c>
      <c r="M14">
        <v>0</v>
      </c>
      <c r="N14">
        <v>5.2215604087494901E-3</v>
      </c>
      <c r="O14">
        <v>3.2898817140660702E-2</v>
      </c>
      <c r="P14">
        <v>-1.4523291510364199E-2</v>
      </c>
      <c r="Q14">
        <v>0.158611775073141</v>
      </c>
      <c r="R14">
        <v>0.26370529716396002</v>
      </c>
      <c r="S14">
        <v>0.309509507926363</v>
      </c>
      <c r="T14">
        <v>1.9117960273409201E-2</v>
      </c>
      <c r="U14">
        <v>-0.19282222238861901</v>
      </c>
      <c r="V14">
        <v>-0.13341543550721</v>
      </c>
      <c r="W14">
        <v>-0.120833300644986</v>
      </c>
      <c r="X14">
        <v>-0.167317257137748</v>
      </c>
      <c r="Y14">
        <v>0.75645227781953694</v>
      </c>
      <c r="Z14">
        <v>0.37090389810441099</v>
      </c>
      <c r="AA14">
        <v>0.63772365361658501</v>
      </c>
      <c r="AB14">
        <v>-7.7884855990089E-2</v>
      </c>
      <c r="AC14">
        <v>-0.19282222238861901</v>
      </c>
      <c r="AD14">
        <v>0.73106039303227699</v>
      </c>
      <c r="AE14">
        <v>0.94089816446371399</v>
      </c>
      <c r="AF14">
        <v>-0.19282222238861901</v>
      </c>
      <c r="AG14">
        <v>-0.19282222238861901</v>
      </c>
      <c r="AH14">
        <v>-5.36549690066788E-2</v>
      </c>
      <c r="AI14">
        <v>-8.8858805232640101E-2</v>
      </c>
      <c r="AJ14">
        <v>-0.19282222238861901</v>
      </c>
      <c r="AK14">
        <v>0.93612343644750395</v>
      </c>
      <c r="AL14">
        <v>8.4215776021397404E-2</v>
      </c>
      <c r="AM14">
        <v>0.23698815268312101</v>
      </c>
    </row>
    <row r="15" spans="1:39" s="11" customFormat="1" ht="15.75" thickBot="1" x14ac:dyDescent="0.3">
      <c r="A15" s="11" t="s">
        <v>266</v>
      </c>
      <c r="B15" s="11" t="s">
        <v>484</v>
      </c>
      <c r="C15" s="11">
        <v>0.50707668989794297</v>
      </c>
      <c r="D15" s="11">
        <v>0</v>
      </c>
      <c r="E15" s="11">
        <v>0</v>
      </c>
      <c r="F15" s="11">
        <v>0</v>
      </c>
      <c r="G15" s="11">
        <v>0.13426378071123701</v>
      </c>
      <c r="H15" s="11">
        <v>0.39385352764673298</v>
      </c>
      <c r="I15" s="11">
        <v>0.14579442358575401</v>
      </c>
      <c r="J15" s="11">
        <v>3.67345476578083E-2</v>
      </c>
      <c r="K15" s="11">
        <v>0</v>
      </c>
      <c r="L15" s="11">
        <v>0.21724406957790601</v>
      </c>
      <c r="M15" s="11">
        <v>4.2160203144046601E-2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x14ac:dyDescent="0.25">
      <c r="A16" t="s">
        <v>267</v>
      </c>
      <c r="B16" t="s">
        <v>456</v>
      </c>
      <c r="C16">
        <v>0.22787320555618401</v>
      </c>
      <c r="D16">
        <v>-0.39560667532146099</v>
      </c>
      <c r="E16">
        <v>0.18459044803478</v>
      </c>
      <c r="F16">
        <v>-6.3679764720961504E-3</v>
      </c>
      <c r="G16">
        <v>-0.13588608139254901</v>
      </c>
      <c r="H16">
        <v>0.46553787019914</v>
      </c>
      <c r="I16">
        <v>0</v>
      </c>
      <c r="J16">
        <v>7.9704751033221097E-2</v>
      </c>
      <c r="K16">
        <v>0.23245813724175601</v>
      </c>
      <c r="L16">
        <v>0.150303020131344</v>
      </c>
      <c r="M16">
        <v>2.5202372824779901E-2</v>
      </c>
      <c r="N16">
        <v>-0.294436491468336</v>
      </c>
      <c r="O16">
        <v>-0.33652134006950402</v>
      </c>
      <c r="P16">
        <v>-0.30400707925665399</v>
      </c>
      <c r="Q16">
        <v>-0.20985987990723301</v>
      </c>
      <c r="R16">
        <v>-0.22494975987150601</v>
      </c>
      <c r="S16">
        <v>-9.5649138228738606E-2</v>
      </c>
      <c r="T16">
        <v>-0.39560667532146099</v>
      </c>
      <c r="U16">
        <v>-0.39560667532146099</v>
      </c>
      <c r="V16">
        <v>-6.7489811318793599E-2</v>
      </c>
      <c r="W16">
        <v>0.18095257992923</v>
      </c>
      <c r="X16">
        <v>2.7350950747286398E-2</v>
      </c>
      <c r="Y16">
        <v>-0.39560667532146099</v>
      </c>
      <c r="Z16">
        <v>-0.16165971786883199</v>
      </c>
      <c r="AA16">
        <v>-3.44026447837215E-2</v>
      </c>
      <c r="AB16">
        <v>7.3435087471162896E-2</v>
      </c>
      <c r="AC16">
        <v>0.292288725014476</v>
      </c>
      <c r="AD16">
        <v>0.44323258245302299</v>
      </c>
      <c r="AE16">
        <v>0.26914497638412199</v>
      </c>
      <c r="AF16">
        <v>0.191039424664145</v>
      </c>
      <c r="AG16">
        <v>0.97177834347244396</v>
      </c>
      <c r="AH16">
        <v>0.20041950184207999</v>
      </c>
      <c r="AI16">
        <v>8.6785372223391E-2</v>
      </c>
      <c r="AJ16">
        <v>-0.25486172379771499</v>
      </c>
      <c r="AK16">
        <v>-1.68756827975667E-2</v>
      </c>
      <c r="AL16">
        <v>3.5744362710186999E-3</v>
      </c>
      <c r="AM16">
        <v>-0.194527438319306</v>
      </c>
    </row>
    <row r="17" spans="1:39" x14ac:dyDescent="0.25">
      <c r="A17" t="s">
        <v>267</v>
      </c>
      <c r="B17" t="s">
        <v>457</v>
      </c>
      <c r="C17">
        <v>0.55149095913401203</v>
      </c>
      <c r="D17">
        <v>0.15992303182133699</v>
      </c>
      <c r="E17">
        <v>-7.1988921743633194E-2</v>
      </c>
      <c r="F17">
        <v>0.105645265233309</v>
      </c>
      <c r="G17">
        <v>-7.1988921743633194E-2</v>
      </c>
      <c r="H17">
        <v>9.2073706287528201E-2</v>
      </c>
      <c r="I17">
        <v>-7.1988921743633194E-2</v>
      </c>
      <c r="J17">
        <v>-3.5254374085824797E-2</v>
      </c>
      <c r="K17">
        <v>0.12884282172445899</v>
      </c>
      <c r="L17">
        <v>-7.1988921743633194E-2</v>
      </c>
      <c r="M17">
        <v>1.1436434275323201E-2</v>
      </c>
      <c r="N17">
        <v>9.3023606988973204E-2</v>
      </c>
      <c r="O17">
        <v>-7.1988921743633194E-2</v>
      </c>
      <c r="P17">
        <v>1.9610674321173999E-2</v>
      </c>
      <c r="Q17">
        <v>-7.1988921743633194E-2</v>
      </c>
      <c r="R17">
        <v>9.8667993706321705E-2</v>
      </c>
      <c r="S17">
        <v>-7.1988921743633194E-2</v>
      </c>
      <c r="T17">
        <v>0.19103243921061899</v>
      </c>
      <c r="U17">
        <v>-7.1988921743633194E-2</v>
      </c>
      <c r="V17">
        <v>0.458954103356847</v>
      </c>
      <c r="W17">
        <v>0</v>
      </c>
      <c r="X17">
        <v>-6.7259660577808199E-3</v>
      </c>
      <c r="Y17">
        <v>-7.1988921743633194E-2</v>
      </c>
      <c r="Z17">
        <v>-7.1988921743633194E-2</v>
      </c>
      <c r="AA17">
        <v>0.26207265577574901</v>
      </c>
      <c r="AB17">
        <v>0.149995106007594</v>
      </c>
      <c r="AC17">
        <v>0.31099397259932199</v>
      </c>
      <c r="AD17">
        <v>0.11303903548373</v>
      </c>
      <c r="AE17">
        <v>-7.1988921743633194E-2</v>
      </c>
      <c r="AF17">
        <v>-7.1988921743633194E-2</v>
      </c>
      <c r="AG17">
        <v>-7.1988921743633194E-2</v>
      </c>
      <c r="AH17">
        <v>-7.1988921743633194E-2</v>
      </c>
      <c r="AI17">
        <v>3.1974495412345899E-2</v>
      </c>
      <c r="AJ17">
        <v>-7.1988921743633194E-2</v>
      </c>
      <c r="AK17">
        <v>0.22809316785321401</v>
      </c>
      <c r="AL17">
        <v>-7.1988921743633194E-2</v>
      </c>
      <c r="AM17">
        <v>0.26552758207224397</v>
      </c>
    </row>
    <row r="18" spans="1:39" x14ac:dyDescent="0.25">
      <c r="A18" t="s">
        <v>267</v>
      </c>
      <c r="B18" t="s">
        <v>460</v>
      </c>
      <c r="C18">
        <v>0.60802826811062805</v>
      </c>
      <c r="D18">
        <v>0.17118257178422799</v>
      </c>
      <c r="E18">
        <v>0.27448221142738899</v>
      </c>
      <c r="F18">
        <v>0.49745853937872803</v>
      </c>
      <c r="G18">
        <v>3.6546618369912701E-2</v>
      </c>
      <c r="H18">
        <v>0.60682700825954905</v>
      </c>
      <c r="I18">
        <v>8.1667219124562804E-2</v>
      </c>
      <c r="J18">
        <v>0.48708848001759097</v>
      </c>
      <c r="K18">
        <v>0.80332747855467901</v>
      </c>
      <c r="L18">
        <v>0.13522835710534301</v>
      </c>
      <c r="M18">
        <v>0.107667819786255</v>
      </c>
      <c r="N18">
        <v>-0.233897100358126</v>
      </c>
      <c r="O18">
        <v>-0.179879243692665</v>
      </c>
      <c r="P18">
        <v>3.5827703487168197E-2</v>
      </c>
      <c r="Q18">
        <v>-0.32730530594538798</v>
      </c>
      <c r="R18">
        <v>-2.1226491561619501E-2</v>
      </c>
      <c r="S18">
        <v>0.287516390098214</v>
      </c>
      <c r="T18">
        <v>-0.49497081232166401</v>
      </c>
      <c r="U18">
        <v>-0.41854751982194899</v>
      </c>
      <c r="V18">
        <v>1.88500035020459</v>
      </c>
      <c r="W18">
        <v>2.1675674557264299</v>
      </c>
      <c r="X18">
        <v>1.70106301578992</v>
      </c>
      <c r="Y18">
        <v>-0.27554904382455497</v>
      </c>
      <c r="Z18">
        <v>0</v>
      </c>
      <c r="AA18">
        <v>-1.5073418601095101</v>
      </c>
      <c r="AB18">
        <v>-0.15161380537050101</v>
      </c>
      <c r="AC18">
        <v>-9.1445683890897897E-2</v>
      </c>
      <c r="AD18">
        <v>-1.4316581032073299</v>
      </c>
      <c r="AE18">
        <v>-0.40391105975168301</v>
      </c>
      <c r="AF18">
        <v>-2.4724876506231701</v>
      </c>
      <c r="AG18">
        <v>-1.4444910910590001</v>
      </c>
      <c r="AH18">
        <v>-4.6763741090369598E-2</v>
      </c>
      <c r="AI18">
        <v>3.3745546584662403E-2</v>
      </c>
      <c r="AJ18">
        <v>-0.73767823216767103</v>
      </c>
      <c r="AK18">
        <v>-1.4518371613516901</v>
      </c>
      <c r="AL18">
        <v>-0.54880005910987095</v>
      </c>
      <c r="AM18">
        <v>9.0434806460725603E-2</v>
      </c>
    </row>
    <row r="19" spans="1:39" x14ac:dyDescent="0.25">
      <c r="A19" t="s">
        <v>267</v>
      </c>
      <c r="B19" t="s">
        <v>463</v>
      </c>
      <c r="C19">
        <v>-0.28738568973470002</v>
      </c>
      <c r="D19">
        <v>0.11648319232102999</v>
      </c>
      <c r="E19">
        <v>0.12686634816619199</v>
      </c>
      <c r="F19">
        <v>-0.33985834609208898</v>
      </c>
      <c r="G19">
        <v>-0.59029805081258602</v>
      </c>
      <c r="H19">
        <v>-0.42623542278142401</v>
      </c>
      <c r="I19">
        <v>-0.37552274929974999</v>
      </c>
      <c r="J19">
        <v>1.3189096433233201</v>
      </c>
      <c r="K19">
        <v>1.1315415064877401</v>
      </c>
      <c r="L19">
        <v>-9.3718668226567201E-2</v>
      </c>
      <c r="M19">
        <v>0.25959663145999801</v>
      </c>
      <c r="N19">
        <v>0.84151960598200404</v>
      </c>
      <c r="O19">
        <v>-0.53121271556062899</v>
      </c>
      <c r="P19">
        <v>-0.251277112613703</v>
      </c>
      <c r="Q19">
        <v>-0.30548349998876001</v>
      </c>
      <c r="R19">
        <v>2.5329657713885701E-3</v>
      </c>
      <c r="S19">
        <v>-0.21256478773960499</v>
      </c>
      <c r="T19">
        <v>0</v>
      </c>
      <c r="U19">
        <v>0.13018488226094599</v>
      </c>
      <c r="V19">
        <v>-0.28291212034295699</v>
      </c>
      <c r="W19">
        <v>-0.25746784785737997</v>
      </c>
      <c r="X19">
        <v>0.94390931184407101</v>
      </c>
      <c r="Y19">
        <v>-0.59029805081258602</v>
      </c>
      <c r="Z19">
        <v>0.94193275098741203</v>
      </c>
      <c r="AA19">
        <v>-0.43612962566292601</v>
      </c>
      <c r="AB19">
        <v>0.13418333851577099</v>
      </c>
      <c r="AC19">
        <v>0.68333518969048501</v>
      </c>
      <c r="AD19">
        <v>-0.40527009358522298</v>
      </c>
      <c r="AE19">
        <v>-0.59029805081258602</v>
      </c>
      <c r="AF19">
        <v>-3.6519508269802102E-3</v>
      </c>
      <c r="AG19">
        <v>-0.59029805081258602</v>
      </c>
      <c r="AH19">
        <v>0.78231736212293101</v>
      </c>
      <c r="AI19">
        <v>0.24578833889570501</v>
      </c>
      <c r="AJ19">
        <v>0.295559618246994</v>
      </c>
      <c r="AK19">
        <v>0.28312297418076998</v>
      </c>
      <c r="AL19">
        <v>0.324475005242431</v>
      </c>
      <c r="AM19">
        <v>0.21526231598978501</v>
      </c>
    </row>
    <row r="20" spans="1:39" x14ac:dyDescent="0.25">
      <c r="A20" t="s">
        <v>267</v>
      </c>
      <c r="B20" t="s">
        <v>465</v>
      </c>
      <c r="C20">
        <v>0.28758788930249801</v>
      </c>
      <c r="D20">
        <v>6.5432633722657396E-2</v>
      </c>
      <c r="E20">
        <v>3.4287427903436002E-2</v>
      </c>
      <c r="F20">
        <v>0.16217617919095501</v>
      </c>
      <c r="G20">
        <v>0.121781029974472</v>
      </c>
      <c r="H20">
        <v>0.25456695687646202</v>
      </c>
      <c r="I20">
        <v>-8.92802622891717E-2</v>
      </c>
      <c r="J20">
        <v>-4.89263441991779E-2</v>
      </c>
      <c r="K20">
        <v>0.21048048877016101</v>
      </c>
      <c r="L20">
        <v>0</v>
      </c>
      <c r="M20">
        <v>-0.21028373780718301</v>
      </c>
      <c r="N20">
        <v>-0.33929300687035402</v>
      </c>
      <c r="O20">
        <v>-0.23781725995497499</v>
      </c>
      <c r="P20">
        <v>-0.23897525790716101</v>
      </c>
      <c r="Q20">
        <v>-0.36016290003857798</v>
      </c>
      <c r="R20">
        <v>-7.8152501402689201E-2</v>
      </c>
      <c r="S20">
        <v>-4.3577965137822701E-2</v>
      </c>
      <c r="T20">
        <v>-0.282888334498553</v>
      </c>
      <c r="U20">
        <v>0.17457323762072699</v>
      </c>
      <c r="V20">
        <v>-0.14088717030529899</v>
      </c>
      <c r="W20">
        <v>0.26957057123280098</v>
      </c>
      <c r="X20">
        <v>-8.5125117315568405E-2</v>
      </c>
      <c r="Y20">
        <v>-0.19082344130241399</v>
      </c>
      <c r="Z20">
        <v>0.29517736050107501</v>
      </c>
      <c r="AA20">
        <v>-2.4911642813596601E-2</v>
      </c>
      <c r="AB20">
        <v>-0.43097232905427502</v>
      </c>
      <c r="AC20">
        <v>0.141985704883132</v>
      </c>
      <c r="AD20">
        <v>-0.36088173822544201</v>
      </c>
      <c r="AE20">
        <v>0.27041242742660698</v>
      </c>
      <c r="AF20">
        <v>0.31028135216089198</v>
      </c>
      <c r="AG20">
        <v>0.82147532334109896</v>
      </c>
      <c r="AH20">
        <v>0.448473925317876</v>
      </c>
      <c r="AI20">
        <v>0.51199694803586604</v>
      </c>
      <c r="AJ20">
        <v>-0.40516474392905899</v>
      </c>
      <c r="AK20">
        <v>0.263234684260368</v>
      </c>
      <c r="AL20">
        <v>0.17200699025861699</v>
      </c>
      <c r="AM20">
        <v>-0.252663738193457</v>
      </c>
    </row>
    <row r="21" spans="1:39" x14ac:dyDescent="0.25">
      <c r="A21" t="s">
        <v>267</v>
      </c>
      <c r="B21" t="s">
        <v>468</v>
      </c>
      <c r="C21">
        <v>0.55643180071488396</v>
      </c>
      <c r="D21">
        <v>0.23191195356496999</v>
      </c>
      <c r="E21">
        <v>0.165764148346593</v>
      </c>
      <c r="F21">
        <v>0.466526691579294</v>
      </c>
      <c r="G21">
        <v>0.299805090265228</v>
      </c>
      <c r="H21">
        <v>0.25274171749325802</v>
      </c>
      <c r="I21">
        <v>0.41364310798562398</v>
      </c>
      <c r="J21">
        <v>0.44623080687093802</v>
      </c>
      <c r="K21">
        <v>0.58489693067425896</v>
      </c>
      <c r="L21">
        <v>0.40867068673051998</v>
      </c>
      <c r="M21">
        <v>0.14710080249834601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0.28793370749159503</v>
      </c>
      <c r="Z21">
        <v>0</v>
      </c>
      <c r="AA21">
        <v>0</v>
      </c>
      <c r="AB21">
        <v>0</v>
      </c>
      <c r="AC21">
        <v>0</v>
      </c>
      <c r="AD21">
        <v>0.18502795722736301</v>
      </c>
      <c r="AE21">
        <v>0</v>
      </c>
      <c r="AF21">
        <v>0</v>
      </c>
      <c r="AG21">
        <v>0</v>
      </c>
      <c r="AH21">
        <v>0.139167253381941</v>
      </c>
      <c r="AI21">
        <v>0</v>
      </c>
      <c r="AJ21">
        <v>0</v>
      </c>
      <c r="AK21">
        <v>0</v>
      </c>
      <c r="AL21">
        <v>0</v>
      </c>
      <c r="AM21">
        <v>5.2592903339116003E-2</v>
      </c>
    </row>
    <row r="22" spans="1:39" x14ac:dyDescent="0.25">
      <c r="A22" t="s">
        <v>267</v>
      </c>
      <c r="B22" t="s">
        <v>469</v>
      </c>
      <c r="C22">
        <v>0.30291236107788599</v>
      </c>
      <c r="D22">
        <v>0</v>
      </c>
      <c r="E22">
        <v>0</v>
      </c>
      <c r="F22">
        <v>0.26456950241347899</v>
      </c>
      <c r="G22">
        <v>0.176994010394558</v>
      </c>
      <c r="H22">
        <v>0.57465219035707205</v>
      </c>
      <c r="I22">
        <v>7.4279095527265304E-2</v>
      </c>
      <c r="J22">
        <v>0.17676175237245001</v>
      </c>
      <c r="K22">
        <v>0.29259977808020698</v>
      </c>
      <c r="L22">
        <v>0.11230322896971499</v>
      </c>
      <c r="M22">
        <v>0.12383891277841599</v>
      </c>
      <c r="N22">
        <v>7.9487698695942993E-2</v>
      </c>
      <c r="O22">
        <v>5.9085335251956798E-2</v>
      </c>
      <c r="P22">
        <v>0</v>
      </c>
      <c r="Q22">
        <v>0</v>
      </c>
      <c r="R22">
        <v>0</v>
      </c>
      <c r="S22">
        <v>0.15725261133979801</v>
      </c>
      <c r="T22">
        <v>0</v>
      </c>
      <c r="U22">
        <v>0</v>
      </c>
      <c r="V22">
        <v>0.225774453802147</v>
      </c>
      <c r="W22">
        <v>0.245024721489147</v>
      </c>
      <c r="X22">
        <v>0.25467609171615002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0.103963417155979</v>
      </c>
      <c r="AJ22">
        <v>0</v>
      </c>
      <c r="AK22">
        <v>0</v>
      </c>
      <c r="AL22">
        <v>0.14463838308851801</v>
      </c>
      <c r="AM22">
        <v>5.2592903339116003E-2</v>
      </c>
    </row>
    <row r="23" spans="1:39" x14ac:dyDescent="0.25">
      <c r="A23" t="s">
        <v>267</v>
      </c>
      <c r="B23" t="s">
        <v>470</v>
      </c>
      <c r="C23">
        <v>0</v>
      </c>
      <c r="D23">
        <v>0</v>
      </c>
      <c r="E23">
        <v>0</v>
      </c>
      <c r="F23">
        <v>0</v>
      </c>
      <c r="G23">
        <v>4.5822366931594798E-2</v>
      </c>
      <c r="H23">
        <v>0.16406262803116201</v>
      </c>
      <c r="I23">
        <v>3.75005469340048E-2</v>
      </c>
      <c r="J23">
        <v>3.67345476578083E-2</v>
      </c>
      <c r="K23">
        <v>0</v>
      </c>
      <c r="L23">
        <v>0</v>
      </c>
      <c r="M23">
        <v>0</v>
      </c>
      <c r="N23">
        <v>6.6707630122905703E-2</v>
      </c>
      <c r="O23">
        <v>5.9085335251956798E-2</v>
      </c>
      <c r="P23">
        <v>0</v>
      </c>
      <c r="Q23">
        <v>0</v>
      </c>
      <c r="R23">
        <v>4.4194039445698899E-2</v>
      </c>
      <c r="S23">
        <v>0</v>
      </c>
      <c r="T23">
        <v>0</v>
      </c>
      <c r="U23">
        <v>0</v>
      </c>
      <c r="V23">
        <v>5.9406786881409698E-2</v>
      </c>
      <c r="W23">
        <v>0</v>
      </c>
      <c r="X23">
        <v>2.5504965250871502E-2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8.0163129862864904E-2</v>
      </c>
      <c r="AL23">
        <v>0.34962521086244203</v>
      </c>
      <c r="AM23">
        <v>0</v>
      </c>
    </row>
    <row r="24" spans="1:39" x14ac:dyDescent="0.25">
      <c r="A24" t="s">
        <v>267</v>
      </c>
      <c r="B24" t="s">
        <v>471</v>
      </c>
      <c r="C24">
        <v>-1.2861459430896401E-2</v>
      </c>
      <c r="D24">
        <v>0.117484055031138</v>
      </c>
      <c r="E24">
        <v>-0.150009672162189</v>
      </c>
      <c r="F24">
        <v>-0.254487194108589</v>
      </c>
      <c r="G24">
        <v>-0.22521613530493301</v>
      </c>
      <c r="H24">
        <v>0.13321585065400801</v>
      </c>
      <c r="I24">
        <v>-0.27827327357477699</v>
      </c>
      <c r="J24">
        <v>-0.13901206813633199</v>
      </c>
      <c r="K24">
        <v>-2.3174042428575001E-2</v>
      </c>
      <c r="L24">
        <v>0</v>
      </c>
      <c r="M24">
        <v>-0.15233256058594599</v>
      </c>
      <c r="N24">
        <v>-0.271082614336977</v>
      </c>
      <c r="O24">
        <v>-0.315773820508782</v>
      </c>
      <c r="P24">
        <v>-0.224174224443975</v>
      </c>
      <c r="Q24">
        <v>-0.13002702509455499</v>
      </c>
      <c r="R24">
        <v>-0.16209911559229201</v>
      </c>
      <c r="S24">
        <v>-0.315773820508782</v>
      </c>
      <c r="T24">
        <v>6.3952708993138402E-2</v>
      </c>
      <c r="U24">
        <v>0.40470911256475001</v>
      </c>
      <c r="V24">
        <v>0.56647041580938395</v>
      </c>
      <c r="W24">
        <v>0.27458989390802702</v>
      </c>
      <c r="X24">
        <v>4.8940040665791301E-2</v>
      </c>
      <c r="Y24">
        <v>1.65761963305152</v>
      </c>
      <c r="Z24">
        <v>1.8215663660663299</v>
      </c>
      <c r="AA24">
        <v>1.3672219263388301</v>
      </c>
      <c r="AB24">
        <v>0.43013668768531199</v>
      </c>
      <c r="AC24">
        <v>-0.315773820508782</v>
      </c>
      <c r="AD24">
        <v>-0.13074586328141899</v>
      </c>
      <c r="AE24">
        <v>1.58826108747009</v>
      </c>
      <c r="AF24">
        <v>0.27087227947682302</v>
      </c>
      <c r="AG24">
        <v>1.05161119828512</v>
      </c>
      <c r="AH24">
        <v>0.59988516062962305</v>
      </c>
      <c r="AI24">
        <v>0.35501140378908502</v>
      </c>
      <c r="AJ24">
        <v>-9.8437384432424696E-2</v>
      </c>
      <c r="AK24">
        <v>-4.4478122092311403E-2</v>
      </c>
      <c r="AL24">
        <v>1.410736019976</v>
      </c>
      <c r="AM24">
        <v>0.32494958878404101</v>
      </c>
    </row>
    <row r="25" spans="1:39" x14ac:dyDescent="0.25">
      <c r="A25" t="s">
        <v>267</v>
      </c>
      <c r="B25" t="s">
        <v>472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8.3425356018956107E-2</v>
      </c>
      <c r="N25">
        <v>0</v>
      </c>
      <c r="O25">
        <v>0</v>
      </c>
      <c r="P25">
        <v>9.1599596064807096E-2</v>
      </c>
      <c r="Q25">
        <v>0.18574679541422801</v>
      </c>
      <c r="R25">
        <v>0</v>
      </c>
      <c r="S25">
        <v>0</v>
      </c>
      <c r="T25">
        <v>0.13701279437326</v>
      </c>
      <c r="U25">
        <v>0</v>
      </c>
      <c r="V25">
        <v>5.9406786881409698E-2</v>
      </c>
      <c r="W25">
        <v>0</v>
      </c>
      <c r="X25">
        <v>0</v>
      </c>
      <c r="Y25">
        <v>0</v>
      </c>
      <c r="Z25">
        <v>0.12080110095959901</v>
      </c>
      <c r="AA25">
        <v>7.8912461857574306E-2</v>
      </c>
      <c r="AB25">
        <v>0</v>
      </c>
      <c r="AC25">
        <v>0.68789540033593699</v>
      </c>
      <c r="AD25">
        <v>0.18502795722736301</v>
      </c>
      <c r="AE25">
        <v>0.36709138425683602</v>
      </c>
      <c r="AF25">
        <v>0</v>
      </c>
      <c r="AG25">
        <v>0</v>
      </c>
      <c r="AH25">
        <v>0</v>
      </c>
      <c r="AI25">
        <v>0.103963417155979</v>
      </c>
      <c r="AJ25">
        <v>0</v>
      </c>
      <c r="AK25">
        <v>0.33985385816930203</v>
      </c>
      <c r="AL25">
        <v>0</v>
      </c>
      <c r="AM25">
        <v>0.20107923700215499</v>
      </c>
    </row>
    <row r="26" spans="1:39" x14ac:dyDescent="0.25">
      <c r="A26" t="s">
        <v>267</v>
      </c>
      <c r="B26" t="s">
        <v>473</v>
      </c>
      <c r="C26">
        <v>-4.6125336637052898E-3</v>
      </c>
      <c r="D26">
        <v>-0.307524894741591</v>
      </c>
      <c r="E26">
        <v>-0.141760746394998</v>
      </c>
      <c r="F26">
        <v>-0.187078526151047</v>
      </c>
      <c r="G26">
        <v>-0.130530884347033</v>
      </c>
      <c r="H26">
        <v>0.14146477642119901</v>
      </c>
      <c r="I26">
        <v>0.19621555234561699</v>
      </c>
      <c r="J26">
        <v>-6.4501891346483098E-2</v>
      </c>
      <c r="K26">
        <v>0.42060354938648897</v>
      </c>
      <c r="L26">
        <v>8.2489257671910995E-3</v>
      </c>
      <c r="M26">
        <v>-9.8731262645472301E-2</v>
      </c>
      <c r="N26">
        <v>0</v>
      </c>
      <c r="O26">
        <v>-8.18038552123109E-2</v>
      </c>
      <c r="P26">
        <v>-4.6900773916151398E-2</v>
      </c>
      <c r="Q26">
        <v>0.193557685372929</v>
      </c>
      <c r="R26">
        <v>0.113695835035011</v>
      </c>
      <c r="S26">
        <v>-0.307524894741591</v>
      </c>
      <c r="T26">
        <v>0.13670218334877901</v>
      </c>
      <c r="U26">
        <v>-0.307524894741591</v>
      </c>
      <c r="V26">
        <v>0.23418633113800399</v>
      </c>
      <c r="W26" s="10">
        <v>1.07051774362851E-5</v>
      </c>
      <c r="X26">
        <v>0.22062327069014501</v>
      </c>
      <c r="Y26">
        <v>-0.119586604446838</v>
      </c>
      <c r="Z26">
        <v>3.2923589762316303E-2</v>
      </c>
      <c r="AA26">
        <v>0.12789215717403399</v>
      </c>
      <c r="AB26">
        <v>-2.6151780965252398E-2</v>
      </c>
      <c r="AC26">
        <v>7.5457999601363707E-2</v>
      </c>
      <c r="AD26">
        <v>-0.12249693751422799</v>
      </c>
      <c r="AE26">
        <v>0.608380021445589</v>
      </c>
      <c r="AF26">
        <v>-0.307524894741591</v>
      </c>
      <c r="AG26">
        <v>-0.307524894741591</v>
      </c>
      <c r="AH26">
        <v>0.14185223017842799</v>
      </c>
      <c r="AI26">
        <v>0.54644395069113805</v>
      </c>
      <c r="AJ26">
        <v>-3.8121029948763797E-2</v>
      </c>
      <c r="AK26">
        <v>-7.7640006953055105E-2</v>
      </c>
      <c r="AL26">
        <v>0.31099879256315999</v>
      </c>
      <c r="AM26">
        <v>1.17571821913963E-2</v>
      </c>
    </row>
    <row r="27" spans="1:39" x14ac:dyDescent="0.25">
      <c r="A27" t="s">
        <v>267</v>
      </c>
      <c r="B27" t="s">
        <v>476</v>
      </c>
      <c r="C27">
        <v>1.4214019407196E-2</v>
      </c>
      <c r="D27">
        <v>-0.14463838308851801</v>
      </c>
      <c r="E27">
        <v>-0.14463838308851801</v>
      </c>
      <c r="F27">
        <v>-2.4192014497974399E-2</v>
      </c>
      <c r="G27">
        <v>3.2355627306040101E-2</v>
      </c>
      <c r="H27">
        <v>1.9424244942643599E-2</v>
      </c>
      <c r="I27">
        <v>0.16929180017328499</v>
      </c>
      <c r="J27">
        <v>-1.9057752705724099E-3</v>
      </c>
      <c r="K27">
        <v>0.147961394991689</v>
      </c>
      <c r="L27">
        <v>-0.14463838308851801</v>
      </c>
      <c r="M27">
        <v>4.1607838018574601E-2</v>
      </c>
      <c r="N27">
        <v>2.03741456440884E-2</v>
      </c>
      <c r="O27">
        <v>-2.83202403853056E-2</v>
      </c>
      <c r="P27">
        <v>3.3660547789737101E-2</v>
      </c>
      <c r="Q27">
        <v>0.20679561437324201</v>
      </c>
      <c r="R27">
        <v>0.15082070678894699</v>
      </c>
      <c r="S27">
        <v>0.68149298229647604</v>
      </c>
      <c r="T27">
        <v>-0.14463838308851801</v>
      </c>
      <c r="U27">
        <v>-0.14463838308851801</v>
      </c>
      <c r="V27">
        <v>-5.1451372493676997E-2</v>
      </c>
      <c r="W27">
        <v>-0.14463838308851801</v>
      </c>
      <c r="X27">
        <v>-0.14463838308851801</v>
      </c>
      <c r="Y27">
        <v>-0.14463838308851801</v>
      </c>
      <c r="Z27">
        <v>0.14333459133961701</v>
      </c>
      <c r="AA27">
        <v>0.376359669550691</v>
      </c>
      <c r="AB27">
        <v>7.7345644662708796E-2</v>
      </c>
      <c r="AC27">
        <v>0.23834451125443701</v>
      </c>
      <c r="AD27">
        <v>-0.14463838308851801</v>
      </c>
      <c r="AE27">
        <v>0.52011326861706497</v>
      </c>
      <c r="AF27">
        <v>-0.14463838308851801</v>
      </c>
      <c r="AG27">
        <v>-0.14463838308851801</v>
      </c>
      <c r="AH27">
        <v>-5.4711297065775403E-3</v>
      </c>
      <c r="AI27">
        <v>5.7531673318968697E-2</v>
      </c>
      <c r="AJ27">
        <v>-0.14463838308851801</v>
      </c>
      <c r="AK27">
        <v>-0.14463838308851801</v>
      </c>
      <c r="AL27">
        <v>0</v>
      </c>
      <c r="AM27">
        <v>5.6440853913637401E-2</v>
      </c>
    </row>
    <row r="28" spans="1:39" x14ac:dyDescent="0.25">
      <c r="A28" t="s">
        <v>267</v>
      </c>
      <c r="B28" t="s">
        <v>477</v>
      </c>
      <c r="C28">
        <v>0.38658946490414398</v>
      </c>
      <c r="D28">
        <v>1.2448827393678899E-2</v>
      </c>
      <c r="E28">
        <v>0.34236772099830998</v>
      </c>
      <c r="F28">
        <v>0.57144712478410897</v>
      </c>
      <c r="G28">
        <v>0.213477619575385</v>
      </c>
      <c r="H28">
        <v>0.819828512887258</v>
      </c>
      <c r="I28">
        <v>0.224991060917207</v>
      </c>
      <c r="J28">
        <v>0.43473989486671599</v>
      </c>
      <c r="K28">
        <v>0.59636479379118001</v>
      </c>
      <c r="L28">
        <v>0.30764767940640098</v>
      </c>
      <c r="M28">
        <v>0</v>
      </c>
      <c r="N28">
        <v>-0.39835185848147397</v>
      </c>
      <c r="O28">
        <v>-0.42080904814624098</v>
      </c>
      <c r="P28">
        <v>-0.32920945208143398</v>
      </c>
      <c r="Q28">
        <v>-0.42080904814624098</v>
      </c>
      <c r="R28">
        <v>-0.42080904814624098</v>
      </c>
      <c r="S28">
        <v>-0.42080904814624098</v>
      </c>
      <c r="T28">
        <v>-0.28379625377298101</v>
      </c>
      <c r="U28">
        <v>-0.42080904814624098</v>
      </c>
      <c r="V28">
        <v>-0.42080904814624098</v>
      </c>
      <c r="W28">
        <v>-0.42080904814624098</v>
      </c>
      <c r="X28">
        <v>-0.39530408289537</v>
      </c>
      <c r="Y28">
        <v>-0.232870757851488</v>
      </c>
      <c r="Z28">
        <v>-0.242546298281058</v>
      </c>
      <c r="AA28">
        <v>-0.154030528798213</v>
      </c>
      <c r="AB28">
        <v>4.8232714646382902E-2</v>
      </c>
      <c r="AC28">
        <v>0.42059401190384399</v>
      </c>
      <c r="AD28">
        <v>0.53244932093883801</v>
      </c>
      <c r="AE28">
        <v>1.34673389444997</v>
      </c>
      <c r="AF28">
        <v>0.82085046071015999</v>
      </c>
      <c r="AG28">
        <v>-0.42080904814624098</v>
      </c>
      <c r="AH28">
        <v>0.23202231725017899</v>
      </c>
      <c r="AI28">
        <v>-0.11016264437770699</v>
      </c>
      <c r="AJ28">
        <v>7.7001767644595001E-2</v>
      </c>
      <c r="AK28">
        <v>0.20287442838688599</v>
      </c>
      <c r="AL28">
        <v>-0.27617066505772297</v>
      </c>
      <c r="AM28">
        <v>-0.368216144807125</v>
      </c>
    </row>
    <row r="29" spans="1:39" x14ac:dyDescent="0.25">
      <c r="A29" t="s">
        <v>267</v>
      </c>
      <c r="B29" t="s">
        <v>478</v>
      </c>
      <c r="C29">
        <v>7.3027473289349804E-2</v>
      </c>
      <c r="D29">
        <v>0.47689635534508001</v>
      </c>
      <c r="E29">
        <v>-0.229884887788536</v>
      </c>
      <c r="F29">
        <v>-0.109438519197992</v>
      </c>
      <c r="G29">
        <v>-7.0510314524424897E-2</v>
      </c>
      <c r="H29">
        <v>0.21910478337425399</v>
      </c>
      <c r="I29">
        <v>-8.4090464202781795E-2</v>
      </c>
      <c r="J29">
        <v>-8.7152279970590205E-2</v>
      </c>
      <c r="K29">
        <v>-0.126335455133778</v>
      </c>
      <c r="L29">
        <v>-0.229884887788536</v>
      </c>
      <c r="M29">
        <v>0.126697461225176</v>
      </c>
      <c r="N29">
        <v>-2.3268199206084299E-2</v>
      </c>
      <c r="O29">
        <v>-8.0895268990035199E-2</v>
      </c>
      <c r="P29">
        <v>3.0739233036903801E-2</v>
      </c>
      <c r="Q29">
        <v>-0.229884887788536</v>
      </c>
      <c r="R29">
        <v>0.394140010080131</v>
      </c>
      <c r="S29">
        <v>0.27244684252644702</v>
      </c>
      <c r="T29">
        <v>3.3136473165716697E-2</v>
      </c>
      <c r="U29">
        <v>0.75425504884835004</v>
      </c>
      <c r="V29">
        <v>0.29355332858419098</v>
      </c>
      <c r="W29">
        <v>0.19629345512434401</v>
      </c>
      <c r="X29">
        <v>5.10671401283267E-2</v>
      </c>
      <c r="Y29">
        <v>-0.229884887788536</v>
      </c>
      <c r="Z29">
        <v>0.35280822861132199</v>
      </c>
      <c r="AA29">
        <v>3.6893631559492199E-2</v>
      </c>
      <c r="AB29">
        <v>-0.114947521390005</v>
      </c>
      <c r="AC29">
        <v>-0.229884887788536</v>
      </c>
      <c r="AD29">
        <v>-4.4856930561172702E-2</v>
      </c>
      <c r="AE29">
        <v>0.58643723509087597</v>
      </c>
      <c r="AF29">
        <v>0.79595006902694698</v>
      </c>
      <c r="AG29">
        <v>-0.229884887788536</v>
      </c>
      <c r="AH29">
        <v>0.53072098005315504</v>
      </c>
      <c r="AI29">
        <v>-0.12592147063255699</v>
      </c>
      <c r="AJ29">
        <v>-8.9139936264789804E-2</v>
      </c>
      <c r="AK29">
        <v>0</v>
      </c>
      <c r="AL29">
        <v>-6.4509548320554099E-3</v>
      </c>
      <c r="AM29">
        <v>0.240847684026851</v>
      </c>
    </row>
    <row r="30" spans="1:39" x14ac:dyDescent="0.25">
      <c r="A30" t="s">
        <v>267</v>
      </c>
      <c r="B30" t="s">
        <v>480</v>
      </c>
      <c r="C30">
        <v>-0.11230322896971499</v>
      </c>
      <c r="D30">
        <v>-0.11230322896971499</v>
      </c>
      <c r="E30">
        <v>5.34609193768786E-2</v>
      </c>
      <c r="F30">
        <v>8.1431396208287207E-3</v>
      </c>
      <c r="G30">
        <v>-2.1745543765866099E-2</v>
      </c>
      <c r="H30">
        <v>-0.11230322896971499</v>
      </c>
      <c r="I30">
        <v>-0.11230322896971499</v>
      </c>
      <c r="J30">
        <v>-1.8811299218198602E-2</v>
      </c>
      <c r="K30">
        <v>-0.11230322896971499</v>
      </c>
      <c r="L30">
        <v>0</v>
      </c>
      <c r="M30">
        <v>-7.0143025825668406E-2</v>
      </c>
      <c r="N30">
        <v>-6.7612022797909302E-2</v>
      </c>
      <c r="O30">
        <v>-0.11230322896971499</v>
      </c>
      <c r="P30">
        <v>-0.11230322896971499</v>
      </c>
      <c r="Q30">
        <v>0.470083595180317</v>
      </c>
      <c r="R30">
        <v>-6.8109189524015804E-2</v>
      </c>
      <c r="S30">
        <v>4.49493823700833E-2</v>
      </c>
      <c r="T30">
        <v>2.47095654035452E-2</v>
      </c>
      <c r="U30">
        <v>0.87183670766717203</v>
      </c>
      <c r="V30">
        <v>-0.11230322896971499</v>
      </c>
      <c r="W30">
        <v>-0.11230322896971499</v>
      </c>
      <c r="X30">
        <v>-6.1620525778086098E-2</v>
      </c>
      <c r="Y30">
        <v>1.4530109224161001</v>
      </c>
      <c r="Z30">
        <v>1.75237293781881</v>
      </c>
      <c r="AA30">
        <v>2.3309140219543698</v>
      </c>
      <c r="AB30">
        <v>2.7674799697344898</v>
      </c>
      <c r="AC30">
        <v>1.16133001153336</v>
      </c>
      <c r="AD30">
        <v>0.84095514011536399</v>
      </c>
      <c r="AE30">
        <v>-0.11230322896971499</v>
      </c>
      <c r="AF30">
        <v>-0.11230322896971499</v>
      </c>
      <c r="AG30">
        <v>-0.11230322896971499</v>
      </c>
      <c r="AH30">
        <v>0.27214759273664502</v>
      </c>
      <c r="AI30">
        <v>2.67596030254035</v>
      </c>
      <c r="AJ30">
        <v>2.8441722554031101E-2</v>
      </c>
      <c r="AK30">
        <v>0.56768155287871802</v>
      </c>
      <c r="AL30">
        <v>0.837579620292075</v>
      </c>
      <c r="AM30">
        <v>0.30023373370617201</v>
      </c>
    </row>
    <row r="31" spans="1:39" s="11" customFormat="1" ht="15.75" thickBot="1" x14ac:dyDescent="0.3">
      <c r="A31" s="11" t="s">
        <v>267</v>
      </c>
      <c r="B31" s="11" t="s">
        <v>483</v>
      </c>
      <c r="C31" s="11">
        <v>0.65501199269640498</v>
      </c>
      <c r="D31" s="11">
        <v>-0.23771320055354001</v>
      </c>
      <c r="E31" s="11">
        <v>-0.37340018953276599</v>
      </c>
      <c r="F31" s="11">
        <v>0.50408894329041498</v>
      </c>
      <c r="G31" s="11">
        <v>0.41143890258957999</v>
      </c>
      <c r="H31" s="11">
        <v>0.29322765393275002</v>
      </c>
      <c r="I31" s="11">
        <v>1.6236855834827899E-2</v>
      </c>
      <c r="J31" s="11">
        <v>0.271884490574544</v>
      </c>
      <c r="K31" s="11">
        <v>0.32125465046187701</v>
      </c>
      <c r="L31" s="11">
        <v>0</v>
      </c>
      <c r="M31" s="11">
        <v>-7.5930781998403807E-2</v>
      </c>
      <c r="N31" s="11">
        <v>-0.15884600704828999</v>
      </c>
      <c r="O31" s="11">
        <v>-0.193157443003285</v>
      </c>
      <c r="P31" s="11">
        <v>-0.49707525435474198</v>
      </c>
      <c r="Q31" s="11">
        <v>9.4846173798215305E-2</v>
      </c>
      <c r="R31" s="11">
        <v>-0.22503063186033601</v>
      </c>
      <c r="S31" s="11">
        <v>0.47745079248718197</v>
      </c>
      <c r="T31" s="11">
        <v>-7.24815113042971E-2</v>
      </c>
      <c r="U31" s="11">
        <v>-0.12857259665547099</v>
      </c>
      <c r="V31" s="11">
        <v>8.9499443032683798E-2</v>
      </c>
      <c r="W31" s="11">
        <v>0.125114795273426</v>
      </c>
      <c r="X31" s="11">
        <v>-0.13072549648676601</v>
      </c>
      <c r="Y31" s="11">
        <v>-8.0429911625105405E-2</v>
      </c>
      <c r="Z31" s="11">
        <v>0.155218554458463</v>
      </c>
      <c r="AA31" s="11">
        <v>-0.24660314726219801</v>
      </c>
      <c r="AB31" s="11">
        <v>-0.25945497763629399</v>
      </c>
      <c r="AC31" s="11">
        <v>-0.46607263538604798</v>
      </c>
      <c r="AD31" s="11">
        <v>0.16782132918008999</v>
      </c>
      <c r="AE31" s="11">
        <v>0.400055916935531</v>
      </c>
      <c r="AF31" s="11">
        <v>0.53238315666641001</v>
      </c>
      <c r="AG31" s="11">
        <v>-0.849055529729003</v>
      </c>
      <c r="AH31" s="11">
        <v>0.113125739455278</v>
      </c>
      <c r="AI31" s="11">
        <v>0.560765984875642</v>
      </c>
      <c r="AJ31" s="11">
        <v>-0.29047633171387499</v>
      </c>
      <c r="AK31" s="11">
        <v>-0.16907074788057</v>
      </c>
      <c r="AL31" s="11">
        <v>-0.44987441813652301</v>
      </c>
      <c r="AM31" s="11">
        <v>4.8387351207661404E-3</v>
      </c>
    </row>
    <row r="33" spans="1:39" x14ac:dyDescent="0.25">
      <c r="A33" s="220" t="s">
        <v>81</v>
      </c>
      <c r="B33" s="220"/>
      <c r="C33">
        <f>AVERAGE(C2:C31)</f>
        <v>0.19814867957153384</v>
      </c>
      <c r="D33">
        <f t="shared" ref="D33:AM33" si="0">AVERAGE(D2:D31)</f>
        <v>4.0218316570557388E-3</v>
      </c>
      <c r="E33">
        <f t="shared" si="0"/>
        <v>9.9523746057591442E-3</v>
      </c>
      <c r="F33">
        <f t="shared" si="0"/>
        <v>0.11092242675379484</v>
      </c>
      <c r="G33">
        <f t="shared" si="0"/>
        <v>1.6780949625496075E-2</v>
      </c>
      <c r="H33">
        <f t="shared" si="0"/>
        <v>0.17849685732533718</v>
      </c>
      <c r="I33">
        <f t="shared" si="0"/>
        <v>2.2923993842097302E-2</v>
      </c>
      <c r="J33">
        <f t="shared" si="0"/>
        <v>0.11008244819209093</v>
      </c>
      <c r="K33">
        <f t="shared" si="0"/>
        <v>0.23227279639054632</v>
      </c>
      <c r="L33">
        <f t="shared" si="0"/>
        <v>5.6421930371445453E-2</v>
      </c>
      <c r="M33">
        <f t="shared" si="0"/>
        <v>-5.0907868616338657E-4</v>
      </c>
      <c r="N33">
        <f t="shared" si="0"/>
        <v>-6.1459758354167331E-2</v>
      </c>
      <c r="O33">
        <f t="shared" si="0"/>
        <v>-0.12460409817136615</v>
      </c>
      <c r="P33">
        <f t="shared" si="0"/>
        <v>-9.9197779705839331E-2</v>
      </c>
      <c r="Q33">
        <f t="shared" si="0"/>
        <v>-3.3672526494264957E-2</v>
      </c>
      <c r="R33">
        <f t="shared" si="0"/>
        <v>3.8908722313148328E-3</v>
      </c>
      <c r="S33">
        <f t="shared" si="0"/>
        <v>1.30515674042062E-2</v>
      </c>
      <c r="T33">
        <f t="shared" si="0"/>
        <v>-9.660490513073805E-2</v>
      </c>
      <c r="U33">
        <f t="shared" si="0"/>
        <v>-8.8089160135920733E-2</v>
      </c>
      <c r="V33">
        <f t="shared" si="0"/>
        <v>6.4308234556373481E-2</v>
      </c>
      <c r="W33">
        <f t="shared" si="0"/>
        <v>6.2428588746547206E-2</v>
      </c>
      <c r="X33">
        <f t="shared" si="0"/>
        <v>5.2725212426677048E-2</v>
      </c>
      <c r="Y33">
        <f t="shared" si="0"/>
        <v>9.0716919679260419E-2</v>
      </c>
      <c r="Z33">
        <f t="shared" si="0"/>
        <v>0.26130379208762222</v>
      </c>
      <c r="AA33">
        <f t="shared" si="0"/>
        <v>0.19386428314300785</v>
      </c>
      <c r="AB33">
        <f t="shared" si="0"/>
        <v>0.10176002966509974</v>
      </c>
      <c r="AC33">
        <f t="shared" si="0"/>
        <v>4.3834625476715759E-2</v>
      </c>
      <c r="AD33">
        <f t="shared" si="0"/>
        <v>9.1491646088757428E-2</v>
      </c>
      <c r="AE33">
        <f t="shared" si="0"/>
        <v>0.3683607414970233</v>
      </c>
      <c r="AF33">
        <f t="shared" si="0"/>
        <v>0.1635655826320295</v>
      </c>
      <c r="AG33">
        <f t="shared" si="0"/>
        <v>3.226924235584526E-2</v>
      </c>
      <c r="AH33">
        <f t="shared" si="0"/>
        <v>0.22637634090563152</v>
      </c>
      <c r="AI33">
        <f t="shared" si="0"/>
        <v>0.19485767314290184</v>
      </c>
      <c r="AJ33">
        <f t="shared" si="0"/>
        <v>-0.14657621261908371</v>
      </c>
      <c r="AK33">
        <f t="shared" si="0"/>
        <v>0.1433277759073292</v>
      </c>
      <c r="AL33">
        <f t="shared" si="0"/>
        <v>0.12497321699731548</v>
      </c>
      <c r="AM33">
        <f t="shared" si="0"/>
        <v>8.8363276757138454E-2</v>
      </c>
    </row>
    <row r="34" spans="1:39" x14ac:dyDescent="0.25">
      <c r="A34" s="220" t="s">
        <v>262</v>
      </c>
      <c r="B34" s="220"/>
      <c r="C34">
        <f>AVERAGE(C8:C15)</f>
        <v>0.23583015467103841</v>
      </c>
      <c r="D34">
        <f t="shared" ref="D34:AM34" si="1">AVERAGE(D8:D15)</f>
        <v>-6.0718930231896881E-2</v>
      </c>
      <c r="E34">
        <f t="shared" si="1"/>
        <v>1.3452445135358065E-2</v>
      </c>
      <c r="F34">
        <f t="shared" si="1"/>
        <v>8.1583783419037686E-2</v>
      </c>
      <c r="G34">
        <f t="shared" si="1"/>
        <v>4.416741812477476E-3</v>
      </c>
      <c r="H34">
        <f t="shared" si="1"/>
        <v>0.13312284647878836</v>
      </c>
      <c r="I34">
        <f t="shared" si="1"/>
        <v>2.5109134028756263E-2</v>
      </c>
      <c r="J34">
        <f t="shared" si="1"/>
        <v>-5.3165623166470062E-2</v>
      </c>
      <c r="K34">
        <f t="shared" si="1"/>
        <v>9.2322988908184841E-2</v>
      </c>
      <c r="L34">
        <f t="shared" si="1"/>
        <v>-1.3205835214517011E-2</v>
      </c>
      <c r="M34">
        <f t="shared" si="1"/>
        <v>-5.0681087478080943E-2</v>
      </c>
      <c r="N34">
        <f t="shared" si="1"/>
        <v>-0.12106492463010408</v>
      </c>
      <c r="O34">
        <f t="shared" si="1"/>
        <v>-0.11297592300525484</v>
      </c>
      <c r="P34">
        <f t="shared" si="1"/>
        <v>-0.11710444709971425</v>
      </c>
      <c r="Q34">
        <f t="shared" si="1"/>
        <v>-2.7498410766106048E-2</v>
      </c>
      <c r="R34">
        <f t="shared" si="1"/>
        <v>8.2765744965134169E-2</v>
      </c>
      <c r="S34">
        <f t="shared" si="1"/>
        <v>-3.7746741394195371E-2</v>
      </c>
      <c r="T34">
        <f t="shared" si="1"/>
        <v>-0.16889233265010528</v>
      </c>
      <c r="U34">
        <f t="shared" si="1"/>
        <v>-0.28530251119706623</v>
      </c>
      <c r="V34">
        <f t="shared" si="1"/>
        <v>-0.18680597012227598</v>
      </c>
      <c r="W34">
        <f t="shared" si="1"/>
        <v>-0.16305643211670418</v>
      </c>
      <c r="X34">
        <f t="shared" si="1"/>
        <v>-0.18797750541156483</v>
      </c>
      <c r="Y34">
        <f t="shared" si="1"/>
        <v>0.26345742687718926</v>
      </c>
      <c r="Z34">
        <f t="shared" si="1"/>
        <v>0.29798541946418239</v>
      </c>
      <c r="AA34">
        <f t="shared" si="1"/>
        <v>0.36427229549107393</v>
      </c>
      <c r="AB34">
        <f t="shared" si="1"/>
        <v>4.3959229968267004E-2</v>
      </c>
      <c r="AC34">
        <f t="shared" si="1"/>
        <v>-9.8235508874555885E-2</v>
      </c>
      <c r="AD34">
        <f t="shared" si="1"/>
        <v>0.19757305432693126</v>
      </c>
      <c r="AE34">
        <f t="shared" si="1"/>
        <v>0.59901371934955483</v>
      </c>
      <c r="AF34">
        <f t="shared" si="1"/>
        <v>0.43475488751691388</v>
      </c>
      <c r="AG34">
        <f t="shared" si="1"/>
        <v>0.38779151319996136</v>
      </c>
      <c r="AH34">
        <f t="shared" si="1"/>
        <v>0.29199123156674889</v>
      </c>
      <c r="AI34">
        <f t="shared" si="1"/>
        <v>-0.10735064670015113</v>
      </c>
      <c r="AJ34">
        <f t="shared" si="1"/>
        <v>-0.35512975893728538</v>
      </c>
      <c r="AK34">
        <f t="shared" si="1"/>
        <v>0.39778604913612359</v>
      </c>
      <c r="AL34">
        <f t="shared" si="1"/>
        <v>0.11030648368361068</v>
      </c>
      <c r="AM34">
        <f t="shared" si="1"/>
        <v>0.17840820823072079</v>
      </c>
    </row>
    <row r="35" spans="1:39" x14ac:dyDescent="0.25">
      <c r="A35" s="220" t="s">
        <v>263</v>
      </c>
      <c r="B35" s="220"/>
      <c r="C35">
        <f>AVERAGE(C2:C7)</f>
        <v>0.13530243789725635</v>
      </c>
      <c r="D35">
        <f t="shared" ref="D35:AM35" si="2">AVERAGE(D2:D7)</f>
        <v>7.5405025542925483E-2</v>
      </c>
      <c r="E35">
        <f t="shared" si="2"/>
        <v>2.0135875591161884E-2</v>
      </c>
      <c r="F35">
        <f t="shared" si="2"/>
        <v>0.16939495438170227</v>
      </c>
      <c r="G35">
        <f t="shared" si="2"/>
        <v>6.2674870124886164E-2</v>
      </c>
      <c r="H35">
        <f t="shared" si="2"/>
        <v>0.13195561666077704</v>
      </c>
      <c r="I35">
        <f t="shared" si="2"/>
        <v>4.741340071171727E-2</v>
      </c>
      <c r="J35">
        <f t="shared" si="2"/>
        <v>0.14521801610084639</v>
      </c>
      <c r="K35">
        <f t="shared" si="2"/>
        <v>0.27018019613641403</v>
      </c>
      <c r="L35">
        <f t="shared" si="2"/>
        <v>0.20268892593270668</v>
      </c>
      <c r="M35">
        <f t="shared" si="2"/>
        <v>1.1837346536099108E-2</v>
      </c>
      <c r="N35">
        <f t="shared" si="2"/>
        <v>-3.1599790075091783E-2</v>
      </c>
      <c r="O35">
        <f t="shared" si="2"/>
        <v>-6.0333974227629837E-2</v>
      </c>
      <c r="P35">
        <f t="shared" si="2"/>
        <v>-4.1102197588953331E-2</v>
      </c>
      <c r="Q35">
        <f t="shared" si="2"/>
        <v>1.9050515969148769E-2</v>
      </c>
      <c r="R35">
        <f t="shared" si="2"/>
        <v>-2.4845767608404516E-2</v>
      </c>
      <c r="S35">
        <f t="shared" si="2"/>
        <v>4.0050088067993671E-2</v>
      </c>
      <c r="T35">
        <f t="shared" si="2"/>
        <v>-7.6528781151480638E-2</v>
      </c>
      <c r="U35">
        <f t="shared" si="2"/>
        <v>-0.13468761065736215</v>
      </c>
      <c r="V35">
        <f t="shared" si="2"/>
        <v>0.10454925825923811</v>
      </c>
      <c r="W35">
        <f t="shared" si="2"/>
        <v>0.10890057492184374</v>
      </c>
      <c r="X35">
        <f t="shared" si="2"/>
        <v>0.10609686681372628</v>
      </c>
      <c r="Y35">
        <f t="shared" si="2"/>
        <v>-7.5506568298963642E-2</v>
      </c>
      <c r="Z35">
        <f t="shared" si="2"/>
        <v>5.254831071729784E-2</v>
      </c>
      <c r="AA35">
        <f t="shared" si="2"/>
        <v>0.12081717593017832</v>
      </c>
      <c r="AB35">
        <f t="shared" si="2"/>
        <v>5.7648598329366563E-4</v>
      </c>
      <c r="AC35">
        <f t="shared" si="2"/>
        <v>-0.13468761065736215</v>
      </c>
      <c r="AD35">
        <f t="shared" si="2"/>
        <v>0.22285994581413915</v>
      </c>
      <c r="AE35">
        <f t="shared" si="2"/>
        <v>0.24676392321919818</v>
      </c>
      <c r="AF35">
        <f t="shared" si="2"/>
        <v>0.27002444435230083</v>
      </c>
      <c r="AG35">
        <f t="shared" si="2"/>
        <v>-0.13468761065736215</v>
      </c>
      <c r="AH35">
        <f t="shared" si="2"/>
        <v>0.18657535070123335</v>
      </c>
      <c r="AI35">
        <f t="shared" si="2"/>
        <v>0.27111477203656936</v>
      </c>
      <c r="AJ35">
        <f t="shared" si="2"/>
        <v>2.8875878594433534E-2</v>
      </c>
      <c r="AK35">
        <f t="shared" si="2"/>
        <v>0.17617686545041247</v>
      </c>
      <c r="AL35">
        <f t="shared" si="2"/>
        <v>0.11106586679602054</v>
      </c>
      <c r="AM35">
        <f t="shared" si="2"/>
        <v>3.7080405373711656E-2</v>
      </c>
    </row>
    <row r="36" spans="1:39" x14ac:dyDescent="0.25">
      <c r="A36" s="220" t="s">
        <v>264</v>
      </c>
      <c r="B36" s="220"/>
      <c r="C36">
        <f>AVERAGE(C16:C31)</f>
        <v>0.20287528264963561</v>
      </c>
      <c r="D36">
        <f t="shared" ref="D36:AM36" si="3">AVERAGE(D16:D31)</f>
        <v>9.6235148943308903E-3</v>
      </c>
      <c r="E36">
        <f t="shared" si="3"/>
        <v>4.3835264714336478E-3</v>
      </c>
      <c r="F36">
        <f t="shared" si="3"/>
        <v>0.10366455056070813</v>
      </c>
      <c r="G36">
        <f t="shared" si="3"/>
        <v>5.7528333447340908E-3</v>
      </c>
      <c r="H36">
        <f t="shared" si="3"/>
        <v>0.21863682799782155</v>
      </c>
      <c r="I36">
        <f t="shared" si="3"/>
        <v>1.2647896172660321E-2</v>
      </c>
      <c r="J36">
        <f t="shared" si="3"/>
        <v>0.17853064590558809</v>
      </c>
      <c r="K36">
        <f t="shared" si="3"/>
        <v>0.28803242522702677</v>
      </c>
      <c r="L36">
        <f t="shared" si="3"/>
        <v>3.6385689828953724E-2</v>
      </c>
      <c r="M36">
        <f t="shared" si="3"/>
        <v>1.9947016251446952E-2</v>
      </c>
      <c r="N36">
        <f t="shared" si="3"/>
        <v>-4.2854663320852263E-2</v>
      </c>
      <c r="O36">
        <f t="shared" si="3"/>
        <v>-0.15451948223332296</v>
      </c>
      <c r="P36">
        <f t="shared" si="3"/>
        <v>-0.11203028930273409</v>
      </c>
      <c r="Q36">
        <f t="shared" si="3"/>
        <v>-5.653072528212455E-2</v>
      </c>
      <c r="R36">
        <f t="shared" si="3"/>
        <v>-2.4770324195700084E-2</v>
      </c>
      <c r="S36">
        <f t="shared" si="3"/>
        <v>2.832627655448668E-2</v>
      </c>
      <c r="T36">
        <f t="shared" si="3"/>
        <v>-6.7989737863275987E-2</v>
      </c>
      <c r="U36">
        <f t="shared" si="3"/>
        <v>2.7991934340192554E-2</v>
      </c>
      <c r="V36">
        <f t="shared" si="3"/>
        <v>0.17477495300712401</v>
      </c>
      <c r="W36">
        <f t="shared" si="3"/>
        <v>0.15774410436243669</v>
      </c>
      <c r="X36">
        <f t="shared" si="3"/>
        <v>0.15306220095065459</v>
      </c>
      <c r="Y36">
        <f t="shared" si="3"/>
        <v>6.6680474072130028E-2</v>
      </c>
      <c r="Z36">
        <f t="shared" si="3"/>
        <v>0.3212462839132138</v>
      </c>
      <c r="AA36">
        <f t="shared" si="3"/>
        <v>0.13605294217378594</v>
      </c>
      <c r="AB36">
        <f t="shared" si="3"/>
        <v>0.16860425839419338</v>
      </c>
      <c r="AC36">
        <f t="shared" si="3"/>
        <v>0.18181553120263083</v>
      </c>
      <c r="AD36">
        <f t="shared" si="3"/>
        <v>-1.0812170427347596E-2</v>
      </c>
      <c r="AE36">
        <f t="shared" si="3"/>
        <v>0.29863305942494178</v>
      </c>
      <c r="AF36">
        <f t="shared" si="3"/>
        <v>-1.1951142955514422E-2</v>
      </c>
      <c r="AG36">
        <f t="shared" si="3"/>
        <v>-8.2883073186260023E-2</v>
      </c>
      <c r="AH36">
        <f t="shared" si="3"/>
        <v>0.20849426690172226</v>
      </c>
      <c r="AI36">
        <f t="shared" si="3"/>
        <v>0.31736542097930298</v>
      </c>
      <c r="AJ36">
        <f t="shared" si="3"/>
        <v>-0.10809397366505183</v>
      </c>
      <c r="AK36">
        <f t="shared" si="3"/>
        <v>3.7802307142757157E-3</v>
      </c>
      <c r="AL36">
        <f t="shared" si="3"/>
        <v>0.1375218399796535</v>
      </c>
      <c r="AM36">
        <f t="shared" si="3"/>
        <v>6.2571887789132349E-2</v>
      </c>
    </row>
    <row r="37" spans="1:39" x14ac:dyDescent="0.25">
      <c r="A37" s="220" t="s">
        <v>268</v>
      </c>
      <c r="B37" s="220"/>
      <c r="C37">
        <f>MAX(C35:C36)</f>
        <v>0.20287528264963561</v>
      </c>
      <c r="D37">
        <f t="shared" ref="D37:AM37" si="4">MAX(D35:D36)</f>
        <v>7.5405025542925483E-2</v>
      </c>
      <c r="E37">
        <f t="shared" si="4"/>
        <v>2.0135875591161884E-2</v>
      </c>
      <c r="F37">
        <f t="shared" si="4"/>
        <v>0.16939495438170227</v>
      </c>
      <c r="G37">
        <f t="shared" si="4"/>
        <v>6.2674870124886164E-2</v>
      </c>
      <c r="H37">
        <f t="shared" si="4"/>
        <v>0.21863682799782155</v>
      </c>
      <c r="I37">
        <f t="shared" si="4"/>
        <v>4.741340071171727E-2</v>
      </c>
      <c r="J37">
        <f t="shared" si="4"/>
        <v>0.17853064590558809</v>
      </c>
      <c r="K37">
        <f t="shared" si="4"/>
        <v>0.28803242522702677</v>
      </c>
      <c r="L37">
        <f t="shared" si="4"/>
        <v>0.20268892593270668</v>
      </c>
      <c r="M37">
        <f t="shared" si="4"/>
        <v>1.9947016251446952E-2</v>
      </c>
      <c r="N37">
        <f t="shared" si="4"/>
        <v>-3.1599790075091783E-2</v>
      </c>
      <c r="O37">
        <f t="shared" si="4"/>
        <v>-6.0333974227629837E-2</v>
      </c>
      <c r="P37">
        <f t="shared" si="4"/>
        <v>-4.1102197588953331E-2</v>
      </c>
      <c r="Q37">
        <f t="shared" si="4"/>
        <v>1.9050515969148769E-2</v>
      </c>
      <c r="R37">
        <f t="shared" si="4"/>
        <v>-2.4770324195700084E-2</v>
      </c>
      <c r="S37">
        <f t="shared" si="4"/>
        <v>4.0050088067993671E-2</v>
      </c>
      <c r="T37">
        <f t="shared" si="4"/>
        <v>-6.7989737863275987E-2</v>
      </c>
      <c r="U37">
        <f t="shared" si="4"/>
        <v>2.7991934340192554E-2</v>
      </c>
      <c r="V37">
        <f t="shared" si="4"/>
        <v>0.17477495300712401</v>
      </c>
      <c r="W37">
        <f t="shared" si="4"/>
        <v>0.15774410436243669</v>
      </c>
      <c r="X37">
        <f t="shared" si="4"/>
        <v>0.15306220095065459</v>
      </c>
      <c r="Y37">
        <f t="shared" si="4"/>
        <v>6.6680474072130028E-2</v>
      </c>
      <c r="Z37">
        <f t="shared" si="4"/>
        <v>0.3212462839132138</v>
      </c>
      <c r="AA37">
        <f t="shared" si="4"/>
        <v>0.13605294217378594</v>
      </c>
      <c r="AB37">
        <f t="shared" si="4"/>
        <v>0.16860425839419338</v>
      </c>
      <c r="AC37">
        <f t="shared" si="4"/>
        <v>0.18181553120263083</v>
      </c>
      <c r="AD37">
        <f t="shared" si="4"/>
        <v>0.22285994581413915</v>
      </c>
      <c r="AE37">
        <f t="shared" si="4"/>
        <v>0.29863305942494178</v>
      </c>
      <c r="AF37">
        <f t="shared" si="4"/>
        <v>0.27002444435230083</v>
      </c>
      <c r="AG37">
        <f t="shared" si="4"/>
        <v>-8.2883073186260023E-2</v>
      </c>
      <c r="AH37">
        <f t="shared" si="4"/>
        <v>0.20849426690172226</v>
      </c>
      <c r="AI37">
        <f t="shared" si="4"/>
        <v>0.31736542097930298</v>
      </c>
      <c r="AJ37">
        <f t="shared" si="4"/>
        <v>2.8875878594433534E-2</v>
      </c>
      <c r="AK37">
        <f t="shared" si="4"/>
        <v>0.17617686545041247</v>
      </c>
      <c r="AL37">
        <f t="shared" si="4"/>
        <v>0.1375218399796535</v>
      </c>
      <c r="AM37">
        <f t="shared" si="4"/>
        <v>6.2571887789132349E-2</v>
      </c>
    </row>
    <row r="39" spans="1:39" x14ac:dyDescent="0.25">
      <c r="A39" s="220" t="s">
        <v>260</v>
      </c>
      <c r="B39" s="220"/>
      <c r="D39" s="220" t="s">
        <v>261</v>
      </c>
      <c r="E39" s="220"/>
      <c r="G39" s="220" t="s">
        <v>269</v>
      </c>
      <c r="H39" s="220"/>
      <c r="I39" s="220"/>
      <c r="K39" s="15" t="s">
        <v>270</v>
      </c>
    </row>
    <row r="40" spans="1:39" x14ac:dyDescent="0.25">
      <c r="A40" s="16" t="s">
        <v>104</v>
      </c>
      <c r="B40">
        <v>0.3683607414970233</v>
      </c>
      <c r="D40" s="16" t="s">
        <v>104</v>
      </c>
      <c r="E40">
        <v>0.59901371934955483</v>
      </c>
      <c r="G40" s="16" t="s">
        <v>99</v>
      </c>
      <c r="H40">
        <v>0.3212462839132138</v>
      </c>
    </row>
    <row r="41" spans="1:39" x14ac:dyDescent="0.25">
      <c r="A41" s="16" t="s">
        <v>99</v>
      </c>
      <c r="B41">
        <v>0.26130379208762222</v>
      </c>
      <c r="D41" s="16" t="s">
        <v>105</v>
      </c>
      <c r="E41">
        <v>0.43475488751691388</v>
      </c>
      <c r="G41" s="16" t="s">
        <v>108</v>
      </c>
      <c r="H41">
        <v>0.31736542097930298</v>
      </c>
    </row>
    <row r="42" spans="1:39" x14ac:dyDescent="0.25">
      <c r="A42" s="13" t="s">
        <v>84</v>
      </c>
      <c r="B42">
        <v>0.23227279639054632</v>
      </c>
      <c r="D42" s="16" t="s">
        <v>110</v>
      </c>
      <c r="E42">
        <v>0.39778604913612359</v>
      </c>
      <c r="G42" s="16" t="s">
        <v>104</v>
      </c>
      <c r="H42">
        <v>0.29863305942494178</v>
      </c>
    </row>
    <row r="43" spans="1:39" x14ac:dyDescent="0.25">
      <c r="A43" s="16" t="s">
        <v>107</v>
      </c>
      <c r="B43">
        <v>0.22637634090563152</v>
      </c>
      <c r="D43" s="16" t="s">
        <v>106</v>
      </c>
      <c r="E43">
        <v>0.38779151319996136</v>
      </c>
      <c r="G43" s="13" t="s">
        <v>84</v>
      </c>
      <c r="H43">
        <v>0.28803242522702677</v>
      </c>
    </row>
    <row r="44" spans="1:39" x14ac:dyDescent="0.25">
      <c r="A44" s="131" t="s">
        <v>74</v>
      </c>
      <c r="B44">
        <v>0.19814867957153384</v>
      </c>
      <c r="D44" s="16" t="s">
        <v>100</v>
      </c>
      <c r="E44">
        <v>0.36427229549107393</v>
      </c>
      <c r="G44" s="16" t="s">
        <v>105</v>
      </c>
      <c r="H44">
        <v>0.27002444435230083</v>
      </c>
    </row>
    <row r="45" spans="1:39" x14ac:dyDescent="0.25">
      <c r="A45" s="16" t="s">
        <v>108</v>
      </c>
      <c r="B45">
        <v>0.19485767314290184</v>
      </c>
      <c r="D45" s="16" t="s">
        <v>99</v>
      </c>
      <c r="E45">
        <v>0.29798541946418239</v>
      </c>
      <c r="G45" s="16" t="s">
        <v>103</v>
      </c>
      <c r="H45">
        <v>0.22285994581413915</v>
      </c>
    </row>
    <row r="46" spans="1:39" x14ac:dyDescent="0.25">
      <c r="A46" s="16" t="s">
        <v>100</v>
      </c>
      <c r="B46">
        <v>0.19386428314300785</v>
      </c>
      <c r="D46" s="16" t="s">
        <v>107</v>
      </c>
      <c r="E46">
        <v>0.29199123156674889</v>
      </c>
      <c r="G46" s="131" t="s">
        <v>79</v>
      </c>
      <c r="H46">
        <v>0.21863682799782155</v>
      </c>
    </row>
    <row r="47" spans="1:39" x14ac:dyDescent="0.25">
      <c r="A47" s="131" t="s">
        <v>79</v>
      </c>
      <c r="B47">
        <v>0.17849685732533718</v>
      </c>
      <c r="D47" s="16" t="s">
        <v>98</v>
      </c>
      <c r="E47">
        <v>0.26345742687718926</v>
      </c>
      <c r="G47" s="16" t="s">
        <v>107</v>
      </c>
      <c r="H47">
        <v>0.20849426690172226</v>
      </c>
    </row>
    <row r="48" spans="1:39" x14ac:dyDescent="0.25">
      <c r="A48" s="16" t="s">
        <v>105</v>
      </c>
      <c r="B48">
        <v>0.1635655826320295</v>
      </c>
      <c r="D48" s="131" t="s">
        <v>74</v>
      </c>
      <c r="E48">
        <v>0.23583015467103841</v>
      </c>
      <c r="G48" s="131" t="s">
        <v>74</v>
      </c>
      <c r="H48">
        <v>0.20287528264963561</v>
      </c>
    </row>
    <row r="49" spans="1:8" x14ac:dyDescent="0.25">
      <c r="A49" s="16" t="s">
        <v>110</v>
      </c>
      <c r="B49">
        <v>0.1433277759073292</v>
      </c>
      <c r="D49" s="16" t="s">
        <v>103</v>
      </c>
      <c r="E49">
        <v>0.19757305432693126</v>
      </c>
      <c r="G49" s="13" t="s">
        <v>85</v>
      </c>
      <c r="H49">
        <v>0.20268892593270668</v>
      </c>
    </row>
    <row r="50" spans="1:8" x14ac:dyDescent="0.25">
      <c r="A50" s="16" t="s">
        <v>111</v>
      </c>
      <c r="B50">
        <v>0.12497321699731548</v>
      </c>
      <c r="D50" s="16" t="s">
        <v>112</v>
      </c>
      <c r="E50">
        <v>0.17840820823072079</v>
      </c>
      <c r="G50" s="16" t="s">
        <v>102</v>
      </c>
      <c r="H50">
        <v>0.18181553120263083</v>
      </c>
    </row>
    <row r="51" spans="1:8" x14ac:dyDescent="0.25">
      <c r="A51" s="58" t="s">
        <v>77</v>
      </c>
      <c r="B51">
        <v>0.11092242675379484</v>
      </c>
      <c r="D51" s="131" t="s">
        <v>79</v>
      </c>
      <c r="E51">
        <v>0.13312284647878836</v>
      </c>
      <c r="G51" s="16" t="s">
        <v>83</v>
      </c>
      <c r="H51">
        <v>0.17853064590558809</v>
      </c>
    </row>
    <row r="52" spans="1:8" x14ac:dyDescent="0.25">
      <c r="A52" s="16" t="s">
        <v>83</v>
      </c>
      <c r="B52">
        <v>0.11008244819209093</v>
      </c>
      <c r="D52" s="16" t="s">
        <v>111</v>
      </c>
      <c r="E52">
        <v>0.11030648368361068</v>
      </c>
      <c r="G52" s="16" t="s">
        <v>110</v>
      </c>
      <c r="H52">
        <v>0.17617686545041247</v>
      </c>
    </row>
    <row r="53" spans="1:8" x14ac:dyDescent="0.25">
      <c r="A53" s="16" t="s">
        <v>101</v>
      </c>
      <c r="B53">
        <v>0.10176002966509974</v>
      </c>
      <c r="D53" s="13" t="s">
        <v>84</v>
      </c>
      <c r="E53">
        <v>9.2322988908184841E-2</v>
      </c>
      <c r="G53" s="16" t="s">
        <v>95</v>
      </c>
      <c r="H53">
        <v>0.17477495300712401</v>
      </c>
    </row>
    <row r="54" spans="1:8" x14ac:dyDescent="0.25">
      <c r="A54" s="16" t="s">
        <v>103</v>
      </c>
      <c r="B54">
        <v>9.1491646088757428E-2</v>
      </c>
      <c r="D54" s="16" t="s">
        <v>91</v>
      </c>
      <c r="E54">
        <v>8.2765744965134169E-2</v>
      </c>
      <c r="G54" s="58" t="s">
        <v>77</v>
      </c>
      <c r="H54">
        <v>0.16939495438170227</v>
      </c>
    </row>
    <row r="55" spans="1:8" x14ac:dyDescent="0.25">
      <c r="A55" s="16" t="s">
        <v>98</v>
      </c>
      <c r="B55">
        <v>9.0716919679260419E-2</v>
      </c>
      <c r="D55" s="58" t="s">
        <v>77</v>
      </c>
      <c r="E55">
        <v>8.1583783419037686E-2</v>
      </c>
      <c r="G55" s="16" t="s">
        <v>101</v>
      </c>
      <c r="H55">
        <v>0.16860425839419338</v>
      </c>
    </row>
    <row r="56" spans="1:8" x14ac:dyDescent="0.25">
      <c r="A56" s="16" t="s">
        <v>112</v>
      </c>
      <c r="B56">
        <v>8.8363276757138454E-2</v>
      </c>
      <c r="D56" s="16" t="s">
        <v>101</v>
      </c>
      <c r="E56">
        <v>4.3959229968267004E-2</v>
      </c>
      <c r="G56" s="16" t="s">
        <v>96</v>
      </c>
      <c r="H56">
        <v>0.15774410436243669</v>
      </c>
    </row>
    <row r="57" spans="1:8" x14ac:dyDescent="0.25">
      <c r="A57" s="16" t="s">
        <v>95</v>
      </c>
      <c r="B57">
        <v>6.4308234556373481E-2</v>
      </c>
      <c r="D57" s="16" t="s">
        <v>82</v>
      </c>
      <c r="E57">
        <v>2.5109134028756263E-2</v>
      </c>
      <c r="G57" s="16" t="s">
        <v>97</v>
      </c>
      <c r="H57">
        <v>0.15306220095065459</v>
      </c>
    </row>
    <row r="58" spans="1:8" x14ac:dyDescent="0.25">
      <c r="A58" s="16" t="s">
        <v>96</v>
      </c>
      <c r="B58">
        <v>6.2428588746547206E-2</v>
      </c>
      <c r="D58" s="58" t="s">
        <v>76</v>
      </c>
      <c r="E58">
        <v>1.3452445135358065E-2</v>
      </c>
      <c r="G58" s="16" t="s">
        <v>111</v>
      </c>
      <c r="H58">
        <v>0.1375218399796535</v>
      </c>
    </row>
    <row r="59" spans="1:8" x14ac:dyDescent="0.25">
      <c r="A59" s="13" t="s">
        <v>85</v>
      </c>
      <c r="B59">
        <v>5.6421930371445453E-2</v>
      </c>
      <c r="D59" s="58" t="s">
        <v>78</v>
      </c>
      <c r="E59">
        <v>4.416741812477476E-3</v>
      </c>
      <c r="G59" s="16" t="s">
        <v>100</v>
      </c>
      <c r="H59">
        <v>0.13605294217378594</v>
      </c>
    </row>
    <row r="60" spans="1:8" x14ac:dyDescent="0.25">
      <c r="A60" s="16" t="s">
        <v>97</v>
      </c>
      <c r="B60">
        <v>5.2725212426677048E-2</v>
      </c>
      <c r="D60" s="13" t="s">
        <v>85</v>
      </c>
      <c r="E60">
        <v>-1.3205835214517011E-2</v>
      </c>
      <c r="G60" s="131" t="s">
        <v>75</v>
      </c>
      <c r="H60">
        <v>7.5405025542925483E-2</v>
      </c>
    </row>
    <row r="61" spans="1:8" x14ac:dyDescent="0.25">
      <c r="A61" s="16" t="s">
        <v>102</v>
      </c>
      <c r="B61">
        <v>4.3834625476715759E-2</v>
      </c>
      <c r="D61" s="16" t="s">
        <v>90</v>
      </c>
      <c r="E61">
        <v>-2.7498410766106048E-2</v>
      </c>
      <c r="G61" s="16" t="s">
        <v>98</v>
      </c>
      <c r="H61">
        <v>6.6680474072130028E-2</v>
      </c>
    </row>
    <row r="62" spans="1:8" x14ac:dyDescent="0.25">
      <c r="A62" s="16" t="s">
        <v>106</v>
      </c>
      <c r="B62">
        <v>3.226924235584526E-2</v>
      </c>
      <c r="D62" s="16" t="s">
        <v>92</v>
      </c>
      <c r="E62">
        <v>-3.7746741394195371E-2</v>
      </c>
      <c r="G62" s="58" t="s">
        <v>78</v>
      </c>
      <c r="H62">
        <v>6.2674870124886164E-2</v>
      </c>
    </row>
    <row r="63" spans="1:8" x14ac:dyDescent="0.25">
      <c r="A63" s="16" t="s">
        <v>82</v>
      </c>
      <c r="B63">
        <v>2.2923993842097302E-2</v>
      </c>
      <c r="D63" s="16" t="s">
        <v>86</v>
      </c>
      <c r="E63">
        <v>-5.0681087478080943E-2</v>
      </c>
      <c r="G63" s="16" t="s">
        <v>112</v>
      </c>
      <c r="H63">
        <v>6.2571887789132349E-2</v>
      </c>
    </row>
    <row r="64" spans="1:8" x14ac:dyDescent="0.25">
      <c r="A64" s="58" t="s">
        <v>78</v>
      </c>
      <c r="B64">
        <v>1.6780949625496075E-2</v>
      </c>
      <c r="D64" s="16" t="s">
        <v>83</v>
      </c>
      <c r="E64">
        <v>-5.3165623166470062E-2</v>
      </c>
      <c r="G64" s="16" t="s">
        <v>82</v>
      </c>
      <c r="H64">
        <v>4.741340071171727E-2</v>
      </c>
    </row>
    <row r="65" spans="1:8" x14ac:dyDescent="0.25">
      <c r="A65" s="16" t="s">
        <v>92</v>
      </c>
      <c r="B65">
        <v>1.30515674042062E-2</v>
      </c>
      <c r="D65" s="131" t="s">
        <v>75</v>
      </c>
      <c r="E65">
        <v>-6.0718930231896881E-2</v>
      </c>
      <c r="G65" s="16" t="s">
        <v>92</v>
      </c>
      <c r="H65">
        <v>4.0050088067993671E-2</v>
      </c>
    </row>
    <row r="66" spans="1:8" x14ac:dyDescent="0.25">
      <c r="A66" s="58" t="s">
        <v>76</v>
      </c>
      <c r="B66">
        <v>9.9523746057591442E-3</v>
      </c>
      <c r="D66" s="16" t="s">
        <v>102</v>
      </c>
      <c r="E66">
        <v>-9.8235508874555885E-2</v>
      </c>
      <c r="G66" s="16" t="s">
        <v>109</v>
      </c>
      <c r="H66">
        <v>2.8875878594433534E-2</v>
      </c>
    </row>
    <row r="67" spans="1:8" x14ac:dyDescent="0.25">
      <c r="A67" s="131" t="s">
        <v>75</v>
      </c>
      <c r="B67">
        <v>4.0218316570557388E-3</v>
      </c>
      <c r="D67" s="16" t="s">
        <v>108</v>
      </c>
      <c r="E67">
        <v>-0.10735064670015113</v>
      </c>
      <c r="G67" s="16" t="s">
        <v>94</v>
      </c>
      <c r="H67">
        <v>2.7991934340192554E-2</v>
      </c>
    </row>
    <row r="68" spans="1:8" x14ac:dyDescent="0.25">
      <c r="A68" s="16" t="s">
        <v>91</v>
      </c>
      <c r="B68">
        <v>3.8908722313148328E-3</v>
      </c>
      <c r="D68" s="16" t="s">
        <v>88</v>
      </c>
      <c r="E68">
        <v>-0.11297592300525484</v>
      </c>
      <c r="G68" s="58" t="s">
        <v>76</v>
      </c>
      <c r="H68">
        <v>2.0135875591161884E-2</v>
      </c>
    </row>
    <row r="69" spans="1:8" x14ac:dyDescent="0.25">
      <c r="A69" s="16" t="s">
        <v>86</v>
      </c>
      <c r="B69">
        <v>-5.0907868616338657E-4</v>
      </c>
      <c r="D69" s="16" t="s">
        <v>89</v>
      </c>
      <c r="E69">
        <v>-0.11710444709971425</v>
      </c>
      <c r="G69" s="16" t="s">
        <v>86</v>
      </c>
      <c r="H69">
        <v>1.9947016251446952E-2</v>
      </c>
    </row>
    <row r="70" spans="1:8" x14ac:dyDescent="0.25">
      <c r="A70" s="16" t="s">
        <v>90</v>
      </c>
      <c r="B70">
        <v>-3.3672526494264957E-2</v>
      </c>
      <c r="D70" s="16" t="s">
        <v>87</v>
      </c>
      <c r="E70">
        <v>-0.12106492463010408</v>
      </c>
      <c r="G70" s="16" t="s">
        <v>90</v>
      </c>
      <c r="H70">
        <v>1.9050515969148769E-2</v>
      </c>
    </row>
    <row r="71" spans="1:8" x14ac:dyDescent="0.25">
      <c r="A71" s="16" t="s">
        <v>87</v>
      </c>
      <c r="B71">
        <v>-6.1459758354167331E-2</v>
      </c>
      <c r="D71" s="16" t="s">
        <v>96</v>
      </c>
      <c r="E71">
        <v>-0.16305643211670418</v>
      </c>
      <c r="G71" s="16" t="s">
        <v>91</v>
      </c>
      <c r="H71">
        <v>-2.4770324195700084E-2</v>
      </c>
    </row>
    <row r="72" spans="1:8" x14ac:dyDescent="0.25">
      <c r="A72" s="16" t="s">
        <v>94</v>
      </c>
      <c r="B72">
        <v>-8.8089160135920733E-2</v>
      </c>
      <c r="D72" s="16" t="s">
        <v>93</v>
      </c>
      <c r="E72">
        <v>-0.16889233265010528</v>
      </c>
      <c r="G72" s="16" t="s">
        <v>87</v>
      </c>
      <c r="H72">
        <v>-3.1599790075091783E-2</v>
      </c>
    </row>
    <row r="73" spans="1:8" x14ac:dyDescent="0.25">
      <c r="A73" s="16" t="s">
        <v>93</v>
      </c>
      <c r="B73">
        <v>-9.660490513073805E-2</v>
      </c>
      <c r="D73" s="16" t="s">
        <v>95</v>
      </c>
      <c r="E73">
        <v>-0.18680597012227598</v>
      </c>
      <c r="G73" s="16" t="s">
        <v>89</v>
      </c>
      <c r="H73">
        <v>-4.1102197588953331E-2</v>
      </c>
    </row>
    <row r="74" spans="1:8" x14ac:dyDescent="0.25">
      <c r="A74" s="16" t="s">
        <v>89</v>
      </c>
      <c r="B74">
        <v>-9.9197779705839331E-2</v>
      </c>
      <c r="D74" s="16" t="s">
        <v>97</v>
      </c>
      <c r="E74">
        <v>-0.18797750541156483</v>
      </c>
      <c r="G74" s="16" t="s">
        <v>88</v>
      </c>
      <c r="H74">
        <v>-6.0333974227629837E-2</v>
      </c>
    </row>
    <row r="75" spans="1:8" x14ac:dyDescent="0.25">
      <c r="A75" s="16" t="s">
        <v>88</v>
      </c>
      <c r="B75">
        <v>-0.12460409817136615</v>
      </c>
      <c r="D75" s="16" t="s">
        <v>94</v>
      </c>
      <c r="E75">
        <v>-0.28530251119706623</v>
      </c>
      <c r="G75" s="16" t="s">
        <v>93</v>
      </c>
      <c r="H75">
        <v>-6.7989737863275987E-2</v>
      </c>
    </row>
    <row r="76" spans="1:8" x14ac:dyDescent="0.25">
      <c r="A76" s="16" t="s">
        <v>109</v>
      </c>
      <c r="B76">
        <v>-0.14657621261908371</v>
      </c>
      <c r="D76" s="16" t="s">
        <v>109</v>
      </c>
      <c r="E76">
        <v>-0.35512975893728538</v>
      </c>
      <c r="G76" s="16" t="s">
        <v>106</v>
      </c>
      <c r="H76">
        <v>-8.2883073186260023E-2</v>
      </c>
    </row>
  </sheetData>
  <sortState ref="G40:H76">
    <sortCondition descending="1" ref="H40:H76"/>
  </sortState>
  <mergeCells count="8">
    <mergeCell ref="D39:E39"/>
    <mergeCell ref="G39:I39"/>
    <mergeCell ref="A33:B33"/>
    <mergeCell ref="A34:B34"/>
    <mergeCell ref="A35:B35"/>
    <mergeCell ref="A36:B36"/>
    <mergeCell ref="A37:B37"/>
    <mergeCell ref="A39:B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5"/>
  <sheetViews>
    <sheetView topLeftCell="A40" workbookViewId="0">
      <selection activeCell="L56" sqref="L56"/>
    </sheetView>
  </sheetViews>
  <sheetFormatPr defaultRowHeight="15" x14ac:dyDescent="0.25"/>
  <cols>
    <col min="1" max="1" width="11.5703125" customWidth="1"/>
    <col min="4" max="4" width="12.42578125" customWidth="1"/>
    <col min="7" max="7" width="12" customWidth="1"/>
    <col min="10" max="10" width="13.140625" customWidth="1"/>
    <col min="13" max="13" width="14.42578125" customWidth="1"/>
    <col min="16" max="16" width="11.7109375" customWidth="1"/>
    <col min="17" max="17" width="11.42578125" bestFit="1" customWidth="1"/>
    <col min="19" max="19" width="12.42578125" customWidth="1"/>
    <col min="20" max="20" width="11.42578125" bestFit="1" customWidth="1"/>
    <col min="22" max="22" width="13.42578125" bestFit="1" customWidth="1"/>
    <col min="25" max="25" width="13.42578125" bestFit="1" customWidth="1"/>
    <col min="26" max="26" width="14.85546875" bestFit="1" customWidth="1"/>
    <col min="27" max="27" width="14.7109375" bestFit="1" customWidth="1"/>
    <col min="29" max="29" width="14.140625" bestFit="1" customWidth="1"/>
  </cols>
  <sheetData>
    <row r="1" spans="1:27" ht="75.75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27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27" x14ac:dyDescent="0.25">
      <c r="A3" s="3" t="s">
        <v>74</v>
      </c>
      <c r="B3" s="2" t="s">
        <v>509</v>
      </c>
      <c r="C3" s="4">
        <v>0</v>
      </c>
      <c r="D3" s="138" t="s">
        <v>122</v>
      </c>
      <c r="E3" s="139">
        <v>0.38352063491860172</v>
      </c>
      <c r="F3" s="48">
        <v>1</v>
      </c>
      <c r="G3" s="138" t="s">
        <v>122</v>
      </c>
      <c r="H3" s="139">
        <v>0.59997839571243827</v>
      </c>
      <c r="I3" s="48">
        <v>1</v>
      </c>
      <c r="J3" s="138" t="s">
        <v>122</v>
      </c>
      <c r="K3" s="139">
        <v>0.75180224471894097</v>
      </c>
      <c r="L3" s="48">
        <v>1</v>
      </c>
      <c r="M3" s="17" t="s">
        <v>116</v>
      </c>
      <c r="N3" s="21">
        <v>79.17</v>
      </c>
      <c r="O3" s="48">
        <v>1</v>
      </c>
      <c r="P3" s="17" t="s">
        <v>116</v>
      </c>
      <c r="Q3" s="21">
        <v>100</v>
      </c>
      <c r="R3" s="48">
        <v>1</v>
      </c>
      <c r="S3" s="17" t="s">
        <v>91</v>
      </c>
      <c r="T3" s="21">
        <v>100</v>
      </c>
      <c r="U3" s="48">
        <v>1</v>
      </c>
      <c r="V3" s="17" t="s">
        <v>103</v>
      </c>
      <c r="W3" s="21">
        <v>90</v>
      </c>
      <c r="X3" s="48">
        <v>1</v>
      </c>
      <c r="Y3" s="19" t="s">
        <v>95</v>
      </c>
      <c r="Z3" s="19">
        <v>22</v>
      </c>
      <c r="AA3" s="48">
        <v>1</v>
      </c>
    </row>
    <row r="4" spans="1:27" x14ac:dyDescent="0.25">
      <c r="A4" s="3" t="s">
        <v>85</v>
      </c>
      <c r="B4" s="2" t="s">
        <v>509</v>
      </c>
      <c r="C4" s="4">
        <v>0</v>
      </c>
      <c r="D4" s="138" t="s">
        <v>116</v>
      </c>
      <c r="E4" s="139">
        <v>0.31300516394641997</v>
      </c>
      <c r="F4" s="48">
        <v>2</v>
      </c>
      <c r="G4" s="138" t="s">
        <v>116</v>
      </c>
      <c r="H4" s="139">
        <v>0.51015176348059821</v>
      </c>
      <c r="I4" s="48">
        <v>2</v>
      </c>
      <c r="J4" s="138" t="s">
        <v>102</v>
      </c>
      <c r="K4" s="139">
        <v>0.4077233319631427</v>
      </c>
      <c r="L4" s="48">
        <v>2</v>
      </c>
      <c r="M4" s="17" t="s">
        <v>91</v>
      </c>
      <c r="N4" s="21">
        <v>70.83</v>
      </c>
      <c r="O4" s="48">
        <v>2</v>
      </c>
      <c r="P4" s="17" t="s">
        <v>122</v>
      </c>
      <c r="Q4" s="21">
        <v>100</v>
      </c>
      <c r="R4" s="48">
        <v>1</v>
      </c>
      <c r="S4" s="17" t="s">
        <v>106</v>
      </c>
      <c r="T4" s="21">
        <v>100</v>
      </c>
      <c r="U4" s="48">
        <v>1</v>
      </c>
      <c r="V4" s="17" t="s">
        <v>98</v>
      </c>
      <c r="W4" s="21">
        <v>88</v>
      </c>
      <c r="X4" s="48">
        <v>2</v>
      </c>
      <c r="Y4" s="19" t="s">
        <v>78</v>
      </c>
      <c r="Z4" s="19">
        <v>20</v>
      </c>
      <c r="AA4" s="48">
        <v>2</v>
      </c>
    </row>
    <row r="5" spans="1:27" x14ac:dyDescent="0.25">
      <c r="A5" s="3" t="s">
        <v>86</v>
      </c>
      <c r="B5" s="2" t="s">
        <v>509</v>
      </c>
      <c r="C5" s="4">
        <v>0</v>
      </c>
      <c r="D5" s="138" t="s">
        <v>113</v>
      </c>
      <c r="E5" s="139">
        <v>0.17189707440520086</v>
      </c>
      <c r="F5" s="48">
        <v>3</v>
      </c>
      <c r="G5" s="138" t="s">
        <v>117</v>
      </c>
      <c r="H5" s="139">
        <v>0.43489790436445758</v>
      </c>
      <c r="I5" s="48">
        <v>3</v>
      </c>
      <c r="J5" s="138" t="s">
        <v>116</v>
      </c>
      <c r="K5" s="139">
        <v>0.27302697147780652</v>
      </c>
      <c r="L5" s="48">
        <v>3</v>
      </c>
      <c r="M5" s="17" t="s">
        <v>100</v>
      </c>
      <c r="N5" s="21">
        <v>70.83</v>
      </c>
      <c r="O5" s="48">
        <v>2</v>
      </c>
      <c r="P5" s="17" t="s">
        <v>113</v>
      </c>
      <c r="Q5" s="21">
        <v>85.71</v>
      </c>
      <c r="R5" s="48">
        <v>2</v>
      </c>
      <c r="S5" s="17" t="s">
        <v>89</v>
      </c>
      <c r="T5" s="21">
        <v>100</v>
      </c>
      <c r="U5" s="48">
        <v>1</v>
      </c>
      <c r="V5" s="17" t="s">
        <v>99</v>
      </c>
      <c r="W5" s="21">
        <v>83</v>
      </c>
      <c r="X5" s="48">
        <v>3</v>
      </c>
      <c r="Y5" s="19" t="s">
        <v>93</v>
      </c>
      <c r="Z5" s="19">
        <v>15</v>
      </c>
      <c r="AA5" s="48">
        <v>3</v>
      </c>
    </row>
    <row r="6" spans="1:27" x14ac:dyDescent="0.25">
      <c r="A6" s="3" t="s">
        <v>87</v>
      </c>
      <c r="B6" s="2" t="s">
        <v>509</v>
      </c>
      <c r="C6" s="4">
        <v>0</v>
      </c>
      <c r="D6" s="138" t="s">
        <v>117</v>
      </c>
      <c r="E6" s="139">
        <v>0.14131758631733007</v>
      </c>
      <c r="F6" s="48">
        <v>4</v>
      </c>
      <c r="G6" s="138" t="s">
        <v>123</v>
      </c>
      <c r="H6" s="139">
        <v>0.29989024271948328</v>
      </c>
      <c r="I6" s="48">
        <v>4</v>
      </c>
      <c r="J6" s="138" t="s">
        <v>113</v>
      </c>
      <c r="K6" s="139">
        <v>0.14009270046288635</v>
      </c>
      <c r="L6" s="48">
        <v>4</v>
      </c>
      <c r="M6" s="17" t="s">
        <v>113</v>
      </c>
      <c r="N6" s="21">
        <v>70.83</v>
      </c>
      <c r="O6" s="48">
        <v>2</v>
      </c>
      <c r="P6" s="17" t="s">
        <v>115</v>
      </c>
      <c r="Q6" s="21">
        <v>85.71</v>
      </c>
      <c r="R6" s="48">
        <v>2</v>
      </c>
      <c r="S6" s="17" t="s">
        <v>105</v>
      </c>
      <c r="T6" s="21">
        <v>100</v>
      </c>
      <c r="U6" s="48">
        <v>1</v>
      </c>
      <c r="V6" s="17" t="s">
        <v>102</v>
      </c>
      <c r="W6" s="21">
        <v>75</v>
      </c>
      <c r="X6" s="48">
        <v>4</v>
      </c>
      <c r="Y6" s="19" t="s">
        <v>114</v>
      </c>
      <c r="Z6" s="19">
        <v>13</v>
      </c>
      <c r="AA6" s="48">
        <v>4</v>
      </c>
    </row>
    <row r="7" spans="1:27" x14ac:dyDescent="0.25">
      <c r="A7" s="3" t="s">
        <v>88</v>
      </c>
      <c r="B7" s="2" t="s">
        <v>509</v>
      </c>
      <c r="C7" s="4">
        <v>0</v>
      </c>
      <c r="D7" s="138" t="s">
        <v>115</v>
      </c>
      <c r="E7" s="139">
        <v>0.13966724367598479</v>
      </c>
      <c r="F7" s="48">
        <v>4</v>
      </c>
      <c r="G7" s="138" t="s">
        <v>115</v>
      </c>
      <c r="H7" s="139">
        <v>0.28874857475713239</v>
      </c>
      <c r="I7" s="48">
        <v>5</v>
      </c>
      <c r="J7" s="138" t="s">
        <v>114</v>
      </c>
      <c r="K7" s="139">
        <v>0.13988180700910036</v>
      </c>
      <c r="L7" s="48">
        <v>4</v>
      </c>
      <c r="M7" s="17" t="s">
        <v>114</v>
      </c>
      <c r="N7" s="21">
        <v>66.67</v>
      </c>
      <c r="O7" s="48">
        <v>3</v>
      </c>
      <c r="P7" s="17" t="s">
        <v>114</v>
      </c>
      <c r="Q7" s="21">
        <v>71.430000000000007</v>
      </c>
      <c r="R7" s="48">
        <v>3</v>
      </c>
      <c r="S7" s="17" t="s">
        <v>100</v>
      </c>
      <c r="T7" s="21">
        <v>76.92</v>
      </c>
      <c r="U7" s="48">
        <v>2</v>
      </c>
      <c r="V7" s="17" t="s">
        <v>109</v>
      </c>
      <c r="W7" s="21">
        <v>74</v>
      </c>
      <c r="X7" s="48">
        <v>5</v>
      </c>
      <c r="Y7" s="19" t="s">
        <v>76</v>
      </c>
      <c r="Z7" s="19">
        <v>13</v>
      </c>
      <c r="AA7" s="48">
        <v>4</v>
      </c>
    </row>
    <row r="8" spans="1:27" x14ac:dyDescent="0.25">
      <c r="A8" s="3" t="s">
        <v>89</v>
      </c>
      <c r="B8" s="2" t="s">
        <v>509</v>
      </c>
      <c r="C8" s="4">
        <v>0</v>
      </c>
      <c r="D8" s="138" t="s">
        <v>123</v>
      </c>
      <c r="E8" s="139">
        <v>0.12120856667442408</v>
      </c>
      <c r="F8" s="48">
        <v>5</v>
      </c>
      <c r="G8" s="136" t="s">
        <v>113</v>
      </c>
      <c r="H8" s="121">
        <v>0.27716379517604467</v>
      </c>
      <c r="I8" s="4">
        <v>6</v>
      </c>
      <c r="J8" s="138" t="s">
        <v>104</v>
      </c>
      <c r="K8" s="139">
        <v>0.13888566916918052</v>
      </c>
      <c r="L8" s="48">
        <v>4</v>
      </c>
      <c r="M8" s="17" t="s">
        <v>115</v>
      </c>
      <c r="N8" s="21">
        <v>66.67</v>
      </c>
      <c r="O8" s="48">
        <v>3</v>
      </c>
      <c r="P8" s="17" t="s">
        <v>75</v>
      </c>
      <c r="Q8" s="21">
        <v>71.430000000000007</v>
      </c>
      <c r="R8" s="48">
        <v>3</v>
      </c>
      <c r="S8" s="17" t="s">
        <v>116</v>
      </c>
      <c r="T8" s="21">
        <v>75</v>
      </c>
      <c r="U8" s="48">
        <v>3</v>
      </c>
      <c r="V8" s="3" t="s">
        <v>105</v>
      </c>
      <c r="W8" s="2">
        <v>70</v>
      </c>
      <c r="X8" s="4">
        <v>6</v>
      </c>
      <c r="Y8" s="19" t="s">
        <v>111</v>
      </c>
      <c r="Z8" s="19">
        <v>12</v>
      </c>
      <c r="AA8" s="48">
        <v>5</v>
      </c>
    </row>
    <row r="9" spans="1:27" x14ac:dyDescent="0.25">
      <c r="A9" s="3" t="s">
        <v>90</v>
      </c>
      <c r="B9" s="2" t="s">
        <v>509</v>
      </c>
      <c r="C9" s="4">
        <v>0</v>
      </c>
      <c r="D9" s="138" t="s">
        <v>104</v>
      </c>
      <c r="E9" s="139">
        <v>0.12041299297778459</v>
      </c>
      <c r="F9" s="48">
        <v>5</v>
      </c>
      <c r="G9" s="136" t="s">
        <v>101</v>
      </c>
      <c r="H9" s="121">
        <v>0.2302939069530002</v>
      </c>
      <c r="I9" s="4">
        <v>7</v>
      </c>
      <c r="J9" s="138" t="s">
        <v>110</v>
      </c>
      <c r="K9" s="139">
        <v>0.13815198328724676</v>
      </c>
      <c r="L9" s="48">
        <v>4</v>
      </c>
      <c r="M9" s="17" t="s">
        <v>122</v>
      </c>
      <c r="N9" s="21">
        <v>66.67</v>
      </c>
      <c r="O9" s="48">
        <v>3</v>
      </c>
      <c r="P9" s="17" t="s">
        <v>78</v>
      </c>
      <c r="Q9" s="21">
        <v>71.430000000000007</v>
      </c>
      <c r="R9" s="48">
        <v>3</v>
      </c>
      <c r="S9" s="17" t="s">
        <v>113</v>
      </c>
      <c r="T9" s="21">
        <v>75</v>
      </c>
      <c r="U9" s="48">
        <v>3</v>
      </c>
      <c r="V9" s="3" t="s">
        <v>94</v>
      </c>
      <c r="W9" s="2">
        <v>63</v>
      </c>
      <c r="X9" s="4">
        <v>7</v>
      </c>
      <c r="Y9" s="19" t="s">
        <v>79</v>
      </c>
      <c r="Z9" s="19">
        <v>12</v>
      </c>
      <c r="AA9" s="48">
        <v>5</v>
      </c>
    </row>
    <row r="10" spans="1:27" x14ac:dyDescent="0.25">
      <c r="A10" s="3" t="s">
        <v>91</v>
      </c>
      <c r="B10" s="2" t="s">
        <v>509</v>
      </c>
      <c r="C10" s="4">
        <v>0</v>
      </c>
      <c r="D10" s="136" t="s">
        <v>114</v>
      </c>
      <c r="E10" s="121">
        <v>0.1096765384808352</v>
      </c>
      <c r="F10" s="4">
        <v>6</v>
      </c>
      <c r="G10" s="136" t="s">
        <v>114</v>
      </c>
      <c r="H10" s="121">
        <v>0.15205267064185607</v>
      </c>
      <c r="I10" s="4">
        <v>8</v>
      </c>
      <c r="J10" s="138" t="s">
        <v>83</v>
      </c>
      <c r="K10" s="139">
        <v>0.1297337846117273</v>
      </c>
      <c r="L10" s="48">
        <v>5</v>
      </c>
      <c r="M10" s="17" t="s">
        <v>75</v>
      </c>
      <c r="N10" s="21">
        <v>62.5</v>
      </c>
      <c r="O10" s="48">
        <v>4</v>
      </c>
      <c r="P10" s="17" t="s">
        <v>117</v>
      </c>
      <c r="Q10" s="21">
        <v>71.430000000000007</v>
      </c>
      <c r="R10" s="48">
        <v>3</v>
      </c>
      <c r="S10" s="17" t="s">
        <v>114</v>
      </c>
      <c r="T10" s="21">
        <v>75</v>
      </c>
      <c r="U10" s="48">
        <v>3</v>
      </c>
      <c r="V10" s="3" t="s">
        <v>97</v>
      </c>
      <c r="W10" s="2">
        <v>63</v>
      </c>
      <c r="X10" s="4">
        <v>7</v>
      </c>
      <c r="Y10" t="s">
        <v>74</v>
      </c>
      <c r="Z10">
        <v>11</v>
      </c>
      <c r="AA10" s="4">
        <v>6</v>
      </c>
    </row>
    <row r="11" spans="1:27" x14ac:dyDescent="0.25">
      <c r="A11" s="3" t="s">
        <v>92</v>
      </c>
      <c r="B11" s="2" t="s">
        <v>509</v>
      </c>
      <c r="C11" s="4">
        <v>0</v>
      </c>
      <c r="D11" s="136" t="s">
        <v>102</v>
      </c>
      <c r="E11" s="121">
        <v>0.1054613956260632</v>
      </c>
      <c r="F11" s="4">
        <v>6</v>
      </c>
      <c r="G11" s="136" t="s">
        <v>118</v>
      </c>
      <c r="H11" s="121">
        <v>0.11682911217399862</v>
      </c>
      <c r="I11" s="4">
        <v>9</v>
      </c>
      <c r="J11" s="136" t="s">
        <v>91</v>
      </c>
      <c r="K11" s="121">
        <v>0.12279098892225826</v>
      </c>
      <c r="L11" s="4">
        <v>6</v>
      </c>
      <c r="M11" s="17" t="s">
        <v>103</v>
      </c>
      <c r="N11" s="21">
        <v>62.5</v>
      </c>
      <c r="O11" s="48">
        <v>4</v>
      </c>
      <c r="P11" s="17" t="s">
        <v>118</v>
      </c>
      <c r="Q11" s="21">
        <v>71.430000000000007</v>
      </c>
      <c r="R11" s="48">
        <v>3</v>
      </c>
      <c r="S11" s="17" t="s">
        <v>115</v>
      </c>
      <c r="T11" s="21">
        <v>75</v>
      </c>
      <c r="U11" s="48">
        <v>3</v>
      </c>
      <c r="V11" s="3" t="s">
        <v>91</v>
      </c>
      <c r="W11" s="2">
        <v>62</v>
      </c>
      <c r="X11" s="4">
        <v>8</v>
      </c>
      <c r="Y11" t="s">
        <v>86</v>
      </c>
      <c r="Z11">
        <v>9</v>
      </c>
      <c r="AA11" s="4">
        <v>7</v>
      </c>
    </row>
    <row r="12" spans="1:27" x14ac:dyDescent="0.25">
      <c r="A12" s="3" t="s">
        <v>93</v>
      </c>
      <c r="B12" s="2" t="s">
        <v>509</v>
      </c>
      <c r="C12" s="4">
        <v>0</v>
      </c>
      <c r="D12" s="136" t="s">
        <v>100</v>
      </c>
      <c r="E12" s="121">
        <v>7.6842301047689007E-2</v>
      </c>
      <c r="F12" s="4">
        <v>7</v>
      </c>
      <c r="G12" s="136" t="s">
        <v>108</v>
      </c>
      <c r="H12" s="121">
        <v>0.10848762783742687</v>
      </c>
      <c r="I12" s="4">
        <v>10</v>
      </c>
      <c r="J12" s="136" t="s">
        <v>105</v>
      </c>
      <c r="K12" s="121">
        <v>0.11332948253186664</v>
      </c>
      <c r="L12" s="4">
        <v>7</v>
      </c>
      <c r="M12" s="17" t="s">
        <v>78</v>
      </c>
      <c r="N12" s="21">
        <v>58.33</v>
      </c>
      <c r="O12" s="48">
        <v>5</v>
      </c>
      <c r="P12" s="17" t="s">
        <v>119</v>
      </c>
      <c r="Q12" s="21">
        <v>71.430000000000007</v>
      </c>
      <c r="R12" s="48">
        <v>3</v>
      </c>
      <c r="S12" s="17" t="s">
        <v>122</v>
      </c>
      <c r="T12" s="21">
        <v>75</v>
      </c>
      <c r="U12" s="48">
        <v>3</v>
      </c>
      <c r="V12" s="3" t="s">
        <v>92</v>
      </c>
      <c r="W12" s="2">
        <v>62</v>
      </c>
      <c r="X12" s="4">
        <v>8</v>
      </c>
      <c r="Y12" t="s">
        <v>122</v>
      </c>
      <c r="Z12">
        <v>9</v>
      </c>
      <c r="AA12" s="4">
        <v>7</v>
      </c>
    </row>
    <row r="13" spans="1:27" x14ac:dyDescent="0.25">
      <c r="A13" s="3" t="s">
        <v>94</v>
      </c>
      <c r="B13" s="2" t="s">
        <v>509</v>
      </c>
      <c r="C13" s="4">
        <v>0</v>
      </c>
      <c r="D13" s="136" t="s">
        <v>108</v>
      </c>
      <c r="E13" s="121">
        <v>5.4207579191951349E-2</v>
      </c>
      <c r="F13" s="4">
        <v>8</v>
      </c>
      <c r="G13" s="136" t="s">
        <v>104</v>
      </c>
      <c r="H13" s="121">
        <v>7.9502596309414364E-2</v>
      </c>
      <c r="I13" s="4">
        <v>11</v>
      </c>
      <c r="J13" s="136" t="s">
        <v>100</v>
      </c>
      <c r="K13" s="121">
        <v>0.10825474254197504</v>
      </c>
      <c r="L13" s="4">
        <v>7</v>
      </c>
      <c r="M13" s="17" t="s">
        <v>104</v>
      </c>
      <c r="N13" s="21">
        <v>58.33</v>
      </c>
      <c r="O13" s="48">
        <v>5</v>
      </c>
      <c r="P13" s="17" t="s">
        <v>85</v>
      </c>
      <c r="Q13" s="21">
        <v>71.430000000000007</v>
      </c>
      <c r="R13" s="48">
        <v>3</v>
      </c>
      <c r="S13" s="17" t="s">
        <v>75</v>
      </c>
      <c r="T13" s="21">
        <v>75</v>
      </c>
      <c r="U13" s="48">
        <v>3</v>
      </c>
      <c r="V13" s="3" t="s">
        <v>107</v>
      </c>
      <c r="W13" s="2">
        <v>60</v>
      </c>
      <c r="X13" s="4">
        <v>9</v>
      </c>
      <c r="Y13" t="s">
        <v>101</v>
      </c>
      <c r="Z13">
        <v>8</v>
      </c>
      <c r="AA13" s="4">
        <v>8</v>
      </c>
    </row>
    <row r="14" spans="1:27" x14ac:dyDescent="0.25">
      <c r="A14" s="3" t="s">
        <v>75</v>
      </c>
      <c r="B14" s="2" t="s">
        <v>509</v>
      </c>
      <c r="C14" s="4">
        <v>0</v>
      </c>
      <c r="D14" s="136" t="s">
        <v>118</v>
      </c>
      <c r="E14" s="121">
        <v>5.4048753426660053E-2</v>
      </c>
      <c r="F14" s="4">
        <v>8</v>
      </c>
      <c r="G14" s="136" t="s">
        <v>119</v>
      </c>
      <c r="H14" s="121">
        <v>4.0632020697747614E-2</v>
      </c>
      <c r="I14" s="4">
        <v>12</v>
      </c>
      <c r="J14" s="136" t="s">
        <v>120</v>
      </c>
      <c r="K14" s="121">
        <v>8.8505723197526392E-2</v>
      </c>
      <c r="L14" s="4">
        <v>8</v>
      </c>
      <c r="M14" s="17" t="s">
        <v>117</v>
      </c>
      <c r="N14" s="21">
        <v>58.33</v>
      </c>
      <c r="O14" s="48">
        <v>5</v>
      </c>
      <c r="P14" s="17" t="s">
        <v>77</v>
      </c>
      <c r="Q14" s="21">
        <v>71.430000000000007</v>
      </c>
      <c r="R14" s="48">
        <v>3</v>
      </c>
      <c r="S14" s="17" t="s">
        <v>103</v>
      </c>
      <c r="T14" s="21">
        <v>75</v>
      </c>
      <c r="U14" s="48">
        <v>3</v>
      </c>
      <c r="V14" s="3" t="s">
        <v>100</v>
      </c>
      <c r="W14" s="2">
        <v>58</v>
      </c>
      <c r="X14" s="4">
        <v>10</v>
      </c>
      <c r="Y14" t="s">
        <v>104</v>
      </c>
      <c r="Z14">
        <v>7</v>
      </c>
      <c r="AA14" s="4">
        <v>9</v>
      </c>
    </row>
    <row r="15" spans="1:27" x14ac:dyDescent="0.25">
      <c r="A15" s="3" t="s">
        <v>95</v>
      </c>
      <c r="B15" s="2" t="s">
        <v>509</v>
      </c>
      <c r="C15" s="4">
        <v>0</v>
      </c>
      <c r="D15" s="136" t="s">
        <v>103</v>
      </c>
      <c r="E15" s="121">
        <v>4.82387224582628E-2</v>
      </c>
      <c r="F15" s="4">
        <v>8</v>
      </c>
      <c r="G15" s="136" t="s">
        <v>102</v>
      </c>
      <c r="H15" s="121">
        <v>3.1026991739300205E-2</v>
      </c>
      <c r="I15" s="4">
        <v>13</v>
      </c>
      <c r="J15" s="136" t="s">
        <v>82</v>
      </c>
      <c r="K15" s="121">
        <v>8.4553278604626261E-2</v>
      </c>
      <c r="L15" s="4">
        <v>9</v>
      </c>
      <c r="M15" s="3" t="s">
        <v>74</v>
      </c>
      <c r="N15" s="2">
        <v>54.17</v>
      </c>
      <c r="O15" s="4">
        <v>6</v>
      </c>
      <c r="P15" s="17" t="s">
        <v>86</v>
      </c>
      <c r="Q15" s="21">
        <v>71.430000000000007</v>
      </c>
      <c r="R15" s="48">
        <v>3</v>
      </c>
      <c r="S15" s="17" t="s">
        <v>104</v>
      </c>
      <c r="T15" s="21">
        <v>75</v>
      </c>
      <c r="U15" s="48">
        <v>3</v>
      </c>
      <c r="V15" s="3" t="s">
        <v>104</v>
      </c>
      <c r="W15" s="2">
        <v>50</v>
      </c>
      <c r="X15" s="4">
        <v>11</v>
      </c>
      <c r="Y15" t="s">
        <v>115</v>
      </c>
      <c r="Z15">
        <v>7</v>
      </c>
      <c r="AA15" s="4">
        <v>9</v>
      </c>
    </row>
    <row r="16" spans="1:27" x14ac:dyDescent="0.25">
      <c r="A16" s="3" t="s">
        <v>96</v>
      </c>
      <c r="B16" s="2" t="s">
        <v>509</v>
      </c>
      <c r="C16" s="4">
        <v>0</v>
      </c>
      <c r="D16" s="136" t="s">
        <v>91</v>
      </c>
      <c r="E16" s="121">
        <v>4.806688789844251E-2</v>
      </c>
      <c r="F16" s="4">
        <v>8</v>
      </c>
      <c r="G16" s="136" t="s">
        <v>100</v>
      </c>
      <c r="H16" s="121">
        <v>3.0798262835705723E-2</v>
      </c>
      <c r="I16" s="4">
        <v>13</v>
      </c>
      <c r="J16" s="136" t="s">
        <v>118</v>
      </c>
      <c r="K16" s="121">
        <v>7.9626574538516876E-2</v>
      </c>
      <c r="L16" s="4">
        <v>9</v>
      </c>
      <c r="M16" s="3" t="s">
        <v>76</v>
      </c>
      <c r="N16" s="2">
        <v>54.17</v>
      </c>
      <c r="O16" s="4">
        <v>6</v>
      </c>
      <c r="P16" s="17" t="s">
        <v>100</v>
      </c>
      <c r="Q16" s="21">
        <v>57.14</v>
      </c>
      <c r="R16" s="48">
        <v>4</v>
      </c>
      <c r="S16" s="17" t="s">
        <v>102</v>
      </c>
      <c r="T16" s="21">
        <v>75</v>
      </c>
      <c r="U16" s="48">
        <v>3</v>
      </c>
      <c r="V16" s="3" t="s">
        <v>106</v>
      </c>
      <c r="W16" s="2">
        <v>50</v>
      </c>
      <c r="X16" s="4">
        <v>11</v>
      </c>
      <c r="Y16" t="s">
        <v>77</v>
      </c>
      <c r="Z16">
        <v>7</v>
      </c>
      <c r="AA16" s="4">
        <v>9</v>
      </c>
    </row>
    <row r="17" spans="1:27" x14ac:dyDescent="0.25">
      <c r="A17" s="3" t="s">
        <v>97</v>
      </c>
      <c r="B17" s="2" t="s">
        <v>509</v>
      </c>
      <c r="C17" s="4">
        <v>0</v>
      </c>
      <c r="D17" s="136" t="s">
        <v>119</v>
      </c>
      <c r="E17" s="121">
        <v>3.7298371830276601E-2</v>
      </c>
      <c r="F17" s="4">
        <v>9</v>
      </c>
      <c r="G17" s="136" t="s">
        <v>103</v>
      </c>
      <c r="H17" s="121">
        <v>1.6174364593625139E-2</v>
      </c>
      <c r="I17" s="4">
        <v>14</v>
      </c>
      <c r="J17" s="136" t="s">
        <v>115</v>
      </c>
      <c r="K17" s="121">
        <v>7.93210393901565E-2</v>
      </c>
      <c r="L17" s="4">
        <v>9</v>
      </c>
      <c r="M17" s="3" t="s">
        <v>82</v>
      </c>
      <c r="N17" s="2">
        <v>54.17</v>
      </c>
      <c r="O17" s="4">
        <v>6</v>
      </c>
      <c r="P17" s="17" t="s">
        <v>103</v>
      </c>
      <c r="Q17" s="21">
        <v>57.14</v>
      </c>
      <c r="R17" s="48">
        <v>4</v>
      </c>
      <c r="S17" s="17" t="s">
        <v>118</v>
      </c>
      <c r="T17" s="21">
        <v>75</v>
      </c>
      <c r="U17" s="48">
        <v>3</v>
      </c>
      <c r="V17" s="3" t="s">
        <v>89</v>
      </c>
      <c r="W17" s="2">
        <v>47</v>
      </c>
      <c r="X17" s="4">
        <v>12</v>
      </c>
      <c r="Y17" t="s">
        <v>84</v>
      </c>
      <c r="Z17">
        <v>7</v>
      </c>
      <c r="AA17" s="4">
        <v>9</v>
      </c>
    </row>
    <row r="18" spans="1:27" x14ac:dyDescent="0.25">
      <c r="A18" s="3" t="s">
        <v>98</v>
      </c>
      <c r="B18" s="2" t="s">
        <v>509</v>
      </c>
      <c r="C18" s="4">
        <v>0</v>
      </c>
      <c r="D18" s="136" t="s">
        <v>82</v>
      </c>
      <c r="E18" s="121">
        <v>2.440884401139426E-2</v>
      </c>
      <c r="F18" s="4">
        <v>10</v>
      </c>
      <c r="G18" s="136" t="s">
        <v>112</v>
      </c>
      <c r="H18" s="121">
        <v>8.7293351124479324E-3</v>
      </c>
      <c r="I18" s="4">
        <v>15</v>
      </c>
      <c r="J18" s="137" t="s">
        <v>74</v>
      </c>
      <c r="K18" s="121">
        <v>7.6612190788159049E-2</v>
      </c>
      <c r="L18" s="4">
        <v>9</v>
      </c>
      <c r="M18" s="3" t="s">
        <v>102</v>
      </c>
      <c r="N18" s="2">
        <v>54.17</v>
      </c>
      <c r="O18" s="4">
        <v>6</v>
      </c>
      <c r="P18" s="17" t="s">
        <v>104</v>
      </c>
      <c r="Q18" s="21">
        <v>57.14</v>
      </c>
      <c r="R18" s="48">
        <v>4</v>
      </c>
      <c r="S18" s="17" t="s">
        <v>123</v>
      </c>
      <c r="T18" s="21">
        <v>75</v>
      </c>
      <c r="U18" s="48">
        <v>3</v>
      </c>
      <c r="V18" s="3" t="s">
        <v>114</v>
      </c>
      <c r="W18" s="2">
        <v>43</v>
      </c>
      <c r="X18" s="4">
        <v>13</v>
      </c>
      <c r="Y18" t="s">
        <v>123</v>
      </c>
      <c r="Z18">
        <v>6</v>
      </c>
      <c r="AA18" s="4">
        <v>10</v>
      </c>
    </row>
    <row r="19" spans="1:27" x14ac:dyDescent="0.25">
      <c r="A19" s="3" t="s">
        <v>99</v>
      </c>
      <c r="B19" s="2" t="s">
        <v>509</v>
      </c>
      <c r="C19" s="4">
        <v>0</v>
      </c>
      <c r="D19" s="137" t="s">
        <v>78</v>
      </c>
      <c r="E19" s="121">
        <v>1.7557241516991808E-2</v>
      </c>
      <c r="F19" s="4">
        <v>10</v>
      </c>
      <c r="G19" s="136" t="s">
        <v>121</v>
      </c>
      <c r="H19" s="121">
        <v>7.3452091926583052E-3</v>
      </c>
      <c r="I19" s="4">
        <v>15</v>
      </c>
      <c r="J19" s="136" t="s">
        <v>106</v>
      </c>
      <c r="K19" s="121">
        <v>7.5593139235155524E-2</v>
      </c>
      <c r="L19" s="4">
        <v>9</v>
      </c>
      <c r="M19" s="3" t="s">
        <v>106</v>
      </c>
      <c r="N19" s="2">
        <v>54.17</v>
      </c>
      <c r="O19" s="4">
        <v>6</v>
      </c>
      <c r="P19" s="17" t="s">
        <v>74</v>
      </c>
      <c r="Q19" s="21">
        <v>57.14</v>
      </c>
      <c r="R19" s="48">
        <v>4</v>
      </c>
      <c r="S19" s="17" t="s">
        <v>98</v>
      </c>
      <c r="T19" s="21">
        <v>75</v>
      </c>
      <c r="U19" s="48">
        <v>3</v>
      </c>
      <c r="V19" s="3" t="s">
        <v>90</v>
      </c>
      <c r="W19" s="2">
        <v>41</v>
      </c>
      <c r="X19" s="4">
        <v>14</v>
      </c>
      <c r="Y19" t="s">
        <v>110</v>
      </c>
      <c r="Z19">
        <v>6</v>
      </c>
      <c r="AA19" s="4">
        <v>10</v>
      </c>
    </row>
    <row r="20" spans="1:27" x14ac:dyDescent="0.25">
      <c r="A20" s="3" t="s">
        <v>100</v>
      </c>
      <c r="B20" s="2" t="s">
        <v>509</v>
      </c>
      <c r="C20" s="4">
        <v>0</v>
      </c>
      <c r="D20" s="136" t="s">
        <v>106</v>
      </c>
      <c r="E20" s="121">
        <v>1.6935213186678223E-2</v>
      </c>
      <c r="F20" s="4">
        <v>10</v>
      </c>
      <c r="G20" s="136" t="s">
        <v>91</v>
      </c>
      <c r="H20" s="121">
        <v>3.9496969906177293E-3</v>
      </c>
      <c r="I20" s="4">
        <v>16</v>
      </c>
      <c r="J20" s="136" t="s">
        <v>103</v>
      </c>
      <c r="K20" s="121">
        <v>7.4576363972688506E-2</v>
      </c>
      <c r="L20" s="4">
        <v>10</v>
      </c>
      <c r="M20" s="3" t="s">
        <v>108</v>
      </c>
      <c r="N20" s="2">
        <v>54.17</v>
      </c>
      <c r="O20" s="4">
        <v>6</v>
      </c>
      <c r="P20" s="17" t="s">
        <v>76</v>
      </c>
      <c r="Q20" s="21">
        <v>57.14</v>
      </c>
      <c r="R20" s="48">
        <v>4</v>
      </c>
      <c r="S20" s="17" t="s">
        <v>99</v>
      </c>
      <c r="T20" s="21">
        <v>75</v>
      </c>
      <c r="U20" s="48">
        <v>3</v>
      </c>
      <c r="V20" s="3" t="s">
        <v>96</v>
      </c>
      <c r="W20" s="2">
        <v>41</v>
      </c>
      <c r="X20" s="4">
        <v>14</v>
      </c>
      <c r="Y20" t="s">
        <v>117</v>
      </c>
      <c r="Z20">
        <v>6</v>
      </c>
      <c r="AA20" s="4">
        <v>10</v>
      </c>
    </row>
    <row r="21" spans="1:27" x14ac:dyDescent="0.25">
      <c r="A21" s="3" t="s">
        <v>101</v>
      </c>
      <c r="B21" s="2" t="s">
        <v>509</v>
      </c>
      <c r="C21" s="4">
        <v>0</v>
      </c>
      <c r="D21" s="136" t="s">
        <v>83</v>
      </c>
      <c r="E21" s="121">
        <v>1.5397088595176994E-2</v>
      </c>
      <c r="F21" s="4">
        <v>10</v>
      </c>
      <c r="G21" s="136" t="s">
        <v>95</v>
      </c>
      <c r="H21" s="121">
        <v>5.286675841873449E-4</v>
      </c>
      <c r="I21" s="4">
        <v>16</v>
      </c>
      <c r="J21" s="136" t="s">
        <v>117</v>
      </c>
      <c r="K21" s="121">
        <v>7.1253872167932636E-2</v>
      </c>
      <c r="L21" s="4">
        <v>10</v>
      </c>
      <c r="M21" s="3" t="s">
        <v>118</v>
      </c>
      <c r="N21" s="2">
        <v>54.17</v>
      </c>
      <c r="O21" s="4">
        <v>6</v>
      </c>
      <c r="P21" s="17" t="s">
        <v>82</v>
      </c>
      <c r="Q21" s="21">
        <v>57.14</v>
      </c>
      <c r="R21" s="48">
        <v>4</v>
      </c>
      <c r="S21" s="17" t="s">
        <v>90</v>
      </c>
      <c r="T21" s="21">
        <v>75</v>
      </c>
      <c r="U21" s="48">
        <v>3</v>
      </c>
      <c r="V21" s="3" t="s">
        <v>115</v>
      </c>
      <c r="W21" s="2">
        <v>40</v>
      </c>
      <c r="X21" s="4">
        <v>15</v>
      </c>
      <c r="Y21" t="s">
        <v>120</v>
      </c>
      <c r="Z21">
        <v>6</v>
      </c>
      <c r="AA21" s="4">
        <v>10</v>
      </c>
    </row>
    <row r="22" spans="1:27" x14ac:dyDescent="0.25">
      <c r="A22" s="3" t="s">
        <v>102</v>
      </c>
      <c r="B22" s="2" t="s">
        <v>509</v>
      </c>
      <c r="C22" s="4">
        <v>0</v>
      </c>
      <c r="D22" s="137" t="s">
        <v>74</v>
      </c>
      <c r="E22" s="121">
        <v>1.3814129322022745E-2</v>
      </c>
      <c r="F22" s="4">
        <v>11</v>
      </c>
      <c r="G22" s="136" t="s">
        <v>87</v>
      </c>
      <c r="H22" s="121">
        <v>-5.5334961270668464E-3</v>
      </c>
      <c r="I22" s="4">
        <v>17</v>
      </c>
      <c r="J22" s="137" t="s">
        <v>78</v>
      </c>
      <c r="K22" s="121">
        <v>6.5368843218769596E-2</v>
      </c>
      <c r="L22" s="4">
        <v>10</v>
      </c>
      <c r="M22" s="3" t="s">
        <v>119</v>
      </c>
      <c r="N22" s="2">
        <v>54.17</v>
      </c>
      <c r="O22" s="4">
        <v>6</v>
      </c>
      <c r="P22" s="17" t="s">
        <v>108</v>
      </c>
      <c r="Q22" s="21">
        <v>57.14</v>
      </c>
      <c r="R22" s="48">
        <v>4</v>
      </c>
      <c r="S22" s="17" t="s">
        <v>107</v>
      </c>
      <c r="T22" s="21">
        <v>75</v>
      </c>
      <c r="U22" s="48">
        <v>3</v>
      </c>
      <c r="V22" s="3" t="s">
        <v>112</v>
      </c>
      <c r="W22" s="2">
        <v>39</v>
      </c>
      <c r="X22" s="4">
        <v>16</v>
      </c>
      <c r="Y22" t="s">
        <v>124</v>
      </c>
      <c r="Z22">
        <v>6</v>
      </c>
      <c r="AA22" s="4">
        <v>10</v>
      </c>
    </row>
    <row r="23" spans="1:27" x14ac:dyDescent="0.25">
      <c r="A23" s="3" t="s">
        <v>103</v>
      </c>
      <c r="B23" s="2" t="s">
        <v>509</v>
      </c>
      <c r="C23" s="4">
        <v>0</v>
      </c>
      <c r="D23" s="136" t="s">
        <v>110</v>
      </c>
      <c r="E23" s="121">
        <v>1.3684776194916801E-2</v>
      </c>
      <c r="F23" s="4">
        <v>11</v>
      </c>
      <c r="G23" s="136" t="s">
        <v>105</v>
      </c>
      <c r="H23" s="121">
        <v>-1.5642440889741323E-2</v>
      </c>
      <c r="I23" s="4">
        <v>18</v>
      </c>
      <c r="J23" s="136" t="s">
        <v>107</v>
      </c>
      <c r="K23" s="121">
        <v>5.6837639353400728E-2</v>
      </c>
      <c r="L23" s="4">
        <v>11</v>
      </c>
      <c r="M23" s="3" t="s">
        <v>79</v>
      </c>
      <c r="N23" s="2">
        <v>50</v>
      </c>
      <c r="O23" s="4">
        <v>7</v>
      </c>
      <c r="P23" s="17" t="s">
        <v>79</v>
      </c>
      <c r="Q23" s="21">
        <v>57.14</v>
      </c>
      <c r="R23" s="48">
        <v>4</v>
      </c>
      <c r="S23" s="17" t="s">
        <v>76</v>
      </c>
      <c r="T23" s="21">
        <v>69.23</v>
      </c>
      <c r="U23" s="48">
        <v>4</v>
      </c>
      <c r="V23" s="3" t="s">
        <v>88</v>
      </c>
      <c r="W23" s="2">
        <v>37</v>
      </c>
      <c r="X23" s="4">
        <v>17</v>
      </c>
      <c r="Y23" t="s">
        <v>85</v>
      </c>
      <c r="Z23">
        <v>5</v>
      </c>
      <c r="AA23" s="4">
        <v>11</v>
      </c>
    </row>
    <row r="24" spans="1:27" x14ac:dyDescent="0.25">
      <c r="A24" s="3" t="s">
        <v>104</v>
      </c>
      <c r="B24" s="2" t="s">
        <v>509</v>
      </c>
      <c r="C24" s="4">
        <v>0</v>
      </c>
      <c r="D24" s="136" t="s">
        <v>89</v>
      </c>
      <c r="E24" s="121">
        <v>1.9919937912603615E-3</v>
      </c>
      <c r="F24" s="4">
        <v>12</v>
      </c>
      <c r="G24" s="136" t="s">
        <v>82</v>
      </c>
      <c r="H24" s="121">
        <v>-2.3953979605992069E-2</v>
      </c>
      <c r="I24" s="4">
        <v>18</v>
      </c>
      <c r="J24" s="136" t="s">
        <v>90</v>
      </c>
      <c r="K24" s="121">
        <v>5.1494129730168973E-2</v>
      </c>
      <c r="L24" s="4">
        <v>12</v>
      </c>
      <c r="M24" s="3" t="s">
        <v>83</v>
      </c>
      <c r="N24" s="2">
        <v>50</v>
      </c>
      <c r="O24" s="4">
        <v>7</v>
      </c>
      <c r="P24" s="17" t="s">
        <v>84</v>
      </c>
      <c r="Q24" s="21">
        <v>57.14</v>
      </c>
      <c r="R24" s="48">
        <v>4</v>
      </c>
      <c r="S24" s="17" t="s">
        <v>78</v>
      </c>
      <c r="T24" s="21">
        <v>61.54</v>
      </c>
      <c r="U24" s="48">
        <v>5</v>
      </c>
      <c r="V24" s="3" t="s">
        <v>87</v>
      </c>
      <c r="W24" s="2">
        <v>36</v>
      </c>
      <c r="X24" s="4">
        <v>18</v>
      </c>
      <c r="Y24" t="s">
        <v>87</v>
      </c>
      <c r="Z24">
        <v>4</v>
      </c>
      <c r="AA24" s="4">
        <v>12</v>
      </c>
    </row>
    <row r="25" spans="1:27" x14ac:dyDescent="0.25">
      <c r="A25" s="3" t="s">
        <v>76</v>
      </c>
      <c r="B25" s="2" t="s">
        <v>509</v>
      </c>
      <c r="C25" s="4">
        <v>0</v>
      </c>
      <c r="D25" s="136" t="s">
        <v>98</v>
      </c>
      <c r="E25" s="121">
        <v>-5.2606766271110427E-4</v>
      </c>
      <c r="F25" s="4">
        <v>12</v>
      </c>
      <c r="G25" s="137" t="s">
        <v>78</v>
      </c>
      <c r="H25" s="121">
        <v>-2.4348878151129332E-2</v>
      </c>
      <c r="I25" s="4">
        <v>18</v>
      </c>
      <c r="J25" s="136" t="s">
        <v>123</v>
      </c>
      <c r="K25" s="121">
        <v>4.931947030685567E-2</v>
      </c>
      <c r="L25" s="4">
        <v>13</v>
      </c>
      <c r="M25" s="3" t="s">
        <v>85</v>
      </c>
      <c r="N25" s="2">
        <v>50</v>
      </c>
      <c r="O25" s="4">
        <v>7</v>
      </c>
      <c r="P25" s="17" t="s">
        <v>93</v>
      </c>
      <c r="Q25" s="21">
        <v>57.14</v>
      </c>
      <c r="R25" s="48">
        <v>4</v>
      </c>
      <c r="S25" s="17" t="s">
        <v>74</v>
      </c>
      <c r="T25" s="21">
        <v>61.54</v>
      </c>
      <c r="U25" s="48">
        <v>5</v>
      </c>
      <c r="V25" s="3" t="s">
        <v>101</v>
      </c>
      <c r="W25" s="2">
        <v>34</v>
      </c>
      <c r="X25" s="4">
        <v>19</v>
      </c>
      <c r="Y25" t="s">
        <v>108</v>
      </c>
      <c r="Z25">
        <v>4</v>
      </c>
      <c r="AA25" s="4">
        <v>12</v>
      </c>
    </row>
    <row r="26" spans="1:27" x14ac:dyDescent="0.25">
      <c r="A26" s="3" t="s">
        <v>105</v>
      </c>
      <c r="B26" s="2" t="s">
        <v>509</v>
      </c>
      <c r="C26" s="4">
        <v>0</v>
      </c>
      <c r="D26" s="136" t="s">
        <v>93</v>
      </c>
      <c r="E26" s="121">
        <v>-6.1148390801174903E-3</v>
      </c>
      <c r="F26" s="4">
        <v>13</v>
      </c>
      <c r="G26" s="136" t="s">
        <v>109</v>
      </c>
      <c r="H26" s="121">
        <v>-2.5455943876882874E-2</v>
      </c>
      <c r="I26" s="4">
        <v>19</v>
      </c>
      <c r="J26" s="136" t="s">
        <v>99</v>
      </c>
      <c r="K26" s="121">
        <v>4.1529486226966728E-2</v>
      </c>
      <c r="L26" s="4">
        <v>14</v>
      </c>
      <c r="M26" s="3" t="s">
        <v>89</v>
      </c>
      <c r="N26" s="2">
        <v>50</v>
      </c>
      <c r="O26" s="4">
        <v>7</v>
      </c>
      <c r="P26" s="17" t="s">
        <v>101</v>
      </c>
      <c r="Q26" s="21">
        <v>57.14</v>
      </c>
      <c r="R26" s="48">
        <v>4</v>
      </c>
      <c r="S26" s="17" t="s">
        <v>82</v>
      </c>
      <c r="T26" s="21">
        <v>61.54</v>
      </c>
      <c r="U26" s="48">
        <v>5</v>
      </c>
      <c r="V26" s="3" t="s">
        <v>111</v>
      </c>
      <c r="W26" s="2">
        <v>34</v>
      </c>
      <c r="X26" s="4">
        <v>19</v>
      </c>
      <c r="Y26" t="s">
        <v>106</v>
      </c>
      <c r="Z26">
        <v>3</v>
      </c>
      <c r="AA26" s="4">
        <v>13</v>
      </c>
    </row>
    <row r="27" spans="1:27" x14ac:dyDescent="0.25">
      <c r="A27" s="3" t="s">
        <v>106</v>
      </c>
      <c r="B27" s="2" t="s">
        <v>509</v>
      </c>
      <c r="C27" s="4">
        <v>0</v>
      </c>
      <c r="D27" s="136" t="s">
        <v>112</v>
      </c>
      <c r="E27" s="121">
        <v>-8.1358837182064405E-3</v>
      </c>
      <c r="F27" s="4">
        <v>13</v>
      </c>
      <c r="G27" s="136" t="s">
        <v>96</v>
      </c>
      <c r="H27" s="121">
        <v>-3.5778052389129934E-2</v>
      </c>
      <c r="I27" s="4">
        <v>20</v>
      </c>
      <c r="J27" s="136" t="s">
        <v>119</v>
      </c>
      <c r="K27" s="121">
        <v>3.9691312479719069E-2</v>
      </c>
      <c r="L27" s="4">
        <v>14</v>
      </c>
      <c r="M27" s="3" t="s">
        <v>105</v>
      </c>
      <c r="N27" s="2">
        <v>50</v>
      </c>
      <c r="O27" s="4">
        <v>7</v>
      </c>
      <c r="P27" s="17" t="s">
        <v>91</v>
      </c>
      <c r="Q27" s="21">
        <v>42.86</v>
      </c>
      <c r="R27" s="48">
        <v>5</v>
      </c>
      <c r="S27" s="17" t="s">
        <v>108</v>
      </c>
      <c r="T27" s="21">
        <v>61.54</v>
      </c>
      <c r="U27" s="48">
        <v>5</v>
      </c>
      <c r="V27" s="3" t="s">
        <v>123</v>
      </c>
      <c r="W27" s="2">
        <v>33</v>
      </c>
      <c r="X27" s="4">
        <v>20</v>
      </c>
      <c r="Y27" t="s">
        <v>89</v>
      </c>
      <c r="Z27">
        <v>3</v>
      </c>
      <c r="AA27" s="4">
        <v>13</v>
      </c>
    </row>
    <row r="28" spans="1:27" x14ac:dyDescent="0.25">
      <c r="A28" s="3" t="s">
        <v>107</v>
      </c>
      <c r="B28" s="2" t="s">
        <v>509</v>
      </c>
      <c r="C28" s="4">
        <v>0</v>
      </c>
      <c r="D28" s="137" t="s">
        <v>75</v>
      </c>
      <c r="E28" s="121">
        <v>-8.4535262065366309E-3</v>
      </c>
      <c r="F28" s="4">
        <v>13</v>
      </c>
      <c r="G28" s="136" t="s">
        <v>93</v>
      </c>
      <c r="H28" s="121">
        <v>-3.870638626122104E-2</v>
      </c>
      <c r="I28" s="4">
        <v>20</v>
      </c>
      <c r="J28" s="136" t="s">
        <v>108</v>
      </c>
      <c r="K28" s="121">
        <v>3.5253285340303968E-2</v>
      </c>
      <c r="L28" s="4">
        <v>14</v>
      </c>
      <c r="M28" s="3" t="s">
        <v>123</v>
      </c>
      <c r="N28" s="2">
        <v>50</v>
      </c>
      <c r="O28" s="4">
        <v>7</v>
      </c>
      <c r="P28" s="17" t="s">
        <v>102</v>
      </c>
      <c r="Q28" s="21">
        <v>42.86</v>
      </c>
      <c r="R28" s="48">
        <v>5</v>
      </c>
      <c r="S28" s="17" t="s">
        <v>83</v>
      </c>
      <c r="T28" s="21">
        <v>61.54</v>
      </c>
      <c r="U28" s="48">
        <v>5</v>
      </c>
      <c r="V28" s="3" t="s">
        <v>93</v>
      </c>
      <c r="W28" s="2">
        <v>30</v>
      </c>
      <c r="X28" s="4">
        <v>21</v>
      </c>
      <c r="Y28" t="s">
        <v>90</v>
      </c>
      <c r="Z28">
        <v>3</v>
      </c>
      <c r="AA28" s="4">
        <v>13</v>
      </c>
    </row>
    <row r="29" spans="1:27" x14ac:dyDescent="0.25">
      <c r="A29" s="3" t="s">
        <v>108</v>
      </c>
      <c r="B29" s="2" t="s">
        <v>509</v>
      </c>
      <c r="C29" s="4">
        <v>0</v>
      </c>
      <c r="D29" s="136" t="s">
        <v>107</v>
      </c>
      <c r="E29" s="121">
        <v>-9.3251913930268437E-3</v>
      </c>
      <c r="F29" s="4">
        <v>13</v>
      </c>
      <c r="G29" s="136" t="s">
        <v>99</v>
      </c>
      <c r="H29" s="121">
        <v>-4.3411332140513889E-2</v>
      </c>
      <c r="I29" s="4">
        <v>20</v>
      </c>
      <c r="J29" s="136" t="s">
        <v>98</v>
      </c>
      <c r="K29" s="121">
        <v>3.524565580462978E-2</v>
      </c>
      <c r="L29" s="4">
        <v>14</v>
      </c>
      <c r="M29" s="3" t="s">
        <v>77</v>
      </c>
      <c r="N29" s="2">
        <v>45.83</v>
      </c>
      <c r="O29" s="4">
        <v>8</v>
      </c>
      <c r="P29" s="17" t="s">
        <v>83</v>
      </c>
      <c r="Q29" s="21">
        <v>42.86</v>
      </c>
      <c r="R29" s="48">
        <v>5</v>
      </c>
      <c r="S29" s="3" t="s">
        <v>117</v>
      </c>
      <c r="T29" s="2">
        <v>53.85</v>
      </c>
      <c r="U29" s="4">
        <v>6</v>
      </c>
      <c r="V29" s="3" t="s">
        <v>95</v>
      </c>
      <c r="W29" s="2">
        <v>29</v>
      </c>
      <c r="X29" s="4">
        <v>22</v>
      </c>
      <c r="Y29" t="s">
        <v>88</v>
      </c>
      <c r="Z29">
        <v>3</v>
      </c>
      <c r="AA29" s="4">
        <v>13</v>
      </c>
    </row>
    <row r="30" spans="1:27" x14ac:dyDescent="0.25">
      <c r="A30" s="3" t="s">
        <v>109</v>
      </c>
      <c r="B30" s="2" t="s">
        <v>509</v>
      </c>
      <c r="C30" s="4">
        <v>0</v>
      </c>
      <c r="D30" s="136" t="s">
        <v>105</v>
      </c>
      <c r="E30" s="121">
        <v>-1.5640136045377988E-2</v>
      </c>
      <c r="F30" s="4">
        <v>14</v>
      </c>
      <c r="G30" s="136" t="s">
        <v>106</v>
      </c>
      <c r="H30" s="121">
        <v>-4.5772715812714658E-2</v>
      </c>
      <c r="I30" s="4">
        <v>21</v>
      </c>
      <c r="J30" s="137" t="s">
        <v>75</v>
      </c>
      <c r="K30" s="121">
        <v>3.354412262562978E-2</v>
      </c>
      <c r="L30" s="4">
        <v>15</v>
      </c>
      <c r="M30" s="3" t="s">
        <v>84</v>
      </c>
      <c r="N30" s="2">
        <v>45.83</v>
      </c>
      <c r="O30" s="4">
        <v>8</v>
      </c>
      <c r="P30" s="17" t="s">
        <v>123</v>
      </c>
      <c r="Q30" s="21">
        <v>42.86</v>
      </c>
      <c r="R30" s="48">
        <v>5</v>
      </c>
      <c r="S30" s="3" t="s">
        <v>84</v>
      </c>
      <c r="T30" s="2">
        <v>53.85</v>
      </c>
      <c r="U30" s="4">
        <v>6</v>
      </c>
      <c r="V30" s="3" t="s">
        <v>110</v>
      </c>
      <c r="W30" s="2">
        <v>29</v>
      </c>
      <c r="X30" s="4">
        <v>22</v>
      </c>
      <c r="Y30" t="s">
        <v>119</v>
      </c>
      <c r="Z30">
        <v>3</v>
      </c>
      <c r="AA30" s="4">
        <v>13</v>
      </c>
    </row>
    <row r="31" spans="1:27" x14ac:dyDescent="0.25">
      <c r="A31" s="3" t="s">
        <v>110</v>
      </c>
      <c r="B31" s="2" t="s">
        <v>509</v>
      </c>
      <c r="C31" s="4">
        <v>0</v>
      </c>
      <c r="D31" s="136" t="s">
        <v>101</v>
      </c>
      <c r="E31" s="121">
        <v>-2.1232546850915152E-2</v>
      </c>
      <c r="F31" s="4">
        <v>14</v>
      </c>
      <c r="G31" s="136" t="s">
        <v>89</v>
      </c>
      <c r="H31" s="121">
        <v>-4.956051316000043E-2</v>
      </c>
      <c r="I31" s="4">
        <v>21</v>
      </c>
      <c r="J31" s="136" t="s">
        <v>89</v>
      </c>
      <c r="K31" s="121">
        <v>2.5067154297718795E-2</v>
      </c>
      <c r="L31" s="4">
        <v>15</v>
      </c>
      <c r="M31" s="3" t="s">
        <v>86</v>
      </c>
      <c r="N31" s="2">
        <v>45.83</v>
      </c>
      <c r="O31" s="4">
        <v>8</v>
      </c>
      <c r="P31" s="17" t="s">
        <v>99</v>
      </c>
      <c r="Q31" s="21">
        <v>42.86</v>
      </c>
      <c r="R31" s="48">
        <v>5</v>
      </c>
      <c r="S31" s="3" t="s">
        <v>97</v>
      </c>
      <c r="T31" s="2">
        <v>53.85</v>
      </c>
      <c r="U31" s="4">
        <v>6</v>
      </c>
      <c r="V31" s="3" t="s">
        <v>108</v>
      </c>
      <c r="W31" s="2">
        <v>23</v>
      </c>
      <c r="X31" s="4">
        <v>23</v>
      </c>
      <c r="Y31" t="s">
        <v>100</v>
      </c>
      <c r="Z31">
        <v>2</v>
      </c>
      <c r="AA31" s="4">
        <v>14</v>
      </c>
    </row>
    <row r="32" spans="1:27" x14ac:dyDescent="0.25">
      <c r="A32" s="3" t="s">
        <v>111</v>
      </c>
      <c r="B32" s="2" t="s">
        <v>509</v>
      </c>
      <c r="C32" s="4">
        <v>0</v>
      </c>
      <c r="D32" s="136" t="s">
        <v>97</v>
      </c>
      <c r="E32" s="121">
        <v>-2.4083139756577859E-2</v>
      </c>
      <c r="F32" s="4">
        <v>14</v>
      </c>
      <c r="G32" s="136" t="s">
        <v>107</v>
      </c>
      <c r="H32" s="121">
        <v>-5.7352352202891324E-2</v>
      </c>
      <c r="I32" s="4">
        <v>22</v>
      </c>
      <c r="J32" s="136" t="s">
        <v>85</v>
      </c>
      <c r="K32" s="121">
        <v>2.3923445539271473E-2</v>
      </c>
      <c r="L32" s="4">
        <v>16</v>
      </c>
      <c r="M32" s="3" t="s">
        <v>98</v>
      </c>
      <c r="N32" s="2">
        <v>45.83</v>
      </c>
      <c r="O32" s="4">
        <v>8</v>
      </c>
      <c r="P32" s="17" t="s">
        <v>96</v>
      </c>
      <c r="Q32" s="21">
        <v>42.86</v>
      </c>
      <c r="R32" s="48">
        <v>5</v>
      </c>
      <c r="S32" s="3" t="s">
        <v>119</v>
      </c>
      <c r="T32" s="2">
        <v>50</v>
      </c>
      <c r="U32" s="4">
        <v>7</v>
      </c>
      <c r="V32" s="3" t="s">
        <v>79</v>
      </c>
      <c r="W32" s="2">
        <v>20</v>
      </c>
      <c r="X32" s="4">
        <v>24</v>
      </c>
      <c r="Y32" t="s">
        <v>96</v>
      </c>
      <c r="Z32">
        <v>2</v>
      </c>
      <c r="AA32" s="4">
        <v>14</v>
      </c>
    </row>
    <row r="33" spans="1:27" x14ac:dyDescent="0.25">
      <c r="A33" s="3" t="s">
        <v>112</v>
      </c>
      <c r="B33" s="2" t="s">
        <v>509</v>
      </c>
      <c r="C33" s="4">
        <v>0</v>
      </c>
      <c r="D33" s="136" t="s">
        <v>96</v>
      </c>
      <c r="E33" s="121">
        <v>-2.5305708597460518E-2</v>
      </c>
      <c r="F33" s="4">
        <v>15</v>
      </c>
      <c r="G33" s="136" t="s">
        <v>98</v>
      </c>
      <c r="H33" s="121">
        <v>-5.7546708622182467E-2</v>
      </c>
      <c r="I33" s="4">
        <v>22</v>
      </c>
      <c r="J33" s="136" t="s">
        <v>93</v>
      </c>
      <c r="K33" s="121">
        <v>2.2223878030471492E-2</v>
      </c>
      <c r="L33" s="4">
        <v>17</v>
      </c>
      <c r="M33" s="3" t="s">
        <v>99</v>
      </c>
      <c r="N33" s="2">
        <v>45.83</v>
      </c>
      <c r="O33" s="4">
        <v>8</v>
      </c>
      <c r="P33" s="17" t="s">
        <v>109</v>
      </c>
      <c r="Q33" s="21">
        <v>42.86</v>
      </c>
      <c r="R33" s="48">
        <v>5</v>
      </c>
      <c r="S33" s="3" t="s">
        <v>79</v>
      </c>
      <c r="T33" s="2">
        <v>50</v>
      </c>
      <c r="U33" s="4">
        <v>7</v>
      </c>
      <c r="V33" s="3" t="s">
        <v>74</v>
      </c>
      <c r="W33" s="2">
        <v>17</v>
      </c>
      <c r="X33" s="4">
        <v>25</v>
      </c>
      <c r="Y33" t="s">
        <v>112</v>
      </c>
      <c r="Z33">
        <v>2</v>
      </c>
      <c r="AA33" s="4">
        <v>14</v>
      </c>
    </row>
    <row r="34" spans="1:27" x14ac:dyDescent="0.25">
      <c r="A34" s="3" t="s">
        <v>113</v>
      </c>
      <c r="B34" s="2" t="s">
        <v>509</v>
      </c>
      <c r="C34" s="4">
        <v>0</v>
      </c>
      <c r="D34" s="136" t="s">
        <v>95</v>
      </c>
      <c r="E34" s="121">
        <v>-2.7368482268046761E-2</v>
      </c>
      <c r="F34" s="4">
        <v>15</v>
      </c>
      <c r="G34" s="136" t="s">
        <v>111</v>
      </c>
      <c r="H34" s="121">
        <v>-7.0446311574138415E-2</v>
      </c>
      <c r="I34" s="4">
        <v>23</v>
      </c>
      <c r="J34" s="136" t="s">
        <v>97</v>
      </c>
      <c r="K34" s="121">
        <v>2.0802173752764462E-2</v>
      </c>
      <c r="L34" s="4">
        <v>17</v>
      </c>
      <c r="M34" s="3" t="s">
        <v>93</v>
      </c>
      <c r="N34" s="2">
        <v>41.67</v>
      </c>
      <c r="O34" s="4">
        <v>9</v>
      </c>
      <c r="P34" s="17" t="s">
        <v>111</v>
      </c>
      <c r="Q34" s="21">
        <v>42.86</v>
      </c>
      <c r="R34" s="48">
        <v>5</v>
      </c>
      <c r="S34" s="3" t="s">
        <v>110</v>
      </c>
      <c r="T34" s="2">
        <v>50</v>
      </c>
      <c r="U34" s="4">
        <v>7</v>
      </c>
      <c r="V34" s="3" t="s">
        <v>76</v>
      </c>
      <c r="W34" s="2">
        <v>16</v>
      </c>
      <c r="X34" s="4">
        <v>26</v>
      </c>
      <c r="Y34" t="s">
        <v>103</v>
      </c>
      <c r="Z34">
        <v>1</v>
      </c>
      <c r="AA34" s="4">
        <v>15</v>
      </c>
    </row>
    <row r="35" spans="1:27" x14ac:dyDescent="0.25">
      <c r="A35" s="3" t="s">
        <v>114</v>
      </c>
      <c r="B35" s="2" t="s">
        <v>509</v>
      </c>
      <c r="C35" s="4">
        <v>0</v>
      </c>
      <c r="D35" s="136" t="s">
        <v>90</v>
      </c>
      <c r="E35" s="121">
        <v>-2.8473797050710112E-2</v>
      </c>
      <c r="F35" s="4">
        <v>15</v>
      </c>
      <c r="G35" s="137" t="s">
        <v>74</v>
      </c>
      <c r="H35" s="121">
        <v>-8.4296259403474377E-2</v>
      </c>
      <c r="I35" s="4">
        <v>24</v>
      </c>
      <c r="J35" s="136" t="s">
        <v>111</v>
      </c>
      <c r="K35" s="121">
        <v>1.4818356636343597E-2</v>
      </c>
      <c r="L35" s="4">
        <v>18</v>
      </c>
      <c r="M35" s="3" t="s">
        <v>96</v>
      </c>
      <c r="N35" s="2">
        <v>41.67</v>
      </c>
      <c r="O35" s="4">
        <v>9</v>
      </c>
      <c r="P35" s="17" t="s">
        <v>112</v>
      </c>
      <c r="Q35" s="21">
        <v>42.86</v>
      </c>
      <c r="R35" s="48">
        <v>5</v>
      </c>
      <c r="S35" s="3" t="s">
        <v>111</v>
      </c>
      <c r="T35" s="2">
        <v>50</v>
      </c>
      <c r="U35" s="4">
        <v>7</v>
      </c>
      <c r="V35" s="3" t="s">
        <v>77</v>
      </c>
      <c r="W35" s="2">
        <v>16</v>
      </c>
      <c r="X35" s="4">
        <v>26</v>
      </c>
      <c r="Y35" t="s">
        <v>116</v>
      </c>
      <c r="Z35">
        <v>1</v>
      </c>
      <c r="AA35" s="4">
        <v>15</v>
      </c>
    </row>
    <row r="36" spans="1:27" x14ac:dyDescent="0.25">
      <c r="A36" s="3" t="s">
        <v>77</v>
      </c>
      <c r="B36" s="2" t="s">
        <v>509</v>
      </c>
      <c r="C36" s="4">
        <v>0</v>
      </c>
      <c r="D36" s="136" t="s">
        <v>109</v>
      </c>
      <c r="E36" s="121">
        <v>-3.4158065016888506E-2</v>
      </c>
      <c r="F36" s="4">
        <v>15</v>
      </c>
      <c r="G36" s="136" t="s">
        <v>90</v>
      </c>
      <c r="H36" s="121">
        <v>-8.5552890952307559E-2</v>
      </c>
      <c r="I36" s="4">
        <v>25</v>
      </c>
      <c r="J36" s="136" t="s">
        <v>84</v>
      </c>
      <c r="K36" s="121">
        <v>6.9168743993864301E-3</v>
      </c>
      <c r="L36" s="4">
        <v>18</v>
      </c>
      <c r="M36" s="3" t="s">
        <v>97</v>
      </c>
      <c r="N36" s="2">
        <v>41.67</v>
      </c>
      <c r="O36" s="4">
        <v>9</v>
      </c>
      <c r="P36" s="17" t="s">
        <v>87</v>
      </c>
      <c r="Q36" s="21">
        <v>42.86</v>
      </c>
      <c r="R36" s="48">
        <v>5</v>
      </c>
      <c r="S36" s="3" t="s">
        <v>92</v>
      </c>
      <c r="T36" s="2">
        <v>50</v>
      </c>
      <c r="U36" s="4">
        <v>7</v>
      </c>
      <c r="V36" s="3" t="s">
        <v>78</v>
      </c>
      <c r="W36" s="2">
        <v>16</v>
      </c>
      <c r="X36" s="4">
        <v>26</v>
      </c>
      <c r="Y36" t="s">
        <v>83</v>
      </c>
      <c r="Z36">
        <v>1</v>
      </c>
      <c r="AA36" s="4">
        <v>15</v>
      </c>
    </row>
    <row r="37" spans="1:27" x14ac:dyDescent="0.25">
      <c r="A37" s="3" t="s">
        <v>115</v>
      </c>
      <c r="B37" s="2" t="s">
        <v>509</v>
      </c>
      <c r="C37" s="4">
        <v>0</v>
      </c>
      <c r="D37" s="136" t="s">
        <v>87</v>
      </c>
      <c r="E37" s="121">
        <v>-3.5086649468211648E-2</v>
      </c>
      <c r="F37" s="4">
        <v>16</v>
      </c>
      <c r="G37" s="136" t="s">
        <v>110</v>
      </c>
      <c r="H37" s="121">
        <v>-9.1634104502125363E-2</v>
      </c>
      <c r="I37" s="4">
        <v>25</v>
      </c>
      <c r="J37" s="136" t="s">
        <v>121</v>
      </c>
      <c r="K37" s="121">
        <v>-9.3093808888647378E-4</v>
      </c>
      <c r="L37" s="4">
        <v>19</v>
      </c>
      <c r="M37" s="3" t="s">
        <v>90</v>
      </c>
      <c r="N37" s="2">
        <v>37.5</v>
      </c>
      <c r="O37" s="4">
        <v>10</v>
      </c>
      <c r="P37" s="17" t="s">
        <v>120</v>
      </c>
      <c r="Q37" s="21">
        <v>42.86</v>
      </c>
      <c r="R37" s="48">
        <v>5</v>
      </c>
      <c r="S37" s="3" t="s">
        <v>120</v>
      </c>
      <c r="T37" s="2">
        <v>50</v>
      </c>
      <c r="U37" s="4">
        <v>7</v>
      </c>
      <c r="V37" s="3" t="s">
        <v>84</v>
      </c>
      <c r="W37" s="2">
        <v>16</v>
      </c>
      <c r="X37" s="4">
        <v>26</v>
      </c>
      <c r="Y37" t="s">
        <v>113</v>
      </c>
      <c r="Z37">
        <v>1</v>
      </c>
      <c r="AA37" s="4">
        <v>15</v>
      </c>
    </row>
    <row r="38" spans="1:27" x14ac:dyDescent="0.25">
      <c r="A38" s="3" t="s">
        <v>116</v>
      </c>
      <c r="B38" s="2" t="s">
        <v>509</v>
      </c>
      <c r="C38" s="4">
        <v>0</v>
      </c>
      <c r="D38" s="136" t="s">
        <v>111</v>
      </c>
      <c r="E38" s="121">
        <v>-3.7061059336022918E-2</v>
      </c>
      <c r="F38" s="4">
        <v>16</v>
      </c>
      <c r="G38" s="136" t="s">
        <v>92</v>
      </c>
      <c r="H38" s="121">
        <v>-9.1965246180560428E-2</v>
      </c>
      <c r="I38" s="4">
        <v>25</v>
      </c>
      <c r="J38" s="136" t="s">
        <v>94</v>
      </c>
      <c r="K38" s="121">
        <v>-5.8109661058869241E-3</v>
      </c>
      <c r="L38" s="4">
        <v>20</v>
      </c>
      <c r="M38" s="3" t="s">
        <v>109</v>
      </c>
      <c r="N38" s="2">
        <v>37.5</v>
      </c>
      <c r="O38" s="4">
        <v>10</v>
      </c>
      <c r="P38" s="17" t="s">
        <v>121</v>
      </c>
      <c r="Q38" s="21">
        <v>42.86</v>
      </c>
      <c r="R38" s="48">
        <v>5</v>
      </c>
      <c r="S38" s="3" t="s">
        <v>85</v>
      </c>
      <c r="T38" s="2">
        <v>46.15</v>
      </c>
      <c r="U38" s="4">
        <v>8</v>
      </c>
      <c r="V38" s="3" t="s">
        <v>86</v>
      </c>
      <c r="W38" s="2">
        <v>16</v>
      </c>
      <c r="X38" s="4">
        <v>26</v>
      </c>
      <c r="Y38" t="s">
        <v>121</v>
      </c>
      <c r="Z38">
        <v>1</v>
      </c>
      <c r="AA38" s="4">
        <v>15</v>
      </c>
    </row>
    <row r="39" spans="1:27" x14ac:dyDescent="0.25">
      <c r="A39" s="3" t="s">
        <v>117</v>
      </c>
      <c r="B39" s="2" t="s">
        <v>509</v>
      </c>
      <c r="C39" s="4">
        <v>0</v>
      </c>
      <c r="D39" s="136" t="s">
        <v>84</v>
      </c>
      <c r="E39" s="121">
        <v>-4.9727612155444335E-2</v>
      </c>
      <c r="F39" s="4">
        <v>17</v>
      </c>
      <c r="G39" s="136" t="s">
        <v>88</v>
      </c>
      <c r="H39" s="121">
        <v>-9.8733753191448545E-2</v>
      </c>
      <c r="I39" s="4">
        <v>26</v>
      </c>
      <c r="J39" s="136" t="s">
        <v>112</v>
      </c>
      <c r="K39" s="121">
        <v>-5.9672205177716195E-3</v>
      </c>
      <c r="L39" s="4">
        <v>20</v>
      </c>
      <c r="M39" s="3" t="s">
        <v>110</v>
      </c>
      <c r="N39" s="2">
        <v>37.5</v>
      </c>
      <c r="O39" s="4">
        <v>10</v>
      </c>
      <c r="P39" s="3" t="s">
        <v>106</v>
      </c>
      <c r="Q39" s="2">
        <v>28.57</v>
      </c>
      <c r="R39" s="4">
        <v>6</v>
      </c>
      <c r="S39" s="3" t="s">
        <v>77</v>
      </c>
      <c r="T39" s="2">
        <v>46.15</v>
      </c>
      <c r="U39" s="4">
        <v>8</v>
      </c>
      <c r="V39" s="3" t="s">
        <v>122</v>
      </c>
      <c r="W39" s="2">
        <v>15</v>
      </c>
      <c r="X39" s="4">
        <v>27</v>
      </c>
      <c r="Y39" t="s">
        <v>98</v>
      </c>
      <c r="Z39">
        <v>0</v>
      </c>
      <c r="AA39" s="4">
        <v>16</v>
      </c>
    </row>
    <row r="40" spans="1:27" x14ac:dyDescent="0.25">
      <c r="A40" s="3" t="s">
        <v>118</v>
      </c>
      <c r="B40" s="2" t="s">
        <v>509</v>
      </c>
      <c r="C40" s="4">
        <v>0</v>
      </c>
      <c r="D40" s="136" t="s">
        <v>85</v>
      </c>
      <c r="E40" s="121">
        <v>-5.2481547386601497E-2</v>
      </c>
      <c r="F40" s="4">
        <v>17</v>
      </c>
      <c r="G40" s="137" t="s">
        <v>75</v>
      </c>
      <c r="H40" s="121">
        <v>-0.10192455724666856</v>
      </c>
      <c r="I40" s="4">
        <v>26</v>
      </c>
      <c r="J40" s="136" t="s">
        <v>109</v>
      </c>
      <c r="K40" s="121">
        <v>-9.2689739520261036E-3</v>
      </c>
      <c r="L40" s="4">
        <v>20</v>
      </c>
      <c r="M40" s="3" t="s">
        <v>111</v>
      </c>
      <c r="N40" s="2">
        <v>37.5</v>
      </c>
      <c r="O40" s="4">
        <v>10</v>
      </c>
      <c r="P40" s="3" t="s">
        <v>89</v>
      </c>
      <c r="Q40" s="2">
        <v>28.57</v>
      </c>
      <c r="R40" s="4">
        <v>6</v>
      </c>
      <c r="S40" s="3" t="s">
        <v>86</v>
      </c>
      <c r="T40" s="2">
        <v>46.15</v>
      </c>
      <c r="U40" s="4">
        <v>8</v>
      </c>
      <c r="V40" s="3" t="s">
        <v>116</v>
      </c>
      <c r="W40" s="2">
        <v>13</v>
      </c>
      <c r="X40" s="4">
        <v>28</v>
      </c>
      <c r="Y40" t="s">
        <v>99</v>
      </c>
      <c r="Z40">
        <v>0</v>
      </c>
      <c r="AA40" s="4">
        <v>16</v>
      </c>
    </row>
    <row r="41" spans="1:27" x14ac:dyDescent="0.25">
      <c r="A41" s="3" t="s">
        <v>119</v>
      </c>
      <c r="B41" s="2" t="s">
        <v>509</v>
      </c>
      <c r="C41" s="4">
        <v>0</v>
      </c>
      <c r="D41" s="136" t="s">
        <v>99</v>
      </c>
      <c r="E41" s="121">
        <v>-5.2782810050539225E-2</v>
      </c>
      <c r="F41" s="4">
        <v>17</v>
      </c>
      <c r="G41" s="136" t="s">
        <v>97</v>
      </c>
      <c r="H41" s="121">
        <v>-0.10934376712002385</v>
      </c>
      <c r="I41" s="4">
        <v>27</v>
      </c>
      <c r="J41" s="137" t="s">
        <v>76</v>
      </c>
      <c r="K41" s="121">
        <v>-1.0791109319627087E-2</v>
      </c>
      <c r="L41" s="4">
        <v>20</v>
      </c>
      <c r="M41" s="3" t="s">
        <v>112</v>
      </c>
      <c r="N41" s="2">
        <v>37.5</v>
      </c>
      <c r="O41" s="4">
        <v>10</v>
      </c>
      <c r="P41" s="3" t="s">
        <v>105</v>
      </c>
      <c r="Q41" s="2">
        <v>28.57</v>
      </c>
      <c r="R41" s="4">
        <v>6</v>
      </c>
      <c r="S41" s="3" t="s">
        <v>96</v>
      </c>
      <c r="T41" s="2">
        <v>46.15</v>
      </c>
      <c r="U41" s="4">
        <v>8</v>
      </c>
      <c r="V41" s="3" t="s">
        <v>117</v>
      </c>
      <c r="W41" s="2">
        <v>11</v>
      </c>
      <c r="X41" s="4">
        <v>29</v>
      </c>
      <c r="Y41" t="s">
        <v>102</v>
      </c>
      <c r="Z41">
        <v>0</v>
      </c>
      <c r="AA41" s="4">
        <v>16</v>
      </c>
    </row>
    <row r="42" spans="1:27" x14ac:dyDescent="0.25">
      <c r="A42" s="3" t="s">
        <v>120</v>
      </c>
      <c r="B42" s="2" t="s">
        <v>509</v>
      </c>
      <c r="C42" s="4">
        <v>0</v>
      </c>
      <c r="D42" s="136" t="s">
        <v>92</v>
      </c>
      <c r="E42" s="121">
        <v>-5.3385357194771582E-2</v>
      </c>
      <c r="F42" s="4">
        <v>17</v>
      </c>
      <c r="G42" s="136" t="s">
        <v>94</v>
      </c>
      <c r="H42" s="121">
        <v>-0.10946021417776311</v>
      </c>
      <c r="I42" s="4">
        <v>27</v>
      </c>
      <c r="J42" s="136" t="s">
        <v>96</v>
      </c>
      <c r="K42" s="121">
        <v>-1.2573864961775951E-2</v>
      </c>
      <c r="L42" s="4">
        <v>20</v>
      </c>
      <c r="M42" s="3" t="s">
        <v>87</v>
      </c>
      <c r="N42" s="2">
        <v>33.33</v>
      </c>
      <c r="O42" s="4">
        <v>11</v>
      </c>
      <c r="P42" s="3" t="s">
        <v>88</v>
      </c>
      <c r="Q42" s="2">
        <v>28.57</v>
      </c>
      <c r="R42" s="4">
        <v>6</v>
      </c>
      <c r="S42" s="3" t="s">
        <v>93</v>
      </c>
      <c r="T42" s="2">
        <v>38.46</v>
      </c>
      <c r="U42" s="4">
        <v>9</v>
      </c>
      <c r="V42" s="3" t="s">
        <v>119</v>
      </c>
      <c r="W42" s="2">
        <v>11</v>
      </c>
      <c r="X42" s="4">
        <v>29</v>
      </c>
      <c r="Y42" t="s">
        <v>109</v>
      </c>
      <c r="Z42">
        <v>0</v>
      </c>
      <c r="AA42" s="4">
        <v>16</v>
      </c>
    </row>
    <row r="43" spans="1:27" x14ac:dyDescent="0.25">
      <c r="A43" s="3" t="s">
        <v>121</v>
      </c>
      <c r="B43" s="2" t="s">
        <v>509</v>
      </c>
      <c r="C43" s="4">
        <v>0</v>
      </c>
      <c r="D43" s="136" t="s">
        <v>88</v>
      </c>
      <c r="E43" s="121">
        <v>-5.8762955357740919E-2</v>
      </c>
      <c r="F43" s="4">
        <v>18</v>
      </c>
      <c r="G43" s="136" t="s">
        <v>84</v>
      </c>
      <c r="H43" s="121">
        <v>-0.1223476206363817</v>
      </c>
      <c r="I43" s="4">
        <v>28</v>
      </c>
      <c r="J43" s="136" t="s">
        <v>95</v>
      </c>
      <c r="K43" s="121">
        <v>-1.6473764875013449E-2</v>
      </c>
      <c r="L43" s="4">
        <v>21</v>
      </c>
      <c r="M43" s="3" t="s">
        <v>92</v>
      </c>
      <c r="N43" s="2">
        <v>33.33</v>
      </c>
      <c r="O43" s="4">
        <v>11</v>
      </c>
      <c r="P43" s="3" t="s">
        <v>95</v>
      </c>
      <c r="Q43" s="2">
        <v>28.57</v>
      </c>
      <c r="R43" s="4">
        <v>6</v>
      </c>
      <c r="S43" s="3" t="s">
        <v>109</v>
      </c>
      <c r="T43" s="2">
        <v>38.46</v>
      </c>
      <c r="U43" s="4">
        <v>9</v>
      </c>
      <c r="V43" s="3" t="s">
        <v>75</v>
      </c>
      <c r="W43" s="2">
        <v>10</v>
      </c>
      <c r="X43" s="4">
        <v>30</v>
      </c>
      <c r="Y43" t="s">
        <v>105</v>
      </c>
      <c r="Z43">
        <v>0</v>
      </c>
      <c r="AA43" s="4">
        <v>16</v>
      </c>
    </row>
    <row r="44" spans="1:27" x14ac:dyDescent="0.25">
      <c r="A44" s="3" t="s">
        <v>122</v>
      </c>
      <c r="B44" s="2" t="s">
        <v>509</v>
      </c>
      <c r="C44" s="4">
        <v>0</v>
      </c>
      <c r="D44" s="137" t="s">
        <v>79</v>
      </c>
      <c r="E44" s="121">
        <v>-7.2983658888868638E-2</v>
      </c>
      <c r="F44" s="4">
        <v>19</v>
      </c>
      <c r="G44" s="137" t="s">
        <v>76</v>
      </c>
      <c r="H44" s="121">
        <v>-0.1447616244067072</v>
      </c>
      <c r="I44" s="4">
        <v>29</v>
      </c>
      <c r="J44" s="136" t="s">
        <v>124</v>
      </c>
      <c r="K44" s="121">
        <v>-2.099404035622909E-2</v>
      </c>
      <c r="L44" s="4">
        <v>21</v>
      </c>
      <c r="M44" s="3" t="s">
        <v>120</v>
      </c>
      <c r="N44" s="2">
        <v>33.33</v>
      </c>
      <c r="O44" s="4">
        <v>11</v>
      </c>
      <c r="P44" s="3" t="s">
        <v>124</v>
      </c>
      <c r="Q44" s="2">
        <v>28.57</v>
      </c>
      <c r="R44" s="4">
        <v>6</v>
      </c>
      <c r="S44" s="3" t="s">
        <v>112</v>
      </c>
      <c r="T44" s="2">
        <v>38.46</v>
      </c>
      <c r="U44" s="4">
        <v>9</v>
      </c>
      <c r="V44" s="3" t="s">
        <v>82</v>
      </c>
      <c r="W44" s="2">
        <v>10</v>
      </c>
      <c r="X44" s="4">
        <v>30</v>
      </c>
      <c r="Y44" t="s">
        <v>94</v>
      </c>
      <c r="Z44">
        <v>0</v>
      </c>
      <c r="AA44" s="4">
        <v>16</v>
      </c>
    </row>
    <row r="45" spans="1:27" x14ac:dyDescent="0.25">
      <c r="A45" s="3" t="s">
        <v>123</v>
      </c>
      <c r="B45" s="2" t="s">
        <v>509</v>
      </c>
      <c r="C45" s="4">
        <v>0</v>
      </c>
      <c r="D45" s="136" t="s">
        <v>94</v>
      </c>
      <c r="E45" s="121">
        <v>-7.325115215810378E-2</v>
      </c>
      <c r="F45" s="4">
        <v>19</v>
      </c>
      <c r="G45" s="136" t="s">
        <v>85</v>
      </c>
      <c r="H45" s="121">
        <v>-0.15202922102178087</v>
      </c>
      <c r="I45" s="4">
        <v>30</v>
      </c>
      <c r="J45" s="137" t="s">
        <v>79</v>
      </c>
      <c r="K45" s="121">
        <v>-2.6737019849422373E-2</v>
      </c>
      <c r="L45" s="4">
        <v>22</v>
      </c>
      <c r="M45" s="3" t="s">
        <v>88</v>
      </c>
      <c r="N45" s="2">
        <v>29.17</v>
      </c>
      <c r="O45" s="4">
        <v>12</v>
      </c>
      <c r="P45" s="3" t="s">
        <v>98</v>
      </c>
      <c r="Q45" s="2">
        <v>14.29</v>
      </c>
      <c r="R45" s="4">
        <v>7</v>
      </c>
      <c r="S45" s="3" t="s">
        <v>87</v>
      </c>
      <c r="T45" s="2">
        <v>38.46</v>
      </c>
      <c r="U45" s="4">
        <v>9</v>
      </c>
      <c r="V45" s="3" t="s">
        <v>83</v>
      </c>
      <c r="W45" s="2">
        <v>10</v>
      </c>
      <c r="X45" s="4">
        <v>30</v>
      </c>
      <c r="Y45" t="s">
        <v>97</v>
      </c>
      <c r="Z45">
        <v>0</v>
      </c>
      <c r="AA45" s="4">
        <v>16</v>
      </c>
    </row>
    <row r="46" spans="1:27" x14ac:dyDescent="0.25">
      <c r="A46" s="3" t="s">
        <v>124</v>
      </c>
      <c r="B46" s="2" t="s">
        <v>509</v>
      </c>
      <c r="C46" s="4">
        <v>0</v>
      </c>
      <c r="D46" s="136" t="s">
        <v>124</v>
      </c>
      <c r="E46" s="121">
        <v>-7.776527377071317E-2</v>
      </c>
      <c r="F46" s="4">
        <v>20</v>
      </c>
      <c r="G46" s="136" t="s">
        <v>124</v>
      </c>
      <c r="H46" s="121">
        <v>-0.17150398593306163</v>
      </c>
      <c r="I46" s="4">
        <v>31</v>
      </c>
      <c r="J46" s="136" t="s">
        <v>88</v>
      </c>
      <c r="K46" s="121">
        <v>-2.9514098947291748E-2</v>
      </c>
      <c r="L46" s="4">
        <v>22</v>
      </c>
      <c r="M46" s="3" t="s">
        <v>95</v>
      </c>
      <c r="N46" s="2">
        <v>29.17</v>
      </c>
      <c r="O46" s="4">
        <v>12</v>
      </c>
      <c r="P46" s="3" t="s">
        <v>97</v>
      </c>
      <c r="Q46" s="2">
        <v>14.29</v>
      </c>
      <c r="R46" s="4">
        <v>7</v>
      </c>
      <c r="S46" s="3" t="s">
        <v>88</v>
      </c>
      <c r="T46" s="2">
        <v>30.77</v>
      </c>
      <c r="U46" s="4">
        <v>10</v>
      </c>
      <c r="V46" s="3" t="s">
        <v>85</v>
      </c>
      <c r="W46" s="2">
        <v>10</v>
      </c>
      <c r="X46" s="4">
        <v>30</v>
      </c>
      <c r="Y46" t="s">
        <v>91</v>
      </c>
      <c r="Z46">
        <v>0</v>
      </c>
      <c r="AA46" s="4">
        <v>16</v>
      </c>
    </row>
    <row r="47" spans="1:27" x14ac:dyDescent="0.25">
      <c r="A47" s="3" t="s">
        <v>78</v>
      </c>
      <c r="B47" s="2" t="s">
        <v>509</v>
      </c>
      <c r="C47" s="4">
        <v>0</v>
      </c>
      <c r="D47" s="137" t="s">
        <v>76</v>
      </c>
      <c r="E47" s="121">
        <v>-7.8063032012911912E-2</v>
      </c>
      <c r="F47" s="4">
        <v>20</v>
      </c>
      <c r="G47" s="137" t="s">
        <v>79</v>
      </c>
      <c r="H47" s="121">
        <v>-0.180793639065292</v>
      </c>
      <c r="I47" s="4">
        <v>32</v>
      </c>
      <c r="J47" s="136" t="s">
        <v>92</v>
      </c>
      <c r="K47" s="121">
        <v>-3.7223674135488459E-2</v>
      </c>
      <c r="L47" s="4">
        <v>23</v>
      </c>
      <c r="M47" s="3" t="s">
        <v>107</v>
      </c>
      <c r="N47" s="2">
        <v>29.17</v>
      </c>
      <c r="O47" s="4">
        <v>12</v>
      </c>
      <c r="P47" s="3" t="s">
        <v>90</v>
      </c>
      <c r="Q47" s="2">
        <v>14.29</v>
      </c>
      <c r="R47" s="4">
        <v>7</v>
      </c>
      <c r="S47" s="3" t="s">
        <v>95</v>
      </c>
      <c r="T47" s="2">
        <v>30.77</v>
      </c>
      <c r="U47" s="4">
        <v>10</v>
      </c>
      <c r="V47" s="3" t="s">
        <v>113</v>
      </c>
      <c r="W47" s="2">
        <v>9</v>
      </c>
      <c r="X47" s="4">
        <v>31</v>
      </c>
      <c r="Y47" t="s">
        <v>92</v>
      </c>
      <c r="Z47">
        <v>0</v>
      </c>
      <c r="AA47" s="4">
        <v>16</v>
      </c>
    </row>
    <row r="48" spans="1:27" x14ac:dyDescent="0.25">
      <c r="A48" s="3" t="s">
        <v>79</v>
      </c>
      <c r="B48" s="2" t="s">
        <v>509</v>
      </c>
      <c r="C48" s="4">
        <v>0</v>
      </c>
      <c r="D48" s="136" t="s">
        <v>86</v>
      </c>
      <c r="E48" s="121">
        <v>-0.10103337394782556</v>
      </c>
      <c r="F48" s="4">
        <v>21</v>
      </c>
      <c r="G48" s="136" t="s">
        <v>83</v>
      </c>
      <c r="H48" s="121">
        <v>-0.18985582754902386</v>
      </c>
      <c r="I48" s="4">
        <v>33</v>
      </c>
      <c r="J48" s="136" t="s">
        <v>87</v>
      </c>
      <c r="K48" s="121">
        <v>-4.1160902673539987E-2</v>
      </c>
      <c r="L48" s="4">
        <v>23</v>
      </c>
      <c r="M48" s="3" t="s">
        <v>121</v>
      </c>
      <c r="N48" s="2">
        <v>29.17</v>
      </c>
      <c r="O48" s="4">
        <v>12</v>
      </c>
      <c r="P48" s="3" t="s">
        <v>110</v>
      </c>
      <c r="Q48" s="2">
        <v>14.29</v>
      </c>
      <c r="R48" s="4">
        <v>7</v>
      </c>
      <c r="S48" s="3" t="s">
        <v>124</v>
      </c>
      <c r="T48" s="2">
        <v>30.77</v>
      </c>
      <c r="U48" s="4">
        <v>10</v>
      </c>
      <c r="V48" s="3" t="s">
        <v>118</v>
      </c>
      <c r="W48" s="2">
        <v>4</v>
      </c>
      <c r="X48" s="4">
        <v>32</v>
      </c>
      <c r="Y48" t="s">
        <v>107</v>
      </c>
      <c r="Z48">
        <v>0</v>
      </c>
      <c r="AA48" s="4">
        <v>16</v>
      </c>
    </row>
    <row r="49" spans="1:30" x14ac:dyDescent="0.25">
      <c r="A49" s="3" t="s">
        <v>82</v>
      </c>
      <c r="B49" s="2" t="s">
        <v>509</v>
      </c>
      <c r="C49" s="4">
        <v>0</v>
      </c>
      <c r="D49" s="137" t="s">
        <v>77</v>
      </c>
      <c r="E49" s="121">
        <v>-0.11566458648318118</v>
      </c>
      <c r="F49" s="4">
        <v>22</v>
      </c>
      <c r="G49" s="136" t="s">
        <v>86</v>
      </c>
      <c r="H49" s="121">
        <v>-0.19227735980985017</v>
      </c>
      <c r="I49" s="4">
        <v>33</v>
      </c>
      <c r="J49" s="136" t="s">
        <v>86</v>
      </c>
      <c r="K49" s="121">
        <v>-5.1790208731971668E-2</v>
      </c>
      <c r="L49" s="4">
        <v>24</v>
      </c>
      <c r="M49" s="3" t="s">
        <v>124</v>
      </c>
      <c r="N49" s="2">
        <v>29.17</v>
      </c>
      <c r="O49" s="4">
        <v>12</v>
      </c>
      <c r="P49" s="3" t="s">
        <v>107</v>
      </c>
      <c r="Q49" s="2">
        <v>14.29</v>
      </c>
      <c r="R49" s="4">
        <v>7</v>
      </c>
      <c r="S49" s="3" t="s">
        <v>121</v>
      </c>
      <c r="T49" s="2">
        <v>25</v>
      </c>
      <c r="U49" s="4">
        <v>11</v>
      </c>
      <c r="V49" s="3" t="s">
        <v>120</v>
      </c>
      <c r="W49" s="2">
        <v>4</v>
      </c>
      <c r="X49" s="4">
        <v>32</v>
      </c>
      <c r="Y49" t="s">
        <v>75</v>
      </c>
      <c r="Z49">
        <v>0</v>
      </c>
      <c r="AA49" s="4">
        <v>16</v>
      </c>
    </row>
    <row r="50" spans="1:30" x14ac:dyDescent="0.25">
      <c r="A50" s="3" t="s">
        <v>83</v>
      </c>
      <c r="B50" s="2" t="s">
        <v>509</v>
      </c>
      <c r="C50" s="4">
        <v>0</v>
      </c>
      <c r="D50" s="136" t="s">
        <v>121</v>
      </c>
      <c r="E50" s="121">
        <v>-0.1619544194268881</v>
      </c>
      <c r="F50" s="4">
        <v>23</v>
      </c>
      <c r="G50" s="137" t="s">
        <v>77</v>
      </c>
      <c r="H50" s="121">
        <v>-0.21810529196864206</v>
      </c>
      <c r="I50" s="4">
        <v>34</v>
      </c>
      <c r="J50" s="137" t="s">
        <v>77</v>
      </c>
      <c r="K50" s="121">
        <v>-6.0644125127300205E-2</v>
      </c>
      <c r="L50" s="4">
        <v>25</v>
      </c>
      <c r="M50" s="3" t="s">
        <v>101</v>
      </c>
      <c r="N50" s="2">
        <v>25</v>
      </c>
      <c r="O50" s="4">
        <v>13</v>
      </c>
      <c r="P50" s="3" t="s">
        <v>94</v>
      </c>
      <c r="Q50" s="2">
        <v>14.29</v>
      </c>
      <c r="R50" s="4">
        <v>7</v>
      </c>
      <c r="S50" s="3" t="s">
        <v>94</v>
      </c>
      <c r="T50" s="2">
        <v>25</v>
      </c>
      <c r="U50" s="4">
        <v>11</v>
      </c>
      <c r="V50" s="3" t="s">
        <v>124</v>
      </c>
      <c r="W50" s="2">
        <v>4</v>
      </c>
      <c r="X50" s="4">
        <v>32</v>
      </c>
      <c r="Y50" t="s">
        <v>82</v>
      </c>
      <c r="Z50">
        <v>0</v>
      </c>
      <c r="AA50" s="4">
        <v>16</v>
      </c>
    </row>
    <row r="51" spans="1:30" x14ac:dyDescent="0.25">
      <c r="A51" s="3" t="s">
        <v>84</v>
      </c>
      <c r="B51" s="2" t="s">
        <v>509</v>
      </c>
      <c r="C51" s="4">
        <v>0</v>
      </c>
      <c r="D51" s="136" t="s">
        <v>120</v>
      </c>
      <c r="E51" s="121">
        <v>-0.23984278733735284</v>
      </c>
      <c r="F51" s="4">
        <v>24</v>
      </c>
      <c r="G51" s="136" t="s">
        <v>120</v>
      </c>
      <c r="H51" s="121">
        <v>-0.35506646592300761</v>
      </c>
      <c r="I51" s="4">
        <v>35</v>
      </c>
      <c r="J51" s="136" t="s">
        <v>101</v>
      </c>
      <c r="K51" s="121">
        <v>-8.7243575194000847E-2</v>
      </c>
      <c r="L51" s="4">
        <v>26</v>
      </c>
      <c r="M51" s="3" t="s">
        <v>94</v>
      </c>
      <c r="N51" s="2">
        <v>20.83</v>
      </c>
      <c r="O51" s="4">
        <v>14</v>
      </c>
      <c r="P51" s="3" t="s">
        <v>92</v>
      </c>
      <c r="Q51" s="2">
        <v>0</v>
      </c>
      <c r="R51" s="4">
        <v>8</v>
      </c>
      <c r="S51" s="3" t="s">
        <v>101</v>
      </c>
      <c r="T51" s="2">
        <v>15.38</v>
      </c>
      <c r="U51" s="4">
        <v>12</v>
      </c>
      <c r="V51" s="3" t="s">
        <v>121</v>
      </c>
      <c r="W51" s="2">
        <v>1</v>
      </c>
      <c r="X51" s="4">
        <v>33</v>
      </c>
      <c r="Y51" t="s">
        <v>118</v>
      </c>
      <c r="Z51">
        <v>0</v>
      </c>
      <c r="AA51" s="4">
        <v>16</v>
      </c>
    </row>
    <row r="52" spans="1:30" x14ac:dyDescent="0.25">
      <c r="A52" s="3"/>
      <c r="B52" s="2"/>
      <c r="C52" s="4"/>
      <c r="D52" s="3"/>
      <c r="E52" s="2"/>
      <c r="F52" s="4"/>
      <c r="G52" s="3"/>
      <c r="H52" s="2"/>
      <c r="I52" s="4"/>
      <c r="J52" s="3"/>
      <c r="K52" s="2"/>
      <c r="L52" s="4"/>
      <c r="M52" s="3"/>
      <c r="N52" s="2"/>
      <c r="O52" s="4"/>
      <c r="P52" s="3"/>
      <c r="Q52" s="2"/>
      <c r="R52" s="4"/>
      <c r="S52" s="3"/>
      <c r="T52" s="2"/>
      <c r="U52" s="4"/>
      <c r="V52" s="3"/>
      <c r="W52" s="2"/>
      <c r="X52" s="4"/>
      <c r="Y52" s="3"/>
      <c r="Z52" s="2"/>
      <c r="AA52" s="4"/>
    </row>
    <row r="53" spans="1:30" ht="15.75" thickBot="1" x14ac:dyDescent="0.3">
      <c r="A53" s="197" t="s">
        <v>20</v>
      </c>
      <c r="B53" s="198"/>
      <c r="C53" s="199"/>
      <c r="D53" s="197" t="s">
        <v>20</v>
      </c>
      <c r="E53" s="198"/>
      <c r="F53" s="199"/>
      <c r="G53" s="197" t="s">
        <v>20</v>
      </c>
      <c r="H53" s="198"/>
      <c r="I53" s="199"/>
      <c r="J53" s="197" t="s">
        <v>20</v>
      </c>
      <c r="K53" s="198"/>
      <c r="L53" s="199"/>
      <c r="M53" s="197" t="s">
        <v>20</v>
      </c>
      <c r="N53" s="198"/>
      <c r="O53" s="199"/>
      <c r="P53" s="197" t="s">
        <v>20</v>
      </c>
      <c r="Q53" s="198"/>
      <c r="R53" s="199"/>
      <c r="S53" s="197" t="s">
        <v>20</v>
      </c>
      <c r="T53" s="198"/>
      <c r="U53" s="199"/>
      <c r="V53" s="197" t="s">
        <v>20</v>
      </c>
      <c r="W53" s="198"/>
      <c r="X53" s="199"/>
      <c r="Y53" s="197" t="s">
        <v>20</v>
      </c>
      <c r="Z53" s="198"/>
      <c r="AA53" s="199"/>
    </row>
    <row r="55" spans="1:30" ht="15.75" thickBot="1" x14ac:dyDescent="0.3"/>
    <row r="56" spans="1:30" ht="15.75" thickBot="1" x14ac:dyDescent="0.3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224" t="s">
        <v>417</v>
      </c>
      <c r="R56" s="225"/>
      <c r="S56" s="61"/>
      <c r="T56" s="61"/>
      <c r="U56" s="61"/>
      <c r="V56" s="61"/>
      <c r="W56" s="61"/>
      <c r="X56" s="61"/>
      <c r="Y56" s="64"/>
      <c r="Z56" s="64"/>
      <c r="AA56" s="64"/>
      <c r="AB56" s="64"/>
      <c r="AC56" s="64"/>
      <c r="AD56" s="64"/>
    </row>
    <row r="57" spans="1:30" x14ac:dyDescent="0.25">
      <c r="A57" s="221" t="s">
        <v>416</v>
      </c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3"/>
      <c r="M57" s="228" t="s">
        <v>418</v>
      </c>
      <c r="N57" s="229"/>
      <c r="O57" s="230"/>
      <c r="Q57" s="226"/>
      <c r="R57" s="227"/>
    </row>
    <row r="58" spans="1:30" ht="75" x14ac:dyDescent="0.25">
      <c r="A58" s="5" t="s">
        <v>30</v>
      </c>
      <c r="B58" s="6" t="s">
        <v>29</v>
      </c>
      <c r="C58" s="6" t="s">
        <v>31</v>
      </c>
      <c r="D58" s="6" t="s">
        <v>32</v>
      </c>
      <c r="E58" s="6" t="s">
        <v>33</v>
      </c>
      <c r="F58" s="6" t="s">
        <v>34</v>
      </c>
      <c r="G58" s="6" t="s">
        <v>35</v>
      </c>
      <c r="H58" s="6" t="s">
        <v>36</v>
      </c>
      <c r="I58" s="6" t="s">
        <v>271</v>
      </c>
      <c r="J58" s="6" t="s">
        <v>37</v>
      </c>
      <c r="K58" s="70" t="s">
        <v>38</v>
      </c>
      <c r="L58" s="66" t="s">
        <v>39</v>
      </c>
      <c r="M58" s="5" t="s">
        <v>30</v>
      </c>
      <c r="N58" s="70" t="s">
        <v>419</v>
      </c>
      <c r="O58" s="66" t="s">
        <v>420</v>
      </c>
      <c r="Q58" s="65" t="s">
        <v>21</v>
      </c>
      <c r="R58" s="66" t="s">
        <v>273</v>
      </c>
      <c r="T58" s="63" t="s">
        <v>21</v>
      </c>
      <c r="U58" s="49" t="s">
        <v>407</v>
      </c>
      <c r="V58" s="49" t="s">
        <v>408</v>
      </c>
      <c r="W58" s="49" t="s">
        <v>409</v>
      </c>
      <c r="X58" s="49" t="s">
        <v>410</v>
      </c>
      <c r="Y58" s="49" t="s">
        <v>411</v>
      </c>
      <c r="Z58" s="49" t="s">
        <v>412</v>
      </c>
      <c r="AA58" s="49" t="s">
        <v>413</v>
      </c>
      <c r="AB58" s="49" t="s">
        <v>414</v>
      </c>
      <c r="AC58" s="49" t="s">
        <v>415</v>
      </c>
      <c r="AD58" s="49" t="s">
        <v>406</v>
      </c>
    </row>
    <row r="59" spans="1:30" x14ac:dyDescent="0.25">
      <c r="A59" s="77" t="s">
        <v>114</v>
      </c>
      <c r="B59" s="20">
        <v>0</v>
      </c>
      <c r="C59" s="20">
        <v>6</v>
      </c>
      <c r="D59" s="20">
        <v>8</v>
      </c>
      <c r="E59" s="20">
        <v>4</v>
      </c>
      <c r="F59" s="20">
        <v>3</v>
      </c>
      <c r="G59" s="20">
        <v>3</v>
      </c>
      <c r="H59" s="20">
        <v>3</v>
      </c>
      <c r="I59" s="20">
        <v>13</v>
      </c>
      <c r="J59" s="20">
        <v>4</v>
      </c>
      <c r="K59" s="2">
        <f t="shared" ref="K59:K90" si="0">SUM(B59:J59)</f>
        <v>44</v>
      </c>
      <c r="L59" s="52">
        <v>1</v>
      </c>
      <c r="M59" s="176" t="s">
        <v>122</v>
      </c>
      <c r="N59" s="2">
        <v>10</v>
      </c>
      <c r="O59" s="181">
        <v>1</v>
      </c>
      <c r="Q59" s="133" t="s">
        <v>116</v>
      </c>
      <c r="R59" s="116">
        <v>6</v>
      </c>
      <c r="T59" s="2" t="s">
        <v>74</v>
      </c>
      <c r="U59" t="s">
        <v>509</v>
      </c>
      <c r="V59">
        <f>COUNTIF(D3:D9,"metacell-1")</f>
        <v>0</v>
      </c>
      <c r="W59">
        <f>COUNTIF(G3:G7,"metacell-1")</f>
        <v>0</v>
      </c>
      <c r="X59">
        <f>COUNTIF(J3:J10,"metacell-1")</f>
        <v>0</v>
      </c>
      <c r="Y59">
        <f>COUNTIF(M3:M14,"metacell-1")</f>
        <v>0</v>
      </c>
      <c r="Z59">
        <f>COUNTIF(P3:P38,"metacell-1")</f>
        <v>1</v>
      </c>
      <c r="AA59">
        <f>COUNTIF(S2:S28,"metacell-1")</f>
        <v>1</v>
      </c>
      <c r="AB59">
        <f>COUNTIF(V3:V7,"metacell-1")</f>
        <v>0</v>
      </c>
      <c r="AC59">
        <f>COUNTIF(Y3:Y9,"metacell-1")</f>
        <v>0</v>
      </c>
      <c r="AD59">
        <f>SUM(V59:AC59)</f>
        <v>2</v>
      </c>
    </row>
    <row r="60" spans="1:30" x14ac:dyDescent="0.25">
      <c r="A60" s="77" t="s">
        <v>122</v>
      </c>
      <c r="B60" s="20">
        <v>0</v>
      </c>
      <c r="C60" s="20">
        <v>1</v>
      </c>
      <c r="D60" s="20">
        <v>1</v>
      </c>
      <c r="E60" s="20">
        <v>1</v>
      </c>
      <c r="F60" s="20">
        <v>3</v>
      </c>
      <c r="G60" s="20">
        <v>1</v>
      </c>
      <c r="H60" s="20">
        <v>3</v>
      </c>
      <c r="I60" s="20">
        <v>27</v>
      </c>
      <c r="J60" s="20">
        <v>7</v>
      </c>
      <c r="K60" s="2">
        <f t="shared" si="0"/>
        <v>44</v>
      </c>
      <c r="L60" s="52">
        <v>1</v>
      </c>
      <c r="M60" s="176" t="s">
        <v>116</v>
      </c>
      <c r="N60" s="2">
        <v>12</v>
      </c>
      <c r="O60" s="181">
        <v>2</v>
      </c>
      <c r="P60" s="141"/>
      <c r="Q60" s="133" t="s">
        <v>122</v>
      </c>
      <c r="R60" s="116">
        <v>6</v>
      </c>
      <c r="T60" s="2" t="s">
        <v>85</v>
      </c>
      <c r="U60" t="s">
        <v>509</v>
      </c>
      <c r="V60">
        <f>COUNTIF(D3:D9,"metacell-10")</f>
        <v>0</v>
      </c>
      <c r="W60">
        <f>COUNTIF(G3:G7,"metacell-10")</f>
        <v>0</v>
      </c>
      <c r="X60">
        <f>COUNTIF(J3:J10,"metacell-10")</f>
        <v>0</v>
      </c>
      <c r="Y60">
        <f>COUNTIF(M3:M14,"metacell-10")</f>
        <v>0</v>
      </c>
      <c r="Z60">
        <f>COUNTIF(P3:P38,"metacell-10")</f>
        <v>1</v>
      </c>
      <c r="AA60">
        <f>COUNTIF(S2:S28,"metacell-10")</f>
        <v>0</v>
      </c>
      <c r="AB60">
        <f>COUNTIF(V3:V7,"metacell-10")</f>
        <v>0</v>
      </c>
      <c r="AC60">
        <f>COUNTIF(Y3:Y9,"metacell-10")</f>
        <v>0</v>
      </c>
      <c r="AD60">
        <f t="shared" ref="AD60:AD107" si="1">SUM(V60:AC60)</f>
        <v>1</v>
      </c>
    </row>
    <row r="61" spans="1:30" x14ac:dyDescent="0.25">
      <c r="A61" s="77" t="s">
        <v>115</v>
      </c>
      <c r="B61" s="20">
        <v>0</v>
      </c>
      <c r="C61" s="20">
        <v>4</v>
      </c>
      <c r="D61" s="20">
        <v>5</v>
      </c>
      <c r="E61" s="20">
        <v>9</v>
      </c>
      <c r="F61" s="20">
        <v>3</v>
      </c>
      <c r="G61" s="20">
        <v>2</v>
      </c>
      <c r="H61" s="20">
        <v>3</v>
      </c>
      <c r="I61" s="20">
        <v>15</v>
      </c>
      <c r="J61" s="20">
        <v>9</v>
      </c>
      <c r="K61" s="2">
        <f t="shared" si="0"/>
        <v>50</v>
      </c>
      <c r="L61" s="52">
        <v>2</v>
      </c>
      <c r="M61" s="182" t="s">
        <v>113</v>
      </c>
      <c r="N61" s="2">
        <v>20</v>
      </c>
      <c r="O61" s="181">
        <v>3</v>
      </c>
      <c r="P61" s="141"/>
      <c r="Q61" s="133" t="s">
        <v>104</v>
      </c>
      <c r="R61" s="116">
        <v>5</v>
      </c>
      <c r="T61" s="2" t="s">
        <v>86</v>
      </c>
      <c r="U61" t="s">
        <v>509</v>
      </c>
      <c r="V61">
        <f>COUNTIF(D3:D9,"metacell-11")</f>
        <v>0</v>
      </c>
      <c r="W61">
        <f>COUNTIF(G3:G7,"metacell-11")</f>
        <v>0</v>
      </c>
      <c r="X61">
        <f>COUNTIF(J3:J10,"metacell-11")</f>
        <v>0</v>
      </c>
      <c r="Y61">
        <f>COUNTIF(M3:M14,"metacell-11")</f>
        <v>0</v>
      </c>
      <c r="Z61">
        <f>COUNTIF(P3:P38,"metacell-11")</f>
        <v>1</v>
      </c>
      <c r="AA61">
        <f>COUNTIF(S2:S28,"metacell-11")</f>
        <v>0</v>
      </c>
      <c r="AB61">
        <f>COUNTIF(V3:V7,"metacell-11")</f>
        <v>0</v>
      </c>
      <c r="AC61">
        <f>COUNTIF(Y3:Y9,"metacell-11")</f>
        <v>0</v>
      </c>
      <c r="AD61">
        <f t="shared" si="1"/>
        <v>1</v>
      </c>
    </row>
    <row r="62" spans="1:30" x14ac:dyDescent="0.25">
      <c r="A62" s="77" t="s">
        <v>104</v>
      </c>
      <c r="B62" s="20">
        <v>0</v>
      </c>
      <c r="C62" s="20">
        <v>5</v>
      </c>
      <c r="D62" s="20">
        <v>11</v>
      </c>
      <c r="E62" s="20">
        <v>4</v>
      </c>
      <c r="F62" s="20">
        <v>5</v>
      </c>
      <c r="G62" s="20">
        <v>4</v>
      </c>
      <c r="H62" s="20">
        <v>3</v>
      </c>
      <c r="I62" s="20">
        <v>11</v>
      </c>
      <c r="J62" s="20">
        <v>9</v>
      </c>
      <c r="K62" s="2">
        <f t="shared" si="0"/>
        <v>52</v>
      </c>
      <c r="L62" s="52">
        <v>3</v>
      </c>
      <c r="M62" s="176" t="s">
        <v>115</v>
      </c>
      <c r="N62" s="2">
        <v>26</v>
      </c>
      <c r="O62" s="181">
        <v>4</v>
      </c>
      <c r="P62" s="141"/>
      <c r="Q62" s="133" t="s">
        <v>113</v>
      </c>
      <c r="R62" s="116">
        <v>5</v>
      </c>
      <c r="T62" s="2" t="s">
        <v>87</v>
      </c>
      <c r="U62" t="s">
        <v>509</v>
      </c>
      <c r="V62">
        <f>COUNTIF(D3:D9,"metacell-12")</f>
        <v>0</v>
      </c>
      <c r="W62">
        <f>COUNTIF(G3:G7,"metacell-12")</f>
        <v>0</v>
      </c>
      <c r="X62">
        <f>COUNTIF(J3:J10,"metacell-12")</f>
        <v>0</v>
      </c>
      <c r="Y62">
        <f>COUNTIF(M3:M14,"metacell-12")</f>
        <v>0</v>
      </c>
      <c r="Z62">
        <f>COUNTIF(P3:P38,"metacell-12")</f>
        <v>1</v>
      </c>
      <c r="AA62">
        <f>COUNTIF(S2:S28,"metacell-12")</f>
        <v>0</v>
      </c>
      <c r="AB62">
        <f>COUNTIF(V3:V7,"metacell-12")</f>
        <v>0</v>
      </c>
      <c r="AC62">
        <f>COUNTIF(Y3:Y9,"metacell-12")</f>
        <v>0</v>
      </c>
      <c r="AD62">
        <f t="shared" si="1"/>
        <v>1</v>
      </c>
    </row>
    <row r="63" spans="1:30" x14ac:dyDescent="0.25">
      <c r="A63" s="77" t="s">
        <v>102</v>
      </c>
      <c r="B63" s="20">
        <v>0</v>
      </c>
      <c r="C63" s="20">
        <v>6</v>
      </c>
      <c r="D63" s="20">
        <v>13</v>
      </c>
      <c r="E63" s="20">
        <v>2</v>
      </c>
      <c r="F63" s="20">
        <v>6</v>
      </c>
      <c r="G63" s="20">
        <v>5</v>
      </c>
      <c r="H63" s="20">
        <v>3</v>
      </c>
      <c r="I63" s="20">
        <v>4</v>
      </c>
      <c r="J63" s="20">
        <v>16</v>
      </c>
      <c r="K63" s="2">
        <f t="shared" si="0"/>
        <v>55</v>
      </c>
      <c r="L63" s="52">
        <v>4</v>
      </c>
      <c r="M63" s="176" t="s">
        <v>114</v>
      </c>
      <c r="N63" s="2">
        <v>27</v>
      </c>
      <c r="O63" s="181">
        <v>5</v>
      </c>
      <c r="P63" s="141"/>
      <c r="Q63" s="133" t="s">
        <v>114</v>
      </c>
      <c r="R63" s="116">
        <v>5</v>
      </c>
      <c r="T63" s="2" t="s">
        <v>88</v>
      </c>
      <c r="U63" t="s">
        <v>509</v>
      </c>
      <c r="V63">
        <f>COUNTIF(D3:D9,"metacell-13")</f>
        <v>0</v>
      </c>
      <c r="W63">
        <f>COUNTIF(G3:G7,"metacell-13")</f>
        <v>0</v>
      </c>
      <c r="X63">
        <f>COUNTIF(J3:J10,"metacell-13")</f>
        <v>0</v>
      </c>
      <c r="Y63">
        <f>COUNTIF(M3:M14,"metacell-13")</f>
        <v>0</v>
      </c>
      <c r="Z63">
        <f>COUNTIF(P3:P38,"metacell-13")</f>
        <v>0</v>
      </c>
      <c r="AA63">
        <f>COUNTIF(S2:S28,"metacell-13")</f>
        <v>0</v>
      </c>
      <c r="AB63">
        <f>COUNTIF(V3:V7,"metacell-13")</f>
        <v>0</v>
      </c>
      <c r="AC63">
        <f>COUNTIF(Y3:Y9,"metacell-13")</f>
        <v>0</v>
      </c>
      <c r="AD63">
        <f t="shared" si="1"/>
        <v>0</v>
      </c>
    </row>
    <row r="64" spans="1:30" x14ac:dyDescent="0.25">
      <c r="A64" s="77" t="s">
        <v>116</v>
      </c>
      <c r="B64" s="20">
        <v>0</v>
      </c>
      <c r="C64" s="20">
        <v>2</v>
      </c>
      <c r="D64" s="20">
        <v>2</v>
      </c>
      <c r="E64" s="20">
        <v>3</v>
      </c>
      <c r="F64" s="20">
        <v>1</v>
      </c>
      <c r="G64" s="20">
        <v>1</v>
      </c>
      <c r="H64" s="20">
        <v>3</v>
      </c>
      <c r="I64" s="20">
        <v>28</v>
      </c>
      <c r="J64" s="20">
        <v>15</v>
      </c>
      <c r="K64" s="2">
        <f t="shared" si="0"/>
        <v>55</v>
      </c>
      <c r="L64" s="52">
        <v>4</v>
      </c>
      <c r="M64" s="54" t="s">
        <v>117</v>
      </c>
      <c r="N64" s="2">
        <v>31</v>
      </c>
      <c r="O64" s="4">
        <v>6</v>
      </c>
      <c r="P64" s="141"/>
      <c r="Q64" s="133" t="s">
        <v>115</v>
      </c>
      <c r="R64" s="116">
        <v>5</v>
      </c>
      <c r="T64" s="2" t="s">
        <v>89</v>
      </c>
      <c r="U64" t="s">
        <v>509</v>
      </c>
      <c r="V64">
        <f>COUNTIF(D3:D9,"metacell-14")</f>
        <v>0</v>
      </c>
      <c r="W64">
        <f>COUNTIF(G3:G7,"metacell-14")</f>
        <v>0</v>
      </c>
      <c r="X64">
        <f>COUNTIF(J3:J10,"metacell-14")</f>
        <v>0</v>
      </c>
      <c r="Y64">
        <f>COUNTIF(M3:M14,"metacell-14")</f>
        <v>0</v>
      </c>
      <c r="Z64">
        <f>COUNTIF(P3:P38,"metacell-14")</f>
        <v>0</v>
      </c>
      <c r="AA64">
        <f>COUNTIF(S2:S28,"metacell-14")</f>
        <v>1</v>
      </c>
      <c r="AB64">
        <f>COUNTIF(V3:V7,"metacell-14")</f>
        <v>0</v>
      </c>
      <c r="AC64">
        <f>COUNTIF(Y3:Y9,"metacell-14")</f>
        <v>0</v>
      </c>
      <c r="AD64">
        <f t="shared" si="1"/>
        <v>1</v>
      </c>
    </row>
    <row r="65" spans="1:30" x14ac:dyDescent="0.25">
      <c r="A65" s="77" t="s">
        <v>100</v>
      </c>
      <c r="B65" s="20">
        <v>0</v>
      </c>
      <c r="C65" s="20">
        <v>7</v>
      </c>
      <c r="D65" s="20">
        <v>13</v>
      </c>
      <c r="E65" s="20">
        <v>7</v>
      </c>
      <c r="F65" s="20">
        <v>2</v>
      </c>
      <c r="G65" s="20">
        <v>4</v>
      </c>
      <c r="H65" s="20">
        <v>2</v>
      </c>
      <c r="I65" s="20">
        <v>10</v>
      </c>
      <c r="J65" s="20">
        <v>14</v>
      </c>
      <c r="K65" s="2">
        <f t="shared" si="0"/>
        <v>59</v>
      </c>
      <c r="L65" s="52">
        <v>5</v>
      </c>
      <c r="M65" s="77" t="s">
        <v>104</v>
      </c>
      <c r="N65" s="2">
        <v>32</v>
      </c>
      <c r="O65" s="4">
        <v>7</v>
      </c>
      <c r="P65" s="141"/>
      <c r="Q65" s="3" t="s">
        <v>102</v>
      </c>
      <c r="R65" s="4">
        <v>4</v>
      </c>
      <c r="T65" s="2" t="s">
        <v>90</v>
      </c>
      <c r="U65" t="s">
        <v>509</v>
      </c>
      <c r="V65">
        <f>COUNTIF(D3:D9,"metacell-15")</f>
        <v>0</v>
      </c>
      <c r="W65">
        <f>COUNTIF(G3:G7,"metacell-15")</f>
        <v>0</v>
      </c>
      <c r="X65">
        <f>COUNTIF(J3:J10,"metacell-15")</f>
        <v>0</v>
      </c>
      <c r="Y65">
        <f>COUNTIF(M3:M14,"metacell-15")</f>
        <v>0</v>
      </c>
      <c r="Z65">
        <f>COUNTIF(P3:P38,"metacell-15")</f>
        <v>0</v>
      </c>
      <c r="AA65">
        <f>COUNTIF(S2:S28,"metacell-15")</f>
        <v>1</v>
      </c>
      <c r="AB65">
        <f>COUNTIF(V3:V7,"metacell-15")</f>
        <v>0</v>
      </c>
      <c r="AC65">
        <f>COUNTIF(Y3:Y9,"metacell-15")</f>
        <v>0</v>
      </c>
      <c r="AD65">
        <f t="shared" si="1"/>
        <v>1</v>
      </c>
    </row>
    <row r="66" spans="1:30" x14ac:dyDescent="0.25">
      <c r="A66" s="77" t="s">
        <v>103</v>
      </c>
      <c r="B66" s="20">
        <v>0</v>
      </c>
      <c r="C66" s="20">
        <v>8</v>
      </c>
      <c r="D66" s="20">
        <v>14</v>
      </c>
      <c r="E66" s="20">
        <v>10</v>
      </c>
      <c r="F66" s="20">
        <v>4</v>
      </c>
      <c r="G66" s="20">
        <v>4</v>
      </c>
      <c r="H66" s="20">
        <v>3</v>
      </c>
      <c r="I66" s="20">
        <v>1</v>
      </c>
      <c r="J66" s="20">
        <v>15</v>
      </c>
      <c r="K66" s="2">
        <f t="shared" si="0"/>
        <v>59</v>
      </c>
      <c r="L66" s="52">
        <v>5</v>
      </c>
      <c r="M66" s="77" t="s">
        <v>102</v>
      </c>
      <c r="N66" s="2">
        <v>35</v>
      </c>
      <c r="O66" s="4">
        <v>8</v>
      </c>
      <c r="P66" s="141"/>
      <c r="Q66" s="3" t="s">
        <v>103</v>
      </c>
      <c r="R66" s="4">
        <v>4</v>
      </c>
      <c r="T66" s="2" t="s">
        <v>91</v>
      </c>
      <c r="U66" t="s">
        <v>509</v>
      </c>
      <c r="V66">
        <f>COUNTIF(D3:D9,"metacell-16")</f>
        <v>0</v>
      </c>
      <c r="W66">
        <f>COUNTIF(G3:G7,"metacell-16")</f>
        <v>0</v>
      </c>
      <c r="X66">
        <f>COUNTIF(J3:J10,"metacell-16")</f>
        <v>0</v>
      </c>
      <c r="Y66">
        <f>COUNTIF(M3:M14,"metacell-16")</f>
        <v>1</v>
      </c>
      <c r="Z66">
        <f>COUNTIF(P3:P38,"metacell-16")</f>
        <v>1</v>
      </c>
      <c r="AA66">
        <f>COUNTIF(S2:S28,"metacell-16")</f>
        <v>1</v>
      </c>
      <c r="AB66">
        <f>COUNTIF(V3:V7,"metacell-16")</f>
        <v>0</v>
      </c>
      <c r="AC66">
        <f>COUNTIF(Y3:Y9,"metacell-16")</f>
        <v>0</v>
      </c>
      <c r="AD66">
        <f t="shared" si="1"/>
        <v>3</v>
      </c>
    </row>
    <row r="67" spans="1:30" x14ac:dyDescent="0.25">
      <c r="A67" s="54" t="s">
        <v>91</v>
      </c>
      <c r="B67" s="20">
        <v>0</v>
      </c>
      <c r="C67" s="20">
        <v>8</v>
      </c>
      <c r="D67" s="20">
        <v>16</v>
      </c>
      <c r="E67" s="20">
        <v>6</v>
      </c>
      <c r="F67" s="20">
        <v>2</v>
      </c>
      <c r="G67" s="20">
        <v>5</v>
      </c>
      <c r="H67" s="20">
        <v>1</v>
      </c>
      <c r="I67" s="20">
        <v>8</v>
      </c>
      <c r="J67" s="20">
        <v>16</v>
      </c>
      <c r="K67" s="2">
        <f t="shared" si="0"/>
        <v>62</v>
      </c>
      <c r="L67" s="55">
        <v>6</v>
      </c>
      <c r="M67" s="77" t="s">
        <v>100</v>
      </c>
      <c r="N67" s="2">
        <v>35</v>
      </c>
      <c r="O67" s="4">
        <v>8</v>
      </c>
      <c r="P67" s="141"/>
      <c r="Q67" s="3" t="s">
        <v>117</v>
      </c>
      <c r="R67" s="4">
        <v>4</v>
      </c>
      <c r="T67" s="2" t="s">
        <v>92</v>
      </c>
      <c r="U67" t="s">
        <v>509</v>
      </c>
      <c r="V67">
        <f>COUNTIF(D3:D9,"metacell-17")</f>
        <v>0</v>
      </c>
      <c r="W67">
        <f>COUNTIF(G3:G7,"metacell-17")</f>
        <v>0</v>
      </c>
      <c r="X67">
        <f>COUNTIF(J3:J10,"metacell-17")</f>
        <v>0</v>
      </c>
      <c r="Y67">
        <f>COUNTIF(M3:M14,"metacell-17")</f>
        <v>0</v>
      </c>
      <c r="Z67">
        <f>COUNTIF(P3:P38,"metacell-17")</f>
        <v>0</v>
      </c>
      <c r="AA67">
        <f>COUNTIF(S2:S28,"metacell-17")</f>
        <v>0</v>
      </c>
      <c r="AB67">
        <f>COUNTIF(V3:V7,"metacell-17")</f>
        <v>0</v>
      </c>
      <c r="AC67">
        <f>COUNTIF(Y3:Y9,"metacell-17")</f>
        <v>0</v>
      </c>
      <c r="AD67">
        <f t="shared" si="1"/>
        <v>0</v>
      </c>
    </row>
    <row r="68" spans="1:30" x14ac:dyDescent="0.25">
      <c r="A68" s="54" t="s">
        <v>113</v>
      </c>
      <c r="B68" s="20">
        <v>0</v>
      </c>
      <c r="C68" s="20">
        <v>3</v>
      </c>
      <c r="D68" s="20">
        <v>6</v>
      </c>
      <c r="E68" s="20">
        <v>4</v>
      </c>
      <c r="F68" s="20">
        <v>2</v>
      </c>
      <c r="G68" s="20">
        <v>2</v>
      </c>
      <c r="H68" s="20">
        <v>3</v>
      </c>
      <c r="I68" s="20">
        <v>31</v>
      </c>
      <c r="J68" s="20">
        <v>15</v>
      </c>
      <c r="K68" s="2">
        <f t="shared" si="0"/>
        <v>66</v>
      </c>
      <c r="L68" s="55">
        <v>7</v>
      </c>
      <c r="M68" s="54" t="s">
        <v>123</v>
      </c>
      <c r="N68" s="2">
        <v>37</v>
      </c>
      <c r="O68" s="55">
        <v>9</v>
      </c>
      <c r="P68" s="141"/>
      <c r="Q68" s="3" t="s">
        <v>123</v>
      </c>
      <c r="R68" s="4">
        <v>4</v>
      </c>
      <c r="T68" s="2" t="s">
        <v>93</v>
      </c>
      <c r="U68" t="s">
        <v>509</v>
      </c>
      <c r="V68">
        <f>COUNTIF(D3:D9,"metacell-18")</f>
        <v>0</v>
      </c>
      <c r="W68">
        <f>COUNTIF(G3:G7,"metacell-18")</f>
        <v>0</v>
      </c>
      <c r="X68">
        <f>COUNTIF(J3:J10,"metacell-18")</f>
        <v>0</v>
      </c>
      <c r="Y68">
        <f>COUNTIF(M3:M14,"metacell-18")</f>
        <v>0</v>
      </c>
      <c r="Z68">
        <f>COUNTIF(P3:P38,"metacell-18")</f>
        <v>1</v>
      </c>
      <c r="AA68">
        <f>COUNTIF(S2:S28,"metacell-18")</f>
        <v>0</v>
      </c>
      <c r="AB68">
        <f>COUNTIF(V3:V7,"metacell-18")</f>
        <v>0</v>
      </c>
      <c r="AC68">
        <f>COUNTIF(Y3:Y9,"metacell-18")</f>
        <v>1</v>
      </c>
      <c r="AD68">
        <f t="shared" si="1"/>
        <v>2</v>
      </c>
    </row>
    <row r="69" spans="1:30" x14ac:dyDescent="0.25">
      <c r="A69" s="54" t="s">
        <v>123</v>
      </c>
      <c r="B69" s="20">
        <v>0</v>
      </c>
      <c r="C69" s="20">
        <v>5</v>
      </c>
      <c r="D69" s="20">
        <v>4</v>
      </c>
      <c r="E69" s="20">
        <v>13</v>
      </c>
      <c r="F69" s="20">
        <v>7</v>
      </c>
      <c r="G69" s="20">
        <v>5</v>
      </c>
      <c r="H69" s="20">
        <v>3</v>
      </c>
      <c r="I69" s="20">
        <v>20</v>
      </c>
      <c r="J69" s="20">
        <v>10</v>
      </c>
      <c r="K69" s="2">
        <f t="shared" si="0"/>
        <v>67</v>
      </c>
      <c r="L69" s="55">
        <v>8</v>
      </c>
      <c r="M69" s="54" t="s">
        <v>91</v>
      </c>
      <c r="N69" s="2">
        <v>38</v>
      </c>
      <c r="O69" s="55">
        <v>10</v>
      </c>
      <c r="P69" s="141"/>
      <c r="Q69" s="3" t="s">
        <v>78</v>
      </c>
      <c r="R69" s="4">
        <v>4</v>
      </c>
      <c r="T69" s="2" t="s">
        <v>94</v>
      </c>
      <c r="U69" t="s">
        <v>509</v>
      </c>
      <c r="V69">
        <f>COUNTIF(D3:D9,"metacell-19")</f>
        <v>0</v>
      </c>
      <c r="W69">
        <f>COUNTIF(G3:G7,"metacell-19")</f>
        <v>0</v>
      </c>
      <c r="X69">
        <f>COUNTIF(J3:J10,"metacell-19")</f>
        <v>0</v>
      </c>
      <c r="Y69">
        <f>COUNTIF(M3:M14,"metacell-19")</f>
        <v>0</v>
      </c>
      <c r="Z69">
        <f>COUNTIF(P3:P38,"metacell-19")</f>
        <v>0</v>
      </c>
      <c r="AA69">
        <f>COUNTIF(S2:S28,"metacell-19")</f>
        <v>0</v>
      </c>
      <c r="AB69">
        <f>COUNTIF(V3:V7,"metacell-19")</f>
        <v>0</v>
      </c>
      <c r="AC69">
        <f>COUNTIF(Y3:Y9,"metacell-19")</f>
        <v>0</v>
      </c>
      <c r="AD69">
        <f t="shared" si="1"/>
        <v>0</v>
      </c>
    </row>
    <row r="70" spans="1:30" x14ac:dyDescent="0.25">
      <c r="A70" s="54" t="s">
        <v>117</v>
      </c>
      <c r="B70" s="20">
        <v>0</v>
      </c>
      <c r="C70" s="20">
        <v>4</v>
      </c>
      <c r="D70" s="20">
        <v>3</v>
      </c>
      <c r="E70" s="20">
        <v>10</v>
      </c>
      <c r="F70" s="20">
        <v>5</v>
      </c>
      <c r="G70" s="20">
        <v>3</v>
      </c>
      <c r="H70" s="20">
        <v>6</v>
      </c>
      <c r="I70" s="20">
        <v>29</v>
      </c>
      <c r="J70" s="20">
        <v>10</v>
      </c>
      <c r="K70" s="2">
        <f t="shared" si="0"/>
        <v>70</v>
      </c>
      <c r="L70" s="55">
        <v>9</v>
      </c>
      <c r="M70" s="54" t="s">
        <v>118</v>
      </c>
      <c r="N70" s="2">
        <v>38</v>
      </c>
      <c r="O70" s="55">
        <v>10</v>
      </c>
      <c r="P70" s="141"/>
      <c r="Q70" s="3" t="s">
        <v>91</v>
      </c>
      <c r="R70" s="4">
        <v>3</v>
      </c>
      <c r="T70" s="2" t="s">
        <v>75</v>
      </c>
      <c r="U70" t="s">
        <v>509</v>
      </c>
      <c r="V70">
        <f>COUNTIF(D3:D9,"metacell-2")</f>
        <v>0</v>
      </c>
      <c r="W70">
        <f>COUNTIF(G3:G7,"metacell-2")</f>
        <v>0</v>
      </c>
      <c r="X70">
        <f>COUNTIF(J3:J10,"metacell-2")</f>
        <v>0</v>
      </c>
      <c r="Y70">
        <f>COUNTIF(M3:M14,"metacell-2")</f>
        <v>1</v>
      </c>
      <c r="Z70">
        <f>COUNTIF(P3:P38,"metacell-2")</f>
        <v>1</v>
      </c>
      <c r="AA70">
        <f>COUNTIF(S2:S28,"metacell-2")</f>
        <v>1</v>
      </c>
      <c r="AB70">
        <f>COUNTIF(V3:V7,"metacell-2")</f>
        <v>0</v>
      </c>
      <c r="AC70">
        <f>COUNTIF(Y3:Y9,"metacell-2")</f>
        <v>0</v>
      </c>
      <c r="AD70">
        <f t="shared" si="1"/>
        <v>3</v>
      </c>
    </row>
    <row r="71" spans="1:30" x14ac:dyDescent="0.25">
      <c r="A71" s="54" t="s">
        <v>105</v>
      </c>
      <c r="B71" s="20">
        <v>0</v>
      </c>
      <c r="C71" s="20">
        <v>14</v>
      </c>
      <c r="D71" s="20">
        <v>18</v>
      </c>
      <c r="E71" s="20">
        <v>7</v>
      </c>
      <c r="F71" s="20">
        <v>7</v>
      </c>
      <c r="G71" s="20">
        <v>6</v>
      </c>
      <c r="H71" s="20">
        <v>1</v>
      </c>
      <c r="I71" s="20">
        <v>6</v>
      </c>
      <c r="J71" s="20">
        <v>16</v>
      </c>
      <c r="K71" s="2">
        <f t="shared" si="0"/>
        <v>75</v>
      </c>
      <c r="L71" s="55">
        <v>10</v>
      </c>
      <c r="M71" s="77" t="s">
        <v>103</v>
      </c>
      <c r="N71" s="2">
        <v>43</v>
      </c>
      <c r="O71" s="55">
        <v>11</v>
      </c>
      <c r="P71" s="141"/>
      <c r="Q71" s="3" t="s">
        <v>75</v>
      </c>
      <c r="R71" s="4">
        <v>3</v>
      </c>
      <c r="T71" s="2" t="s">
        <v>95</v>
      </c>
      <c r="U71" t="s">
        <v>509</v>
      </c>
      <c r="V71">
        <f>COUNTIF(D3:D9,"metacell-20")</f>
        <v>0</v>
      </c>
      <c r="W71">
        <f>COUNTIF(G3:G7,"metacell-20")</f>
        <v>0</v>
      </c>
      <c r="X71">
        <f>COUNTIF(J3:J10,"metacell-20")</f>
        <v>0</v>
      </c>
      <c r="Y71">
        <f>COUNTIF(M3:M14,"metacell-20")</f>
        <v>0</v>
      </c>
      <c r="Z71">
        <f>COUNTIF(P3:P38,"metacell-20")</f>
        <v>0</v>
      </c>
      <c r="AA71">
        <f>COUNTIF(S2:S28,"metacell-20")</f>
        <v>0</v>
      </c>
      <c r="AB71">
        <f>COUNTIF(V3:V7,"metacell-20")</f>
        <v>0</v>
      </c>
      <c r="AC71">
        <f>COUNTIF(Y3:Y9,"metacell-20")</f>
        <v>1</v>
      </c>
      <c r="AD71">
        <f t="shared" si="1"/>
        <v>1</v>
      </c>
    </row>
    <row r="72" spans="1:30" x14ac:dyDescent="0.25">
      <c r="A72" s="54" t="s">
        <v>106</v>
      </c>
      <c r="B72" s="20">
        <v>0</v>
      </c>
      <c r="C72" s="20">
        <v>10</v>
      </c>
      <c r="D72" s="20">
        <v>21</v>
      </c>
      <c r="E72" s="20">
        <v>9</v>
      </c>
      <c r="F72" s="20">
        <v>6</v>
      </c>
      <c r="G72" s="20">
        <v>6</v>
      </c>
      <c r="H72" s="20">
        <v>1</v>
      </c>
      <c r="I72" s="20">
        <v>11</v>
      </c>
      <c r="J72" s="20">
        <v>13</v>
      </c>
      <c r="K72" s="2">
        <f t="shared" si="0"/>
        <v>77</v>
      </c>
      <c r="L72" s="55">
        <v>11</v>
      </c>
      <c r="M72" s="54" t="s">
        <v>108</v>
      </c>
      <c r="N72" s="2">
        <v>47</v>
      </c>
      <c r="O72" s="55">
        <v>12</v>
      </c>
      <c r="P72" s="141"/>
      <c r="Q72" s="3" t="s">
        <v>99</v>
      </c>
      <c r="R72" s="4">
        <v>3</v>
      </c>
      <c r="T72" s="2" t="s">
        <v>96</v>
      </c>
      <c r="U72" t="s">
        <v>509</v>
      </c>
      <c r="V72">
        <f>COUNTIF(D3:D9,"metacell-21")</f>
        <v>0</v>
      </c>
      <c r="W72">
        <f>COUNTIF(G3:G7,"metacell-21")</f>
        <v>0</v>
      </c>
      <c r="X72">
        <f>COUNTIF(J3:J10,"metacell-21")</f>
        <v>0</v>
      </c>
      <c r="Y72">
        <f>COUNTIF(M3:M14,"metacell-21")</f>
        <v>0</v>
      </c>
      <c r="Z72">
        <f>COUNTIF(P3:P38,"metacell-21")</f>
        <v>1</v>
      </c>
      <c r="AA72">
        <f>COUNTIF(S2:S28,"metacell-21")</f>
        <v>0</v>
      </c>
      <c r="AB72">
        <f>COUNTIF(V3:V7,"metacell-21")</f>
        <v>0</v>
      </c>
      <c r="AC72">
        <f>COUNTIF(Y3:Y9,"metacell-21")</f>
        <v>0</v>
      </c>
      <c r="AD72">
        <f t="shared" si="1"/>
        <v>1</v>
      </c>
    </row>
    <row r="73" spans="1:30" x14ac:dyDescent="0.25">
      <c r="A73" s="54" t="s">
        <v>78</v>
      </c>
      <c r="B73" s="20">
        <v>0</v>
      </c>
      <c r="C73" s="20">
        <v>10</v>
      </c>
      <c r="D73" s="20">
        <v>18</v>
      </c>
      <c r="E73" s="20">
        <v>10</v>
      </c>
      <c r="F73" s="20">
        <v>5</v>
      </c>
      <c r="G73" s="20">
        <v>3</v>
      </c>
      <c r="H73" s="20">
        <v>5</v>
      </c>
      <c r="I73" s="20">
        <v>26</v>
      </c>
      <c r="J73" s="20">
        <v>2</v>
      </c>
      <c r="K73" s="2">
        <f t="shared" si="0"/>
        <v>79</v>
      </c>
      <c r="L73" s="55">
        <v>12</v>
      </c>
      <c r="M73" s="54" t="s">
        <v>78</v>
      </c>
      <c r="N73" s="2">
        <v>51</v>
      </c>
      <c r="O73" s="55">
        <v>13</v>
      </c>
      <c r="P73" s="141"/>
      <c r="Q73" s="3" t="s">
        <v>100</v>
      </c>
      <c r="R73" s="4">
        <v>3</v>
      </c>
      <c r="T73" s="2" t="s">
        <v>97</v>
      </c>
      <c r="U73" t="s">
        <v>509</v>
      </c>
      <c r="V73">
        <f>COUNTIF(D3:D9,"metacell-22")</f>
        <v>0</v>
      </c>
      <c r="W73">
        <f>COUNTIF(G3:G7,"metacell-22")</f>
        <v>0</v>
      </c>
      <c r="X73">
        <f>COUNTIF(J3:J10,"metacell-22")</f>
        <v>0</v>
      </c>
      <c r="Y73">
        <f>COUNTIF(M3:M14,"metacell-22")</f>
        <v>0</v>
      </c>
      <c r="Z73">
        <f>COUNTIF(P3:P38,"metacell-22")</f>
        <v>0</v>
      </c>
      <c r="AA73">
        <f>COUNTIF(S2:S28,"metacell-22")</f>
        <v>0</v>
      </c>
      <c r="AB73">
        <f>COUNTIF(V3:V7,"metacell-22")</f>
        <v>0</v>
      </c>
      <c r="AC73">
        <f>COUNTIF(Y3:Y9,"metacell-22")</f>
        <v>0</v>
      </c>
      <c r="AD73">
        <f t="shared" si="1"/>
        <v>0</v>
      </c>
    </row>
    <row r="74" spans="1:30" x14ac:dyDescent="0.25">
      <c r="A74" s="54" t="s">
        <v>108</v>
      </c>
      <c r="B74" s="20">
        <v>0</v>
      </c>
      <c r="C74" s="20">
        <v>8</v>
      </c>
      <c r="D74" s="20">
        <v>10</v>
      </c>
      <c r="E74" s="20">
        <v>14</v>
      </c>
      <c r="F74" s="20">
        <v>6</v>
      </c>
      <c r="G74" s="20">
        <v>4</v>
      </c>
      <c r="H74" s="20">
        <v>5</v>
      </c>
      <c r="I74" s="20">
        <v>23</v>
      </c>
      <c r="J74" s="20">
        <v>12</v>
      </c>
      <c r="K74" s="2">
        <f t="shared" si="0"/>
        <v>82</v>
      </c>
      <c r="L74" s="55">
        <v>13</v>
      </c>
      <c r="M74" s="54" t="s">
        <v>119</v>
      </c>
      <c r="N74" s="2">
        <v>51</v>
      </c>
      <c r="O74" s="55">
        <v>13</v>
      </c>
      <c r="P74" s="141"/>
      <c r="Q74" s="3" t="s">
        <v>76</v>
      </c>
      <c r="R74" s="4">
        <v>3</v>
      </c>
      <c r="T74" s="2" t="s">
        <v>98</v>
      </c>
      <c r="U74" t="s">
        <v>509</v>
      </c>
      <c r="V74">
        <f>COUNTIF(D3:D9,"metacell-23")</f>
        <v>0</v>
      </c>
      <c r="W74">
        <f>COUNTIF(G3:G7,"metacell-23")</f>
        <v>0</v>
      </c>
      <c r="X74">
        <f>COUNTIF(J3:J10,"metacell-23")</f>
        <v>0</v>
      </c>
      <c r="Y74">
        <f>COUNTIF(M3:M14,"metacell-23")</f>
        <v>0</v>
      </c>
      <c r="Z74">
        <f>COUNTIF(P3:P38,"metacell-23")</f>
        <v>0</v>
      </c>
      <c r="AA74">
        <f>COUNTIF(S2:S28,"metacell-23")</f>
        <v>1</v>
      </c>
      <c r="AB74">
        <f>COUNTIF(V3:V7,"metacell-23")</f>
        <v>1</v>
      </c>
      <c r="AC74">
        <f>COUNTIF(Y3:Y9,"metacell-23")</f>
        <v>0</v>
      </c>
      <c r="AD74">
        <f t="shared" si="1"/>
        <v>2</v>
      </c>
    </row>
    <row r="75" spans="1:30" x14ac:dyDescent="0.25">
      <c r="A75" s="54" t="s">
        <v>98</v>
      </c>
      <c r="B75" s="20">
        <v>0</v>
      </c>
      <c r="C75" s="20">
        <v>12</v>
      </c>
      <c r="D75" s="20">
        <v>22</v>
      </c>
      <c r="E75" s="20">
        <v>14</v>
      </c>
      <c r="F75" s="20">
        <v>8</v>
      </c>
      <c r="G75" s="20">
        <v>7</v>
      </c>
      <c r="H75" s="20">
        <v>3</v>
      </c>
      <c r="I75" s="20">
        <v>2</v>
      </c>
      <c r="J75" s="20">
        <v>16</v>
      </c>
      <c r="K75" s="2">
        <f t="shared" si="0"/>
        <v>84</v>
      </c>
      <c r="L75" s="55">
        <v>14</v>
      </c>
      <c r="M75" s="54" t="s">
        <v>82</v>
      </c>
      <c r="N75" s="2">
        <v>52</v>
      </c>
      <c r="O75" s="55">
        <v>14</v>
      </c>
      <c r="P75" s="141"/>
      <c r="Q75" s="3" t="s">
        <v>83</v>
      </c>
      <c r="R75" s="4">
        <v>3</v>
      </c>
      <c r="T75" s="2" t="s">
        <v>99</v>
      </c>
      <c r="U75" t="s">
        <v>509</v>
      </c>
      <c r="V75">
        <f>COUNTIF(D3:D9,"metacell-24")</f>
        <v>0</v>
      </c>
      <c r="W75">
        <f>COUNTIF(G3:G7,"metacell-24")</f>
        <v>0</v>
      </c>
      <c r="X75">
        <f>COUNTIF(J3:J10,"metacell-24")</f>
        <v>0</v>
      </c>
      <c r="Y75">
        <f>COUNTIF(M3:M14,"metacell-24")</f>
        <v>0</v>
      </c>
      <c r="Z75">
        <f>COUNTIF(P3:P38,"metacell-24")</f>
        <v>1</v>
      </c>
      <c r="AA75">
        <f>COUNTIF(S2:S28,"metacell-24")</f>
        <v>1</v>
      </c>
      <c r="AB75">
        <f>COUNTIF(V3:V7,"metacell-24")</f>
        <v>1</v>
      </c>
      <c r="AC75">
        <f>COUNTIF(Y3:Y9,"metacell-24")</f>
        <v>0</v>
      </c>
      <c r="AD75">
        <f t="shared" si="1"/>
        <v>3</v>
      </c>
    </row>
    <row r="76" spans="1:30" x14ac:dyDescent="0.25">
      <c r="A76" s="54" t="s">
        <v>99</v>
      </c>
      <c r="B76" s="20">
        <v>0</v>
      </c>
      <c r="C76" s="20">
        <v>17</v>
      </c>
      <c r="D76" s="20">
        <v>20</v>
      </c>
      <c r="E76" s="20">
        <v>14</v>
      </c>
      <c r="F76" s="20">
        <v>8</v>
      </c>
      <c r="G76" s="20">
        <v>5</v>
      </c>
      <c r="H76" s="20">
        <v>3</v>
      </c>
      <c r="I76" s="20">
        <v>3</v>
      </c>
      <c r="J76" s="20">
        <v>16</v>
      </c>
      <c r="K76" s="2">
        <f t="shared" si="0"/>
        <v>86</v>
      </c>
      <c r="L76" s="55">
        <v>15</v>
      </c>
      <c r="M76" s="54" t="s">
        <v>105</v>
      </c>
      <c r="N76" s="2">
        <v>53</v>
      </c>
      <c r="O76" s="55">
        <v>14</v>
      </c>
      <c r="P76" s="141"/>
      <c r="Q76" s="3" t="s">
        <v>74</v>
      </c>
      <c r="R76" s="4">
        <v>2</v>
      </c>
      <c r="T76" s="2" t="s">
        <v>100</v>
      </c>
      <c r="U76" t="s">
        <v>509</v>
      </c>
      <c r="V76">
        <f>COUNTIF(D3:D9,"metacell-25")</f>
        <v>0</v>
      </c>
      <c r="W76">
        <f>COUNTIF(G3:G7,"metacell-25")</f>
        <v>0</v>
      </c>
      <c r="X76">
        <f>COUNTIF(J3:J10,"metacell-25")</f>
        <v>0</v>
      </c>
      <c r="Y76">
        <f>COUNTIF(M3:M14,"metacell-25")</f>
        <v>1</v>
      </c>
      <c r="Z76">
        <f>COUNTIF(P3:P38,"metacell-25")</f>
        <v>1</v>
      </c>
      <c r="AA76">
        <f>COUNTIF(S2:S28,"metacell-25")</f>
        <v>1</v>
      </c>
      <c r="AB76">
        <f>COUNTIF(V3:V7,"metacell-25")</f>
        <v>0</v>
      </c>
      <c r="AC76">
        <f>COUNTIF(Y3:Y9,"metacell-25")</f>
        <v>0</v>
      </c>
      <c r="AD76">
        <f t="shared" si="1"/>
        <v>3</v>
      </c>
    </row>
    <row r="77" spans="1:30" x14ac:dyDescent="0.25">
      <c r="A77" s="54" t="s">
        <v>118</v>
      </c>
      <c r="B77" s="20">
        <v>0</v>
      </c>
      <c r="C77" s="20">
        <v>8</v>
      </c>
      <c r="D77" s="20">
        <v>9</v>
      </c>
      <c r="E77" s="20">
        <v>9</v>
      </c>
      <c r="F77" s="20">
        <v>6</v>
      </c>
      <c r="G77" s="20">
        <v>3</v>
      </c>
      <c r="H77" s="20">
        <v>3</v>
      </c>
      <c r="I77" s="20">
        <v>32</v>
      </c>
      <c r="J77" s="20">
        <v>16</v>
      </c>
      <c r="K77" s="2">
        <f t="shared" si="0"/>
        <v>86</v>
      </c>
      <c r="L77" s="55">
        <v>15</v>
      </c>
      <c r="M77" s="54" t="s">
        <v>106</v>
      </c>
      <c r="N77" s="2">
        <v>53</v>
      </c>
      <c r="O77" s="55">
        <v>14</v>
      </c>
      <c r="P77" s="141"/>
      <c r="Q77" s="3" t="s">
        <v>93</v>
      </c>
      <c r="R77" s="4">
        <v>2</v>
      </c>
      <c r="T77" s="2" t="s">
        <v>101</v>
      </c>
      <c r="U77" t="s">
        <v>509</v>
      </c>
      <c r="V77">
        <f>COUNTIF(D3:D9,"metacell-26")</f>
        <v>0</v>
      </c>
      <c r="W77">
        <f>COUNTIF(G3:G7,"metacell-26")</f>
        <v>0</v>
      </c>
      <c r="X77">
        <f>COUNTIF(J3:J10,"metacell-26")</f>
        <v>0</v>
      </c>
      <c r="Y77">
        <f>COUNTIF(M3:M14,"metacell-26")</f>
        <v>0</v>
      </c>
      <c r="Z77">
        <f>COUNTIF(P3:P38,"metacell-26")</f>
        <v>1</v>
      </c>
      <c r="AA77">
        <f>COUNTIF(S2:S28,"metacell-26")</f>
        <v>0</v>
      </c>
      <c r="AB77">
        <f>COUNTIF(V3:V7,"metacell-26")</f>
        <v>0</v>
      </c>
      <c r="AC77">
        <f>COUNTIF(Y3:Y9,"metacell-26")</f>
        <v>0</v>
      </c>
      <c r="AD77">
        <f t="shared" si="1"/>
        <v>1</v>
      </c>
    </row>
    <row r="78" spans="1:30" x14ac:dyDescent="0.25">
      <c r="A78" s="54" t="s">
        <v>89</v>
      </c>
      <c r="B78" s="20">
        <v>0</v>
      </c>
      <c r="C78" s="20">
        <v>12</v>
      </c>
      <c r="D78" s="20">
        <v>21</v>
      </c>
      <c r="E78" s="20">
        <v>15</v>
      </c>
      <c r="F78" s="20">
        <v>7</v>
      </c>
      <c r="G78" s="20">
        <v>6</v>
      </c>
      <c r="H78" s="20">
        <v>1</v>
      </c>
      <c r="I78" s="20">
        <v>12</v>
      </c>
      <c r="J78" s="20">
        <v>13</v>
      </c>
      <c r="K78" s="2">
        <f t="shared" si="0"/>
        <v>87</v>
      </c>
      <c r="L78" s="55">
        <v>16</v>
      </c>
      <c r="M78" s="54" t="s">
        <v>74</v>
      </c>
      <c r="N78" s="2">
        <v>59</v>
      </c>
      <c r="O78" s="55">
        <v>15</v>
      </c>
      <c r="P78" s="141"/>
      <c r="Q78" s="3" t="s">
        <v>98</v>
      </c>
      <c r="R78" s="4">
        <v>2</v>
      </c>
      <c r="T78" s="2" t="s">
        <v>102</v>
      </c>
      <c r="U78" t="s">
        <v>509</v>
      </c>
      <c r="V78">
        <f>COUNTIF(D3:D9,"metacell-27")</f>
        <v>0</v>
      </c>
      <c r="W78">
        <f>COUNTIF(G3:G7,"metacell-27")</f>
        <v>0</v>
      </c>
      <c r="X78">
        <f>COUNTIF(J3:J10,"metacell-27")</f>
        <v>1</v>
      </c>
      <c r="Y78">
        <f>COUNTIF(M3:M14,"metacell-27")</f>
        <v>0</v>
      </c>
      <c r="Z78">
        <f>COUNTIF(P3:P38,"metacell-27")</f>
        <v>1</v>
      </c>
      <c r="AA78">
        <f>COUNTIF(S2:S28,"metacell-27")</f>
        <v>1</v>
      </c>
      <c r="AB78">
        <f>COUNTIF(V3:V7,"metacell-27")</f>
        <v>1</v>
      </c>
      <c r="AC78">
        <f>COUNTIF(Y3:Y9,"metacell-27")</f>
        <v>0</v>
      </c>
      <c r="AD78">
        <f t="shared" si="1"/>
        <v>4</v>
      </c>
    </row>
    <row r="79" spans="1:30" x14ac:dyDescent="0.25">
      <c r="A79" s="54" t="s">
        <v>74</v>
      </c>
      <c r="B79" s="20">
        <v>0</v>
      </c>
      <c r="C79" s="20">
        <v>11</v>
      </c>
      <c r="D79" s="20">
        <v>24</v>
      </c>
      <c r="E79" s="20">
        <v>9</v>
      </c>
      <c r="F79" s="20">
        <v>6</v>
      </c>
      <c r="G79" s="20">
        <v>4</v>
      </c>
      <c r="H79" s="20">
        <v>5</v>
      </c>
      <c r="I79" s="20">
        <v>25</v>
      </c>
      <c r="J79" s="20">
        <v>6</v>
      </c>
      <c r="K79" s="2">
        <f t="shared" si="0"/>
        <v>90</v>
      </c>
      <c r="L79" s="55">
        <v>17</v>
      </c>
      <c r="M79" s="54" t="s">
        <v>89</v>
      </c>
      <c r="N79" s="2">
        <v>62</v>
      </c>
      <c r="O79" s="55">
        <v>16</v>
      </c>
      <c r="P79" s="141"/>
      <c r="Q79" s="3" t="s">
        <v>108</v>
      </c>
      <c r="R79" s="4">
        <v>2</v>
      </c>
      <c r="T79" s="2" t="s">
        <v>103</v>
      </c>
      <c r="U79" t="s">
        <v>509</v>
      </c>
      <c r="V79">
        <f>COUNTIF(D3:D9,"metacell-28")</f>
        <v>0</v>
      </c>
      <c r="W79">
        <f>COUNTIF(G3:G7,"metacell-28")</f>
        <v>0</v>
      </c>
      <c r="X79">
        <f>COUNTIF(J3:J10,"metacell-28")</f>
        <v>0</v>
      </c>
      <c r="Y79">
        <f>COUNTIF(M3:M14,"metacell-28")</f>
        <v>1</v>
      </c>
      <c r="Z79">
        <f>COUNTIF(P3:P38,"metacell-28")</f>
        <v>1</v>
      </c>
      <c r="AA79">
        <f>COUNTIF(S2:S28,"metacell-28")</f>
        <v>1</v>
      </c>
      <c r="AB79">
        <f>COUNTIF(V3:V7,"metacell-28")</f>
        <v>1</v>
      </c>
      <c r="AC79">
        <f>COUNTIF(Y3:Y9,"metacell-28")</f>
        <v>0</v>
      </c>
      <c r="AD79">
        <f t="shared" si="1"/>
        <v>4</v>
      </c>
    </row>
    <row r="80" spans="1:30" x14ac:dyDescent="0.25">
      <c r="A80" s="54" t="s">
        <v>107</v>
      </c>
      <c r="B80" s="20">
        <v>0</v>
      </c>
      <c r="C80" s="20">
        <v>13</v>
      </c>
      <c r="D80" s="20">
        <v>22</v>
      </c>
      <c r="E80" s="20">
        <v>11</v>
      </c>
      <c r="F80" s="20">
        <v>12</v>
      </c>
      <c r="G80" s="20">
        <v>7</v>
      </c>
      <c r="H80" s="20">
        <v>3</v>
      </c>
      <c r="I80" s="20">
        <v>9</v>
      </c>
      <c r="J80" s="20">
        <v>16</v>
      </c>
      <c r="K80" s="2">
        <f t="shared" si="0"/>
        <v>93</v>
      </c>
      <c r="L80" s="55">
        <v>18</v>
      </c>
      <c r="M80" s="54" t="s">
        <v>110</v>
      </c>
      <c r="N80" s="2">
        <v>64</v>
      </c>
      <c r="O80" s="55">
        <v>17</v>
      </c>
      <c r="P80" s="141"/>
      <c r="Q80" s="3" t="s">
        <v>109</v>
      </c>
      <c r="R80" s="4">
        <v>2</v>
      </c>
      <c r="T80" s="2" t="s">
        <v>104</v>
      </c>
      <c r="U80" t="s">
        <v>509</v>
      </c>
      <c r="V80">
        <f>COUNTIF(D3:D9,"metacell-29")</f>
        <v>1</v>
      </c>
      <c r="W80">
        <f>COUNTIF(G3:G7,"metacell-29")</f>
        <v>0</v>
      </c>
      <c r="X80">
        <f>COUNTIF(J3:J10,"metacell-29")</f>
        <v>1</v>
      </c>
      <c r="Y80">
        <f>COUNTIF(M3:M14,"metacell-29")</f>
        <v>1</v>
      </c>
      <c r="Z80">
        <f>COUNTIF(P3:P38,"metacell-29")</f>
        <v>1</v>
      </c>
      <c r="AA80">
        <f>COUNTIF(S2:S28,"metacell-29")</f>
        <v>1</v>
      </c>
      <c r="AB80">
        <f>COUNTIF(V3:V7,"metacell-29")</f>
        <v>0</v>
      </c>
      <c r="AC80">
        <f>COUNTIF(Y3:Y9,"metacell-29")</f>
        <v>0</v>
      </c>
      <c r="AD80">
        <f t="shared" si="1"/>
        <v>5</v>
      </c>
    </row>
    <row r="81" spans="1:30" x14ac:dyDescent="0.25">
      <c r="A81" s="54" t="s">
        <v>119</v>
      </c>
      <c r="B81" s="20">
        <v>0</v>
      </c>
      <c r="C81" s="20">
        <v>9</v>
      </c>
      <c r="D81" s="20">
        <v>12</v>
      </c>
      <c r="E81" s="20">
        <v>14</v>
      </c>
      <c r="F81" s="20">
        <v>6</v>
      </c>
      <c r="G81" s="20">
        <v>3</v>
      </c>
      <c r="H81" s="20">
        <v>7</v>
      </c>
      <c r="I81" s="20">
        <v>29</v>
      </c>
      <c r="J81" s="20">
        <v>13</v>
      </c>
      <c r="K81" s="2">
        <f t="shared" si="0"/>
        <v>93</v>
      </c>
      <c r="L81" s="55">
        <v>18</v>
      </c>
      <c r="M81" s="54" t="s">
        <v>75</v>
      </c>
      <c r="N81" s="2">
        <v>64</v>
      </c>
      <c r="O81" s="55">
        <v>17</v>
      </c>
      <c r="P81" s="141"/>
      <c r="Q81" s="3" t="s">
        <v>111</v>
      </c>
      <c r="R81" s="4">
        <v>2</v>
      </c>
      <c r="T81" s="2" t="s">
        <v>76</v>
      </c>
      <c r="U81" t="s">
        <v>509</v>
      </c>
      <c r="V81">
        <f>COUNTIF(D3:D9,"metacell-3")</f>
        <v>0</v>
      </c>
      <c r="W81">
        <f>COUNTIF(G3:G7,"metacell-3")</f>
        <v>0</v>
      </c>
      <c r="X81">
        <f>COUNTIF(J3:J10,"metacell-3")</f>
        <v>0</v>
      </c>
      <c r="Y81">
        <f>COUNTIF(M3:M14,"metacell-3")</f>
        <v>0</v>
      </c>
      <c r="Z81">
        <f>COUNTIF(P3:P38,"metacell-3")</f>
        <v>1</v>
      </c>
      <c r="AA81">
        <f>COUNTIF(S2:S28,"metacell-3")</f>
        <v>1</v>
      </c>
      <c r="AB81">
        <f>COUNTIF(V3:V7,"metacell-3")</f>
        <v>0</v>
      </c>
      <c r="AC81">
        <f>COUNTIF(Y3:Y9,"metacell-3")</f>
        <v>1</v>
      </c>
      <c r="AD81">
        <f t="shared" si="1"/>
        <v>3</v>
      </c>
    </row>
    <row r="82" spans="1:30" x14ac:dyDescent="0.25">
      <c r="A82" s="54" t="s">
        <v>93</v>
      </c>
      <c r="B82" s="20">
        <v>0</v>
      </c>
      <c r="C82" s="20">
        <v>13</v>
      </c>
      <c r="D82" s="20">
        <v>20</v>
      </c>
      <c r="E82" s="20">
        <v>17</v>
      </c>
      <c r="F82" s="20">
        <v>9</v>
      </c>
      <c r="G82" s="20">
        <v>4</v>
      </c>
      <c r="H82" s="20">
        <v>9</v>
      </c>
      <c r="I82" s="20">
        <v>21</v>
      </c>
      <c r="J82" s="20">
        <v>3</v>
      </c>
      <c r="K82" s="2">
        <f t="shared" si="0"/>
        <v>96</v>
      </c>
      <c r="L82" s="55">
        <v>19</v>
      </c>
      <c r="M82" s="54" t="s">
        <v>83</v>
      </c>
      <c r="N82" s="2">
        <v>65</v>
      </c>
      <c r="O82" s="55">
        <v>18</v>
      </c>
      <c r="P82" s="141"/>
      <c r="Q82" s="3" t="s">
        <v>118</v>
      </c>
      <c r="R82" s="4">
        <v>2</v>
      </c>
      <c r="T82" s="2" t="s">
        <v>105</v>
      </c>
      <c r="U82" t="s">
        <v>509</v>
      </c>
      <c r="V82">
        <f>COUNTIF(D3:D9,"metacell-30")</f>
        <v>0</v>
      </c>
      <c r="W82">
        <f>COUNTIF(G3:G7,"metacell-30")</f>
        <v>0</v>
      </c>
      <c r="X82">
        <f>COUNTIF(J3:J10,"metacell-30")</f>
        <v>0</v>
      </c>
      <c r="Y82">
        <f>COUNTIF(M3:M14,"metacell-30")</f>
        <v>0</v>
      </c>
      <c r="Z82">
        <f>COUNTIF(P3:P38,"metacell-30")</f>
        <v>0</v>
      </c>
      <c r="AA82">
        <f>COUNTIF(S2:S28,"metacell-30")</f>
        <v>1</v>
      </c>
      <c r="AB82">
        <f>COUNTIF(V3:V7,"metacell-30")</f>
        <v>0</v>
      </c>
      <c r="AC82">
        <f>COUNTIF(Y3:Y9,"metacell-30")</f>
        <v>0</v>
      </c>
      <c r="AD82">
        <f t="shared" si="1"/>
        <v>1</v>
      </c>
    </row>
    <row r="83" spans="1:30" x14ac:dyDescent="0.25">
      <c r="A83" s="54" t="s">
        <v>110</v>
      </c>
      <c r="B83" s="20">
        <v>0</v>
      </c>
      <c r="C83" s="20">
        <v>11</v>
      </c>
      <c r="D83" s="20">
        <v>25</v>
      </c>
      <c r="E83" s="20">
        <v>4</v>
      </c>
      <c r="F83" s="20">
        <v>10</v>
      </c>
      <c r="G83" s="20">
        <v>7</v>
      </c>
      <c r="H83" s="20">
        <v>7</v>
      </c>
      <c r="I83" s="20">
        <v>22</v>
      </c>
      <c r="J83" s="20">
        <v>10</v>
      </c>
      <c r="K83" s="2">
        <f t="shared" si="0"/>
        <v>96</v>
      </c>
      <c r="L83" s="55">
        <v>19</v>
      </c>
      <c r="M83" s="54" t="s">
        <v>98</v>
      </c>
      <c r="N83" s="2">
        <v>66</v>
      </c>
      <c r="O83" s="55">
        <v>19</v>
      </c>
      <c r="P83" s="141"/>
      <c r="Q83" s="3" t="s">
        <v>79</v>
      </c>
      <c r="R83" s="4">
        <v>2</v>
      </c>
      <c r="T83" s="2" t="s">
        <v>106</v>
      </c>
      <c r="U83" t="s">
        <v>509</v>
      </c>
      <c r="V83">
        <f>COUNTIF(D3:D9,"metacell-31")</f>
        <v>0</v>
      </c>
      <c r="W83">
        <f>COUNTIF(G3:G7,"metacell-31")</f>
        <v>0</v>
      </c>
      <c r="X83">
        <f>COUNTIF(J3:J10,"metacell-31")</f>
        <v>0</v>
      </c>
      <c r="Y83">
        <f>COUNTIF(M3:M14,"metacell-31")</f>
        <v>0</v>
      </c>
      <c r="Z83">
        <f>COUNTIF(P3:P38,"metacell-31")</f>
        <v>0</v>
      </c>
      <c r="AA83">
        <f>COUNTIF(S2:S28,"metacell-31")</f>
        <v>1</v>
      </c>
      <c r="AB83">
        <f>COUNTIF(V3:V7,"metacell-31")</f>
        <v>0</v>
      </c>
      <c r="AC83">
        <f>COUNTIF(Y3:Y9,"metacell-31")</f>
        <v>0</v>
      </c>
      <c r="AD83">
        <f t="shared" si="1"/>
        <v>1</v>
      </c>
    </row>
    <row r="84" spans="1:30" x14ac:dyDescent="0.25">
      <c r="A84" s="54" t="s">
        <v>82</v>
      </c>
      <c r="B84" s="20">
        <v>0</v>
      </c>
      <c r="C84" s="20">
        <v>10</v>
      </c>
      <c r="D84" s="20">
        <v>18</v>
      </c>
      <c r="E84" s="20">
        <v>9</v>
      </c>
      <c r="F84" s="20">
        <v>6</v>
      </c>
      <c r="G84" s="20">
        <v>4</v>
      </c>
      <c r="H84" s="20">
        <v>5</v>
      </c>
      <c r="I84" s="20">
        <v>30</v>
      </c>
      <c r="J84" s="20">
        <v>16</v>
      </c>
      <c r="K84" s="2">
        <f t="shared" si="0"/>
        <v>98</v>
      </c>
      <c r="L84" s="55">
        <v>20</v>
      </c>
      <c r="M84" s="54" t="s">
        <v>99</v>
      </c>
      <c r="N84" s="2">
        <v>67</v>
      </c>
      <c r="O84" s="55">
        <v>20</v>
      </c>
      <c r="P84" s="141"/>
      <c r="Q84" s="3" t="s">
        <v>82</v>
      </c>
      <c r="R84" s="4">
        <v>2</v>
      </c>
      <c r="T84" s="2" t="s">
        <v>107</v>
      </c>
      <c r="U84" t="s">
        <v>509</v>
      </c>
      <c r="V84">
        <f>COUNTIF(D3:D9,"metacell-32")</f>
        <v>0</v>
      </c>
      <c r="W84">
        <f>COUNTIF(G3:G7,"metacell-32")</f>
        <v>0</v>
      </c>
      <c r="X84">
        <f>COUNTIF(J3:J10,"metacell-32")</f>
        <v>0</v>
      </c>
      <c r="Y84">
        <f>COUNTIF(M3:M14,"metacell-32")</f>
        <v>0</v>
      </c>
      <c r="Z84">
        <f>COUNTIF(P3:P38,"metacell-32")</f>
        <v>0</v>
      </c>
      <c r="AA84">
        <f>COUNTIF(S2:S28,"metacell-32")</f>
        <v>1</v>
      </c>
      <c r="AB84">
        <f>COUNTIF(V3:V7,"metacell-32")</f>
        <v>0</v>
      </c>
      <c r="AC84">
        <f>COUNTIF(Y3:Y9,"metacell-32")</f>
        <v>0</v>
      </c>
      <c r="AD84">
        <f t="shared" si="1"/>
        <v>1</v>
      </c>
    </row>
    <row r="85" spans="1:30" x14ac:dyDescent="0.25">
      <c r="A85" s="54" t="s">
        <v>90</v>
      </c>
      <c r="B85" s="20">
        <v>0</v>
      </c>
      <c r="C85" s="20">
        <v>15</v>
      </c>
      <c r="D85" s="20">
        <v>25</v>
      </c>
      <c r="E85" s="20">
        <v>12</v>
      </c>
      <c r="F85" s="20">
        <v>10</v>
      </c>
      <c r="G85" s="20">
        <v>7</v>
      </c>
      <c r="H85" s="20">
        <v>3</v>
      </c>
      <c r="I85" s="20">
        <v>14</v>
      </c>
      <c r="J85" s="20">
        <v>13</v>
      </c>
      <c r="K85" s="2">
        <f t="shared" si="0"/>
        <v>99</v>
      </c>
      <c r="L85" s="55">
        <v>21</v>
      </c>
      <c r="M85" s="54" t="s">
        <v>107</v>
      </c>
      <c r="N85" s="2">
        <v>68</v>
      </c>
      <c r="O85" s="55">
        <v>21</v>
      </c>
      <c r="P85" s="141"/>
      <c r="Q85" s="3" t="s">
        <v>85</v>
      </c>
      <c r="R85" s="4">
        <v>1</v>
      </c>
      <c r="T85" s="2" t="s">
        <v>108</v>
      </c>
      <c r="U85" t="s">
        <v>509</v>
      </c>
      <c r="V85">
        <f>COUNTIF(D3:D9,"metacell-33")</f>
        <v>0</v>
      </c>
      <c r="W85">
        <f>COUNTIF(G3:G7,"metacell-33")</f>
        <v>0</v>
      </c>
      <c r="X85">
        <f>COUNTIF(J3:J10,"metacell-33")</f>
        <v>0</v>
      </c>
      <c r="Y85">
        <f>COUNTIF(M3:M14,"metacell-33")</f>
        <v>0</v>
      </c>
      <c r="Z85">
        <f>COUNTIF(P3:P38,"metacell-33")</f>
        <v>1</v>
      </c>
      <c r="AA85">
        <f>COUNTIF(S2:S28,"metacell-33")</f>
        <v>1</v>
      </c>
      <c r="AB85">
        <f>COUNTIF(V3:V7,"metacell-33")</f>
        <v>0</v>
      </c>
      <c r="AC85">
        <f>COUNTIF(Y3:Y9,"metacell-33")</f>
        <v>0</v>
      </c>
      <c r="AD85">
        <f t="shared" si="1"/>
        <v>2</v>
      </c>
    </row>
    <row r="86" spans="1:30" x14ac:dyDescent="0.25">
      <c r="A86" s="54" t="s">
        <v>109</v>
      </c>
      <c r="B86" s="20">
        <v>0</v>
      </c>
      <c r="C86" s="20">
        <v>15</v>
      </c>
      <c r="D86" s="20">
        <v>19</v>
      </c>
      <c r="E86" s="20">
        <v>20</v>
      </c>
      <c r="F86" s="20">
        <v>10</v>
      </c>
      <c r="G86" s="20">
        <v>5</v>
      </c>
      <c r="H86" s="20">
        <v>9</v>
      </c>
      <c r="I86" s="20">
        <v>5</v>
      </c>
      <c r="J86" s="20">
        <v>16</v>
      </c>
      <c r="K86" s="2">
        <f t="shared" si="0"/>
        <v>99</v>
      </c>
      <c r="L86" s="55">
        <v>21</v>
      </c>
      <c r="M86" s="54" t="s">
        <v>93</v>
      </c>
      <c r="N86" s="2">
        <v>72</v>
      </c>
      <c r="O86" s="55">
        <v>22</v>
      </c>
      <c r="P86" s="141"/>
      <c r="Q86" s="3" t="s">
        <v>86</v>
      </c>
      <c r="R86" s="4">
        <v>1</v>
      </c>
      <c r="T86" s="2" t="s">
        <v>109</v>
      </c>
      <c r="U86" t="s">
        <v>509</v>
      </c>
      <c r="V86">
        <f>COUNTIF(D3:D9,"metacell-34")</f>
        <v>0</v>
      </c>
      <c r="W86">
        <f>COUNTIF(G3:G7,"metacell-34")</f>
        <v>0</v>
      </c>
      <c r="X86">
        <f>COUNTIF(J3:J10,"metacell-34")</f>
        <v>0</v>
      </c>
      <c r="Y86">
        <f>COUNTIF(M3:M14,"metacell-34")</f>
        <v>0</v>
      </c>
      <c r="Z86">
        <f>COUNTIF(P3:P38,"metacell-34")</f>
        <v>1</v>
      </c>
      <c r="AA86">
        <f>COUNTIF(S2:S28,"metacell-34")</f>
        <v>0</v>
      </c>
      <c r="AB86">
        <f>COUNTIF(V3:V7,"metacell-34")</f>
        <v>1</v>
      </c>
      <c r="AC86">
        <f>COUNTIF(Y3:Y9,"metacell-34")</f>
        <v>0</v>
      </c>
      <c r="AD86">
        <f t="shared" si="1"/>
        <v>2</v>
      </c>
    </row>
    <row r="87" spans="1:30" x14ac:dyDescent="0.25">
      <c r="A87" s="54" t="s">
        <v>112</v>
      </c>
      <c r="B87" s="20">
        <v>0</v>
      </c>
      <c r="C87" s="20">
        <v>13</v>
      </c>
      <c r="D87" s="20">
        <v>15</v>
      </c>
      <c r="E87" s="20">
        <v>20</v>
      </c>
      <c r="F87" s="20">
        <v>10</v>
      </c>
      <c r="G87" s="20">
        <v>5</v>
      </c>
      <c r="H87" s="20">
        <v>9</v>
      </c>
      <c r="I87" s="20">
        <v>16</v>
      </c>
      <c r="J87" s="20">
        <v>14</v>
      </c>
      <c r="K87" s="2">
        <f t="shared" si="0"/>
        <v>102</v>
      </c>
      <c r="L87" s="55">
        <v>22</v>
      </c>
      <c r="M87" s="54" t="s">
        <v>90</v>
      </c>
      <c r="N87" s="2">
        <v>72</v>
      </c>
      <c r="O87" s="55">
        <v>22</v>
      </c>
      <c r="P87" s="141"/>
      <c r="Q87" s="3" t="s">
        <v>87</v>
      </c>
      <c r="R87" s="4">
        <v>1</v>
      </c>
      <c r="T87" s="2" t="s">
        <v>110</v>
      </c>
      <c r="U87" t="s">
        <v>509</v>
      </c>
      <c r="V87">
        <f>COUNTIF(D3:D9,"metacell-35")</f>
        <v>0</v>
      </c>
      <c r="W87">
        <f>COUNTIF(G3:G7,"metacell-35")</f>
        <v>0</v>
      </c>
      <c r="X87">
        <f>COUNTIF(J3:J10,"metacell-35")</f>
        <v>1</v>
      </c>
      <c r="Y87">
        <f>COUNTIF(M3:M14,"metacell-35")</f>
        <v>0</v>
      </c>
      <c r="Z87">
        <f>COUNTIF(P3:P38,"metacell-35")</f>
        <v>0</v>
      </c>
      <c r="AA87">
        <f>COUNTIF(S2:S28,"metacell-35")</f>
        <v>0</v>
      </c>
      <c r="AB87">
        <f>COUNTIF(V3:V7,"metacell-35")</f>
        <v>0</v>
      </c>
      <c r="AC87">
        <f>COUNTIF(Y3:Y9,"metacell-35")</f>
        <v>0</v>
      </c>
      <c r="AD87">
        <f t="shared" si="1"/>
        <v>1</v>
      </c>
    </row>
    <row r="88" spans="1:30" x14ac:dyDescent="0.25">
      <c r="A88" s="54" t="s">
        <v>95</v>
      </c>
      <c r="B88" s="20">
        <v>0</v>
      </c>
      <c r="C88" s="20">
        <v>15</v>
      </c>
      <c r="D88" s="20">
        <v>16</v>
      </c>
      <c r="E88" s="20">
        <v>21</v>
      </c>
      <c r="F88" s="20">
        <v>12</v>
      </c>
      <c r="G88" s="20">
        <v>6</v>
      </c>
      <c r="H88" s="20">
        <v>10</v>
      </c>
      <c r="I88" s="20">
        <v>22</v>
      </c>
      <c r="J88" s="20">
        <v>1</v>
      </c>
      <c r="K88" s="2">
        <f t="shared" si="0"/>
        <v>103</v>
      </c>
      <c r="L88" s="55">
        <v>23</v>
      </c>
      <c r="M88" s="54" t="s">
        <v>112</v>
      </c>
      <c r="N88" s="2">
        <v>72</v>
      </c>
      <c r="O88" s="55">
        <v>22</v>
      </c>
      <c r="P88" s="141"/>
      <c r="Q88" s="3" t="s">
        <v>89</v>
      </c>
      <c r="R88" s="4">
        <v>1</v>
      </c>
      <c r="T88" s="2" t="s">
        <v>111</v>
      </c>
      <c r="U88" t="s">
        <v>509</v>
      </c>
      <c r="V88">
        <f>COUNTIF(D3:D9,"metacell-36")</f>
        <v>0</v>
      </c>
      <c r="W88">
        <f>COUNTIF(G3:G7,"metacell-36")</f>
        <v>0</v>
      </c>
      <c r="X88">
        <f>COUNTIF(J3:J10,"metacell-36")</f>
        <v>0</v>
      </c>
      <c r="Y88">
        <f>COUNTIF(M3:M14,"metacell-36")</f>
        <v>0</v>
      </c>
      <c r="Z88">
        <f>COUNTIF(P3:P38,"metacell-36")</f>
        <v>1</v>
      </c>
      <c r="AA88">
        <f>COUNTIF(S2:S28,"metacell-36")</f>
        <v>0</v>
      </c>
      <c r="AB88">
        <f>COUNTIF(V3:V7,"metacell-36")</f>
        <v>0</v>
      </c>
      <c r="AC88">
        <f>COUNTIF(Y3:Y9,"metacell-36")</f>
        <v>1</v>
      </c>
      <c r="AD88">
        <f t="shared" si="1"/>
        <v>2</v>
      </c>
    </row>
    <row r="89" spans="1:30" x14ac:dyDescent="0.25">
      <c r="A89" s="54" t="s">
        <v>97</v>
      </c>
      <c r="B89" s="20">
        <v>0</v>
      </c>
      <c r="C89" s="20">
        <v>14</v>
      </c>
      <c r="D89" s="20">
        <v>27</v>
      </c>
      <c r="E89" s="20">
        <v>17</v>
      </c>
      <c r="F89" s="20">
        <v>9</v>
      </c>
      <c r="G89" s="20">
        <v>7</v>
      </c>
      <c r="H89" s="20">
        <v>6</v>
      </c>
      <c r="I89" s="20">
        <v>7</v>
      </c>
      <c r="J89" s="20">
        <v>16</v>
      </c>
      <c r="K89" s="2">
        <f t="shared" si="0"/>
        <v>103</v>
      </c>
      <c r="L89" s="55">
        <v>23</v>
      </c>
      <c r="M89" s="54" t="s">
        <v>101</v>
      </c>
      <c r="N89" s="2">
        <v>76</v>
      </c>
      <c r="O89" s="55">
        <v>23</v>
      </c>
      <c r="P89" s="141"/>
      <c r="Q89" s="3" t="s">
        <v>90</v>
      </c>
      <c r="R89" s="4">
        <v>1</v>
      </c>
      <c r="T89" s="2" t="s">
        <v>112</v>
      </c>
      <c r="U89" t="s">
        <v>509</v>
      </c>
      <c r="V89">
        <f>COUNTIF(D3:D9,"metacell-37")</f>
        <v>0</v>
      </c>
      <c r="W89">
        <f>COUNTIF(G3:G7,"metacell-37")</f>
        <v>0</v>
      </c>
      <c r="X89">
        <f>COUNTIF(J3:J10,"metacell-37")</f>
        <v>0</v>
      </c>
      <c r="Y89">
        <f>COUNTIF(M3:M14,"metacell-37")</f>
        <v>0</v>
      </c>
      <c r="Z89">
        <f>COUNTIF(P3:P38,"metacell-37")</f>
        <v>1</v>
      </c>
      <c r="AA89">
        <f>COUNTIF(S2:S28,"metacell-37")</f>
        <v>0</v>
      </c>
      <c r="AB89">
        <f>COUNTIF(V3:V7,"metacell-37")</f>
        <v>0</v>
      </c>
      <c r="AC89">
        <f>COUNTIF(Y3:Y9,"metacell-37")</f>
        <v>0</v>
      </c>
      <c r="AD89">
        <f t="shared" si="1"/>
        <v>1</v>
      </c>
    </row>
    <row r="90" spans="1:30" x14ac:dyDescent="0.25">
      <c r="A90" s="54" t="s">
        <v>101</v>
      </c>
      <c r="B90" s="20">
        <v>0</v>
      </c>
      <c r="C90" s="20">
        <v>14</v>
      </c>
      <c r="D90" s="20">
        <v>7</v>
      </c>
      <c r="E90" s="20">
        <v>26</v>
      </c>
      <c r="F90" s="20">
        <v>13</v>
      </c>
      <c r="G90" s="20">
        <v>4</v>
      </c>
      <c r="H90" s="20">
        <v>12</v>
      </c>
      <c r="I90" s="20">
        <v>19</v>
      </c>
      <c r="J90" s="20">
        <v>8</v>
      </c>
      <c r="K90" s="2">
        <f t="shared" si="0"/>
        <v>103</v>
      </c>
      <c r="L90" s="55">
        <v>23</v>
      </c>
      <c r="M90" s="54" t="s">
        <v>96</v>
      </c>
      <c r="N90" s="2">
        <v>77</v>
      </c>
      <c r="O90" s="55">
        <v>24</v>
      </c>
      <c r="P90" s="141"/>
      <c r="Q90" s="3" t="s">
        <v>95</v>
      </c>
      <c r="R90" s="4">
        <v>1</v>
      </c>
      <c r="T90" s="2" t="s">
        <v>113</v>
      </c>
      <c r="U90" t="s">
        <v>509</v>
      </c>
      <c r="V90">
        <f>COUNTIF(D3:D9,"metacell-38")</f>
        <v>1</v>
      </c>
      <c r="W90">
        <f>COUNTIF(G3:G7,"metacell-38")</f>
        <v>0</v>
      </c>
      <c r="X90">
        <f>COUNTIF(J3:J10,"metacell-38")</f>
        <v>1</v>
      </c>
      <c r="Y90">
        <f>COUNTIF(M3:M14,"metacell-38")</f>
        <v>1</v>
      </c>
      <c r="Z90">
        <f>COUNTIF(P3:P38,"metacell-38")</f>
        <v>1</v>
      </c>
      <c r="AA90">
        <f>COUNTIF(S2:S28,"metacell-38")</f>
        <v>1</v>
      </c>
      <c r="AB90">
        <f>COUNTIF(V3:V7,"metacell-38")</f>
        <v>0</v>
      </c>
      <c r="AC90">
        <f>COUNTIF(Y3:Y9,"metacell-38")</f>
        <v>0</v>
      </c>
      <c r="AD90">
        <f t="shared" si="1"/>
        <v>5</v>
      </c>
    </row>
    <row r="91" spans="1:30" x14ac:dyDescent="0.25">
      <c r="A91" s="54" t="s">
        <v>111</v>
      </c>
      <c r="B91" s="20">
        <v>0</v>
      </c>
      <c r="C91" s="20">
        <v>16</v>
      </c>
      <c r="D91" s="20">
        <v>23</v>
      </c>
      <c r="E91" s="20">
        <v>18</v>
      </c>
      <c r="F91" s="20">
        <v>10</v>
      </c>
      <c r="G91" s="20">
        <v>5</v>
      </c>
      <c r="H91" s="20">
        <v>7</v>
      </c>
      <c r="I91" s="20">
        <v>19</v>
      </c>
      <c r="J91" s="20">
        <v>5</v>
      </c>
      <c r="K91" s="2">
        <f t="shared" ref="K91:K107" si="2">SUM(B91:J91)</f>
        <v>103</v>
      </c>
      <c r="L91" s="55">
        <v>23</v>
      </c>
      <c r="M91" s="54" t="s">
        <v>109</v>
      </c>
      <c r="N91" s="2">
        <v>78</v>
      </c>
      <c r="O91" s="55">
        <v>25</v>
      </c>
      <c r="P91" s="141"/>
      <c r="Q91" s="3" t="s">
        <v>96</v>
      </c>
      <c r="R91" s="4">
        <v>1</v>
      </c>
      <c r="T91" s="2" t="s">
        <v>114</v>
      </c>
      <c r="U91" t="s">
        <v>509</v>
      </c>
      <c r="V91">
        <f>COUNTIF(D3:D9,"metacell-39")</f>
        <v>0</v>
      </c>
      <c r="W91">
        <f>COUNTIF(G3:G7,"metacell-39")</f>
        <v>0</v>
      </c>
      <c r="X91">
        <f>COUNTIF(J3:J10,"metacell-39")</f>
        <v>1</v>
      </c>
      <c r="Y91">
        <f>COUNTIF(M3:M14,"metacell-39")</f>
        <v>1</v>
      </c>
      <c r="Z91">
        <f>COUNTIF(P3:P38,"metacell-39")</f>
        <v>1</v>
      </c>
      <c r="AA91">
        <f>COUNTIF(S2:S28,"metacell-39")</f>
        <v>1</v>
      </c>
      <c r="AB91">
        <f>COUNTIF(V3:V7,"metacell-39")</f>
        <v>0</v>
      </c>
      <c r="AC91">
        <f>COUNTIF(Y3:Y9,"metacell-39")</f>
        <v>1</v>
      </c>
      <c r="AD91">
        <f t="shared" si="1"/>
        <v>5</v>
      </c>
    </row>
    <row r="92" spans="1:30" x14ac:dyDescent="0.25">
      <c r="A92" s="54" t="s">
        <v>96</v>
      </c>
      <c r="B92" s="20">
        <v>0</v>
      </c>
      <c r="C92" s="20">
        <v>15</v>
      </c>
      <c r="D92" s="20">
        <v>20</v>
      </c>
      <c r="E92" s="20">
        <v>20</v>
      </c>
      <c r="F92" s="20">
        <v>9</v>
      </c>
      <c r="G92" s="20">
        <v>5</v>
      </c>
      <c r="H92" s="20">
        <v>8</v>
      </c>
      <c r="I92" s="20">
        <v>14</v>
      </c>
      <c r="J92" s="20">
        <v>14</v>
      </c>
      <c r="K92" s="2">
        <f t="shared" si="2"/>
        <v>105</v>
      </c>
      <c r="L92" s="55">
        <v>24</v>
      </c>
      <c r="M92" s="54" t="s">
        <v>111</v>
      </c>
      <c r="N92" s="2">
        <v>79</v>
      </c>
      <c r="O92" s="55">
        <v>26</v>
      </c>
      <c r="P92" s="141"/>
      <c r="Q92" s="3" t="s">
        <v>101</v>
      </c>
      <c r="R92" s="4">
        <v>1</v>
      </c>
      <c r="T92" s="2" t="s">
        <v>77</v>
      </c>
      <c r="U92" t="s">
        <v>509</v>
      </c>
      <c r="V92">
        <f>COUNTIF(D3:D9,"metacell-4")</f>
        <v>0</v>
      </c>
      <c r="W92">
        <f>COUNTIF(G3:G7,"metacell-4")</f>
        <v>0</v>
      </c>
      <c r="X92">
        <f>COUNTIF(J3:J10,"metacell-4")</f>
        <v>0</v>
      </c>
      <c r="Y92">
        <f>COUNTIF(M3:M14,"metacell-4")</f>
        <v>0</v>
      </c>
      <c r="Z92">
        <f>COUNTIF(P3:P38,"metacell-4")</f>
        <v>1</v>
      </c>
      <c r="AA92">
        <f>COUNTIF(S2:S28,"metacell-4")</f>
        <v>0</v>
      </c>
      <c r="AB92">
        <f>COUNTIF(V3:V7,"metacell-4")</f>
        <v>0</v>
      </c>
      <c r="AC92">
        <f>COUNTIF(Y3:Y9,"metacell-4")</f>
        <v>0</v>
      </c>
      <c r="AD92">
        <f t="shared" si="1"/>
        <v>1</v>
      </c>
    </row>
    <row r="93" spans="1:30" x14ac:dyDescent="0.25">
      <c r="A93" s="54" t="s">
        <v>75</v>
      </c>
      <c r="B93" s="20">
        <v>0</v>
      </c>
      <c r="C93" s="20">
        <v>13</v>
      </c>
      <c r="D93" s="20">
        <v>26</v>
      </c>
      <c r="E93" s="20">
        <v>15</v>
      </c>
      <c r="F93" s="20">
        <v>4</v>
      </c>
      <c r="G93" s="20">
        <v>3</v>
      </c>
      <c r="H93" s="20">
        <v>3</v>
      </c>
      <c r="I93" s="20">
        <v>30</v>
      </c>
      <c r="J93" s="20">
        <v>16</v>
      </c>
      <c r="K93" s="2">
        <f t="shared" si="2"/>
        <v>110</v>
      </c>
      <c r="L93" s="55">
        <v>25</v>
      </c>
      <c r="M93" s="54" t="s">
        <v>95</v>
      </c>
      <c r="N93" s="2">
        <v>80</v>
      </c>
      <c r="O93" s="55">
        <v>27</v>
      </c>
      <c r="P93" s="141"/>
      <c r="Q93" s="3" t="s">
        <v>105</v>
      </c>
      <c r="R93" s="4">
        <v>1</v>
      </c>
      <c r="T93" s="2" t="s">
        <v>115</v>
      </c>
      <c r="U93" t="s">
        <v>509</v>
      </c>
      <c r="V93">
        <f>COUNTIF(D3:D9,"metacell-40")</f>
        <v>1</v>
      </c>
      <c r="W93">
        <f>COUNTIF(G3:G7,"metacell-40")</f>
        <v>1</v>
      </c>
      <c r="X93">
        <f>COUNTIF(J3:J10,"metacell-40")</f>
        <v>0</v>
      </c>
      <c r="Y93">
        <f>COUNTIF(M3:M14,"metacell-40")</f>
        <v>1</v>
      </c>
      <c r="Z93">
        <f>COUNTIF(P3:P38,"metacell-40")</f>
        <v>1</v>
      </c>
      <c r="AA93">
        <f>COUNTIF(S2:S28,"metacell-40")</f>
        <v>1</v>
      </c>
      <c r="AB93">
        <f>COUNTIF(V3:V7,"metacell-40")</f>
        <v>0</v>
      </c>
      <c r="AC93">
        <f>COUNTIF(Y3:Y9,"metacell-40")</f>
        <v>0</v>
      </c>
      <c r="AD93">
        <f t="shared" si="1"/>
        <v>5</v>
      </c>
    </row>
    <row r="94" spans="1:30" x14ac:dyDescent="0.25">
      <c r="A94" s="54" t="s">
        <v>83</v>
      </c>
      <c r="B94" s="20">
        <v>0</v>
      </c>
      <c r="C94" s="20">
        <v>10</v>
      </c>
      <c r="D94" s="20">
        <v>33</v>
      </c>
      <c r="E94" s="20">
        <v>5</v>
      </c>
      <c r="F94" s="20">
        <v>7</v>
      </c>
      <c r="G94" s="20">
        <v>5</v>
      </c>
      <c r="H94" s="20">
        <v>5</v>
      </c>
      <c r="I94" s="20">
        <v>30</v>
      </c>
      <c r="J94" s="20">
        <v>15</v>
      </c>
      <c r="K94" s="2">
        <f t="shared" si="2"/>
        <v>110</v>
      </c>
      <c r="L94" s="55">
        <v>25</v>
      </c>
      <c r="M94" s="54" t="s">
        <v>97</v>
      </c>
      <c r="N94" s="2">
        <v>80</v>
      </c>
      <c r="O94" s="55">
        <v>27</v>
      </c>
      <c r="P94" s="141"/>
      <c r="Q94" s="3" t="s">
        <v>106</v>
      </c>
      <c r="R94" s="4">
        <v>1</v>
      </c>
      <c r="T94" s="2" t="s">
        <v>116</v>
      </c>
      <c r="U94" t="s">
        <v>509</v>
      </c>
      <c r="V94">
        <f>COUNTIF(D3:D9,"metacell-41")</f>
        <v>1</v>
      </c>
      <c r="W94">
        <f>COUNTIF(G3:G7,"metacell-41")</f>
        <v>1</v>
      </c>
      <c r="X94">
        <f>COUNTIF(J3:J10,"metacell-41")</f>
        <v>1</v>
      </c>
      <c r="Y94">
        <f>COUNTIF(M3:M14,"metacell-41")</f>
        <v>1</v>
      </c>
      <c r="Z94">
        <f>COUNTIF(P3:P38,"metacell-41")</f>
        <v>1</v>
      </c>
      <c r="AA94">
        <f>COUNTIF(S2:S28,"metacell-41")</f>
        <v>1</v>
      </c>
      <c r="AB94">
        <f>COUNTIF(V3:V7,"metacell-41")</f>
        <v>0</v>
      </c>
      <c r="AC94">
        <f>COUNTIF(Y3:Y9,"metacell-41")</f>
        <v>0</v>
      </c>
      <c r="AD94">
        <f t="shared" si="1"/>
        <v>6</v>
      </c>
    </row>
    <row r="95" spans="1:30" x14ac:dyDescent="0.25">
      <c r="A95" s="54" t="s">
        <v>87</v>
      </c>
      <c r="B95" s="20">
        <v>0</v>
      </c>
      <c r="C95" s="20">
        <v>16</v>
      </c>
      <c r="D95" s="20">
        <v>17</v>
      </c>
      <c r="E95" s="20">
        <v>23</v>
      </c>
      <c r="F95" s="20">
        <v>11</v>
      </c>
      <c r="G95" s="20">
        <v>5</v>
      </c>
      <c r="H95" s="20">
        <v>9</v>
      </c>
      <c r="I95" s="20">
        <v>18</v>
      </c>
      <c r="J95" s="20">
        <v>12</v>
      </c>
      <c r="K95" s="2">
        <f t="shared" si="2"/>
        <v>111</v>
      </c>
      <c r="L95" s="55">
        <v>26</v>
      </c>
      <c r="M95" s="54" t="s">
        <v>87</v>
      </c>
      <c r="N95" s="2">
        <v>81</v>
      </c>
      <c r="O95" s="55">
        <v>28</v>
      </c>
      <c r="P95" s="141"/>
      <c r="Q95" s="3" t="s">
        <v>107</v>
      </c>
      <c r="R95" s="4">
        <v>1</v>
      </c>
      <c r="T95" s="2" t="s">
        <v>117</v>
      </c>
      <c r="U95" t="s">
        <v>509</v>
      </c>
      <c r="V95">
        <f>COUNTIF(D3:D9,"metacell-42")</f>
        <v>1</v>
      </c>
      <c r="W95">
        <f>COUNTIF(G3:G7,"metacell-42")</f>
        <v>1</v>
      </c>
      <c r="X95">
        <f>COUNTIF(J3:J10,"metacell-42")</f>
        <v>0</v>
      </c>
      <c r="Y95">
        <f>COUNTIF(M3:M14,"metacell-42")</f>
        <v>1</v>
      </c>
      <c r="Z95">
        <f>COUNTIF(P3:P38,"metacell-42")</f>
        <v>1</v>
      </c>
      <c r="AA95">
        <f>COUNTIF(S2:S28,"metacell-42")</f>
        <v>0</v>
      </c>
      <c r="AB95">
        <f>COUNTIF(V3:V7,"metacell-42")</f>
        <v>0</v>
      </c>
      <c r="AC95">
        <f>COUNTIF(Y3:Y9,"metacell-42")</f>
        <v>0</v>
      </c>
      <c r="AD95">
        <f t="shared" si="1"/>
        <v>4</v>
      </c>
    </row>
    <row r="96" spans="1:30" x14ac:dyDescent="0.25">
      <c r="A96" s="54" t="s">
        <v>76</v>
      </c>
      <c r="B96" s="20">
        <v>0</v>
      </c>
      <c r="C96" s="20">
        <v>20</v>
      </c>
      <c r="D96" s="20">
        <v>29</v>
      </c>
      <c r="E96" s="20">
        <v>20</v>
      </c>
      <c r="F96" s="20">
        <v>6</v>
      </c>
      <c r="G96" s="20">
        <v>4</v>
      </c>
      <c r="H96" s="20">
        <v>4</v>
      </c>
      <c r="I96" s="20">
        <v>26</v>
      </c>
      <c r="J96" s="20">
        <v>4</v>
      </c>
      <c r="K96" s="2">
        <f t="shared" si="2"/>
        <v>113</v>
      </c>
      <c r="L96" s="55">
        <v>27</v>
      </c>
      <c r="M96" s="54" t="s">
        <v>84</v>
      </c>
      <c r="N96" s="2">
        <v>81</v>
      </c>
      <c r="O96" s="55">
        <v>28</v>
      </c>
      <c r="P96" s="141"/>
      <c r="Q96" s="3" t="s">
        <v>110</v>
      </c>
      <c r="R96" s="4">
        <v>1</v>
      </c>
      <c r="T96" s="2" t="s">
        <v>118</v>
      </c>
      <c r="U96" t="s">
        <v>509</v>
      </c>
      <c r="V96">
        <f>COUNTIF(D3:D9,"metacell-43")</f>
        <v>0</v>
      </c>
      <c r="W96">
        <f>COUNTIF(G3:G7,"metacell-43")</f>
        <v>0</v>
      </c>
      <c r="X96">
        <f>COUNTIF(J3:J10,"metacell-43")</f>
        <v>0</v>
      </c>
      <c r="Y96">
        <f>COUNTIF(M3:M14,"metacell-43")</f>
        <v>0</v>
      </c>
      <c r="Z96">
        <f>COUNTIF(P3:P38,"metacell-43")</f>
        <v>1</v>
      </c>
      <c r="AA96">
        <f>COUNTIF(S2:S28,"metacell-43")</f>
        <v>1</v>
      </c>
      <c r="AB96">
        <f>COUNTIF(V3:V7,"metacell-43")</f>
        <v>0</v>
      </c>
      <c r="AC96">
        <f>COUNTIF(Y3:Y9,"metacell-43")</f>
        <v>0</v>
      </c>
      <c r="AD96">
        <f t="shared" si="1"/>
        <v>2</v>
      </c>
    </row>
    <row r="97" spans="1:30" x14ac:dyDescent="0.25">
      <c r="A97" s="54" t="s">
        <v>92</v>
      </c>
      <c r="B97" s="20">
        <v>0</v>
      </c>
      <c r="C97" s="20">
        <v>17</v>
      </c>
      <c r="D97" s="20">
        <v>25</v>
      </c>
      <c r="E97" s="20">
        <v>23</v>
      </c>
      <c r="F97" s="20">
        <v>11</v>
      </c>
      <c r="G97" s="20">
        <v>8</v>
      </c>
      <c r="H97" s="20">
        <v>7</v>
      </c>
      <c r="I97" s="20">
        <v>8</v>
      </c>
      <c r="J97" s="20">
        <v>16</v>
      </c>
      <c r="K97" s="2">
        <f t="shared" si="2"/>
        <v>115</v>
      </c>
      <c r="L97" s="55">
        <v>28</v>
      </c>
      <c r="M97" s="54" t="s">
        <v>85</v>
      </c>
      <c r="N97" s="2">
        <v>81</v>
      </c>
      <c r="O97" s="55">
        <v>28</v>
      </c>
      <c r="P97" s="141"/>
      <c r="Q97" s="3" t="s">
        <v>112</v>
      </c>
      <c r="R97" s="4">
        <v>1</v>
      </c>
      <c r="T97" s="2" t="s">
        <v>119</v>
      </c>
      <c r="U97" t="s">
        <v>509</v>
      </c>
      <c r="V97">
        <f>COUNTIF(D3:D9,"metacell-44")</f>
        <v>0</v>
      </c>
      <c r="W97">
        <f>COUNTIF(G3:G7,"metacell-44")</f>
        <v>0</v>
      </c>
      <c r="X97">
        <f>COUNTIF(J3:J10,"metacell-44")</f>
        <v>0</v>
      </c>
      <c r="Y97">
        <f>COUNTIF(M3:M14,"metacell-44")</f>
        <v>0</v>
      </c>
      <c r="Z97">
        <f>COUNTIF(P3:P38,"metacell-44")</f>
        <v>1</v>
      </c>
      <c r="AA97">
        <f>COUNTIF(S2:S28,"metacell-44")</f>
        <v>0</v>
      </c>
      <c r="AB97">
        <f>COUNTIF(V3:V7,"metacell-44")</f>
        <v>0</v>
      </c>
      <c r="AC97">
        <f>COUNTIF(Y3:Y9,"metacell-44")</f>
        <v>0</v>
      </c>
      <c r="AD97">
        <f t="shared" si="1"/>
        <v>1</v>
      </c>
    </row>
    <row r="98" spans="1:30" x14ac:dyDescent="0.25">
      <c r="A98" s="54" t="s">
        <v>84</v>
      </c>
      <c r="B98" s="20">
        <v>0</v>
      </c>
      <c r="C98" s="20">
        <v>17</v>
      </c>
      <c r="D98" s="20">
        <v>28</v>
      </c>
      <c r="E98" s="20">
        <v>18</v>
      </c>
      <c r="F98" s="20">
        <v>8</v>
      </c>
      <c r="G98" s="20">
        <v>4</v>
      </c>
      <c r="H98" s="20">
        <v>6</v>
      </c>
      <c r="I98" s="20">
        <v>26</v>
      </c>
      <c r="J98" s="20">
        <v>9</v>
      </c>
      <c r="K98" s="2">
        <f t="shared" si="2"/>
        <v>116</v>
      </c>
      <c r="L98" s="55">
        <v>29</v>
      </c>
      <c r="M98" s="54" t="s">
        <v>76</v>
      </c>
      <c r="N98" s="2">
        <v>83</v>
      </c>
      <c r="O98" s="55">
        <v>29</v>
      </c>
      <c r="P98" s="141"/>
      <c r="Q98" s="3" t="s">
        <v>77</v>
      </c>
      <c r="R98" s="4">
        <v>1</v>
      </c>
      <c r="T98" s="2" t="s">
        <v>120</v>
      </c>
      <c r="U98" t="s">
        <v>509</v>
      </c>
      <c r="V98">
        <f>COUNTIF(D3:D9,"metacell-45")</f>
        <v>0</v>
      </c>
      <c r="W98">
        <f>COUNTIF(G3:G7,"metacell-45")</f>
        <v>0</v>
      </c>
      <c r="X98">
        <f>COUNTIF(J3:J10,"metacell-45")</f>
        <v>0</v>
      </c>
      <c r="Y98">
        <f>COUNTIF(M3:M14,"metacell-45")</f>
        <v>0</v>
      </c>
      <c r="Z98">
        <f>COUNTIF(P3:P38,"metacell-45")</f>
        <v>1</v>
      </c>
      <c r="AA98">
        <f>COUNTIF(S2:S28,"metacell-45")</f>
        <v>0</v>
      </c>
      <c r="AB98">
        <f>COUNTIF(V3:V7,"metacell-45")</f>
        <v>0</v>
      </c>
      <c r="AC98">
        <f>COUNTIF(Y3:Y9,"metacell-45")</f>
        <v>0</v>
      </c>
      <c r="AD98">
        <f t="shared" si="1"/>
        <v>1</v>
      </c>
    </row>
    <row r="99" spans="1:30" x14ac:dyDescent="0.25">
      <c r="A99" s="54" t="s">
        <v>79</v>
      </c>
      <c r="B99" s="20">
        <v>0</v>
      </c>
      <c r="C99" s="20">
        <v>19</v>
      </c>
      <c r="D99" s="20">
        <v>32</v>
      </c>
      <c r="E99" s="20">
        <v>22</v>
      </c>
      <c r="F99" s="20">
        <v>7</v>
      </c>
      <c r="G99" s="20">
        <v>4</v>
      </c>
      <c r="H99" s="20">
        <v>7</v>
      </c>
      <c r="I99" s="20">
        <v>24</v>
      </c>
      <c r="J99" s="20">
        <v>5</v>
      </c>
      <c r="K99" s="2">
        <f t="shared" si="2"/>
        <v>120</v>
      </c>
      <c r="L99" s="55">
        <v>30</v>
      </c>
      <c r="M99" s="54" t="s">
        <v>121</v>
      </c>
      <c r="N99" s="2">
        <v>85</v>
      </c>
      <c r="O99" s="55">
        <v>30</v>
      </c>
      <c r="P99" s="141"/>
      <c r="Q99" s="3" t="s">
        <v>119</v>
      </c>
      <c r="R99" s="4">
        <v>1</v>
      </c>
      <c r="T99" s="2" t="s">
        <v>121</v>
      </c>
      <c r="U99" t="s">
        <v>509</v>
      </c>
      <c r="V99">
        <f>COUNTIF(D3:D9,"metacell-46")</f>
        <v>0</v>
      </c>
      <c r="W99">
        <f>COUNTIF(G3:G7,"metacell-46")</f>
        <v>0</v>
      </c>
      <c r="X99">
        <f>COUNTIF(J3:J10,"metacell-46")</f>
        <v>0</v>
      </c>
      <c r="Y99">
        <f>COUNTIF(M3:M14,"metacell-46")</f>
        <v>0</v>
      </c>
      <c r="Z99">
        <f>COUNTIF(P3:P38,"metacell-46")</f>
        <v>1</v>
      </c>
      <c r="AA99">
        <f>COUNTIF(S2:S28,"metacell-46")</f>
        <v>0</v>
      </c>
      <c r="AB99">
        <f>COUNTIF(V3:V7,"metacell-46")</f>
        <v>0</v>
      </c>
      <c r="AC99">
        <f>COUNTIF(Y3:Y9,"metacell-46")</f>
        <v>0</v>
      </c>
      <c r="AD99">
        <f t="shared" si="1"/>
        <v>1</v>
      </c>
    </row>
    <row r="100" spans="1:30" x14ac:dyDescent="0.25">
      <c r="A100" s="54" t="s">
        <v>94</v>
      </c>
      <c r="B100" s="20">
        <v>0</v>
      </c>
      <c r="C100" s="20">
        <v>19</v>
      </c>
      <c r="D100" s="20">
        <v>27</v>
      </c>
      <c r="E100" s="20">
        <v>20</v>
      </c>
      <c r="F100" s="20">
        <v>14</v>
      </c>
      <c r="G100" s="20">
        <v>7</v>
      </c>
      <c r="H100" s="20">
        <v>11</v>
      </c>
      <c r="I100" s="20">
        <v>7</v>
      </c>
      <c r="J100" s="20">
        <v>16</v>
      </c>
      <c r="K100" s="2">
        <f t="shared" si="2"/>
        <v>121</v>
      </c>
      <c r="L100" s="55">
        <v>31</v>
      </c>
      <c r="M100" s="54" t="s">
        <v>120</v>
      </c>
      <c r="N100" s="2">
        <v>90</v>
      </c>
      <c r="O100" s="55">
        <v>31</v>
      </c>
      <c r="P100" s="141"/>
      <c r="Q100" s="3" t="s">
        <v>120</v>
      </c>
      <c r="R100" s="4">
        <v>1</v>
      </c>
      <c r="T100" s="2" t="s">
        <v>122</v>
      </c>
      <c r="U100" t="s">
        <v>509</v>
      </c>
      <c r="V100">
        <f>COUNTIF(D3:D9,"metacell-47")</f>
        <v>1</v>
      </c>
      <c r="W100">
        <f>COUNTIF(G3:G7,"metacell-47")</f>
        <v>1</v>
      </c>
      <c r="X100">
        <f>COUNTIF(J3:J10,"metacell-47")</f>
        <v>1</v>
      </c>
      <c r="Y100">
        <f>COUNTIF(M3:M14,"metacell-47")</f>
        <v>1</v>
      </c>
      <c r="Z100">
        <f>COUNTIF(P3:P38,"metacell-47")</f>
        <v>1</v>
      </c>
      <c r="AA100">
        <f>COUNTIF(S2:S28,"metacell-47")</f>
        <v>1</v>
      </c>
      <c r="AB100">
        <f>COUNTIF(V3:V7,"metacell-47")</f>
        <v>0</v>
      </c>
      <c r="AC100">
        <f>COUNTIF(Y3:Y9,"metacell-47")</f>
        <v>0</v>
      </c>
      <c r="AD100">
        <f t="shared" si="1"/>
        <v>6</v>
      </c>
    </row>
    <row r="101" spans="1:30" x14ac:dyDescent="0.25">
      <c r="A101" s="54" t="s">
        <v>85</v>
      </c>
      <c r="B101" s="20">
        <v>0</v>
      </c>
      <c r="C101" s="20">
        <v>17</v>
      </c>
      <c r="D101" s="20">
        <v>30</v>
      </c>
      <c r="E101" s="20">
        <v>16</v>
      </c>
      <c r="F101" s="20">
        <v>7</v>
      </c>
      <c r="G101" s="20">
        <v>3</v>
      </c>
      <c r="H101" s="20">
        <v>8</v>
      </c>
      <c r="I101" s="20">
        <v>30</v>
      </c>
      <c r="J101" s="20">
        <v>11</v>
      </c>
      <c r="K101" s="2">
        <f t="shared" si="2"/>
        <v>122</v>
      </c>
      <c r="L101" s="55">
        <v>32</v>
      </c>
      <c r="M101" s="54" t="s">
        <v>92</v>
      </c>
      <c r="N101" s="2">
        <v>91</v>
      </c>
      <c r="O101" s="55">
        <v>32</v>
      </c>
      <c r="P101" s="141"/>
      <c r="Q101" s="3" t="s">
        <v>121</v>
      </c>
      <c r="R101" s="4">
        <v>1</v>
      </c>
      <c r="T101" s="2" t="s">
        <v>123</v>
      </c>
      <c r="U101" t="s">
        <v>509</v>
      </c>
      <c r="V101">
        <f>COUNTIF(D3:D9,"metacell-48")</f>
        <v>1</v>
      </c>
      <c r="W101">
        <f>COUNTIF(G3:G7,"metacell-48")</f>
        <v>1</v>
      </c>
      <c r="X101">
        <f>COUNTIF(J3:J10,"metacell-48")</f>
        <v>0</v>
      </c>
      <c r="Y101">
        <f>COUNTIF(M3:M14,"metacell-48")</f>
        <v>0</v>
      </c>
      <c r="Z101">
        <f>COUNTIF(P3:P38,"metacell-48")</f>
        <v>1</v>
      </c>
      <c r="AA101">
        <f>COUNTIF(S2:S28,"metacell-48")</f>
        <v>1</v>
      </c>
      <c r="AB101">
        <f>COUNTIF(V3:V7,"metacell-48")</f>
        <v>0</v>
      </c>
      <c r="AC101">
        <f>COUNTIF(Y3:Y9,"metacell-48")</f>
        <v>0</v>
      </c>
      <c r="AD101">
        <f t="shared" si="1"/>
        <v>4</v>
      </c>
    </row>
    <row r="102" spans="1:30" x14ac:dyDescent="0.25">
      <c r="A102" s="54" t="s">
        <v>88</v>
      </c>
      <c r="B102" s="20">
        <v>0</v>
      </c>
      <c r="C102" s="20">
        <v>18</v>
      </c>
      <c r="D102" s="20">
        <v>26</v>
      </c>
      <c r="E102" s="20">
        <v>22</v>
      </c>
      <c r="F102" s="20">
        <v>12</v>
      </c>
      <c r="G102" s="20">
        <v>6</v>
      </c>
      <c r="H102" s="20">
        <v>10</v>
      </c>
      <c r="I102" s="20">
        <v>17</v>
      </c>
      <c r="J102" s="20">
        <v>13</v>
      </c>
      <c r="K102" s="2">
        <f t="shared" si="2"/>
        <v>124</v>
      </c>
      <c r="L102" s="55">
        <v>33</v>
      </c>
      <c r="M102" s="54" t="s">
        <v>79</v>
      </c>
      <c r="N102" s="2">
        <v>91</v>
      </c>
      <c r="O102" s="55">
        <v>32</v>
      </c>
      <c r="P102" s="141"/>
      <c r="Q102" s="3" t="s">
        <v>84</v>
      </c>
      <c r="R102" s="4">
        <v>1</v>
      </c>
      <c r="T102" s="2" t="s">
        <v>124</v>
      </c>
      <c r="U102" t="s">
        <v>509</v>
      </c>
      <c r="V102">
        <f>COUNTIF(D3:D9,"metacell-49")</f>
        <v>0</v>
      </c>
      <c r="W102">
        <f>COUNTIF(G3:G7,"metacell-49")</f>
        <v>0</v>
      </c>
      <c r="X102">
        <f>COUNTIF(J3:J10,"metacell-49")</f>
        <v>0</v>
      </c>
      <c r="Y102">
        <f>COUNTIF(M3:M14,"metacell-49")</f>
        <v>0</v>
      </c>
      <c r="Z102">
        <f>COUNTIF(P3:P38,"metacell-49")</f>
        <v>0</v>
      </c>
      <c r="AA102">
        <f>COUNTIF(S2:S28,"metacell-49")</f>
        <v>0</v>
      </c>
      <c r="AB102">
        <f>COUNTIF(V3:V7,"metacell-49")</f>
        <v>0</v>
      </c>
      <c r="AC102">
        <f>COUNTIF(Y3:Y9,"metacell-49")</f>
        <v>0</v>
      </c>
      <c r="AD102">
        <f t="shared" si="1"/>
        <v>0</v>
      </c>
    </row>
    <row r="103" spans="1:30" x14ac:dyDescent="0.25">
      <c r="A103" s="54" t="s">
        <v>86</v>
      </c>
      <c r="B103" s="20">
        <v>0</v>
      </c>
      <c r="C103" s="20">
        <v>21</v>
      </c>
      <c r="D103" s="20">
        <v>33</v>
      </c>
      <c r="E103" s="20">
        <v>24</v>
      </c>
      <c r="F103" s="20">
        <v>8</v>
      </c>
      <c r="G103" s="20">
        <v>3</v>
      </c>
      <c r="H103" s="20">
        <v>8</v>
      </c>
      <c r="I103" s="20">
        <v>26</v>
      </c>
      <c r="J103" s="20">
        <v>7</v>
      </c>
      <c r="K103" s="2">
        <f t="shared" si="2"/>
        <v>130</v>
      </c>
      <c r="L103" s="55">
        <v>34</v>
      </c>
      <c r="M103" s="54" t="s">
        <v>88</v>
      </c>
      <c r="N103" s="2">
        <v>94</v>
      </c>
      <c r="O103" s="55">
        <v>33</v>
      </c>
      <c r="P103" s="141"/>
      <c r="Q103" s="3" t="s">
        <v>88</v>
      </c>
      <c r="R103" s="4">
        <v>0</v>
      </c>
      <c r="T103" s="2" t="s">
        <v>78</v>
      </c>
      <c r="U103" t="s">
        <v>509</v>
      </c>
      <c r="V103">
        <f>COUNTIF(D3:D9,"metacell-5")</f>
        <v>0</v>
      </c>
      <c r="W103">
        <f>COUNTIF(G3:G7,"metacell-5")</f>
        <v>0</v>
      </c>
      <c r="X103">
        <f>COUNTIF(J3:J10,"metacell-5")</f>
        <v>0</v>
      </c>
      <c r="Y103">
        <f>COUNTIF(M3:M14,"metacell-5")</f>
        <v>1</v>
      </c>
      <c r="Z103">
        <f>COUNTIF(P3:P38,"metacell-5")</f>
        <v>1</v>
      </c>
      <c r="AA103">
        <f>COUNTIF(S2:S28,"metacell-5")</f>
        <v>1</v>
      </c>
      <c r="AB103">
        <f>COUNTIF(V3:V7,"metacell-5")</f>
        <v>0</v>
      </c>
      <c r="AC103">
        <f>COUNTIF(Y3:Y9,"metacell-5")</f>
        <v>1</v>
      </c>
      <c r="AD103">
        <f t="shared" si="1"/>
        <v>4</v>
      </c>
    </row>
    <row r="104" spans="1:30" x14ac:dyDescent="0.25">
      <c r="A104" s="54" t="s">
        <v>120</v>
      </c>
      <c r="B104" s="20">
        <v>0</v>
      </c>
      <c r="C104" s="20">
        <v>24</v>
      </c>
      <c r="D104" s="20">
        <v>35</v>
      </c>
      <c r="E104" s="20">
        <v>8</v>
      </c>
      <c r="F104" s="20">
        <v>11</v>
      </c>
      <c r="G104" s="20">
        <v>5</v>
      </c>
      <c r="H104" s="20">
        <v>7</v>
      </c>
      <c r="I104" s="20">
        <v>32</v>
      </c>
      <c r="J104" s="20">
        <v>10</v>
      </c>
      <c r="K104" s="2">
        <f t="shared" si="2"/>
        <v>132</v>
      </c>
      <c r="L104" s="55">
        <v>35</v>
      </c>
      <c r="M104" s="54" t="s">
        <v>86</v>
      </c>
      <c r="N104" s="2">
        <v>97</v>
      </c>
      <c r="O104" s="55">
        <v>34</v>
      </c>
      <c r="P104" s="141"/>
      <c r="Q104" s="3" t="s">
        <v>92</v>
      </c>
      <c r="R104" s="4">
        <v>0</v>
      </c>
      <c r="T104" s="2" t="s">
        <v>79</v>
      </c>
      <c r="U104" t="s">
        <v>509</v>
      </c>
      <c r="V104">
        <f>COUNTIF(D3:D9,"metacell-6")</f>
        <v>0</v>
      </c>
      <c r="W104">
        <f>COUNTIF(G3:G7,"metacell-6")</f>
        <v>0</v>
      </c>
      <c r="X104">
        <f>COUNTIF(J3:J10,"metacell-6")</f>
        <v>0</v>
      </c>
      <c r="Y104">
        <f>COUNTIF(M3:M14,"metacell-6")</f>
        <v>0</v>
      </c>
      <c r="Z104">
        <f>COUNTIF(P3:P38,"metacell-6")</f>
        <v>1</v>
      </c>
      <c r="AA104">
        <f>COUNTIF(S2:S28,"metacell-6")</f>
        <v>0</v>
      </c>
      <c r="AB104">
        <f>COUNTIF(V3:V7,"metacell-6")</f>
        <v>0</v>
      </c>
      <c r="AC104">
        <f>COUNTIF(Y3:Y9,"metacell-6")</f>
        <v>1</v>
      </c>
      <c r="AD104">
        <f t="shared" si="1"/>
        <v>2</v>
      </c>
    </row>
    <row r="105" spans="1:30" x14ac:dyDescent="0.25">
      <c r="A105" s="54" t="s">
        <v>121</v>
      </c>
      <c r="B105" s="20">
        <v>0</v>
      </c>
      <c r="C105" s="20">
        <v>23</v>
      </c>
      <c r="D105" s="20">
        <v>15</v>
      </c>
      <c r="E105" s="20">
        <v>19</v>
      </c>
      <c r="F105" s="20">
        <v>12</v>
      </c>
      <c r="G105" s="20">
        <v>5</v>
      </c>
      <c r="H105" s="20">
        <v>11</v>
      </c>
      <c r="I105" s="20">
        <v>33</v>
      </c>
      <c r="J105" s="20">
        <v>15</v>
      </c>
      <c r="K105" s="2">
        <f t="shared" si="2"/>
        <v>133</v>
      </c>
      <c r="L105" s="55">
        <v>36</v>
      </c>
      <c r="M105" s="54" t="s">
        <v>94</v>
      </c>
      <c r="N105" s="2">
        <v>98</v>
      </c>
      <c r="O105" s="55">
        <v>35</v>
      </c>
      <c r="P105" s="141"/>
      <c r="Q105" s="3" t="s">
        <v>94</v>
      </c>
      <c r="R105" s="4">
        <v>0</v>
      </c>
      <c r="T105" s="2" t="s">
        <v>82</v>
      </c>
      <c r="U105" t="s">
        <v>509</v>
      </c>
      <c r="V105">
        <f>COUNTIF(D3:D9,"metacell-7")</f>
        <v>0</v>
      </c>
      <c r="W105">
        <f>COUNTIF(G3:G7,"metacell-7")</f>
        <v>0</v>
      </c>
      <c r="X105">
        <f>COUNTIF(J3:J10,"metacell-7")</f>
        <v>0</v>
      </c>
      <c r="Y105">
        <f>COUNTIF(M3:M14,"metacell-7")</f>
        <v>0</v>
      </c>
      <c r="Z105">
        <f>COUNTIF(P3:P38,"metacell-7")</f>
        <v>1</v>
      </c>
      <c r="AA105">
        <f>COUNTIF(S2:S28,"metacell-7")</f>
        <v>1</v>
      </c>
      <c r="AB105">
        <f>COUNTIF(V3:V7,"metacell-7")</f>
        <v>0</v>
      </c>
      <c r="AC105">
        <f>COUNTIF(Y3:Y9,"metacell-7")</f>
        <v>0</v>
      </c>
      <c r="AD105">
        <f t="shared" si="1"/>
        <v>2</v>
      </c>
    </row>
    <row r="106" spans="1:30" x14ac:dyDescent="0.25">
      <c r="A106" s="54" t="s">
        <v>77</v>
      </c>
      <c r="B106" s="20">
        <v>0</v>
      </c>
      <c r="C106" s="20">
        <v>22</v>
      </c>
      <c r="D106" s="20">
        <v>34</v>
      </c>
      <c r="E106" s="20">
        <v>25</v>
      </c>
      <c r="F106" s="20">
        <v>8</v>
      </c>
      <c r="G106" s="20">
        <v>3</v>
      </c>
      <c r="H106" s="20">
        <v>8</v>
      </c>
      <c r="I106" s="20">
        <v>26</v>
      </c>
      <c r="J106" s="20">
        <v>9</v>
      </c>
      <c r="K106" s="2">
        <f t="shared" si="2"/>
        <v>135</v>
      </c>
      <c r="L106" s="55">
        <v>37</v>
      </c>
      <c r="M106" s="54" t="s">
        <v>77</v>
      </c>
      <c r="N106" s="2">
        <v>100</v>
      </c>
      <c r="O106" s="55">
        <v>36</v>
      </c>
      <c r="P106" s="141"/>
      <c r="Q106" s="3" t="s">
        <v>97</v>
      </c>
      <c r="R106" s="4">
        <v>0</v>
      </c>
      <c r="T106" s="2" t="s">
        <v>83</v>
      </c>
      <c r="U106" t="s">
        <v>509</v>
      </c>
      <c r="V106">
        <f>COUNTIF(D3:D9,"metacell-8")</f>
        <v>0</v>
      </c>
      <c r="W106">
        <f>COUNTIF(G3:G7,"metacell-8")</f>
        <v>0</v>
      </c>
      <c r="X106">
        <f>COUNTIF(J3:J10,"metacell-8")</f>
        <v>1</v>
      </c>
      <c r="Y106">
        <f>COUNTIF(M3:M14,"metacell-8")</f>
        <v>0</v>
      </c>
      <c r="Z106">
        <f>COUNTIF(P3:P38,"metacell-8")</f>
        <v>1</v>
      </c>
      <c r="AA106">
        <f>COUNTIF(S2:S28,"metacell-8")</f>
        <v>1</v>
      </c>
      <c r="AB106">
        <f>COUNTIF(V3:V7,"metacell-8")</f>
        <v>0</v>
      </c>
      <c r="AC106">
        <f>COUNTIF(Y3:Y9,"metacell-8")</f>
        <v>0</v>
      </c>
      <c r="AD106">
        <f t="shared" si="1"/>
        <v>3</v>
      </c>
    </row>
    <row r="107" spans="1:30" ht="15.75" thickBot="1" x14ac:dyDescent="0.3">
      <c r="A107" s="107" t="s">
        <v>124</v>
      </c>
      <c r="B107" s="71">
        <v>0</v>
      </c>
      <c r="C107" s="71">
        <v>20</v>
      </c>
      <c r="D107" s="71">
        <v>31</v>
      </c>
      <c r="E107" s="71">
        <v>21</v>
      </c>
      <c r="F107" s="71">
        <v>12</v>
      </c>
      <c r="G107" s="71">
        <v>6</v>
      </c>
      <c r="H107" s="71">
        <v>10</v>
      </c>
      <c r="I107" s="71">
        <v>32</v>
      </c>
      <c r="J107" s="71">
        <v>10</v>
      </c>
      <c r="K107" s="11">
        <f t="shared" si="2"/>
        <v>142</v>
      </c>
      <c r="L107" s="75">
        <v>38</v>
      </c>
      <c r="M107" s="107" t="s">
        <v>124</v>
      </c>
      <c r="N107" s="11">
        <v>100</v>
      </c>
      <c r="O107" s="75">
        <v>36</v>
      </c>
      <c r="P107" s="141"/>
      <c r="Q107" s="76" t="s">
        <v>124</v>
      </c>
      <c r="R107" s="69">
        <v>0</v>
      </c>
      <c r="T107" s="2" t="s">
        <v>84</v>
      </c>
      <c r="U107" t="s">
        <v>509</v>
      </c>
      <c r="V107">
        <f>COUNTIF(D3:D9,"metacell-9")</f>
        <v>0</v>
      </c>
      <c r="W107">
        <f>COUNTIF(G3:G7,"metacell-9")</f>
        <v>0</v>
      </c>
      <c r="X107">
        <f>COUNTIF(J3:J10,"metacell-9")</f>
        <v>0</v>
      </c>
      <c r="Y107">
        <f>COUNTIF(M3:M14,"metacell-9")</f>
        <v>0</v>
      </c>
      <c r="Z107">
        <f>COUNTIF(P3:P38,"metacell-9")</f>
        <v>1</v>
      </c>
      <c r="AA107">
        <f>COUNTIF(S2:S28,"metacell-9")</f>
        <v>0</v>
      </c>
      <c r="AB107">
        <f>COUNTIF(V3:V7,"metacell-9")</f>
        <v>0</v>
      </c>
      <c r="AC107">
        <f>COUNTIF(Y3:Y9,"metacell-9")</f>
        <v>0</v>
      </c>
      <c r="AD107">
        <f t="shared" si="1"/>
        <v>1</v>
      </c>
    </row>
    <row r="108" spans="1:30" x14ac:dyDescent="0.25">
      <c r="P108" s="141"/>
    </row>
    <row r="109" spans="1:30" x14ac:dyDescent="0.25">
      <c r="A109" s="140"/>
      <c r="B109" s="140"/>
      <c r="C109" s="140"/>
    </row>
    <row r="110" spans="1:30" x14ac:dyDescent="0.25">
      <c r="A110" s="140"/>
      <c r="B110" s="140"/>
      <c r="C110" s="140"/>
    </row>
    <row r="111" spans="1:30" x14ac:dyDescent="0.25">
      <c r="A111" s="140"/>
      <c r="B111" s="140"/>
      <c r="C111" s="140"/>
    </row>
    <row r="112" spans="1:30" x14ac:dyDescent="0.25">
      <c r="A112" s="140"/>
      <c r="B112" s="140"/>
      <c r="C112" s="140"/>
    </row>
    <row r="113" spans="1:3" x14ac:dyDescent="0.25">
      <c r="A113" s="140"/>
      <c r="B113" s="140"/>
      <c r="C113" s="140"/>
    </row>
    <row r="114" spans="1:3" x14ac:dyDescent="0.25">
      <c r="A114" s="140"/>
      <c r="B114" s="140"/>
      <c r="C114" s="140"/>
    </row>
    <row r="115" spans="1:3" x14ac:dyDescent="0.25">
      <c r="A115" s="140"/>
      <c r="B115" s="140"/>
      <c r="C115" s="140"/>
    </row>
    <row r="116" spans="1:3" x14ac:dyDescent="0.25">
      <c r="A116" s="140"/>
      <c r="B116" s="140"/>
      <c r="C116" s="140"/>
    </row>
    <row r="117" spans="1:3" x14ac:dyDescent="0.25">
      <c r="A117" s="140"/>
      <c r="B117" s="140"/>
      <c r="C117" s="140"/>
    </row>
    <row r="118" spans="1:3" x14ac:dyDescent="0.25">
      <c r="A118" s="140"/>
      <c r="B118" s="140"/>
      <c r="C118" s="140"/>
    </row>
    <row r="119" spans="1:3" x14ac:dyDescent="0.25">
      <c r="A119" s="140"/>
      <c r="B119" s="140"/>
      <c r="C119" s="140"/>
    </row>
    <row r="120" spans="1:3" x14ac:dyDescent="0.25">
      <c r="A120" s="140"/>
      <c r="B120" s="140"/>
      <c r="C120" s="140"/>
    </row>
    <row r="121" spans="1:3" x14ac:dyDescent="0.25">
      <c r="A121" s="140"/>
      <c r="B121" s="140"/>
      <c r="C121" s="140"/>
    </row>
    <row r="122" spans="1:3" x14ac:dyDescent="0.25">
      <c r="A122" s="140"/>
      <c r="B122" s="140"/>
      <c r="C122" s="140"/>
    </row>
    <row r="123" spans="1:3" x14ac:dyDescent="0.25">
      <c r="A123" s="140"/>
      <c r="B123" s="140"/>
      <c r="C123" s="140"/>
    </row>
    <row r="124" spans="1:3" x14ac:dyDescent="0.25">
      <c r="A124" s="140"/>
      <c r="B124" s="140"/>
      <c r="C124" s="140"/>
    </row>
    <row r="125" spans="1:3" x14ac:dyDescent="0.25">
      <c r="A125" s="140"/>
      <c r="B125" s="140"/>
      <c r="C125" s="140"/>
    </row>
    <row r="126" spans="1:3" x14ac:dyDescent="0.25">
      <c r="A126" s="140"/>
      <c r="B126" s="140"/>
      <c r="C126" s="140"/>
    </row>
    <row r="127" spans="1:3" x14ac:dyDescent="0.25">
      <c r="A127" s="140"/>
      <c r="B127" s="140"/>
      <c r="C127" s="140"/>
    </row>
    <row r="128" spans="1:3" x14ac:dyDescent="0.25">
      <c r="A128" s="140"/>
      <c r="B128" s="140"/>
      <c r="C128" s="140"/>
    </row>
    <row r="129" spans="1:3" x14ac:dyDescent="0.25">
      <c r="A129" s="140"/>
      <c r="B129" s="140"/>
      <c r="C129" s="140"/>
    </row>
    <row r="130" spans="1:3" x14ac:dyDescent="0.25">
      <c r="A130" s="140"/>
      <c r="B130" s="140"/>
      <c r="C130" s="140"/>
    </row>
    <row r="131" spans="1:3" x14ac:dyDescent="0.25">
      <c r="A131" s="140"/>
      <c r="B131" s="140"/>
      <c r="C131" s="140"/>
    </row>
    <row r="132" spans="1:3" x14ac:dyDescent="0.25">
      <c r="A132" s="140"/>
      <c r="B132" s="140"/>
      <c r="C132" s="140"/>
    </row>
    <row r="133" spans="1:3" x14ac:dyDescent="0.25">
      <c r="A133" s="140"/>
      <c r="B133" s="140"/>
      <c r="C133" s="140"/>
    </row>
    <row r="134" spans="1:3" x14ac:dyDescent="0.25">
      <c r="A134" s="140"/>
      <c r="B134" s="140"/>
      <c r="C134" s="140"/>
    </row>
    <row r="135" spans="1:3" x14ac:dyDescent="0.25">
      <c r="A135" s="140"/>
      <c r="B135" s="140"/>
      <c r="C135" s="140"/>
    </row>
    <row r="136" spans="1:3" x14ac:dyDescent="0.25">
      <c r="A136" s="140"/>
      <c r="B136" s="140"/>
      <c r="C136" s="140"/>
    </row>
    <row r="137" spans="1:3" x14ac:dyDescent="0.25">
      <c r="A137" s="140"/>
      <c r="B137" s="140"/>
      <c r="C137" s="140"/>
    </row>
    <row r="138" spans="1:3" x14ac:dyDescent="0.25">
      <c r="A138" s="140"/>
      <c r="B138" s="140"/>
      <c r="C138" s="140"/>
    </row>
    <row r="139" spans="1:3" x14ac:dyDescent="0.25">
      <c r="A139" s="140"/>
      <c r="B139" s="140"/>
      <c r="C139" s="140"/>
    </row>
    <row r="140" spans="1:3" x14ac:dyDescent="0.25">
      <c r="A140" s="140"/>
      <c r="B140" s="140"/>
      <c r="C140" s="140"/>
    </row>
    <row r="141" spans="1:3" x14ac:dyDescent="0.25">
      <c r="A141" s="140"/>
      <c r="B141" s="140"/>
      <c r="C141" s="140"/>
    </row>
    <row r="142" spans="1:3" x14ac:dyDescent="0.25">
      <c r="A142" s="140"/>
      <c r="B142" s="140"/>
      <c r="C142" s="140"/>
    </row>
    <row r="143" spans="1:3" x14ac:dyDescent="0.25">
      <c r="A143" s="140"/>
      <c r="B143" s="140"/>
      <c r="C143" s="140"/>
    </row>
    <row r="144" spans="1:3" x14ac:dyDescent="0.25">
      <c r="A144" s="140"/>
      <c r="B144" s="140"/>
      <c r="C144" s="140"/>
    </row>
    <row r="145" spans="1:3" x14ac:dyDescent="0.25">
      <c r="A145" s="140"/>
      <c r="B145" s="140"/>
      <c r="C145" s="140"/>
    </row>
    <row r="146" spans="1:3" x14ac:dyDescent="0.25">
      <c r="A146" s="140"/>
      <c r="B146" s="140"/>
      <c r="C146" s="140"/>
    </row>
    <row r="147" spans="1:3" x14ac:dyDescent="0.25">
      <c r="A147" s="140"/>
      <c r="B147" s="140"/>
      <c r="C147" s="140"/>
    </row>
    <row r="148" spans="1:3" x14ac:dyDescent="0.25">
      <c r="A148" s="140"/>
      <c r="B148" s="140"/>
      <c r="C148" s="140"/>
    </row>
    <row r="149" spans="1:3" x14ac:dyDescent="0.25">
      <c r="A149" s="140"/>
      <c r="B149" s="140"/>
      <c r="C149" s="140"/>
    </row>
    <row r="150" spans="1:3" x14ac:dyDescent="0.25">
      <c r="A150" s="140"/>
      <c r="B150" s="140"/>
      <c r="C150" s="140"/>
    </row>
    <row r="151" spans="1:3" x14ac:dyDescent="0.25">
      <c r="A151" s="140"/>
      <c r="B151" s="140"/>
      <c r="C151" s="140"/>
    </row>
    <row r="152" spans="1:3" x14ac:dyDescent="0.25">
      <c r="A152" s="140"/>
      <c r="B152" s="140"/>
      <c r="C152" s="140"/>
    </row>
    <row r="153" spans="1:3" x14ac:dyDescent="0.25">
      <c r="A153" s="140"/>
      <c r="B153" s="140"/>
      <c r="C153" s="140"/>
    </row>
    <row r="154" spans="1:3" x14ac:dyDescent="0.25">
      <c r="A154" s="140"/>
      <c r="B154" s="140"/>
      <c r="C154" s="140"/>
    </row>
    <row r="155" spans="1:3" x14ac:dyDescent="0.25">
      <c r="A155" s="140"/>
      <c r="B155" s="140"/>
      <c r="C155" s="140"/>
    </row>
    <row r="156" spans="1:3" x14ac:dyDescent="0.25">
      <c r="A156" s="140"/>
      <c r="B156" s="140"/>
      <c r="C156" s="140"/>
    </row>
    <row r="157" spans="1:3" x14ac:dyDescent="0.25">
      <c r="A157" s="140"/>
      <c r="B157" s="140"/>
      <c r="C157" s="140"/>
    </row>
    <row r="158" spans="1:3" x14ac:dyDescent="0.25">
      <c r="A158" s="140"/>
      <c r="B158" s="140"/>
      <c r="C158" s="140"/>
    </row>
    <row r="159" spans="1:3" x14ac:dyDescent="0.25">
      <c r="A159" s="140"/>
      <c r="B159" s="140"/>
      <c r="C159" s="140"/>
    </row>
    <row r="160" spans="1:3" x14ac:dyDescent="0.25">
      <c r="A160" s="37"/>
      <c r="B160" s="140"/>
      <c r="C160" s="140"/>
    </row>
    <row r="161" spans="1:3" x14ac:dyDescent="0.25">
      <c r="A161" s="37"/>
      <c r="B161" s="140"/>
      <c r="C161" s="140"/>
    </row>
    <row r="162" spans="1:3" x14ac:dyDescent="0.25">
      <c r="A162" s="140"/>
      <c r="B162" s="140"/>
      <c r="C162" s="140"/>
    </row>
    <row r="163" spans="1:3" x14ac:dyDescent="0.25">
      <c r="A163" s="140"/>
      <c r="B163" s="140"/>
      <c r="C163" s="140"/>
    </row>
    <row r="164" spans="1:3" x14ac:dyDescent="0.25">
      <c r="A164" s="140"/>
      <c r="B164" s="140"/>
      <c r="C164" s="140"/>
    </row>
    <row r="165" spans="1:3" x14ac:dyDescent="0.25">
      <c r="A165" s="140"/>
      <c r="B165" s="140"/>
      <c r="C165" s="140"/>
    </row>
  </sheetData>
  <sortState ref="Q59:R107">
    <sortCondition descending="1" ref="R59:R107"/>
  </sortState>
  <mergeCells count="21">
    <mergeCell ref="S1:U1"/>
    <mergeCell ref="V1:X1"/>
    <mergeCell ref="Y1:AA1"/>
    <mergeCell ref="A53:C53"/>
    <mergeCell ref="D53:F53"/>
    <mergeCell ref="G53:I53"/>
    <mergeCell ref="J53:L53"/>
    <mergeCell ref="M53:O53"/>
    <mergeCell ref="P53:R53"/>
    <mergeCell ref="S53:U53"/>
    <mergeCell ref="A1:C1"/>
    <mergeCell ref="D1:F1"/>
    <mergeCell ref="G1:I1"/>
    <mergeCell ref="J1:L1"/>
    <mergeCell ref="M1:O1"/>
    <mergeCell ref="P1:R1"/>
    <mergeCell ref="V53:X53"/>
    <mergeCell ref="Y53:AA53"/>
    <mergeCell ref="Q56:R57"/>
    <mergeCell ref="A57:L57"/>
    <mergeCell ref="M57:O5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5" x14ac:dyDescent="0.25"/>
  <cols>
    <col min="1" max="1" width="21.7109375" customWidth="1"/>
    <col min="2" max="2" width="21.85546875" customWidth="1"/>
    <col min="3" max="3" width="10.42578125" bestFit="1" customWidth="1"/>
    <col min="4" max="4" width="12.7109375" bestFit="1" customWidth="1"/>
    <col min="5" max="6" width="10.42578125" bestFit="1" customWidth="1"/>
    <col min="7" max="7" width="12.7109375" bestFit="1" customWidth="1"/>
    <col min="8" max="11" width="10.42578125" bestFit="1" customWidth="1"/>
    <col min="12" max="51" width="11.42578125" bestFit="1" customWidth="1"/>
  </cols>
  <sheetData>
    <row r="1" spans="1:51" s="59" customFormat="1" x14ac:dyDescent="0.25">
      <c r="B1" s="16" t="s">
        <v>80</v>
      </c>
      <c r="C1" s="58" t="s">
        <v>74</v>
      </c>
      <c r="D1" s="58" t="s">
        <v>75</v>
      </c>
      <c r="E1" s="58" t="s">
        <v>76</v>
      </c>
      <c r="F1" s="58" t="s">
        <v>77</v>
      </c>
      <c r="G1" s="58" t="s">
        <v>78</v>
      </c>
      <c r="H1" s="58" t="s">
        <v>79</v>
      </c>
      <c r="I1" s="16" t="s">
        <v>82</v>
      </c>
      <c r="J1" s="16" t="s">
        <v>83</v>
      </c>
      <c r="K1" s="16" t="s">
        <v>84</v>
      </c>
      <c r="L1" s="16" t="s">
        <v>85</v>
      </c>
      <c r="M1" s="16" t="s">
        <v>86</v>
      </c>
      <c r="N1" s="16" t="s">
        <v>87</v>
      </c>
      <c r="O1" s="16" t="s">
        <v>88</v>
      </c>
      <c r="P1" s="16" t="s">
        <v>89</v>
      </c>
      <c r="Q1" s="16" t="s">
        <v>90</v>
      </c>
      <c r="R1" s="16" t="s">
        <v>91</v>
      </c>
      <c r="S1" s="16" t="s">
        <v>92</v>
      </c>
      <c r="T1" s="16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102</v>
      </c>
      <c r="AD1" s="16" t="s">
        <v>103</v>
      </c>
      <c r="AE1" s="16" t="s">
        <v>104</v>
      </c>
      <c r="AF1" s="16" t="s">
        <v>105</v>
      </c>
      <c r="AG1" s="16" t="s">
        <v>106</v>
      </c>
      <c r="AH1" s="16" t="s">
        <v>107</v>
      </c>
      <c r="AI1" s="16" t="s">
        <v>108</v>
      </c>
      <c r="AJ1" s="16" t="s">
        <v>109</v>
      </c>
      <c r="AK1" s="16" t="s">
        <v>110</v>
      </c>
      <c r="AL1" s="16" t="s">
        <v>111</v>
      </c>
      <c r="AM1" s="16" t="s">
        <v>112</v>
      </c>
      <c r="AN1" s="16" t="s">
        <v>113</v>
      </c>
      <c r="AO1" s="16" t="s">
        <v>114</v>
      </c>
      <c r="AP1" s="16" t="s">
        <v>115</v>
      </c>
      <c r="AQ1" s="16" t="s">
        <v>116</v>
      </c>
      <c r="AR1" s="16" t="s">
        <v>117</v>
      </c>
      <c r="AS1" s="16" t="s">
        <v>118</v>
      </c>
      <c r="AT1" s="16" t="s">
        <v>119</v>
      </c>
      <c r="AU1" s="16" t="s">
        <v>120</v>
      </c>
      <c r="AV1" s="16" t="s">
        <v>121</v>
      </c>
      <c r="AW1" s="16" t="s">
        <v>122</v>
      </c>
      <c r="AX1" s="16" t="s">
        <v>123</v>
      </c>
      <c r="AY1" s="16" t="s">
        <v>124</v>
      </c>
    </row>
    <row r="2" spans="1:51" x14ac:dyDescent="0.25">
      <c r="A2" t="s">
        <v>265</v>
      </c>
      <c r="B2" t="s">
        <v>491</v>
      </c>
      <c r="C2">
        <v>-9.9536964025406904E-2</v>
      </c>
      <c r="D2">
        <v>0.104066243414808</v>
      </c>
      <c r="E2">
        <v>-4.4985620807954402E-2</v>
      </c>
      <c r="F2">
        <v>-6.0306287230865001E-2</v>
      </c>
      <c r="G2">
        <v>-3.9106785940307101E-2</v>
      </c>
      <c r="H2">
        <v>4.7135299062305E-2</v>
      </c>
      <c r="I2">
        <v>-8.6411287918843702E-3</v>
      </c>
      <c r="J2">
        <v>-9.9536964025406904E-2</v>
      </c>
      <c r="K2">
        <v>-3.7725227504964098E-2</v>
      </c>
      <c r="L2">
        <v>-9.9536964025406904E-2</v>
      </c>
      <c r="M2">
        <v>-5.2601939247372803E-2</v>
      </c>
      <c r="N2">
        <v>-3.9544815333755902E-2</v>
      </c>
      <c r="O2">
        <v>2.6382184055846299E-2</v>
      </c>
      <c r="P2">
        <v>2.85792422338506E-2</v>
      </c>
      <c r="Q2">
        <v>4.6456545555680899E-2</v>
      </c>
      <c r="R2">
        <v>8.2727823432536707E-2</v>
      </c>
      <c r="S2">
        <v>5.5118450576594801E-3</v>
      </c>
      <c r="T2">
        <v>2.3337318175994E-2</v>
      </c>
      <c r="U2">
        <v>0.20069833893706901</v>
      </c>
      <c r="V2">
        <v>3.2535178498675897E-2</v>
      </c>
      <c r="W2">
        <v>2.8800917997681998E-2</v>
      </c>
      <c r="X2">
        <v>-4.2229853361977203E-2</v>
      </c>
      <c r="Y2">
        <v>1.3524805394674801E-2</v>
      </c>
      <c r="Z2">
        <v>9.6896972609105195E-2</v>
      </c>
      <c r="AA2">
        <v>0.124195922340785</v>
      </c>
      <c r="AB2">
        <v>-9.9536964025406904E-2</v>
      </c>
      <c r="AC2">
        <v>-7.70747687913753E-2</v>
      </c>
      <c r="AD2">
        <v>-3.7273539702747699E-3</v>
      </c>
      <c r="AE2">
        <v>0.121873856505137</v>
      </c>
      <c r="AF2">
        <v>9.4790378478181503E-2</v>
      </c>
      <c r="AG2">
        <v>5.38237198732174E-2</v>
      </c>
      <c r="AH2">
        <v>2.3077316225058601E-2</v>
      </c>
      <c r="AI2">
        <v>-9.9536964025406904E-2</v>
      </c>
      <c r="AJ2">
        <v>-4.5279642029585399E-2</v>
      </c>
      <c r="AK2">
        <v>0</v>
      </c>
      <c r="AL2">
        <v>-4.7858876567360799E-2</v>
      </c>
      <c r="AM2">
        <v>-9.9536964025406904E-2</v>
      </c>
      <c r="AN2">
        <v>0.122915032633883</v>
      </c>
      <c r="AO2">
        <v>0.106650626922677</v>
      </c>
      <c r="AP2">
        <v>0.118344979327068</v>
      </c>
      <c r="AQ2">
        <v>1.8474077345793701E-2</v>
      </c>
      <c r="AR2">
        <v>-9.9536964025406904E-2</v>
      </c>
      <c r="AS2">
        <v>2.1302377837584499E-2</v>
      </c>
      <c r="AT2">
        <v>-4.4384984134330001E-2</v>
      </c>
      <c r="AU2">
        <v>1.8150303449871601E-2</v>
      </c>
      <c r="AV2">
        <v>-9.9536964025406904E-2</v>
      </c>
      <c r="AW2">
        <v>-9.9536964025406904E-2</v>
      </c>
      <c r="AX2">
        <v>-9.9536964025406904E-2</v>
      </c>
      <c r="AY2">
        <v>-9.9536964025406904E-2</v>
      </c>
    </row>
    <row r="3" spans="1:51" x14ac:dyDescent="0.25">
      <c r="A3" t="s">
        <v>265</v>
      </c>
      <c r="B3" t="s">
        <v>492</v>
      </c>
      <c r="C3">
        <v>-0.24888043885067301</v>
      </c>
      <c r="D3">
        <v>0.20310549399083899</v>
      </c>
      <c r="E3">
        <v>-0.28478602880965398</v>
      </c>
      <c r="F3">
        <v>-0.15073101421260199</v>
      </c>
      <c r="G3">
        <v>-0.18216759889946399</v>
      </c>
      <c r="H3">
        <v>0.16502059448496501</v>
      </c>
      <c r="I3">
        <v>1.6719455121253699E-2</v>
      </c>
      <c r="J3">
        <v>0.239958437354413</v>
      </c>
      <c r="K3">
        <v>-0.123613844129333</v>
      </c>
      <c r="L3">
        <v>-0.27500208930630698</v>
      </c>
      <c r="M3">
        <v>-0.140194470087107</v>
      </c>
      <c r="N3">
        <v>-8.5123291036440701E-2</v>
      </c>
      <c r="O3">
        <v>-6.5299933222256801E-2</v>
      </c>
      <c r="P3">
        <v>3.1669171083868602E-2</v>
      </c>
      <c r="Q3">
        <v>-5.8385224815368897E-2</v>
      </c>
      <c r="R3">
        <v>4.06881265234064E-2</v>
      </c>
      <c r="S3">
        <v>-8.8750560899162598E-2</v>
      </c>
      <c r="T3">
        <v>-0.109455640297474</v>
      </c>
      <c r="U3">
        <v>-0.103966855684733</v>
      </c>
      <c r="V3">
        <v>0</v>
      </c>
      <c r="W3">
        <v>-8.7097445506660195E-2</v>
      </c>
      <c r="X3">
        <v>6.8537097990299695E-2</v>
      </c>
      <c r="Y3">
        <v>5.5829763823581402E-2</v>
      </c>
      <c r="Z3">
        <v>3.0549515178672701E-2</v>
      </c>
      <c r="AA3">
        <v>-1.27518417735656E-2</v>
      </c>
      <c r="AB3">
        <v>-0.44325836163792098</v>
      </c>
      <c r="AC3">
        <v>6.7189363388978898E-3</v>
      </c>
      <c r="AD3">
        <v>5.8160602956817499E-2</v>
      </c>
      <c r="AE3">
        <v>1.39908869528577E-2</v>
      </c>
      <c r="AF3">
        <v>0.19921083420375801</v>
      </c>
      <c r="AG3">
        <v>5.4576775166464198E-2</v>
      </c>
      <c r="AH3">
        <v>9.5979978355751304E-4</v>
      </c>
      <c r="AI3">
        <v>-5.7978344793582E-4</v>
      </c>
      <c r="AJ3">
        <v>-0.11297390303190701</v>
      </c>
      <c r="AK3">
        <v>1.34432926145695E-2</v>
      </c>
      <c r="AL3">
        <v>-9.69947866106219E-2</v>
      </c>
      <c r="AM3">
        <v>-9.3286520467649597E-2</v>
      </c>
      <c r="AN3">
        <v>0.310541695193711</v>
      </c>
      <c r="AO3">
        <v>0.26986630307272402</v>
      </c>
      <c r="AP3">
        <v>0.18929154637780601</v>
      </c>
      <c r="AQ3">
        <v>0.51292103826565305</v>
      </c>
      <c r="AR3">
        <v>0.29214717447150401</v>
      </c>
      <c r="AS3">
        <v>-0.38187720908136202</v>
      </c>
      <c r="AT3">
        <v>-0.33422696183019002</v>
      </c>
      <c r="AU3">
        <v>-0.21307303775178499</v>
      </c>
      <c r="AV3">
        <v>0.54048988157748701</v>
      </c>
      <c r="AW3">
        <v>0.17494834953879099</v>
      </c>
      <c r="AX3">
        <v>5.1939095904403203E-2</v>
      </c>
      <c r="AY3">
        <v>-0.44325836163792098</v>
      </c>
    </row>
    <row r="4" spans="1:51" x14ac:dyDescent="0.25">
      <c r="A4" t="s">
        <v>265</v>
      </c>
      <c r="B4" t="s">
        <v>500</v>
      </c>
      <c r="C4">
        <v>0.341217419202688</v>
      </c>
      <c r="D4">
        <v>4.3740059263661698E-3</v>
      </c>
      <c r="E4">
        <v>-0.128601826883117</v>
      </c>
      <c r="F4">
        <v>-6.1899294781990799E-2</v>
      </c>
      <c r="G4">
        <v>0.13000749167916401</v>
      </c>
      <c r="H4">
        <v>-8.9103475573525007E-2</v>
      </c>
      <c r="I4">
        <v>-9.2257334867046806E-2</v>
      </c>
      <c r="J4">
        <v>-5.9198748141884097E-2</v>
      </c>
      <c r="K4">
        <v>-0.183153170100569</v>
      </c>
      <c r="L4">
        <v>0.103104667049329</v>
      </c>
      <c r="M4">
        <v>-3.9087324625251801E-2</v>
      </c>
      <c r="N4">
        <v>-2.4469096172631301E-2</v>
      </c>
      <c r="O4">
        <v>-1.6384112082512298E-2</v>
      </c>
      <c r="P4">
        <v>7.4253875621858997E-4</v>
      </c>
      <c r="Q4">
        <v>3.6230916008428898E-2</v>
      </c>
      <c r="R4">
        <v>0.31519099556295399</v>
      </c>
      <c r="S4">
        <v>-8.0712833606190207E-2</v>
      </c>
      <c r="T4">
        <v>-4.8336634040839599E-2</v>
      </c>
      <c r="U4">
        <v>-9.5489113687697802E-2</v>
      </c>
      <c r="V4">
        <v>-2.9578256310712099E-2</v>
      </c>
      <c r="W4">
        <v>-9.7089980157507402E-2</v>
      </c>
      <c r="X4">
        <v>-0.12584605943714</v>
      </c>
      <c r="Y4">
        <v>-1.35140370169175E-4</v>
      </c>
      <c r="Z4">
        <v>-0.110696498874135</v>
      </c>
      <c r="AA4">
        <v>7.6359028079000496E-2</v>
      </c>
      <c r="AB4">
        <v>-0.183153170100569</v>
      </c>
      <c r="AC4">
        <v>1.5983631697146701</v>
      </c>
      <c r="AD4">
        <v>7.2138494077534296E-2</v>
      </c>
      <c r="AE4">
        <v>0</v>
      </c>
      <c r="AF4">
        <v>3.5604547535705001E-2</v>
      </c>
      <c r="AG4">
        <v>7.2123682971965503E-2</v>
      </c>
      <c r="AH4">
        <v>0.13135714221207201</v>
      </c>
      <c r="AI4">
        <v>0.220563638882976</v>
      </c>
      <c r="AJ4">
        <v>0.121177649253388</v>
      </c>
      <c r="AK4">
        <v>0.624650480687164</v>
      </c>
      <c r="AL4">
        <v>0.137946400576554</v>
      </c>
      <c r="AM4">
        <v>0.36797906278230202</v>
      </c>
      <c r="AN4">
        <v>-7.4168358790741004E-2</v>
      </c>
      <c r="AO4">
        <v>-9.1610667092315703E-2</v>
      </c>
      <c r="AP4">
        <v>-0.16204555382370001</v>
      </c>
      <c r="AQ4">
        <v>-0.14299198049546</v>
      </c>
      <c r="AR4">
        <v>-3.3099737641382597E-2</v>
      </c>
      <c r="AS4">
        <v>0.43939019167704302</v>
      </c>
      <c r="AT4">
        <v>0.22512693948694301</v>
      </c>
      <c r="AU4">
        <v>0.692781859423797</v>
      </c>
      <c r="AV4">
        <v>-0.183153170100569</v>
      </c>
      <c r="AW4">
        <v>2.6457413738213198</v>
      </c>
      <c r="AX4">
        <v>0.147294492494081</v>
      </c>
      <c r="AY4">
        <v>0.41140268113567802</v>
      </c>
    </row>
    <row r="5" spans="1:51" s="11" customFormat="1" ht="15.75" thickBot="1" x14ac:dyDescent="0.3">
      <c r="A5" s="11" t="s">
        <v>265</v>
      </c>
      <c r="B5" s="11" t="s">
        <v>508</v>
      </c>
      <c r="C5" s="11">
        <v>-6.7145577019809194E-2</v>
      </c>
      <c r="D5" s="11">
        <v>-0.17736925282949401</v>
      </c>
      <c r="E5" s="11">
        <v>-0.26152349980705702</v>
      </c>
      <c r="F5" s="11">
        <v>-0.18790280893549399</v>
      </c>
      <c r="G5" s="11">
        <v>-0.16671212521768899</v>
      </c>
      <c r="H5" s="11">
        <v>-0.26152349980705702</v>
      </c>
      <c r="I5" s="11">
        <v>-0.26152349980705702</v>
      </c>
      <c r="J5" s="11">
        <v>-6.9241006012162098E-2</v>
      </c>
      <c r="K5" s="11">
        <v>-8.2456472733149697E-2</v>
      </c>
      <c r="L5" s="11">
        <v>-0.234922995854114</v>
      </c>
      <c r="M5" s="11">
        <v>-0.17370300860349999</v>
      </c>
      <c r="N5" s="11">
        <v>-0.119116177048764</v>
      </c>
      <c r="O5" s="11">
        <v>-6.2754534540244197E-2</v>
      </c>
      <c r="P5" s="11">
        <v>3.9277665116937401E-2</v>
      </c>
      <c r="Q5" s="11">
        <v>0.18167428217193499</v>
      </c>
      <c r="R5" s="11">
        <v>5.25570101701359E-2</v>
      </c>
      <c r="S5" s="11">
        <v>1.50568529057395E-2</v>
      </c>
      <c r="T5" s="11">
        <v>-3.0266892328082301E-2</v>
      </c>
      <c r="U5" s="11">
        <v>-2.4486233988185901E-2</v>
      </c>
      <c r="V5" s="11">
        <v>-6.8851981688017594E-2</v>
      </c>
      <c r="W5" s="11">
        <v>-3.8043887445570003E-2</v>
      </c>
      <c r="X5" s="11">
        <v>1.65215717051777E-2</v>
      </c>
      <c r="Y5" s="11">
        <v>7.1763194370432104E-2</v>
      </c>
      <c r="Z5" s="11">
        <v>0.14936795599422401</v>
      </c>
      <c r="AA5" s="11">
        <v>3.3512623602700402E-2</v>
      </c>
      <c r="AB5" s="11">
        <v>-0.26152349980705702</v>
      </c>
      <c r="AC5" s="11">
        <v>0.10288599059037799</v>
      </c>
      <c r="AD5" s="11">
        <v>0.17173371282667699</v>
      </c>
      <c r="AE5" s="11">
        <v>0.39201521464358802</v>
      </c>
      <c r="AF5" s="11">
        <v>0.12371216990982201</v>
      </c>
      <c r="AG5" s="11">
        <v>0.121848378928975</v>
      </c>
      <c r="AH5" s="11">
        <v>7.1956299192914797E-2</v>
      </c>
      <c r="AI5" s="11">
        <v>-3.7171095088740801E-2</v>
      </c>
      <c r="AJ5" s="11">
        <v>0</v>
      </c>
      <c r="AK5" s="11">
        <v>-8.5485840152746406E-2</v>
      </c>
      <c r="AL5" s="11">
        <v>6.6180689146803098E-2</v>
      </c>
      <c r="AM5" s="11">
        <v>-0.199024460360332</v>
      </c>
      <c r="AN5" s="11">
        <v>4.8897444381320902E-3</v>
      </c>
      <c r="AO5" s="11">
        <v>0.27462096513331602</v>
      </c>
      <c r="AP5" s="11">
        <v>0.17169318567945199</v>
      </c>
      <c r="AQ5" s="11">
        <v>3.30782602242039E-3</v>
      </c>
      <c r="AR5" s="11">
        <v>0.12550501586701601</v>
      </c>
      <c r="AS5" s="11">
        <v>0.23969093772080199</v>
      </c>
      <c r="AT5" s="11">
        <v>0.248234723283634</v>
      </c>
      <c r="AU5" s="11">
        <v>-0.143836232331778</v>
      </c>
      <c r="AV5" s="11">
        <v>-0.26152349980705702</v>
      </c>
      <c r="AW5" s="11">
        <v>0.28605621954105998</v>
      </c>
      <c r="AX5" s="11">
        <v>6.8924162787593501E-2</v>
      </c>
      <c r="AY5" s="11">
        <v>-0.26152349980705702</v>
      </c>
    </row>
    <row r="6" spans="1:51" x14ac:dyDescent="0.25">
      <c r="A6" t="s">
        <v>266</v>
      </c>
      <c r="B6" t="s">
        <v>486</v>
      </c>
      <c r="C6">
        <v>0.13934939465058299</v>
      </c>
      <c r="D6">
        <v>0.28419562915566399</v>
      </c>
      <c r="E6">
        <v>0.41269906316549998</v>
      </c>
      <c r="F6">
        <v>0.107665406047148</v>
      </c>
      <c r="G6">
        <v>0.51828637824581003</v>
      </c>
      <c r="H6">
        <v>0.343063725976953</v>
      </c>
      <c r="I6">
        <v>0.200099792449484</v>
      </c>
      <c r="J6">
        <v>0.19661693312966599</v>
      </c>
      <c r="K6">
        <v>0.44698766682014701</v>
      </c>
      <c r="L6">
        <v>0.53866973658332795</v>
      </c>
      <c r="M6">
        <v>0.385756118049293</v>
      </c>
      <c r="N6">
        <v>-0.10732983087253201</v>
      </c>
      <c r="O6">
        <v>-0.31107956680329801</v>
      </c>
      <c r="P6">
        <v>-1.8212437424206199E-2</v>
      </c>
      <c r="Q6">
        <v>-0.31213758813072701</v>
      </c>
      <c r="R6">
        <v>0.119146459017672</v>
      </c>
      <c r="S6">
        <v>-0.37401604928417298</v>
      </c>
      <c r="T6">
        <v>-0.18161670363486301</v>
      </c>
      <c r="U6">
        <v>-0.39097205585524802</v>
      </c>
      <c r="V6">
        <v>-0.13891277021897999</v>
      </c>
      <c r="W6">
        <v>-0.222191283709397</v>
      </c>
      <c r="X6">
        <v>-0.32513621790564101</v>
      </c>
      <c r="Y6">
        <v>-0.17246810595388501</v>
      </c>
      <c r="Z6">
        <v>-0.17795096261826601</v>
      </c>
      <c r="AA6">
        <v>0.176596864488966</v>
      </c>
      <c r="AB6">
        <v>0.44944499872023502</v>
      </c>
      <c r="AC6">
        <v>0.18717336128592599</v>
      </c>
      <c r="AD6">
        <v>0.18421701829540199</v>
      </c>
      <c r="AE6">
        <v>0.51914522191500101</v>
      </c>
      <c r="AF6">
        <v>-0.286153539562917</v>
      </c>
      <c r="AG6">
        <v>-0.187679078102751</v>
      </c>
      <c r="AH6">
        <v>-0.31241050591015601</v>
      </c>
      <c r="AI6">
        <v>-0.100292174356741</v>
      </c>
      <c r="AJ6">
        <v>-0.43477651116239002</v>
      </c>
      <c r="AK6">
        <v>-5.0443001337740198E-2</v>
      </c>
      <c r="AL6">
        <v>-0.42777215663344598</v>
      </c>
      <c r="AM6">
        <v>-0.13080540401582999</v>
      </c>
      <c r="AN6">
        <v>0.37081727656850799</v>
      </c>
      <c r="AO6">
        <v>4.8955691306774497E-2</v>
      </c>
      <c r="AP6">
        <v>0.39528110548263301</v>
      </c>
      <c r="AQ6">
        <v>0.67236674866497104</v>
      </c>
      <c r="AR6">
        <v>0.62937456011078297</v>
      </c>
      <c r="AS6">
        <v>0</v>
      </c>
      <c r="AT6">
        <v>0.160129751407453</v>
      </c>
      <c r="AU6">
        <v>-0.99290668614144795</v>
      </c>
      <c r="AV6">
        <v>-0.36114724623416</v>
      </c>
      <c r="AW6">
        <v>0.41788231897699002</v>
      </c>
      <c r="AX6">
        <v>-0.11231258616204701</v>
      </c>
      <c r="AY6">
        <v>-0.80836255706773097</v>
      </c>
    </row>
    <row r="7" spans="1:51" x14ac:dyDescent="0.25">
      <c r="A7" t="s">
        <v>266</v>
      </c>
      <c r="B7" t="s">
        <v>493</v>
      </c>
      <c r="C7">
        <v>-1.7757460930912401</v>
      </c>
      <c r="D7">
        <v>-1.7400238929820799</v>
      </c>
      <c r="E7">
        <v>-2.0001648953187701</v>
      </c>
      <c r="F7">
        <v>-2.3847093034256299</v>
      </c>
      <c r="G7">
        <v>-1.7624232931774599</v>
      </c>
      <c r="H7">
        <v>-2.36548580596848</v>
      </c>
      <c r="I7">
        <v>-0.83492229185561095</v>
      </c>
      <c r="J7">
        <v>-1.4063543086244901</v>
      </c>
      <c r="K7">
        <v>-1.5636899297657201</v>
      </c>
      <c r="L7">
        <v>-1.7692200521539601</v>
      </c>
      <c r="M7">
        <v>-2.05686754559507</v>
      </c>
      <c r="N7">
        <v>0.15058970508688399</v>
      </c>
      <c r="O7">
        <v>0.17695324174812599</v>
      </c>
      <c r="P7">
        <v>2.8996922643774799E-2</v>
      </c>
      <c r="Q7">
        <v>-6.9098943182998404E-2</v>
      </c>
      <c r="R7">
        <v>0.18711311724740501</v>
      </c>
      <c r="S7">
        <v>-6.0940695296382102E-2</v>
      </c>
      <c r="T7">
        <v>0.21893116649199801</v>
      </c>
      <c r="U7">
        <v>-0.10553747010744299</v>
      </c>
      <c r="V7">
        <v>0.228401734960368</v>
      </c>
      <c r="W7">
        <v>0.16896192019408299</v>
      </c>
      <c r="X7">
        <v>-4.6022833052946799E-2</v>
      </c>
      <c r="Y7">
        <v>-4.28623402648084E-3</v>
      </c>
      <c r="Z7">
        <v>-4.5678427965996603E-2</v>
      </c>
      <c r="AA7">
        <v>0.20619373694908</v>
      </c>
      <c r="AB7">
        <v>0.26220440942328799</v>
      </c>
      <c r="AC7">
        <v>9.8965277034817598E-2</v>
      </c>
      <c r="AD7">
        <v>8.1533167531594494E-2</v>
      </c>
      <c r="AE7">
        <v>0.23285286326850299</v>
      </c>
      <c r="AF7">
        <v>-2.9554760126974701E-3</v>
      </c>
      <c r="AG7">
        <v>3.7732580954288698E-2</v>
      </c>
      <c r="AH7">
        <v>0</v>
      </c>
      <c r="AI7">
        <v>0.76378035923848697</v>
      </c>
      <c r="AJ7">
        <v>0.33670376706995703</v>
      </c>
      <c r="AK7">
        <v>0.128637319954816</v>
      </c>
      <c r="AL7">
        <v>0.13931525596455899</v>
      </c>
      <c r="AM7">
        <v>0.34127478488226798</v>
      </c>
      <c r="AN7">
        <v>0.488643742601864</v>
      </c>
      <c r="AO7">
        <v>-0.33204355048034101</v>
      </c>
      <c r="AP7">
        <v>0.26936536145468998</v>
      </c>
      <c r="AQ7">
        <v>0.30833441443659398</v>
      </c>
      <c r="AR7">
        <v>-1.08190614219143</v>
      </c>
      <c r="AS7">
        <v>0.20491925662410401</v>
      </c>
      <c r="AT7">
        <v>-0.19856463165831401</v>
      </c>
      <c r="AU7">
        <v>-1.7257159041311401</v>
      </c>
      <c r="AV7">
        <v>0.19644106231200001</v>
      </c>
      <c r="AW7">
        <v>0.20912365744263101</v>
      </c>
      <c r="AX7">
        <v>-0.77433467999966799</v>
      </c>
      <c r="AY7">
        <v>-1.24521417180872</v>
      </c>
    </row>
    <row r="8" spans="1:51" x14ac:dyDescent="0.25">
      <c r="A8" t="s">
        <v>266</v>
      </c>
      <c r="B8" t="s">
        <v>494</v>
      </c>
      <c r="C8">
        <v>0.16060111775675101</v>
      </c>
      <c r="D8">
        <v>5.0377441947066101E-2</v>
      </c>
      <c r="E8">
        <v>0.103665216705395</v>
      </c>
      <c r="F8">
        <v>3.9843885841066802E-2</v>
      </c>
      <c r="G8">
        <v>8.5016371680358804E-2</v>
      </c>
      <c r="H8">
        <v>0.14924198900538599</v>
      </c>
      <c r="I8">
        <v>0.22678532045833499</v>
      </c>
      <c r="J8">
        <v>0.269051354264497</v>
      </c>
      <c r="K8">
        <v>8.7670529555049004E-2</v>
      </c>
      <c r="L8">
        <v>0.13447946730111701</v>
      </c>
      <c r="M8">
        <v>0.18048971373629399</v>
      </c>
      <c r="N8">
        <v>-1.3712062185178399E-2</v>
      </c>
      <c r="O8">
        <v>0</v>
      </c>
      <c r="P8">
        <v>-2.2969873088778299E-2</v>
      </c>
      <c r="Q8">
        <v>5.4484958726704398E-2</v>
      </c>
      <c r="R8">
        <v>3.0249376590906801E-2</v>
      </c>
      <c r="S8">
        <v>-1.80449145390052E-2</v>
      </c>
      <c r="T8">
        <v>-3.8130981434367299E-3</v>
      </c>
      <c r="U8">
        <v>-3.3776805030496397E-2</v>
      </c>
      <c r="V8">
        <v>-1.8244187589446501E-2</v>
      </c>
      <c r="W8">
        <v>5.2286384912565702E-2</v>
      </c>
      <c r="X8">
        <v>-3.3776805030496397E-2</v>
      </c>
      <c r="Y8">
        <v>-3.3776805030496397E-2</v>
      </c>
      <c r="Z8">
        <v>2.24530897869273E-2</v>
      </c>
      <c r="AA8">
        <v>-1.49735732360832E-2</v>
      </c>
      <c r="AB8">
        <v>-3.3776805030496397E-2</v>
      </c>
      <c r="AC8">
        <v>-1.13146097964647E-2</v>
      </c>
      <c r="AD8">
        <v>-1.4389368024302299E-2</v>
      </c>
      <c r="AE8">
        <v>-1.1550908173308301E-3</v>
      </c>
      <c r="AF8">
        <v>5.5292117440152701E-2</v>
      </c>
      <c r="AG8">
        <v>-3.3776805030496397E-2</v>
      </c>
      <c r="AH8">
        <v>-3.3776805030496397E-2</v>
      </c>
      <c r="AI8">
        <v>-7.7691158878514903E-3</v>
      </c>
      <c r="AJ8">
        <v>-1.5572944989675401E-2</v>
      </c>
      <c r="AK8">
        <v>-3.3776805030496397E-2</v>
      </c>
      <c r="AL8">
        <v>7.5885977804648799E-4</v>
      </c>
      <c r="AM8">
        <v>-3.3776805030496397E-2</v>
      </c>
      <c r="AN8">
        <v>3.8098140275962297E-2</v>
      </c>
      <c r="AO8">
        <v>5.7765697977756998E-2</v>
      </c>
      <c r="AP8">
        <v>-1.2669188753627001E-2</v>
      </c>
      <c r="AQ8">
        <v>8.4234236340704094E-2</v>
      </c>
      <c r="AR8">
        <v>1.15327770664386</v>
      </c>
      <c r="AS8">
        <v>0.14473211420729301</v>
      </c>
      <c r="AT8">
        <v>2.1375174860580499E-2</v>
      </c>
      <c r="AU8">
        <v>-3.3776805030496397E-2</v>
      </c>
      <c r="AV8">
        <v>-3.3776805030496397E-2</v>
      </c>
      <c r="AW8">
        <v>1.31826570807298</v>
      </c>
      <c r="AX8">
        <v>-3.3776805030496397E-2</v>
      </c>
      <c r="AY8">
        <v>-3.3776805030496397E-2</v>
      </c>
    </row>
    <row r="9" spans="1:51" x14ac:dyDescent="0.25">
      <c r="A9" t="s">
        <v>266</v>
      </c>
      <c r="B9" t="s">
        <v>495</v>
      </c>
      <c r="C9">
        <v>0</v>
      </c>
      <c r="D9">
        <v>0.124829853251368</v>
      </c>
      <c r="E9">
        <v>0.107336230015835</v>
      </c>
      <c r="F9">
        <v>0.12125387531857799</v>
      </c>
      <c r="G9">
        <v>6.04301780850999E-2</v>
      </c>
      <c r="H9">
        <v>0</v>
      </c>
      <c r="I9">
        <v>0</v>
      </c>
      <c r="J9">
        <v>0</v>
      </c>
      <c r="K9">
        <v>0</v>
      </c>
      <c r="L9">
        <v>5.2806650382907799E-2</v>
      </c>
      <c r="M9">
        <v>2.9756380548765799E-2</v>
      </c>
      <c r="N9">
        <v>4.00617402147634E-2</v>
      </c>
      <c r="O9">
        <v>4.2558856550306098E-2</v>
      </c>
      <c r="P9">
        <v>1.08069319417179E-2</v>
      </c>
      <c r="Q9">
        <v>0</v>
      </c>
      <c r="R9">
        <v>0</v>
      </c>
      <c r="S9">
        <v>0</v>
      </c>
      <c r="T9">
        <v>5.9606860744526598E-2</v>
      </c>
      <c r="U9">
        <v>0</v>
      </c>
      <c r="V9">
        <v>0</v>
      </c>
      <c r="W9">
        <v>0</v>
      </c>
      <c r="X9">
        <v>2.87222170929043E-2</v>
      </c>
      <c r="Y9">
        <v>0</v>
      </c>
      <c r="Z9">
        <v>4.4657536146773799E-2</v>
      </c>
      <c r="AA9">
        <v>1.8803231794413101E-2</v>
      </c>
      <c r="AB9">
        <v>0</v>
      </c>
      <c r="AC9">
        <v>2.24621952340316E-2</v>
      </c>
      <c r="AD9">
        <v>5.7819741069395802E-2</v>
      </c>
      <c r="AE9">
        <v>6.4894876840457402E-2</v>
      </c>
      <c r="AF9">
        <v>0</v>
      </c>
      <c r="AG9">
        <v>2.3865454035255002E-2</v>
      </c>
      <c r="AH9">
        <v>2.4867912764560299E-2</v>
      </c>
      <c r="AI9">
        <v>7.7167558941278094E-2</v>
      </c>
      <c r="AJ9">
        <v>0</v>
      </c>
      <c r="AK9">
        <v>0</v>
      </c>
      <c r="AL9">
        <v>0</v>
      </c>
      <c r="AM9">
        <v>6.2499039446724497E-2</v>
      </c>
      <c r="AN9">
        <v>0</v>
      </c>
      <c r="AO9">
        <v>0</v>
      </c>
      <c r="AP9">
        <v>4.2029512207591803E-2</v>
      </c>
      <c r="AQ9">
        <v>4.0161189605109303E-2</v>
      </c>
      <c r="AR9">
        <v>0</v>
      </c>
      <c r="AS9">
        <v>0</v>
      </c>
      <c r="AT9">
        <v>5.5151979891076799E-2</v>
      </c>
      <c r="AU9">
        <v>0</v>
      </c>
      <c r="AV9">
        <v>0</v>
      </c>
      <c r="AW9">
        <v>0.14948230265077</v>
      </c>
      <c r="AX9">
        <v>0</v>
      </c>
      <c r="AY9">
        <v>0</v>
      </c>
    </row>
    <row r="10" spans="1:51" x14ac:dyDescent="0.25">
      <c r="A10" t="s">
        <v>266</v>
      </c>
      <c r="B10" t="s">
        <v>497</v>
      </c>
      <c r="C10">
        <v>-8.5898631994203598E-2</v>
      </c>
      <c r="D10">
        <v>-0.58487947129506102</v>
      </c>
      <c r="E10">
        <v>-0.13523994710766199</v>
      </c>
      <c r="F10">
        <v>-0.440603314331799</v>
      </c>
      <c r="G10">
        <v>-0.45020965508713501</v>
      </c>
      <c r="H10">
        <v>-0.45955265874851597</v>
      </c>
      <c r="I10">
        <v>-6.3022012604471003E-2</v>
      </c>
      <c r="J10">
        <v>-0.51001481419237105</v>
      </c>
      <c r="K10">
        <v>-0.37556625712257902</v>
      </c>
      <c r="L10">
        <v>-0.44889848070466298</v>
      </c>
      <c r="M10">
        <v>-0.25519960008595</v>
      </c>
      <c r="N10">
        <v>-3.9100515837074898E-2</v>
      </c>
      <c r="O10">
        <v>-0.191984063458844</v>
      </c>
      <c r="P10">
        <v>-6.8851349359982994E-2</v>
      </c>
      <c r="Q10">
        <v>-9.8881961448628805E-2</v>
      </c>
      <c r="R10">
        <v>-5.60944948035706E-4</v>
      </c>
      <c r="S10">
        <v>-6.1808009915448499E-2</v>
      </c>
      <c r="T10">
        <v>2.89500547471278E-2</v>
      </c>
      <c r="U10">
        <v>-0.20966372877110201</v>
      </c>
      <c r="V10">
        <v>7.7994987794100898E-2</v>
      </c>
      <c r="W10">
        <v>1.62782320897881E-3</v>
      </c>
      <c r="X10">
        <v>-0.131555601977421</v>
      </c>
      <c r="Y10">
        <v>0.17623698313343999</v>
      </c>
      <c r="Z10">
        <v>2.55287130386843E-2</v>
      </c>
      <c r="AA10">
        <v>6.2357093631075E-2</v>
      </c>
      <c r="AB10">
        <v>0.97172184713130205</v>
      </c>
      <c r="AC10">
        <v>-9.3752416638226703E-4</v>
      </c>
      <c r="AD10">
        <v>0.27259205569247502</v>
      </c>
      <c r="AE10">
        <v>5.9732733562006E-2</v>
      </c>
      <c r="AF10">
        <v>0.26662860976673503</v>
      </c>
      <c r="AG10">
        <v>-6.7278644158484696E-2</v>
      </c>
      <c r="AH10">
        <v>0</v>
      </c>
      <c r="AI10">
        <v>-0.13800758798947499</v>
      </c>
      <c r="AJ10">
        <v>3.7620016506874798E-2</v>
      </c>
      <c r="AK10">
        <v>-0.146075682583693</v>
      </c>
      <c r="AL10">
        <v>1.6198190035503698E-2</v>
      </c>
      <c r="AM10">
        <v>-6.5284504481068595E-2</v>
      </c>
      <c r="AN10">
        <v>0.89848219934579698</v>
      </c>
      <c r="AO10">
        <v>0.80605787629702896</v>
      </c>
      <c r="AP10">
        <v>0.781537828422742</v>
      </c>
      <c r="AQ10">
        <v>1.2052346634995601</v>
      </c>
      <c r="AR10">
        <v>1.13809184989344</v>
      </c>
      <c r="AS10">
        <v>0.23731179860377</v>
      </c>
      <c r="AT10">
        <v>0.11956913710648601</v>
      </c>
      <c r="AU10">
        <v>0.125511930030655</v>
      </c>
      <c r="AV10">
        <v>0.64341832819663203</v>
      </c>
      <c r="AW10">
        <v>0.75710295490105695</v>
      </c>
      <c r="AX10">
        <v>0.77415578118802697</v>
      </c>
      <c r="AY10">
        <v>0.82276618240541399</v>
      </c>
    </row>
    <row r="11" spans="1:51" x14ac:dyDescent="0.25">
      <c r="A11" t="s">
        <v>266</v>
      </c>
      <c r="B11" t="s">
        <v>498</v>
      </c>
      <c r="C11">
        <v>0.46728976513749798</v>
      </c>
      <c r="D11">
        <v>0.748992166183434</v>
      </c>
      <c r="E11">
        <v>0.499276758114791</v>
      </c>
      <c r="F11">
        <v>0.81056267811820004</v>
      </c>
      <c r="G11">
        <v>0.89119902471063195</v>
      </c>
      <c r="H11">
        <v>0.58744659452316506</v>
      </c>
      <c r="I11">
        <v>0.25005372681629301</v>
      </c>
      <c r="J11">
        <v>-7.41008160770006E-2</v>
      </c>
      <c r="K11">
        <v>0.190699686307508</v>
      </c>
      <c r="L11">
        <v>0.27675422923094101</v>
      </c>
      <c r="M11">
        <v>9.6130846002457193E-2</v>
      </c>
      <c r="N11">
        <v>-0.19044984246960101</v>
      </c>
      <c r="O11">
        <v>-0.20452567590238899</v>
      </c>
      <c r="P11">
        <v>-0.23182309363649101</v>
      </c>
      <c r="Q11">
        <v>-0.16389853343227101</v>
      </c>
      <c r="R11">
        <v>-0.13208338431049299</v>
      </c>
      <c r="S11">
        <v>-8.4884685284933203E-2</v>
      </c>
      <c r="T11">
        <v>-0.27416844414032499</v>
      </c>
      <c r="U11">
        <v>4.2927605558243903E-2</v>
      </c>
      <c r="V11">
        <v>-8.7388351333441194E-2</v>
      </c>
      <c r="W11">
        <v>-0.150536906341592</v>
      </c>
      <c r="X11">
        <v>-0.126295023989276</v>
      </c>
      <c r="Y11">
        <v>-0.246346684874061</v>
      </c>
      <c r="Z11">
        <v>0</v>
      </c>
      <c r="AA11">
        <v>-9.7204050748008093E-3</v>
      </c>
      <c r="AB11">
        <v>-0.52163174409314095</v>
      </c>
      <c r="AC11">
        <v>-5.1734762311976996E-3</v>
      </c>
      <c r="AD11">
        <v>-0.165037749676298</v>
      </c>
      <c r="AE11">
        <v>-0.269818641945893</v>
      </c>
      <c r="AF11">
        <v>-5.8386559791644102E-2</v>
      </c>
      <c r="AG11">
        <v>-9.3272518386814204E-2</v>
      </c>
      <c r="AH11">
        <v>-3.9056514776875897E-2</v>
      </c>
      <c r="AI11">
        <v>0.125984019701227</v>
      </c>
      <c r="AJ11">
        <v>4.6879710859318503E-2</v>
      </c>
      <c r="AK11">
        <v>-0.27893046872182897</v>
      </c>
      <c r="AL11">
        <v>-0.144116948670927</v>
      </c>
      <c r="AM11">
        <v>-0.118448169115423</v>
      </c>
      <c r="AN11">
        <v>7.0427138843778006E-2</v>
      </c>
      <c r="AO11">
        <v>0.18030059926519099</v>
      </c>
      <c r="AP11">
        <v>0.188837725056267</v>
      </c>
      <c r="AQ11">
        <v>0.44123248780408902</v>
      </c>
      <c r="AR11">
        <v>0.56312745430234601</v>
      </c>
      <c r="AS11">
        <v>0.138432447808191</v>
      </c>
      <c r="AT11">
        <v>0.50849850683611997</v>
      </c>
      <c r="AU11">
        <v>7.7418892963141805E-2</v>
      </c>
      <c r="AV11">
        <v>4.3368878554878497E-2</v>
      </c>
      <c r="AW11">
        <v>0.65206412808601699</v>
      </c>
      <c r="AX11">
        <v>2.0800902151946001</v>
      </c>
      <c r="AY11">
        <v>-0.52163174409314095</v>
      </c>
    </row>
    <row r="12" spans="1:51" s="11" customFormat="1" ht="15.75" thickBot="1" x14ac:dyDescent="0.3">
      <c r="A12" s="11" t="s">
        <v>266</v>
      </c>
      <c r="B12" s="11" t="s">
        <v>501</v>
      </c>
      <c r="C12" s="11">
        <v>0.504330631716291</v>
      </c>
      <c r="D12" s="11">
        <v>0.40303637301292899</v>
      </c>
      <c r="E12" s="11">
        <v>-9.0379642203930997E-4</v>
      </c>
      <c r="F12" s="11">
        <v>0.21924972865194201</v>
      </c>
      <c r="G12" s="11">
        <v>0.48725884848478901</v>
      </c>
      <c r="H12" s="11">
        <v>0.479730681754448</v>
      </c>
      <c r="I12" s="11">
        <v>5.3327607494025403E-2</v>
      </c>
      <c r="J12" s="11">
        <v>0.195810858656532</v>
      </c>
      <c r="K12" s="11">
        <v>0.35746495975092302</v>
      </c>
      <c r="L12" s="11">
        <v>0.15120390220786301</v>
      </c>
      <c r="M12" s="11">
        <v>0.27399256867525901</v>
      </c>
      <c r="N12" s="11">
        <v>0.12120633317327099</v>
      </c>
      <c r="O12" s="11">
        <v>-0.20305906447404101</v>
      </c>
      <c r="P12" s="11">
        <v>-4.4870693196037197E-2</v>
      </c>
      <c r="Q12" s="11">
        <v>-9.3381691982320596E-3</v>
      </c>
      <c r="R12" s="11">
        <v>-0.176216744663131</v>
      </c>
      <c r="S12" s="11">
        <v>-4.4062368943981002E-2</v>
      </c>
      <c r="T12" s="11">
        <v>-0.11883453989357499</v>
      </c>
      <c r="U12" s="11">
        <v>-6.9199045038296297E-2</v>
      </c>
      <c r="V12" s="11">
        <v>-5.81507405232898E-2</v>
      </c>
      <c r="W12" s="11">
        <v>-0.100594304988548</v>
      </c>
      <c r="X12" s="11">
        <v>-0.13134210497728999</v>
      </c>
      <c r="Y12" s="11">
        <v>-0.122186113603794</v>
      </c>
      <c r="Z12" s="11">
        <v>-0.17288927337172</v>
      </c>
      <c r="AA12" s="11">
        <v>-0.22366910870271001</v>
      </c>
      <c r="AB12" s="11">
        <v>0.48409464251981399</v>
      </c>
      <c r="AC12" s="11">
        <v>-7.3986281185629096E-2</v>
      </c>
      <c r="AD12" s="11">
        <v>-0.30351431273289098</v>
      </c>
      <c r="AE12" s="11">
        <v>-4.9133788656843001E-2</v>
      </c>
      <c r="AF12" s="11">
        <v>-8.39222380678184E-2</v>
      </c>
      <c r="AG12" s="11">
        <v>0</v>
      </c>
      <c r="AH12" s="11">
        <v>-4.10905524672713E-2</v>
      </c>
      <c r="AI12" s="11">
        <v>3.8550335215063403E-2</v>
      </c>
      <c r="AJ12" s="11">
        <v>-0.14904564542226501</v>
      </c>
      <c r="AK12" s="11">
        <v>-0.26085009379593499</v>
      </c>
      <c r="AL12" s="11">
        <v>-7.7507381492705099E-2</v>
      </c>
      <c r="AM12" s="11">
        <v>5.6464041009610397E-3</v>
      </c>
      <c r="AN12" s="11">
        <v>7.3678068596403204E-2</v>
      </c>
      <c r="AO12" s="11">
        <v>0.30333238012658198</v>
      </c>
      <c r="AP12" s="11">
        <v>0.35685767942962998</v>
      </c>
      <c r="AQ12" s="11">
        <v>0.81949860401315999</v>
      </c>
      <c r="AR12" s="11">
        <v>0.642319901792204</v>
      </c>
      <c r="AS12" s="11">
        <v>9.2408167974632402E-2</v>
      </c>
      <c r="AT12" s="11">
        <v>-0.38173577355916899</v>
      </c>
      <c r="AU12" s="11">
        <v>6.4003310848234504E-2</v>
      </c>
      <c r="AV12" s="11">
        <v>-0.436887753450246</v>
      </c>
      <c r="AW12" s="11">
        <v>0.69592769985662295</v>
      </c>
      <c r="AX12" s="11">
        <v>0.165409773845967</v>
      </c>
      <c r="AY12" s="11">
        <v>0.58569119406324299</v>
      </c>
    </row>
    <row r="13" spans="1:51" s="2" customFormat="1" x14ac:dyDescent="0.25">
      <c r="A13" s="2" t="s">
        <v>267</v>
      </c>
      <c r="B13" s="2" t="s">
        <v>502</v>
      </c>
      <c r="C13" s="2">
        <v>0.230591046987971</v>
      </c>
      <c r="D13" s="2">
        <v>-0.15759713075763801</v>
      </c>
      <c r="E13" s="2">
        <v>0.161624019004175</v>
      </c>
      <c r="F13" s="2">
        <v>-0.175179797509456</v>
      </c>
      <c r="G13" s="2">
        <v>5.1342233107874002E-2</v>
      </c>
      <c r="H13" s="2">
        <v>3.1104593406052199E-2</v>
      </c>
      <c r="I13" s="2">
        <v>-0.17623852343163701</v>
      </c>
      <c r="J13" s="2">
        <v>-0.197725035415244</v>
      </c>
      <c r="K13" s="2">
        <v>-0.31535331433492297</v>
      </c>
      <c r="L13" s="2">
        <v>-0.22041947081031099</v>
      </c>
      <c r="M13" s="2">
        <v>-0.29273480344515102</v>
      </c>
      <c r="N13" s="2">
        <v>-4.7173266086282799E-2</v>
      </c>
      <c r="O13" s="2">
        <v>-0.119694580729716</v>
      </c>
      <c r="P13" s="2">
        <v>0.120083902168999</v>
      </c>
      <c r="Q13" s="2">
        <v>0.120388352211417</v>
      </c>
      <c r="R13" s="2">
        <v>3.6690378399746301E-2</v>
      </c>
      <c r="S13" s="2">
        <v>-0.16272307889955401</v>
      </c>
      <c r="T13" s="2">
        <v>-1.7990781200641901E-3</v>
      </c>
      <c r="U13" s="2">
        <v>-0.22350823053479699</v>
      </c>
      <c r="V13" s="2">
        <v>1.49646173169531E-2</v>
      </c>
      <c r="W13" s="2">
        <v>7.4981502384079607E-2</v>
      </c>
      <c r="X13" s="2">
        <v>-2.7925711717513901E-2</v>
      </c>
      <c r="Y13" s="2">
        <v>-7.4650209337994503E-2</v>
      </c>
      <c r="Z13" s="2">
        <v>-0.32548582564586498</v>
      </c>
      <c r="AA13" s="2">
        <v>0.101681599733808</v>
      </c>
      <c r="AB13" s="2">
        <v>-0.43680064892046799</v>
      </c>
      <c r="AC13" s="2">
        <v>0.15557853031629301</v>
      </c>
      <c r="AD13" s="2">
        <v>6.4618315674269997E-2</v>
      </c>
      <c r="AE13" s="2">
        <v>-3.20867598909109E-2</v>
      </c>
      <c r="AF13" s="2">
        <v>-0.33979125007767902</v>
      </c>
      <c r="AG13" s="2">
        <v>2.8985810570012E-2</v>
      </c>
      <c r="AH13" s="2">
        <v>-1.80002136856659E-3</v>
      </c>
      <c r="AI13" s="2">
        <v>6.5352105224887602E-2</v>
      </c>
      <c r="AJ13" s="2">
        <v>-8.7497704218281902E-2</v>
      </c>
      <c r="AK13" s="2">
        <v>8.09326846672586E-2</v>
      </c>
      <c r="AL13" s="2">
        <v>-7.4740326295400603E-2</v>
      </c>
      <c r="AM13" s="2">
        <v>-7.7696870592779493E-2</v>
      </c>
      <c r="AN13" s="2">
        <v>0.14397084380099101</v>
      </c>
      <c r="AO13" s="2">
        <v>0.81017856854239301</v>
      </c>
      <c r="AP13" s="2">
        <v>-5.3205643370688997E-2</v>
      </c>
      <c r="AQ13" s="2">
        <v>0.33632506681806401</v>
      </c>
      <c r="AR13" s="2">
        <v>0.27534742217456998</v>
      </c>
      <c r="AS13" s="2">
        <v>0.57410499355431099</v>
      </c>
      <c r="AT13" s="2">
        <v>0</v>
      </c>
      <c r="AU13" s="2">
        <v>5.0939206625542398E-3</v>
      </c>
      <c r="AV13" s="2">
        <v>-0.43680064892046799</v>
      </c>
      <c r="AW13" s="2">
        <v>0.51677953540073196</v>
      </c>
      <c r="AX13" s="2">
        <v>0.16549687837574401</v>
      </c>
      <c r="AY13" s="2">
        <v>0.157755202315779</v>
      </c>
    </row>
    <row r="14" spans="1:51" x14ac:dyDescent="0.25">
      <c r="A14" t="s">
        <v>267</v>
      </c>
      <c r="B14" t="s">
        <v>485</v>
      </c>
      <c r="C14">
        <v>4.15162841637726E-2</v>
      </c>
      <c r="D14">
        <v>-0.15286163862347499</v>
      </c>
      <c r="E14">
        <v>5.6106942047913803E-3</v>
      </c>
      <c r="F14">
        <v>-0.12802066414406299</v>
      </c>
      <c r="G14">
        <v>2.23759583780829E-2</v>
      </c>
      <c r="H14">
        <v>-0.15286163862347499</v>
      </c>
      <c r="I14">
        <v>-0.15286163862347499</v>
      </c>
      <c r="J14">
        <v>-0.15286163862347499</v>
      </c>
      <c r="K14">
        <v>-9.1049902103032404E-2</v>
      </c>
      <c r="L14">
        <v>-0.10005498824056699</v>
      </c>
      <c r="M14">
        <v>-0.12310525807471</v>
      </c>
      <c r="N14">
        <v>-5.3203941519636401E-2</v>
      </c>
      <c r="O14">
        <v>-3.5487222340577801E-2</v>
      </c>
      <c r="P14">
        <v>6.7726514778210902E-3</v>
      </c>
      <c r="Q14">
        <v>-9.3792364366795902E-2</v>
      </c>
      <c r="R14">
        <v>8.3950148036835606E-2</v>
      </c>
      <c r="S14">
        <v>7.0603953801394406E-2</v>
      </c>
      <c r="T14">
        <v>2.7110532722979599E-2</v>
      </c>
      <c r="U14">
        <v>-6.5197582210603497E-2</v>
      </c>
      <c r="V14">
        <v>-5.1306176464622801E-2</v>
      </c>
      <c r="W14">
        <v>-6.6798448680413097E-2</v>
      </c>
      <c r="X14">
        <v>8.5830267870608296E-2</v>
      </c>
      <c r="Y14">
        <v>-2.11111523053026E-2</v>
      </c>
      <c r="Z14">
        <v>1.24580789667993E-2</v>
      </c>
      <c r="AA14">
        <v>-4.1206711921028302E-2</v>
      </c>
      <c r="AB14">
        <v>-0.15286163862347499</v>
      </c>
      <c r="AC14">
        <v>0.106207936709087</v>
      </c>
      <c r="AD14">
        <v>-7.5992704109367204E-2</v>
      </c>
      <c r="AE14">
        <v>2.5034805591806399E-2</v>
      </c>
      <c r="AF14">
        <v>3.0597823809156599E-2</v>
      </c>
      <c r="AG14">
        <v>9.8798996499353097E-3</v>
      </c>
      <c r="AH14">
        <v>0.101977760313885</v>
      </c>
      <c r="AI14">
        <v>6.1593065210397098E-2</v>
      </c>
      <c r="AJ14">
        <v>-8.0750292063211201E-2</v>
      </c>
      <c r="AK14">
        <v>2.31760210308352E-2</v>
      </c>
      <c r="AL14">
        <v>0</v>
      </c>
      <c r="AM14">
        <v>2.9290831685709E-2</v>
      </c>
      <c r="AN14">
        <v>-4.3876827313646699E-2</v>
      </c>
      <c r="AO14">
        <v>2.60278432180251E-2</v>
      </c>
      <c r="AP14">
        <v>0.103502366866914</v>
      </c>
      <c r="AQ14">
        <v>0.14700873174988</v>
      </c>
      <c r="AR14">
        <v>-3.55963008676018E-2</v>
      </c>
      <c r="AS14">
        <v>-3.2022296760483501E-2</v>
      </c>
      <c r="AT14">
        <v>9.0059528645111298E-2</v>
      </c>
      <c r="AU14">
        <v>-0.15286163862347499</v>
      </c>
      <c r="AV14">
        <v>-0.15286163862347499</v>
      </c>
      <c r="AW14">
        <v>0.21515045642269601</v>
      </c>
      <c r="AX14">
        <v>0.17758602397117501</v>
      </c>
      <c r="AY14">
        <v>0.86971730889001397</v>
      </c>
    </row>
    <row r="15" spans="1:51" x14ac:dyDescent="0.25">
      <c r="A15" t="s">
        <v>267</v>
      </c>
      <c r="B15" t="s">
        <v>487</v>
      </c>
      <c r="C15">
        <v>0.16951001002268701</v>
      </c>
      <c r="D15">
        <v>0.57275090260010098</v>
      </c>
      <c r="E15">
        <v>0.11257410897132999</v>
      </c>
      <c r="F15">
        <v>0.36835085774895598</v>
      </c>
      <c r="G15">
        <v>0.37522769297752701</v>
      </c>
      <c r="H15">
        <v>0.39970987640109001</v>
      </c>
      <c r="I15">
        <v>0.31524522682526301</v>
      </c>
      <c r="J15">
        <v>0.42266301525158001</v>
      </c>
      <c r="K15">
        <v>0.39625104023081298</v>
      </c>
      <c r="L15">
        <v>0.45486125903762897</v>
      </c>
      <c r="M15">
        <v>0.13532301385971399</v>
      </c>
      <c r="N15">
        <v>-2.48679127645604E-2</v>
      </c>
      <c r="O15">
        <v>-3.5125955134973799E-3</v>
      </c>
      <c r="P15">
        <v>-2.48679127645604E-2</v>
      </c>
      <c r="Q15">
        <v>-2.48679127645604E-2</v>
      </c>
      <c r="R15">
        <v>7.2967764752028298E-3</v>
      </c>
      <c r="S15">
        <v>6.5317082303621102E-3</v>
      </c>
      <c r="T15">
        <v>5.09579412249914E-3</v>
      </c>
      <c r="U15">
        <v>-2.48679127645604E-2</v>
      </c>
      <c r="V15">
        <v>-9.3352953235105104E-3</v>
      </c>
      <c r="W15">
        <v>-3.15624723959829E-3</v>
      </c>
      <c r="X15">
        <v>1.22289077730436E-2</v>
      </c>
      <c r="Y15">
        <v>1.3000973709882801E-2</v>
      </c>
      <c r="Z15">
        <v>3.39443368276485E-3</v>
      </c>
      <c r="AA15">
        <v>-2.48679127645604E-2</v>
      </c>
      <c r="AB15">
        <v>-2.48679127645604E-2</v>
      </c>
      <c r="AC15">
        <v>-2.4057175305287298E-3</v>
      </c>
      <c r="AD15">
        <v>-5.4804757583663596E-3</v>
      </c>
      <c r="AE15">
        <v>-2.48679127645604E-2</v>
      </c>
      <c r="AF15">
        <v>3.3694605650727301E-2</v>
      </c>
      <c r="AG15">
        <v>-1.0024587293053001E-3</v>
      </c>
      <c r="AH15">
        <v>0</v>
      </c>
      <c r="AI15">
        <v>1.1397763780843599E-3</v>
      </c>
      <c r="AJ15">
        <v>-6.66405272373948E-3</v>
      </c>
      <c r="AK15">
        <v>-2.48679127645604E-2</v>
      </c>
      <c r="AL15">
        <v>-2.48679127645604E-2</v>
      </c>
      <c r="AM15">
        <v>-2.48679127645604E-2</v>
      </c>
      <c r="AN15">
        <v>3.7193111880120797E-2</v>
      </c>
      <c r="AO15">
        <v>6.6674590243693294E-2</v>
      </c>
      <c r="AP15">
        <v>-3.7602964876910601E-3</v>
      </c>
      <c r="AQ15">
        <v>-2.48679127645604E-2</v>
      </c>
      <c r="AR15">
        <v>3.48031657999767E-2</v>
      </c>
      <c r="AS15">
        <v>-2.48679127645604E-2</v>
      </c>
      <c r="AT15">
        <v>3.0284067126516399E-2</v>
      </c>
      <c r="AU15">
        <v>-2.48679127645604E-2</v>
      </c>
      <c r="AV15">
        <v>-2.48679127645604E-2</v>
      </c>
      <c r="AW15">
        <v>0.124614389886209</v>
      </c>
      <c r="AX15">
        <v>-2.48679127645604E-2</v>
      </c>
      <c r="AY15">
        <v>-2.48679127645604E-2</v>
      </c>
    </row>
    <row r="16" spans="1:51" x14ac:dyDescent="0.25">
      <c r="A16" t="s">
        <v>267</v>
      </c>
      <c r="B16" t="s">
        <v>488</v>
      </c>
      <c r="C16">
        <v>0</v>
      </c>
      <c r="D16">
        <v>4.2560467325437001E-2</v>
      </c>
      <c r="E16">
        <v>0</v>
      </c>
      <c r="F16">
        <v>0</v>
      </c>
      <c r="G16">
        <v>0</v>
      </c>
      <c r="H16">
        <v>0</v>
      </c>
      <c r="I16">
        <v>0</v>
      </c>
      <c r="J16">
        <v>0.123954421958685</v>
      </c>
      <c r="K16">
        <v>6.1811736520442702E-2</v>
      </c>
      <c r="L16">
        <v>0</v>
      </c>
      <c r="M16">
        <v>0</v>
      </c>
      <c r="N16">
        <v>5.9992148691651002E-2</v>
      </c>
      <c r="O16">
        <v>4.2558856550306098E-2</v>
      </c>
      <c r="P16">
        <v>0</v>
      </c>
      <c r="Q16">
        <v>2.96508390763041E-2</v>
      </c>
      <c r="R16">
        <v>4.8132738445417399E-2</v>
      </c>
      <c r="S16">
        <v>3.1399620994922599E-2</v>
      </c>
      <c r="T16">
        <v>0.14670932241335199</v>
      </c>
      <c r="U16">
        <v>8.7664056412871505E-2</v>
      </c>
      <c r="V16">
        <v>2.4599901156801801E-2</v>
      </c>
      <c r="W16">
        <v>9.8478317829110096E-2</v>
      </c>
      <c r="X16">
        <v>7.9864774510916101E-2</v>
      </c>
      <c r="Y16">
        <v>1.8957737493244298E-2</v>
      </c>
      <c r="Z16">
        <v>8.39112925725575E-2</v>
      </c>
      <c r="AA16">
        <v>1.8803231794413101E-2</v>
      </c>
      <c r="AB16">
        <v>0</v>
      </c>
      <c r="AC16">
        <v>2.24621952340316E-2</v>
      </c>
      <c r="AD16">
        <v>1.9387437006194001E-2</v>
      </c>
      <c r="AE16">
        <v>0</v>
      </c>
      <c r="AF16">
        <v>0</v>
      </c>
      <c r="AG16">
        <v>4.7516736227194399E-2</v>
      </c>
      <c r="AH16">
        <v>0</v>
      </c>
      <c r="AI16">
        <v>0</v>
      </c>
      <c r="AJ16">
        <v>2.8797202601558401E-2</v>
      </c>
      <c r="AK16">
        <v>0</v>
      </c>
      <c r="AL16">
        <v>6.8738749508571895E-2</v>
      </c>
      <c r="AM16">
        <v>6.2499039446724497E-2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267</v>
      </c>
      <c r="B17" t="s">
        <v>489</v>
      </c>
      <c r="C17">
        <v>-2.06513207826467</v>
      </c>
      <c r="D17">
        <v>-2.3655429930065002</v>
      </c>
      <c r="E17">
        <v>-2.3351089214471399</v>
      </c>
      <c r="F17">
        <v>-2.63465917481179</v>
      </c>
      <c r="G17">
        <v>-2.5590948031074299</v>
      </c>
      <c r="H17">
        <v>-2.4936474197863499</v>
      </c>
      <c r="I17">
        <v>-0.89937130480907701</v>
      </c>
      <c r="J17">
        <v>-1.82575228925944</v>
      </c>
      <c r="K17">
        <v>-1.9567818511386901</v>
      </c>
      <c r="L17">
        <v>-2.1149655093264998</v>
      </c>
      <c r="M17">
        <v>-2.24252156179196</v>
      </c>
      <c r="N17">
        <v>0.551302894654219</v>
      </c>
      <c r="O17">
        <v>0.52741967467421802</v>
      </c>
      <c r="P17">
        <v>0.46189213862599798</v>
      </c>
      <c r="Q17">
        <v>0.38937379728178101</v>
      </c>
      <c r="R17">
        <v>0.57931821312869602</v>
      </c>
      <c r="S17">
        <v>0.31855086801185001</v>
      </c>
      <c r="T17">
        <v>0.67713199917293798</v>
      </c>
      <c r="U17">
        <v>0.33669915782170201</v>
      </c>
      <c r="V17">
        <v>0.49136642668715103</v>
      </c>
      <c r="W17">
        <v>0.68647991647212703</v>
      </c>
      <c r="X17">
        <v>0.47062612533342002</v>
      </c>
      <c r="Y17">
        <v>0.42413671830711702</v>
      </c>
      <c r="Z17">
        <v>0.12206085587490199</v>
      </c>
      <c r="AA17">
        <v>0.34197769129365402</v>
      </c>
      <c r="AB17">
        <v>-0.43088201807354298</v>
      </c>
      <c r="AC17">
        <v>0.40701201292365402</v>
      </c>
      <c r="AD17">
        <v>0.239394569630453</v>
      </c>
      <c r="AE17">
        <v>0</v>
      </c>
      <c r="AF17">
        <v>0.20560981722192501</v>
      </c>
      <c r="AG17">
        <v>0.42214718728807998</v>
      </c>
      <c r="AH17">
        <v>0.34698697374221898</v>
      </c>
      <c r="AI17">
        <v>-0.43764652912019097</v>
      </c>
      <c r="AJ17">
        <v>0.29734490892419901</v>
      </c>
      <c r="AK17">
        <v>0.36576874951601202</v>
      </c>
      <c r="AL17">
        <v>0.26914140276048798</v>
      </c>
      <c r="AM17">
        <v>0.36060061545084499</v>
      </c>
      <c r="AN17">
        <v>-0.16109193262677499</v>
      </c>
      <c r="AO17">
        <v>-1.0861210243920001</v>
      </c>
      <c r="AP17">
        <v>-0.46319433309792002</v>
      </c>
      <c r="AQ17">
        <v>-0.935247937645316</v>
      </c>
      <c r="AR17">
        <v>-1.96783630988506</v>
      </c>
      <c r="AS17">
        <v>-0.49099450288584101</v>
      </c>
      <c r="AT17">
        <v>0.14284405476822301</v>
      </c>
      <c r="AU17">
        <v>-1.27167085175522</v>
      </c>
      <c r="AV17">
        <v>-0.60834728945249295</v>
      </c>
      <c r="AW17">
        <v>-0.28617214704085597</v>
      </c>
      <c r="AX17">
        <v>-1.13499741974875</v>
      </c>
      <c r="AY17">
        <v>-0.49323917144746299</v>
      </c>
    </row>
    <row r="18" spans="1:51" x14ac:dyDescent="0.25">
      <c r="A18" t="s">
        <v>267</v>
      </c>
      <c r="B18" t="s">
        <v>490</v>
      </c>
      <c r="C18">
        <v>0.82051905100883704</v>
      </c>
      <c r="D18">
        <v>1.05422905027225</v>
      </c>
      <c r="E18">
        <v>0.61231253895646298</v>
      </c>
      <c r="F18">
        <v>0.79275045072705497</v>
      </c>
      <c r="G18">
        <v>0.73012160680288396</v>
      </c>
      <c r="H18">
        <v>-0.12571463691423401</v>
      </c>
      <c r="I18">
        <v>0.49792476240853301</v>
      </c>
      <c r="J18">
        <v>1.1497477665397</v>
      </c>
      <c r="K18">
        <v>0.69686224022148402</v>
      </c>
      <c r="L18">
        <v>0.730241200867219</v>
      </c>
      <c r="M18">
        <v>0.61586979065896996</v>
      </c>
      <c r="N18">
        <v>-0.16653643521962899</v>
      </c>
      <c r="O18">
        <v>-0.15960145901367501</v>
      </c>
      <c r="P18">
        <v>1.46450814053295E-2</v>
      </c>
      <c r="Q18">
        <v>-0.20729387263398699</v>
      </c>
      <c r="R18">
        <v>5.3770381935613801E-2</v>
      </c>
      <c r="S18">
        <v>-0.323852249814364</v>
      </c>
      <c r="T18">
        <v>-0.24114343453043599</v>
      </c>
      <c r="U18">
        <v>-0.17075444690071601</v>
      </c>
      <c r="V18">
        <v>-0.14571875784257601</v>
      </c>
      <c r="W18">
        <v>-0.31910487332972398</v>
      </c>
      <c r="X18">
        <v>-0.186795648355915</v>
      </c>
      <c r="Y18">
        <v>-0.21023782406161601</v>
      </c>
      <c r="Z18">
        <v>-0.225337030050552</v>
      </c>
      <c r="AA18">
        <v>-0.15620993537462399</v>
      </c>
      <c r="AB18">
        <v>-0.62370772037422895</v>
      </c>
      <c r="AC18">
        <v>2.8402301237149399E-2</v>
      </c>
      <c r="AD18">
        <v>8.77075812336095E-2</v>
      </c>
      <c r="AE18">
        <v>0</v>
      </c>
      <c r="AF18">
        <v>-0.15174062141612399</v>
      </c>
      <c r="AG18">
        <v>-5.3419005611896102E-2</v>
      </c>
      <c r="AH18">
        <v>-7.5688259105286301E-2</v>
      </c>
      <c r="AI18">
        <v>0.55902911744779904</v>
      </c>
      <c r="AJ18">
        <v>-7.8118897935260403E-2</v>
      </c>
      <c r="AK18">
        <v>0.14819717305052901</v>
      </c>
      <c r="AL18">
        <v>8.1597504722710198E-2</v>
      </c>
      <c r="AM18">
        <v>-0.109193021301381</v>
      </c>
      <c r="AN18">
        <v>0.21702302366982101</v>
      </c>
      <c r="AO18">
        <v>8.9416944336415102E-2</v>
      </c>
      <c r="AP18">
        <v>0.198785196465874</v>
      </c>
      <c r="AQ18">
        <v>0.59341452280536899</v>
      </c>
      <c r="AR18">
        <v>0.28424407840238902</v>
      </c>
      <c r="AS18">
        <v>0.23956336947004001</v>
      </c>
      <c r="AT18">
        <v>-8.75219546386794E-2</v>
      </c>
      <c r="AU18">
        <v>-6.5000408599806894E-2</v>
      </c>
      <c r="AV18">
        <v>-0.62370772037422895</v>
      </c>
      <c r="AW18">
        <v>-7.6128001026112599E-2</v>
      </c>
      <c r="AX18">
        <v>-0.128510262831906</v>
      </c>
      <c r="AY18">
        <v>0.39887122713925899</v>
      </c>
    </row>
    <row r="19" spans="1:51" x14ac:dyDescent="0.25">
      <c r="A19" t="s">
        <v>267</v>
      </c>
      <c r="B19" t="s">
        <v>496</v>
      </c>
      <c r="C19">
        <v>0.12749989132844899</v>
      </c>
      <c r="D19">
        <v>1.7276215518763401E-2</v>
      </c>
      <c r="E19">
        <v>0.14118792620793</v>
      </c>
      <c r="F19">
        <v>7.7782345951003806E-2</v>
      </c>
      <c r="G19">
        <v>0.26744791606193502</v>
      </c>
      <c r="H19">
        <v>0.280970602879547</v>
      </c>
      <c r="I19">
        <v>2.4017803774723501E-2</v>
      </c>
      <c r="J19">
        <v>0.17219758204642499</v>
      </c>
      <c r="K19">
        <v>5.4569303126746398E-2</v>
      </c>
      <c r="L19">
        <v>0.101378240872815</v>
      </c>
      <c r="M19">
        <v>-7.8540222540591995E-3</v>
      </c>
      <c r="N19">
        <v>1.2979067611890299E-2</v>
      </c>
      <c r="O19">
        <v>-4.5522714207735897E-2</v>
      </c>
      <c r="P19">
        <v>-1.75284232871127E-2</v>
      </c>
      <c r="Q19">
        <v>-7.8087572021196504E-3</v>
      </c>
      <c r="R19">
        <v>1.2968147585079101E-2</v>
      </c>
      <c r="S19">
        <v>-3.54784104638763E-2</v>
      </c>
      <c r="T19">
        <v>-6.6878031458799003E-2</v>
      </c>
      <c r="U19">
        <v>-2.2629227677053099E-2</v>
      </c>
      <c r="V19">
        <v>-2.0400537218725499E-2</v>
      </c>
      <c r="W19">
        <v>4.0383429440940199E-2</v>
      </c>
      <c r="X19">
        <v>-2.38464128784187E-2</v>
      </c>
      <c r="Y19">
        <v>-6.6878031458799003E-2</v>
      </c>
      <c r="Z19">
        <v>-1.06481366413752E-2</v>
      </c>
      <c r="AA19">
        <v>2.63574628725868E-2</v>
      </c>
      <c r="AB19">
        <v>-6.6878031458799003E-2</v>
      </c>
      <c r="AC19">
        <v>0</v>
      </c>
      <c r="AD19">
        <v>-9.05829038940297E-3</v>
      </c>
      <c r="AE19">
        <v>2.9952769481989699E-2</v>
      </c>
      <c r="AF19">
        <v>-4.7235091511871399E-2</v>
      </c>
      <c r="AG19">
        <v>9.5863506814611602E-2</v>
      </c>
      <c r="AH19">
        <v>-4.2010118694238603E-2</v>
      </c>
      <c r="AI19">
        <v>7.4809863737846399E-2</v>
      </c>
      <c r="AJ19">
        <v>-4.8674171417978002E-2</v>
      </c>
      <c r="AK19">
        <v>0.156423709927277</v>
      </c>
      <c r="AL19">
        <v>1.8840963806293499E-2</v>
      </c>
      <c r="AM19">
        <v>-4.3789920120745297E-3</v>
      </c>
      <c r="AN19">
        <v>4.9969138476597596E-3</v>
      </c>
      <c r="AO19">
        <v>0.11201145038270099</v>
      </c>
      <c r="AP19">
        <v>-6.6878031458799003E-2</v>
      </c>
      <c r="AQ19">
        <v>0.147275964886178</v>
      </c>
      <c r="AR19">
        <v>5.0387306297074302E-2</v>
      </c>
      <c r="AS19">
        <v>0.37699618387170603</v>
      </c>
      <c r="AT19">
        <v>-6.6878031458799003E-2</v>
      </c>
      <c r="AU19">
        <v>-6.6878031458799003E-2</v>
      </c>
      <c r="AV19">
        <v>-6.6878031458799003E-2</v>
      </c>
      <c r="AW19">
        <v>-6.6878031458799003E-2</v>
      </c>
      <c r="AX19">
        <v>-6.6878031458799003E-2</v>
      </c>
      <c r="AY19">
        <v>-6.6878031458799003E-2</v>
      </c>
    </row>
    <row r="20" spans="1:51" x14ac:dyDescent="0.25">
      <c r="A20" t="s">
        <v>267</v>
      </c>
      <c r="B20" t="s">
        <v>499</v>
      </c>
      <c r="C20">
        <v>0</v>
      </c>
      <c r="D20">
        <v>0</v>
      </c>
      <c r="E20">
        <v>5.4551343217452399E-2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2.9756380548765799E-2</v>
      </c>
      <c r="N20">
        <v>9.9657697103838497E-2</v>
      </c>
      <c r="O20">
        <v>4.2558856550306098E-2</v>
      </c>
      <c r="P20">
        <v>0</v>
      </c>
      <c r="Q20">
        <v>0</v>
      </c>
      <c r="R20">
        <v>1.6120847559368399E-2</v>
      </c>
      <c r="S20">
        <v>0</v>
      </c>
      <c r="T20">
        <v>0</v>
      </c>
      <c r="U20">
        <v>4.4248803781745803E-2</v>
      </c>
      <c r="V20">
        <v>4.64774942400734E-2</v>
      </c>
      <c r="W20">
        <v>6.4740545275822098E-2</v>
      </c>
      <c r="X20">
        <v>2.87222170929043E-2</v>
      </c>
      <c r="Y20">
        <v>0</v>
      </c>
      <c r="Z20">
        <v>0</v>
      </c>
      <c r="AA20">
        <v>3.7527059951534603E-2</v>
      </c>
      <c r="AB20">
        <v>0</v>
      </c>
      <c r="AC20">
        <v>2.24621952340316E-2</v>
      </c>
      <c r="AD20">
        <v>1.9387437006194001E-2</v>
      </c>
      <c r="AE20">
        <v>3.2621714213165703E-2</v>
      </c>
      <c r="AF20">
        <v>3.91629776446734E-2</v>
      </c>
      <c r="AG20">
        <v>0</v>
      </c>
      <c r="AH20">
        <v>0</v>
      </c>
      <c r="AI20">
        <v>7.7167558941278094E-2</v>
      </c>
      <c r="AJ20">
        <v>1.8203860040821099E-2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4.2029512207591803E-2</v>
      </c>
      <c r="AQ20">
        <v>0</v>
      </c>
      <c r="AR20">
        <v>0</v>
      </c>
      <c r="AS20">
        <v>0</v>
      </c>
      <c r="AT20">
        <v>0.10903139980773099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267</v>
      </c>
      <c r="B21" t="s">
        <v>503</v>
      </c>
      <c r="C21">
        <v>-0.12490514301007501</v>
      </c>
      <c r="D21">
        <v>-0.30511204371971801</v>
      </c>
      <c r="E21">
        <v>-0.49263921974665398</v>
      </c>
      <c r="F21">
        <v>-0.44326092837832598</v>
      </c>
      <c r="G21">
        <v>-0.31740162274509598</v>
      </c>
      <c r="H21">
        <v>-0.22517704083963</v>
      </c>
      <c r="I21">
        <v>2.0723253716725801E-2</v>
      </c>
      <c r="J21">
        <v>0.103278059986187</v>
      </c>
      <c r="K21">
        <v>-0.37119188516110901</v>
      </c>
      <c r="L21">
        <v>-0.22937737509878101</v>
      </c>
      <c r="M21">
        <v>-0.37647671900790702</v>
      </c>
      <c r="N21">
        <v>5.4663247601809703E-4</v>
      </c>
      <c r="O21">
        <v>8.41909218773116E-2</v>
      </c>
      <c r="P21">
        <v>0.23367793147570801</v>
      </c>
      <c r="Q21">
        <v>1.45995354326473E-2</v>
      </c>
      <c r="R21">
        <v>-9.6815026740555907E-2</v>
      </c>
      <c r="S21">
        <v>0.121977838503719</v>
      </c>
      <c r="T21">
        <v>0.34039354762900798</v>
      </c>
      <c r="U21">
        <v>-0.19910211330984501</v>
      </c>
      <c r="V21">
        <v>-5.9253857819245401E-2</v>
      </c>
      <c r="W21">
        <v>0.200370233821245</v>
      </c>
      <c r="X21">
        <v>3.5296337146571599E-2</v>
      </c>
      <c r="Y21">
        <v>8.8329387948179003E-2</v>
      </c>
      <c r="Z21">
        <v>-0.19231323644998699</v>
      </c>
      <c r="AA21">
        <v>0.27458917777173097</v>
      </c>
      <c r="AB21">
        <v>-0.49263921974665398</v>
      </c>
      <c r="AC21">
        <v>-3.7772939913707599E-3</v>
      </c>
      <c r="AD21">
        <v>3.5465734374434399E-2</v>
      </c>
      <c r="AE21">
        <v>0.22562843297890001</v>
      </c>
      <c r="AF21">
        <v>-6.5255565643424093E-2</v>
      </c>
      <c r="AG21">
        <v>0.11196108394676201</v>
      </c>
      <c r="AH21">
        <v>-5.2192435726415298E-2</v>
      </c>
      <c r="AI21">
        <v>-0.193972580099427</v>
      </c>
      <c r="AJ21">
        <v>-8.5768381064709298E-2</v>
      </c>
      <c r="AK21">
        <v>0</v>
      </c>
      <c r="AL21">
        <v>-0.101826439510581</v>
      </c>
      <c r="AM21">
        <v>-0.125398275410912</v>
      </c>
      <c r="AN21">
        <v>0.49207482931095298</v>
      </c>
      <c r="AO21">
        <v>-4.87510994924025E-2</v>
      </c>
      <c r="AP21">
        <v>0.152421804904393</v>
      </c>
      <c r="AQ21">
        <v>0.48502169034812997</v>
      </c>
      <c r="AR21">
        <v>-0.23510241586384001</v>
      </c>
      <c r="AS21">
        <v>0.75245060763452998</v>
      </c>
      <c r="AT21">
        <v>0.44081075539381698</v>
      </c>
      <c r="AU21">
        <v>8.2518445518264105E-3</v>
      </c>
      <c r="AV21">
        <v>7.2361402901365404E-2</v>
      </c>
      <c r="AW21">
        <v>-7.0585308427738899E-2</v>
      </c>
      <c r="AX21">
        <v>0.34104385147362598</v>
      </c>
      <c r="AY21">
        <v>0.52993972776683496</v>
      </c>
    </row>
    <row r="22" spans="1:51" x14ac:dyDescent="0.25">
      <c r="A22" t="s">
        <v>267</v>
      </c>
      <c r="B22" t="s">
        <v>504</v>
      </c>
      <c r="C22">
        <v>-0.24967905041477501</v>
      </c>
      <c r="D22">
        <v>-5.1528294124244603E-2</v>
      </c>
      <c r="E22">
        <v>-3.5141579708745103E-2</v>
      </c>
      <c r="F22">
        <v>-0.34296102504861198</v>
      </c>
      <c r="G22">
        <v>-3.8601989794910301E-2</v>
      </c>
      <c r="H22">
        <v>-0.26956449281300798</v>
      </c>
      <c r="I22">
        <v>0.14350816258027199</v>
      </c>
      <c r="J22">
        <v>-0.113571257723902</v>
      </c>
      <c r="K22">
        <v>-0.100337810327584</v>
      </c>
      <c r="L22">
        <v>-0.340664415257172</v>
      </c>
      <c r="M22">
        <v>-0.32058211014846999</v>
      </c>
      <c r="N22">
        <v>-0.24029194266709999</v>
      </c>
      <c r="O22">
        <v>-0.12088529124198399</v>
      </c>
      <c r="P22">
        <v>0.101563278180405</v>
      </c>
      <c r="Q22">
        <v>0.11270563356889</v>
      </c>
      <c r="R22">
        <v>-0.14982213581228601</v>
      </c>
      <c r="S22">
        <v>0.16353923208446899</v>
      </c>
      <c r="T22">
        <v>-0.115883143392857</v>
      </c>
      <c r="U22">
        <v>-8.3612115693880492E-3</v>
      </c>
      <c r="V22">
        <v>-0.19255551652216499</v>
      </c>
      <c r="W22">
        <v>-0.16987538652745299</v>
      </c>
      <c r="X22">
        <v>0.25769887586892398</v>
      </c>
      <c r="Y22">
        <v>0.102603774239581</v>
      </c>
      <c r="Z22">
        <v>6.4543097524248194E-2</v>
      </c>
      <c r="AA22">
        <v>0.267565927218055</v>
      </c>
      <c r="AB22">
        <v>0.97666855583268397</v>
      </c>
      <c r="AC22">
        <v>-0.12820471401231501</v>
      </c>
      <c r="AD22">
        <v>0</v>
      </c>
      <c r="AE22">
        <v>3.2015402578478298E-2</v>
      </c>
      <c r="AF22">
        <v>0.226021677456651</v>
      </c>
      <c r="AG22">
        <v>0.22812254988026801</v>
      </c>
      <c r="AH22">
        <v>0.362987205081301</v>
      </c>
      <c r="AI22">
        <v>6.3638902253785698E-2</v>
      </c>
      <c r="AJ22">
        <v>0.108943650599871</v>
      </c>
      <c r="AK22">
        <v>-3.97369330542909E-2</v>
      </c>
      <c r="AL22">
        <v>-0.104314885671086</v>
      </c>
      <c r="AM22">
        <v>6.2189477584040399E-2</v>
      </c>
      <c r="AN22">
        <v>0.69632148289544205</v>
      </c>
      <c r="AO22">
        <v>0.40195002313240402</v>
      </c>
      <c r="AP22">
        <v>0.69951026568338204</v>
      </c>
      <c r="AQ22">
        <v>1.3381999444194199</v>
      </c>
      <c r="AR22">
        <v>1.2488034146757001</v>
      </c>
      <c r="AS22">
        <v>-0.328459350802423</v>
      </c>
      <c r="AT22">
        <v>-0.247519123100886</v>
      </c>
      <c r="AU22">
        <v>0.33776578829399101</v>
      </c>
      <c r="AV22">
        <v>-0.61741312715135399</v>
      </c>
      <c r="AW22">
        <v>1.66065069695598</v>
      </c>
      <c r="AX22">
        <v>0.84587520530779103</v>
      </c>
      <c r="AY22">
        <v>-2.2857275915106699E-2</v>
      </c>
    </row>
    <row r="23" spans="1:51" x14ac:dyDescent="0.25">
      <c r="A23" t="s">
        <v>267</v>
      </c>
      <c r="B23" t="s">
        <v>505</v>
      </c>
      <c r="C23">
        <v>0.80324838421950995</v>
      </c>
      <c r="D23">
        <v>0.733373287225631</v>
      </c>
      <c r="E23">
        <v>0.67467119030071498</v>
      </c>
      <c r="F23">
        <v>0.45517440686534</v>
      </c>
      <c r="G23">
        <v>0.92460200851548302</v>
      </c>
      <c r="H23">
        <v>0.75096208756523997</v>
      </c>
      <c r="I23">
        <v>0.81149197097353998</v>
      </c>
      <c r="J23">
        <v>1.0483816904168299</v>
      </c>
      <c r="K23">
        <v>1.2516006960716699</v>
      </c>
      <c r="L23">
        <v>1.21351893094142</v>
      </c>
      <c r="M23">
        <v>1.17604483118865</v>
      </c>
      <c r="N23">
        <v>-0.146464136239399</v>
      </c>
      <c r="O23">
        <v>-0.141040867646618</v>
      </c>
      <c r="P23">
        <v>-0.26904861526485602</v>
      </c>
      <c r="Q23">
        <v>-0.364820476351848</v>
      </c>
      <c r="R23">
        <v>0.14872543260410501</v>
      </c>
      <c r="S23">
        <v>-0.40898614279325002</v>
      </c>
      <c r="T23">
        <v>-0.103083331018018</v>
      </c>
      <c r="U23">
        <v>-0.288263553858701</v>
      </c>
      <c r="V23">
        <v>-0.202895123103633</v>
      </c>
      <c r="W23">
        <v>-0.15804028408319501</v>
      </c>
      <c r="X23">
        <v>-0.42924995941788002</v>
      </c>
      <c r="Y23">
        <v>-0.26203900381352602</v>
      </c>
      <c r="Z23">
        <v>-0.44963178043551399</v>
      </c>
      <c r="AA23">
        <v>4.9983465143313602E-2</v>
      </c>
      <c r="AB23">
        <v>-0.24338260332334799</v>
      </c>
      <c r="AC23">
        <v>0.28617135689552398</v>
      </c>
      <c r="AD23">
        <v>0</v>
      </c>
      <c r="AE23">
        <v>0.14366468133976301</v>
      </c>
      <c r="AF23">
        <v>-0.479803051760332</v>
      </c>
      <c r="AG23">
        <v>-0.147475107319407</v>
      </c>
      <c r="AH23">
        <v>-0.26652031445448598</v>
      </c>
      <c r="AI23">
        <v>0.22305351758900399</v>
      </c>
      <c r="AJ23">
        <v>3.6303925151868199E-2</v>
      </c>
      <c r="AK23">
        <v>9.7551962353895294E-2</v>
      </c>
      <c r="AL23">
        <v>-5.5011109555523303E-2</v>
      </c>
      <c r="AM23">
        <v>0.20495922907549499</v>
      </c>
      <c r="AN23">
        <v>0.46425457350291599</v>
      </c>
      <c r="AO23">
        <v>-0.516272299779586</v>
      </c>
      <c r="AP23">
        <v>-0.13612408645141799</v>
      </c>
      <c r="AQ23">
        <v>0.43940575207328902</v>
      </c>
      <c r="AR23">
        <v>1.5099237205412E-2</v>
      </c>
      <c r="AS23">
        <v>-0.69540640608353599</v>
      </c>
      <c r="AT23">
        <v>0.268648275324395</v>
      </c>
      <c r="AU23">
        <v>-2.1725089985339698</v>
      </c>
      <c r="AV23">
        <v>-2.54618572277327</v>
      </c>
      <c r="AW23">
        <v>9.8447550673399206E-2</v>
      </c>
      <c r="AX23">
        <v>-0.83130670936354101</v>
      </c>
      <c r="AY23">
        <v>-0.983022527339525</v>
      </c>
    </row>
    <row r="24" spans="1:51" x14ac:dyDescent="0.25">
      <c r="A24" t="s">
        <v>267</v>
      </c>
      <c r="B24" t="s">
        <v>506</v>
      </c>
      <c r="C24">
        <v>0.96510886169443999</v>
      </c>
      <c r="D24">
        <v>0.56201790250408401</v>
      </c>
      <c r="E24">
        <v>0.80028316142110101</v>
      </c>
      <c r="F24">
        <v>0.83540438008860896</v>
      </c>
      <c r="G24">
        <v>0.99589128890382606</v>
      </c>
      <c r="H24">
        <v>0.73726894546448896</v>
      </c>
      <c r="I24">
        <v>0.41424802089952001</v>
      </c>
      <c r="J24">
        <v>0.42477221346091298</v>
      </c>
      <c r="K24">
        <v>0.31689302796528301</v>
      </c>
      <c r="L24">
        <v>0.73347988524123398</v>
      </c>
      <c r="M24">
        <v>0.62684801278270297</v>
      </c>
      <c r="N24">
        <v>-0.39236131343191499</v>
      </c>
      <c r="O24">
        <v>-0.37908018829458501</v>
      </c>
      <c r="P24">
        <v>-0.20557412836741801</v>
      </c>
      <c r="Q24">
        <v>-0.171838743120619</v>
      </c>
      <c r="R24">
        <v>5.3629634151400297E-2</v>
      </c>
      <c r="S24">
        <v>-0.226487883557385</v>
      </c>
      <c r="T24">
        <v>-0.37159757558974799</v>
      </c>
      <c r="U24">
        <v>-0.33831666035554703</v>
      </c>
      <c r="V24">
        <v>-0.33241848324760898</v>
      </c>
      <c r="W24">
        <v>-0.416579217904816</v>
      </c>
      <c r="X24">
        <v>-3.2021514440722203E-2</v>
      </c>
      <c r="Y24">
        <v>0.187789568026521</v>
      </c>
      <c r="Z24">
        <v>-0.16892029002175499</v>
      </c>
      <c r="AA24">
        <v>0.44304607683121999</v>
      </c>
      <c r="AB24">
        <v>0.75089523332889896</v>
      </c>
      <c r="AC24">
        <v>-0.14181629631217099</v>
      </c>
      <c r="AD24">
        <v>0.341523010519033</v>
      </c>
      <c r="AE24">
        <v>0.92005913212920298</v>
      </c>
      <c r="AF24">
        <v>-0.20224513939149899</v>
      </c>
      <c r="AG24">
        <v>-0.14885190735833601</v>
      </c>
      <c r="AH24">
        <v>-0.30214241894260702</v>
      </c>
      <c r="AI24">
        <v>0</v>
      </c>
      <c r="AJ24">
        <v>-0.49388350495295302</v>
      </c>
      <c r="AK24">
        <v>-0.22377129567062001</v>
      </c>
      <c r="AL24">
        <v>-0.306041491636458</v>
      </c>
      <c r="AM24">
        <v>-0.49321460848486898</v>
      </c>
      <c r="AN24">
        <v>3.4314585683981602E-2</v>
      </c>
      <c r="AO24">
        <v>0.702232091610834</v>
      </c>
      <c r="AP24">
        <v>0.26856197271697901</v>
      </c>
      <c r="AQ24">
        <v>0.65089751885163505</v>
      </c>
      <c r="AR24">
        <v>0.45223997874854599</v>
      </c>
      <c r="AS24">
        <v>-0.32200865049530097</v>
      </c>
      <c r="AT24">
        <v>-0.14395544028303101</v>
      </c>
      <c r="AU24">
        <v>-0.20432919884724901</v>
      </c>
      <c r="AV24">
        <v>0.47606414056201601</v>
      </c>
      <c r="AW24">
        <v>-0.34693788998009401</v>
      </c>
      <c r="AX24">
        <v>0.22413363196771399</v>
      </c>
      <c r="AY24">
        <v>-0.84318644965514</v>
      </c>
    </row>
    <row r="25" spans="1:51" s="11" customFormat="1" ht="15.75" thickBot="1" x14ac:dyDescent="0.3">
      <c r="A25" s="11" t="s">
        <v>267</v>
      </c>
      <c r="B25" s="11" t="s">
        <v>507</v>
      </c>
      <c r="C25" s="11">
        <v>0.277681222509921</v>
      </c>
      <c r="D25" s="11">
        <v>0.42684505605259099</v>
      </c>
      <c r="E25" s="11">
        <v>0.159790317463429</v>
      </c>
      <c r="F25" s="11">
        <v>0.40624552185638002</v>
      </c>
      <c r="G25" s="11">
        <v>0.39788467274382899</v>
      </c>
      <c r="H25" s="11">
        <v>0.71936786521778795</v>
      </c>
      <c r="I25" s="11">
        <v>0.100504887545753</v>
      </c>
      <c r="J25" s="11">
        <v>0.53145467131419599</v>
      </c>
      <c r="K25" s="11">
        <v>0.146646086120923</v>
      </c>
      <c r="L25" s="11">
        <v>8.3007033783543197E-2</v>
      </c>
      <c r="M25" s="11">
        <v>0.106159732167823</v>
      </c>
      <c r="N25" s="11">
        <v>-0.18867122736511399</v>
      </c>
      <c r="O25" s="11">
        <v>-0.29302165112022799</v>
      </c>
      <c r="P25" s="11">
        <v>-0.12715307773093701</v>
      </c>
      <c r="Q25" s="11">
        <v>-8.6773442602675194E-2</v>
      </c>
      <c r="R25" s="11">
        <v>-0.15917206082936</v>
      </c>
      <c r="S25" s="11">
        <v>-4.36726089669289E-2</v>
      </c>
      <c r="T25" s="11">
        <v>-7.1461875547251096E-3</v>
      </c>
      <c r="U25" s="11">
        <v>-9.6173366961709403E-2</v>
      </c>
      <c r="V25" s="11">
        <v>-0.15817387988127199</v>
      </c>
      <c r="W25" s="11">
        <v>-0.19533973196121199</v>
      </c>
      <c r="X25" s="11">
        <v>0</v>
      </c>
      <c r="Y25" s="11">
        <v>4.93167744844046E-2</v>
      </c>
      <c r="Z25" s="11">
        <v>-4.3057520513434998E-2</v>
      </c>
      <c r="AA25" s="11">
        <v>6.8064520495572003E-2</v>
      </c>
      <c r="AB25" s="11">
        <v>-0.389710473398518</v>
      </c>
      <c r="AC25" s="11">
        <v>-6.9101281705541001E-2</v>
      </c>
      <c r="AD25" s="11">
        <v>2.92507157651258E-2</v>
      </c>
      <c r="AE25" s="11">
        <v>0.453491433541512</v>
      </c>
      <c r="AF25" s="11">
        <v>3.17997090294471E-2</v>
      </c>
      <c r="AG25" s="11">
        <v>-0.16924672512926101</v>
      </c>
      <c r="AH25" s="11">
        <v>-0.12128705627181301</v>
      </c>
      <c r="AI25" s="11">
        <v>-3.5872088139512599E-2</v>
      </c>
      <c r="AJ25" s="11">
        <v>-0.21276260040122399</v>
      </c>
      <c r="AK25" s="11">
        <v>-0.166408732012442</v>
      </c>
      <c r="AL25" s="11">
        <v>-0.22713112495540999</v>
      </c>
      <c r="AM25" s="11">
        <v>-0.11728718562924099</v>
      </c>
      <c r="AN25" s="11">
        <v>-6.3975498633941003E-2</v>
      </c>
      <c r="AO25" s="11">
        <v>0.450993913208174</v>
      </c>
      <c r="AP25" s="11">
        <v>0.27184093938446602</v>
      </c>
      <c r="AQ25" s="11">
        <v>0.37191728766939602</v>
      </c>
      <c r="AR25" s="11">
        <v>-6.0068324294177397E-2</v>
      </c>
      <c r="AS25" s="11">
        <v>0.11150396412934099</v>
      </c>
      <c r="AT25" s="11">
        <v>-1.9816469348050401E-2</v>
      </c>
      <c r="AU25" s="11">
        <v>-1.7779040350812E-2</v>
      </c>
      <c r="AV25" s="11">
        <v>0.59403776981689005</v>
      </c>
      <c r="AW25" s="11">
        <v>0.228496237778193</v>
      </c>
      <c r="AX25" s="11">
        <v>1.07357785906063</v>
      </c>
      <c r="AY25" s="11">
        <v>0.20484537783772899</v>
      </c>
    </row>
    <row r="27" spans="1:51" x14ac:dyDescent="0.25">
      <c r="A27" s="220" t="s">
        <v>81</v>
      </c>
      <c r="B27" s="220"/>
      <c r="C27">
        <f>AVERAGE(C2:C25)</f>
        <v>1.3814129322022745E-2</v>
      </c>
      <c r="D27">
        <f t="shared" ref="D27:AY27" si="0">AVERAGE(D2:D25)</f>
        <v>-8.4535262065366309E-3</v>
      </c>
      <c r="E27">
        <f t="shared" si="0"/>
        <v>-7.8063032012911912E-2</v>
      </c>
      <c r="F27">
        <f t="shared" si="0"/>
        <v>-0.11566458648318118</v>
      </c>
      <c r="G27">
        <f t="shared" si="0"/>
        <v>1.7557241516991808E-2</v>
      </c>
      <c r="H27">
        <f t="shared" si="0"/>
        <v>-7.2983658888868638E-2</v>
      </c>
      <c r="I27">
        <f t="shared" si="0"/>
        <v>2.440884401139426E-2</v>
      </c>
      <c r="J27">
        <f t="shared" si="0"/>
        <v>1.5397088595176994E-2</v>
      </c>
      <c r="K27">
        <f t="shared" si="0"/>
        <v>-4.9727612155444335E-2</v>
      </c>
      <c r="L27">
        <f t="shared" si="0"/>
        <v>-5.2481547386601497E-2</v>
      </c>
      <c r="M27">
        <f t="shared" si="0"/>
        <v>-0.10103337394782556</v>
      </c>
      <c r="N27">
        <f t="shared" si="0"/>
        <v>-3.5086649468211648E-2</v>
      </c>
      <c r="O27">
        <f t="shared" si="0"/>
        <v>-5.8762955357740919E-2</v>
      </c>
      <c r="P27">
        <f t="shared" si="0"/>
        <v>1.9919937912603615E-3</v>
      </c>
      <c r="Q27">
        <f t="shared" si="0"/>
        <v>-2.8473797050710112E-2</v>
      </c>
      <c r="R27">
        <f t="shared" si="0"/>
        <v>4.806688789844251E-2</v>
      </c>
      <c r="S27">
        <f t="shared" si="0"/>
        <v>-5.3385357194771582E-2</v>
      </c>
      <c r="T27">
        <f t="shared" si="0"/>
        <v>-6.1148390801174903E-3</v>
      </c>
      <c r="U27">
        <f t="shared" si="0"/>
        <v>-7.325115215810378E-2</v>
      </c>
      <c r="V27">
        <f t="shared" si="0"/>
        <v>-2.7368482268046761E-2</v>
      </c>
      <c r="W27">
        <f t="shared" si="0"/>
        <v>-2.5305708597460518E-2</v>
      </c>
      <c r="X27">
        <f t="shared" si="0"/>
        <v>-2.4083139756577859E-2</v>
      </c>
      <c r="Y27">
        <f t="shared" si="0"/>
        <v>-5.2606766271110427E-4</v>
      </c>
      <c r="Z27">
        <f t="shared" si="0"/>
        <v>-5.2782810050539225E-2</v>
      </c>
      <c r="AA27">
        <f t="shared" si="0"/>
        <v>7.6842301047689007E-2</v>
      </c>
      <c r="AB27">
        <f t="shared" si="0"/>
        <v>-2.1232546850915152E-2</v>
      </c>
      <c r="AC27">
        <f t="shared" si="0"/>
        <v>0.1054613956260632</v>
      </c>
      <c r="AD27">
        <f t="shared" si="0"/>
        <v>4.82387224582628E-2</v>
      </c>
      <c r="AE27">
        <f t="shared" si="0"/>
        <v>0.12041299297778459</v>
      </c>
      <c r="AF27">
        <f t="shared" si="0"/>
        <v>-1.5640136045377988E-2</v>
      </c>
      <c r="AG27">
        <f t="shared" si="0"/>
        <v>1.6935213186678223E-2</v>
      </c>
      <c r="AH27">
        <f t="shared" si="0"/>
        <v>-9.3251913930268437E-3</v>
      </c>
      <c r="AI27">
        <f t="shared" si="0"/>
        <v>5.4207579191951349E-2</v>
      </c>
      <c r="AJ27">
        <f t="shared" si="0"/>
        <v>-3.4158065016888506E-2</v>
      </c>
      <c r="AK27">
        <f t="shared" si="0"/>
        <v>1.3684776194916801E-2</v>
      </c>
      <c r="AL27">
        <f t="shared" si="0"/>
        <v>-3.7061059336022918E-2</v>
      </c>
      <c r="AM27">
        <f t="shared" si="0"/>
        <v>-8.1358837182064405E-3</v>
      </c>
      <c r="AN27">
        <f t="shared" si="0"/>
        <v>0.17189707440520086</v>
      </c>
      <c r="AO27">
        <f t="shared" si="0"/>
        <v>0.1096765384808352</v>
      </c>
      <c r="AP27">
        <f t="shared" si="0"/>
        <v>0.13966724367598479</v>
      </c>
      <c r="AQ27">
        <f t="shared" si="0"/>
        <v>0.31300516394641997</v>
      </c>
      <c r="AR27">
        <f t="shared" si="0"/>
        <v>0.14131758631733007</v>
      </c>
      <c r="AS27">
        <f t="shared" si="0"/>
        <v>5.4048753426660053E-2</v>
      </c>
      <c r="AT27">
        <f t="shared" si="0"/>
        <v>3.7298371830276601E-2</v>
      </c>
      <c r="AU27">
        <f t="shared" si="0"/>
        <v>-0.23984278733735284</v>
      </c>
      <c r="AV27">
        <f t="shared" si="0"/>
        <v>-0.1619544194268881</v>
      </c>
      <c r="AW27">
        <f t="shared" si="0"/>
        <v>0.38352063491860172</v>
      </c>
      <c r="AX27">
        <f t="shared" si="0"/>
        <v>0.12120856667442408</v>
      </c>
      <c r="AY27">
        <f t="shared" si="0"/>
        <v>-7.776527377071317E-2</v>
      </c>
    </row>
    <row r="28" spans="1:51" x14ac:dyDescent="0.25">
      <c r="A28" s="220" t="s">
        <v>262</v>
      </c>
      <c r="B28" s="220"/>
      <c r="C28">
        <f>AVERAGE(C6:C12)</f>
        <v>-8.4296259403474377E-2</v>
      </c>
      <c r="D28">
        <f t="shared" ref="D28:AY28" si="1">AVERAGE(D6:D12)</f>
        <v>-0.10192455724666856</v>
      </c>
      <c r="E28">
        <f t="shared" si="1"/>
        <v>-0.1447616244067072</v>
      </c>
      <c r="F28">
        <f t="shared" si="1"/>
        <v>-0.21810529196864206</v>
      </c>
      <c r="G28">
        <f t="shared" si="1"/>
        <v>-2.4348878151129332E-2</v>
      </c>
      <c r="H28">
        <f t="shared" si="1"/>
        <v>-0.180793639065292</v>
      </c>
      <c r="I28">
        <f t="shared" si="1"/>
        <v>-2.3953979605992069E-2</v>
      </c>
      <c r="J28">
        <f t="shared" si="1"/>
        <v>-0.18985582754902386</v>
      </c>
      <c r="K28">
        <f t="shared" si="1"/>
        <v>-0.1223476206363817</v>
      </c>
      <c r="L28">
        <f t="shared" si="1"/>
        <v>-0.15202922102178087</v>
      </c>
      <c r="M28">
        <f t="shared" si="1"/>
        <v>-0.19227735980985017</v>
      </c>
      <c r="N28">
        <f t="shared" si="1"/>
        <v>-5.5334961270668464E-3</v>
      </c>
      <c r="O28">
        <f t="shared" si="1"/>
        <v>-9.8733753191448545E-2</v>
      </c>
      <c r="P28">
        <f t="shared" si="1"/>
        <v>-4.956051316000043E-2</v>
      </c>
      <c r="Q28">
        <f t="shared" si="1"/>
        <v>-8.5552890952307559E-2</v>
      </c>
      <c r="R28">
        <f t="shared" si="1"/>
        <v>3.9496969906177293E-3</v>
      </c>
      <c r="S28">
        <f t="shared" si="1"/>
        <v>-9.1965246180560428E-2</v>
      </c>
      <c r="T28">
        <f t="shared" si="1"/>
        <v>-3.870638626122104E-2</v>
      </c>
      <c r="U28">
        <f t="shared" si="1"/>
        <v>-0.10946021417776311</v>
      </c>
      <c r="V28">
        <f t="shared" si="1"/>
        <v>5.286675841873449E-4</v>
      </c>
      <c r="W28">
        <f t="shared" si="1"/>
        <v>-3.5778052389129934E-2</v>
      </c>
      <c r="X28">
        <f t="shared" si="1"/>
        <v>-0.10934376712002385</v>
      </c>
      <c r="Y28">
        <f t="shared" si="1"/>
        <v>-5.7546708622182467E-2</v>
      </c>
      <c r="Z28">
        <f t="shared" si="1"/>
        <v>-4.3411332140513889E-2</v>
      </c>
      <c r="AA28">
        <f t="shared" si="1"/>
        <v>3.0798262835705723E-2</v>
      </c>
      <c r="AB28">
        <f t="shared" si="1"/>
        <v>0.2302939069530002</v>
      </c>
      <c r="AC28">
        <f t="shared" si="1"/>
        <v>3.1026991739300205E-2</v>
      </c>
      <c r="AD28">
        <f t="shared" si="1"/>
        <v>1.6174364593625139E-2</v>
      </c>
      <c r="AE28">
        <f t="shared" si="1"/>
        <v>7.9502596309414364E-2</v>
      </c>
      <c r="AF28">
        <f t="shared" si="1"/>
        <v>-1.5642440889741323E-2</v>
      </c>
      <c r="AG28">
        <f t="shared" si="1"/>
        <v>-4.5772715812714658E-2</v>
      </c>
      <c r="AH28">
        <f t="shared" si="1"/>
        <v>-5.7352352202891324E-2</v>
      </c>
      <c r="AI28">
        <f t="shared" si="1"/>
        <v>0.10848762783742687</v>
      </c>
      <c r="AJ28">
        <f t="shared" si="1"/>
        <v>-2.5455943876882874E-2</v>
      </c>
      <c r="AK28">
        <f t="shared" si="1"/>
        <v>-9.1634104502125363E-2</v>
      </c>
      <c r="AL28">
        <f t="shared" si="1"/>
        <v>-7.0446311574138415E-2</v>
      </c>
      <c r="AM28">
        <f t="shared" si="1"/>
        <v>8.7293351124479324E-3</v>
      </c>
      <c r="AN28">
        <f t="shared" si="1"/>
        <v>0.27716379517604467</v>
      </c>
      <c r="AO28">
        <f t="shared" si="1"/>
        <v>0.15205267064185607</v>
      </c>
      <c r="AP28">
        <f t="shared" si="1"/>
        <v>0.28874857475713239</v>
      </c>
      <c r="AQ28">
        <f t="shared" si="1"/>
        <v>0.51015176348059821</v>
      </c>
      <c r="AR28">
        <f t="shared" si="1"/>
        <v>0.43489790436445758</v>
      </c>
      <c r="AS28">
        <f t="shared" si="1"/>
        <v>0.11682911217399862</v>
      </c>
      <c r="AT28">
        <f t="shared" si="1"/>
        <v>4.0632020697747614E-2</v>
      </c>
      <c r="AU28">
        <f t="shared" si="1"/>
        <v>-0.35506646592300761</v>
      </c>
      <c r="AV28">
        <f t="shared" si="1"/>
        <v>7.3452091926583052E-3</v>
      </c>
      <c r="AW28">
        <f t="shared" si="1"/>
        <v>0.59997839571243827</v>
      </c>
      <c r="AX28">
        <f t="shared" si="1"/>
        <v>0.29989024271948328</v>
      </c>
      <c r="AY28">
        <f t="shared" si="1"/>
        <v>-0.17150398593306163</v>
      </c>
    </row>
    <row r="29" spans="1:51" x14ac:dyDescent="0.25">
      <c r="A29" s="220" t="s">
        <v>263</v>
      </c>
      <c r="B29" s="220"/>
      <c r="C29">
        <f>AVERAGE(C2:C5)</f>
        <v>-1.8586390173300278E-2</v>
      </c>
      <c r="D29">
        <f t="shared" ref="D29:AY29" si="2">AVERAGE(D2:D5)</f>
        <v>3.354412262562978E-2</v>
      </c>
      <c r="E29">
        <f t="shared" si="2"/>
        <v>-0.17997424407694562</v>
      </c>
      <c r="F29">
        <f t="shared" si="2"/>
        <v>-0.11520985129023795</v>
      </c>
      <c r="G29">
        <f t="shared" si="2"/>
        <v>-6.4494754594574016E-2</v>
      </c>
      <c r="H29">
        <f t="shared" si="2"/>
        <v>-3.4617770458328007E-2</v>
      </c>
      <c r="I29">
        <f t="shared" si="2"/>
        <v>-8.6425627086183621E-2</v>
      </c>
      <c r="J29">
        <f t="shared" si="2"/>
        <v>2.9954297937399739E-3</v>
      </c>
      <c r="K29">
        <f t="shared" si="2"/>
        <v>-0.10673717861700396</v>
      </c>
      <c r="L29">
        <f t="shared" si="2"/>
        <v>-0.12658934553412474</v>
      </c>
      <c r="M29">
        <f t="shared" si="2"/>
        <v>-0.10139668564080789</v>
      </c>
      <c r="N29">
        <f t="shared" si="2"/>
        <v>-6.7063344897897975E-2</v>
      </c>
      <c r="O29">
        <f t="shared" si="2"/>
        <v>-2.9514098947291748E-2</v>
      </c>
      <c r="P29">
        <f t="shared" si="2"/>
        <v>2.5067154297718795E-2</v>
      </c>
      <c r="Q29">
        <f t="shared" si="2"/>
        <v>5.1494129730168973E-2</v>
      </c>
      <c r="R29">
        <f t="shared" si="2"/>
        <v>0.12279098892225826</v>
      </c>
      <c r="S29">
        <f t="shared" si="2"/>
        <v>-3.7223674135488459E-2</v>
      </c>
      <c r="T29">
        <f t="shared" si="2"/>
        <v>-4.1180462122600472E-2</v>
      </c>
      <c r="U29">
        <f t="shared" si="2"/>
        <v>-5.8109661058869241E-3</v>
      </c>
      <c r="V29">
        <f t="shared" si="2"/>
        <v>-1.6473764875013449E-2</v>
      </c>
      <c r="W29">
        <f t="shared" si="2"/>
        <v>-4.8357598778013898E-2</v>
      </c>
      <c r="X29">
        <f t="shared" si="2"/>
        <v>-2.0754310775909952E-2</v>
      </c>
      <c r="Y29">
        <f t="shared" si="2"/>
        <v>3.524565580462978E-2</v>
      </c>
      <c r="Z29">
        <f t="shared" si="2"/>
        <v>4.1529486226966728E-2</v>
      </c>
      <c r="AA29">
        <f t="shared" si="2"/>
        <v>5.5328933062230079E-2</v>
      </c>
      <c r="AB29">
        <f t="shared" si="2"/>
        <v>-0.24686799889273847</v>
      </c>
      <c r="AC29">
        <f t="shared" si="2"/>
        <v>0.4077233319631427</v>
      </c>
      <c r="AD29">
        <f t="shared" si="2"/>
        <v>7.4576363972688506E-2</v>
      </c>
      <c r="AE29">
        <f t="shared" si="2"/>
        <v>0.13196998952539568</v>
      </c>
      <c r="AF29">
        <f t="shared" si="2"/>
        <v>0.11332948253186664</v>
      </c>
      <c r="AG29">
        <f t="shared" si="2"/>
        <v>7.5593139235155524E-2</v>
      </c>
      <c r="AH29">
        <f t="shared" si="2"/>
        <v>5.6837639353400728E-2</v>
      </c>
      <c r="AI29">
        <f t="shared" si="2"/>
        <v>2.0818949080223123E-2</v>
      </c>
      <c r="AJ29">
        <f t="shared" si="2"/>
        <v>-9.2689739520261036E-3</v>
      </c>
      <c r="AK29">
        <f t="shared" si="2"/>
        <v>0.13815198328724676</v>
      </c>
      <c r="AL29">
        <f t="shared" si="2"/>
        <v>1.4818356636343597E-2</v>
      </c>
      <c r="AM29">
        <f t="shared" si="2"/>
        <v>-5.9672205177716195E-3</v>
      </c>
      <c r="AN29">
        <f t="shared" si="2"/>
        <v>9.1044528368746269E-2</v>
      </c>
      <c r="AO29">
        <f t="shared" si="2"/>
        <v>0.13988180700910036</v>
      </c>
      <c r="AP29">
        <f t="shared" si="2"/>
        <v>7.93210393901565E-2</v>
      </c>
      <c r="AQ29">
        <f t="shared" si="2"/>
        <v>9.7927740284601772E-2</v>
      </c>
      <c r="AR29">
        <f t="shared" si="2"/>
        <v>7.1253872167932636E-2</v>
      </c>
      <c r="AS29">
        <f t="shared" si="2"/>
        <v>7.9626574538516876E-2</v>
      </c>
      <c r="AT29">
        <f t="shared" si="2"/>
        <v>2.3687429201514246E-2</v>
      </c>
      <c r="AU29">
        <f t="shared" si="2"/>
        <v>8.8505723197526392E-2</v>
      </c>
      <c r="AV29">
        <f t="shared" si="2"/>
        <v>-9.3093808888647378E-4</v>
      </c>
      <c r="AW29">
        <f t="shared" si="2"/>
        <v>0.75180224471894097</v>
      </c>
      <c r="AX29">
        <f t="shared" si="2"/>
        <v>4.2155196790167701E-2</v>
      </c>
      <c r="AY29">
        <f t="shared" si="2"/>
        <v>-9.8229036083676724E-2</v>
      </c>
    </row>
    <row r="30" spans="1:51" x14ac:dyDescent="0.25">
      <c r="A30" s="220" t="s">
        <v>264</v>
      </c>
      <c r="B30" s="220"/>
      <c r="C30">
        <f>AVERAGE(C13:C25)</f>
        <v>7.6612190788159049E-2</v>
      </c>
      <c r="D30">
        <f t="shared" ref="D30:AY30" si="3">AVERAGE(D13:D25)</f>
        <v>2.8954675482098576E-2</v>
      </c>
      <c r="E30">
        <f t="shared" si="3"/>
        <v>-1.0791109319627087E-2</v>
      </c>
      <c r="F30">
        <f t="shared" si="3"/>
        <v>-6.0644125127300205E-2</v>
      </c>
      <c r="G30">
        <f t="shared" si="3"/>
        <v>6.5368843218769596E-2</v>
      </c>
      <c r="H30">
        <f t="shared" si="3"/>
        <v>-2.6737019849422373E-2</v>
      </c>
      <c r="I30">
        <f t="shared" si="3"/>
        <v>8.4553278604626261E-2</v>
      </c>
      <c r="J30">
        <f t="shared" si="3"/>
        <v>0.1297337846117273</v>
      </c>
      <c r="K30">
        <f t="shared" si="3"/>
        <v>6.9168743993864301E-3</v>
      </c>
      <c r="L30">
        <f t="shared" si="3"/>
        <v>2.3923445539271473E-2</v>
      </c>
      <c r="M30">
        <f t="shared" si="3"/>
        <v>-5.1790208731971668E-2</v>
      </c>
      <c r="N30">
        <f t="shared" si="3"/>
        <v>-4.1160902673539987E-2</v>
      </c>
      <c r="O30">
        <f t="shared" si="3"/>
        <v>-4.6239866188959637E-2</v>
      </c>
      <c r="P30">
        <f t="shared" si="3"/>
        <v>2.2650986609182803E-2</v>
      </c>
      <c r="Q30">
        <f t="shared" si="3"/>
        <v>-2.2344416267043518E-2</v>
      </c>
      <c r="R30">
        <f t="shared" si="3"/>
        <v>4.8830267303020231E-2</v>
      </c>
      <c r="S30">
        <f t="shared" si="3"/>
        <v>-3.7584396374510859E-2</v>
      </c>
      <c r="T30">
        <f t="shared" si="3"/>
        <v>2.2223878030471492E-2</v>
      </c>
      <c r="U30">
        <f t="shared" si="3"/>
        <v>-7.4504791394353925E-2</v>
      </c>
      <c r="V30">
        <f t="shared" si="3"/>
        <v>-4.5742245232490757E-2</v>
      </c>
      <c r="W30">
        <f t="shared" si="3"/>
        <v>-1.2573864961775951E-2</v>
      </c>
      <c r="X30">
        <f t="shared" si="3"/>
        <v>2.0802173752764462E-2</v>
      </c>
      <c r="Y30">
        <f t="shared" si="3"/>
        <v>1.9170670248591662E-2</v>
      </c>
      <c r="Z30">
        <f t="shared" si="3"/>
        <v>-8.6848158549016258E-2</v>
      </c>
      <c r="AA30">
        <f t="shared" si="3"/>
        <v>0.10825474254197504</v>
      </c>
      <c r="AB30">
        <f t="shared" si="3"/>
        <v>-8.7243575194000847E-2</v>
      </c>
      <c r="AC30">
        <f t="shared" si="3"/>
        <v>5.2537786538295703E-2</v>
      </c>
      <c r="AD30">
        <f t="shared" si="3"/>
        <v>5.7400256227090551E-2</v>
      </c>
      <c r="AE30">
        <f t="shared" si="3"/>
        <v>0.13888566916918052</v>
      </c>
      <c r="AF30">
        <f t="shared" si="3"/>
        <v>-5.5321854537565322E-2</v>
      </c>
      <c r="AG30">
        <f t="shared" si="3"/>
        <v>3.2652428479127533E-2</v>
      </c>
      <c r="AH30">
        <f t="shared" si="3"/>
        <v>-3.822206571231372E-3</v>
      </c>
      <c r="AI30">
        <f t="shared" si="3"/>
        <v>3.5253285340303968E-2</v>
      </c>
      <c r="AJ30">
        <f t="shared" si="3"/>
        <v>-4.6502004419926128E-2</v>
      </c>
      <c r="AK30">
        <f t="shared" si="3"/>
        <v>3.2097340541837979E-2</v>
      </c>
      <c r="AL30">
        <f t="shared" si="3"/>
        <v>-3.5047282276227359E-2</v>
      </c>
      <c r="AM30">
        <f t="shared" si="3"/>
        <v>-1.7884436381000273E-2</v>
      </c>
      <c r="AN30">
        <f t="shared" si="3"/>
        <v>0.14009270046288635</v>
      </c>
      <c r="AO30">
        <f t="shared" si="3"/>
        <v>7.7564692385434675E-2</v>
      </c>
      <c r="AP30">
        <f t="shared" si="3"/>
        <v>7.7960743643314068E-2</v>
      </c>
      <c r="AQ30">
        <f t="shared" si="3"/>
        <v>0.27302697147780652</v>
      </c>
      <c r="AR30">
        <f t="shared" si="3"/>
        <v>4.7939424917683793E-3</v>
      </c>
      <c r="AS30">
        <f t="shared" si="3"/>
        <v>1.237384606675254E-2</v>
      </c>
      <c r="AT30">
        <f t="shared" si="3"/>
        <v>3.9691312479719069E-2</v>
      </c>
      <c r="AU30">
        <f t="shared" si="3"/>
        <v>-0.27882957903273231</v>
      </c>
      <c r="AV30">
        <f t="shared" si="3"/>
        <v>-0.30266144447987509</v>
      </c>
      <c r="AW30">
        <f t="shared" si="3"/>
        <v>0.15364903762950835</v>
      </c>
      <c r="AX30">
        <f t="shared" si="3"/>
        <v>4.931947030685567E-2</v>
      </c>
      <c r="AY30">
        <f t="shared" si="3"/>
        <v>-2.099404035622909E-2</v>
      </c>
    </row>
    <row r="31" spans="1:51" x14ac:dyDescent="0.25">
      <c r="A31" s="220" t="s">
        <v>268</v>
      </c>
      <c r="B31" s="220"/>
      <c r="C31">
        <f>MAX(C29:C30)</f>
        <v>7.6612190788159049E-2</v>
      </c>
      <c r="D31">
        <f t="shared" ref="D31:AY31" si="4">MAX(D29:D30)</f>
        <v>3.354412262562978E-2</v>
      </c>
      <c r="E31">
        <f t="shared" si="4"/>
        <v>-1.0791109319627087E-2</v>
      </c>
      <c r="F31">
        <f t="shared" si="4"/>
        <v>-6.0644125127300205E-2</v>
      </c>
      <c r="G31">
        <f t="shared" si="4"/>
        <v>6.5368843218769596E-2</v>
      </c>
      <c r="H31">
        <f t="shared" si="4"/>
        <v>-2.6737019849422373E-2</v>
      </c>
      <c r="I31">
        <f t="shared" si="4"/>
        <v>8.4553278604626261E-2</v>
      </c>
      <c r="J31">
        <f t="shared" si="4"/>
        <v>0.1297337846117273</v>
      </c>
      <c r="K31">
        <f t="shared" si="4"/>
        <v>6.9168743993864301E-3</v>
      </c>
      <c r="L31">
        <f t="shared" si="4"/>
        <v>2.3923445539271473E-2</v>
      </c>
      <c r="M31">
        <f t="shared" si="4"/>
        <v>-5.1790208731971668E-2</v>
      </c>
      <c r="N31">
        <f t="shared" si="4"/>
        <v>-4.1160902673539987E-2</v>
      </c>
      <c r="O31">
        <f t="shared" si="4"/>
        <v>-2.9514098947291748E-2</v>
      </c>
      <c r="P31">
        <f t="shared" si="4"/>
        <v>2.5067154297718795E-2</v>
      </c>
      <c r="Q31">
        <f t="shared" si="4"/>
        <v>5.1494129730168973E-2</v>
      </c>
      <c r="R31">
        <f t="shared" si="4"/>
        <v>0.12279098892225826</v>
      </c>
      <c r="S31">
        <f t="shared" si="4"/>
        <v>-3.7223674135488459E-2</v>
      </c>
      <c r="T31">
        <f t="shared" si="4"/>
        <v>2.2223878030471492E-2</v>
      </c>
      <c r="U31">
        <f t="shared" si="4"/>
        <v>-5.8109661058869241E-3</v>
      </c>
      <c r="V31">
        <f t="shared" si="4"/>
        <v>-1.6473764875013449E-2</v>
      </c>
      <c r="W31">
        <f t="shared" si="4"/>
        <v>-1.2573864961775951E-2</v>
      </c>
      <c r="X31">
        <f t="shared" si="4"/>
        <v>2.0802173752764462E-2</v>
      </c>
      <c r="Y31">
        <f t="shared" si="4"/>
        <v>3.524565580462978E-2</v>
      </c>
      <c r="Z31">
        <f t="shared" si="4"/>
        <v>4.1529486226966728E-2</v>
      </c>
      <c r="AA31">
        <f t="shared" si="4"/>
        <v>0.10825474254197504</v>
      </c>
      <c r="AB31">
        <f t="shared" si="4"/>
        <v>-8.7243575194000847E-2</v>
      </c>
      <c r="AC31">
        <f t="shared" si="4"/>
        <v>0.4077233319631427</v>
      </c>
      <c r="AD31">
        <f t="shared" si="4"/>
        <v>7.4576363972688506E-2</v>
      </c>
      <c r="AE31">
        <f t="shared" si="4"/>
        <v>0.13888566916918052</v>
      </c>
      <c r="AF31">
        <f t="shared" si="4"/>
        <v>0.11332948253186664</v>
      </c>
      <c r="AG31">
        <f t="shared" si="4"/>
        <v>7.5593139235155524E-2</v>
      </c>
      <c r="AH31">
        <f t="shared" si="4"/>
        <v>5.6837639353400728E-2</v>
      </c>
      <c r="AI31">
        <f t="shared" si="4"/>
        <v>3.5253285340303968E-2</v>
      </c>
      <c r="AJ31">
        <f t="shared" si="4"/>
        <v>-9.2689739520261036E-3</v>
      </c>
      <c r="AK31">
        <f t="shared" si="4"/>
        <v>0.13815198328724676</v>
      </c>
      <c r="AL31">
        <f t="shared" si="4"/>
        <v>1.4818356636343597E-2</v>
      </c>
      <c r="AM31">
        <f t="shared" si="4"/>
        <v>-5.9672205177716195E-3</v>
      </c>
      <c r="AN31">
        <f t="shared" si="4"/>
        <v>0.14009270046288635</v>
      </c>
      <c r="AO31">
        <f t="shared" si="4"/>
        <v>0.13988180700910036</v>
      </c>
      <c r="AP31">
        <f t="shared" si="4"/>
        <v>7.93210393901565E-2</v>
      </c>
      <c r="AQ31">
        <f t="shared" si="4"/>
        <v>0.27302697147780652</v>
      </c>
      <c r="AR31">
        <f t="shared" si="4"/>
        <v>7.1253872167932636E-2</v>
      </c>
      <c r="AS31">
        <f t="shared" si="4"/>
        <v>7.9626574538516876E-2</v>
      </c>
      <c r="AT31">
        <f t="shared" si="4"/>
        <v>3.9691312479719069E-2</v>
      </c>
      <c r="AU31">
        <f t="shared" si="4"/>
        <v>8.8505723197526392E-2</v>
      </c>
      <c r="AV31">
        <f t="shared" si="4"/>
        <v>-9.3093808888647378E-4</v>
      </c>
      <c r="AW31">
        <f t="shared" si="4"/>
        <v>0.75180224471894097</v>
      </c>
      <c r="AX31">
        <f t="shared" si="4"/>
        <v>4.931947030685567E-2</v>
      </c>
      <c r="AY31">
        <f t="shared" si="4"/>
        <v>-2.099404035622909E-2</v>
      </c>
    </row>
    <row r="34" spans="1:11" x14ac:dyDescent="0.25">
      <c r="A34" s="220" t="s">
        <v>260</v>
      </c>
      <c r="B34" s="220"/>
      <c r="D34" s="220" t="s">
        <v>261</v>
      </c>
      <c r="E34" s="220"/>
      <c r="G34" s="220" t="s">
        <v>269</v>
      </c>
      <c r="H34" s="220"/>
      <c r="I34" s="220"/>
      <c r="K34" s="135"/>
    </row>
    <row r="35" spans="1:11" x14ac:dyDescent="0.25">
      <c r="A35" s="16" t="s">
        <v>122</v>
      </c>
      <c r="B35">
        <v>0.38352063491860172</v>
      </c>
      <c r="D35" s="16" t="s">
        <v>122</v>
      </c>
      <c r="E35">
        <v>0.59997839571243827</v>
      </c>
      <c r="G35" s="16" t="s">
        <v>122</v>
      </c>
      <c r="H35">
        <v>0.75180224471894097</v>
      </c>
    </row>
    <row r="36" spans="1:11" x14ac:dyDescent="0.25">
      <c r="A36" s="16" t="s">
        <v>116</v>
      </c>
      <c r="B36">
        <v>0.31300516394641997</v>
      </c>
      <c r="D36" s="16" t="s">
        <v>116</v>
      </c>
      <c r="E36">
        <v>0.51015176348059821</v>
      </c>
      <c r="G36" s="16" t="s">
        <v>102</v>
      </c>
      <c r="H36">
        <v>0.4077233319631427</v>
      </c>
    </row>
    <row r="37" spans="1:11" x14ac:dyDescent="0.25">
      <c r="A37" s="16" t="s">
        <v>113</v>
      </c>
      <c r="B37">
        <v>0.17189707440520086</v>
      </c>
      <c r="D37" s="16" t="s">
        <v>117</v>
      </c>
      <c r="E37">
        <v>0.43489790436445758</v>
      </c>
      <c r="G37" s="16" t="s">
        <v>116</v>
      </c>
      <c r="H37">
        <v>0.27302697147780652</v>
      </c>
    </row>
    <row r="38" spans="1:11" x14ac:dyDescent="0.25">
      <c r="A38" s="16" t="s">
        <v>117</v>
      </c>
      <c r="B38">
        <v>0.14131758631733007</v>
      </c>
      <c r="D38" s="16" t="s">
        <v>123</v>
      </c>
      <c r="E38">
        <v>0.29989024271948328</v>
      </c>
      <c r="G38" s="16" t="s">
        <v>113</v>
      </c>
      <c r="H38">
        <v>0.14009270046288635</v>
      </c>
    </row>
    <row r="39" spans="1:11" x14ac:dyDescent="0.25">
      <c r="A39" s="16" t="s">
        <v>115</v>
      </c>
      <c r="B39">
        <v>0.13966724367598479</v>
      </c>
      <c r="D39" s="16" t="s">
        <v>115</v>
      </c>
      <c r="E39">
        <v>0.28874857475713239</v>
      </c>
      <c r="G39" s="16" t="s">
        <v>114</v>
      </c>
      <c r="H39">
        <v>0.13988180700910036</v>
      </c>
    </row>
    <row r="40" spans="1:11" x14ac:dyDescent="0.25">
      <c r="A40" s="16" t="s">
        <v>123</v>
      </c>
      <c r="B40">
        <v>0.12120856667442408</v>
      </c>
      <c r="D40" s="16" t="s">
        <v>113</v>
      </c>
      <c r="E40">
        <v>0.27716379517604467</v>
      </c>
      <c r="G40" s="16" t="s">
        <v>104</v>
      </c>
      <c r="H40">
        <v>0.13888566916918052</v>
      </c>
    </row>
    <row r="41" spans="1:11" x14ac:dyDescent="0.25">
      <c r="A41" s="16" t="s">
        <v>104</v>
      </c>
      <c r="B41">
        <v>0.12041299297778459</v>
      </c>
      <c r="D41" s="16" t="s">
        <v>101</v>
      </c>
      <c r="E41">
        <v>0.2302939069530002</v>
      </c>
      <c r="G41" s="16" t="s">
        <v>110</v>
      </c>
      <c r="H41">
        <v>0.13815198328724676</v>
      </c>
    </row>
    <row r="42" spans="1:11" x14ac:dyDescent="0.25">
      <c r="A42" s="16" t="s">
        <v>114</v>
      </c>
      <c r="B42">
        <v>0.1096765384808352</v>
      </c>
      <c r="D42" s="16" t="s">
        <v>114</v>
      </c>
      <c r="E42">
        <v>0.15205267064185607</v>
      </c>
      <c r="G42" s="16" t="s">
        <v>83</v>
      </c>
      <c r="H42">
        <v>0.1297337846117273</v>
      </c>
    </row>
    <row r="43" spans="1:11" x14ac:dyDescent="0.25">
      <c r="A43" s="16" t="s">
        <v>102</v>
      </c>
      <c r="B43">
        <v>0.1054613956260632</v>
      </c>
      <c r="D43" s="16" t="s">
        <v>118</v>
      </c>
      <c r="E43">
        <v>0.11682911217399862</v>
      </c>
      <c r="G43" s="16" t="s">
        <v>91</v>
      </c>
      <c r="H43">
        <v>0.12279098892225826</v>
      </c>
    </row>
    <row r="44" spans="1:11" x14ac:dyDescent="0.25">
      <c r="A44" s="16" t="s">
        <v>100</v>
      </c>
      <c r="B44">
        <v>7.6842301047689007E-2</v>
      </c>
      <c r="D44" s="16" t="s">
        <v>108</v>
      </c>
      <c r="E44">
        <v>0.10848762783742687</v>
      </c>
      <c r="G44" s="16" t="s">
        <v>105</v>
      </c>
      <c r="H44">
        <v>0.11332948253186664</v>
      </c>
    </row>
    <row r="45" spans="1:11" x14ac:dyDescent="0.25">
      <c r="A45" s="16" t="s">
        <v>108</v>
      </c>
      <c r="B45">
        <v>5.4207579191951349E-2</v>
      </c>
      <c r="D45" s="16" t="s">
        <v>104</v>
      </c>
      <c r="E45">
        <v>7.9502596309414364E-2</v>
      </c>
      <c r="G45" s="16" t="s">
        <v>100</v>
      </c>
      <c r="H45">
        <v>0.10825474254197504</v>
      </c>
    </row>
    <row r="46" spans="1:11" x14ac:dyDescent="0.25">
      <c r="A46" s="16" t="s">
        <v>118</v>
      </c>
      <c r="B46">
        <v>5.4048753426660053E-2</v>
      </c>
      <c r="D46" s="16" t="s">
        <v>119</v>
      </c>
      <c r="E46">
        <v>4.0632020697747614E-2</v>
      </c>
      <c r="G46" s="16" t="s">
        <v>120</v>
      </c>
      <c r="H46">
        <v>8.8505723197526392E-2</v>
      </c>
    </row>
    <row r="47" spans="1:11" x14ac:dyDescent="0.25">
      <c r="A47" s="16" t="s">
        <v>103</v>
      </c>
      <c r="B47">
        <v>4.82387224582628E-2</v>
      </c>
      <c r="D47" s="16" t="s">
        <v>102</v>
      </c>
      <c r="E47">
        <v>3.1026991739300205E-2</v>
      </c>
      <c r="G47" s="16" t="s">
        <v>82</v>
      </c>
      <c r="H47">
        <v>8.4553278604626261E-2</v>
      </c>
    </row>
    <row r="48" spans="1:11" x14ac:dyDescent="0.25">
      <c r="A48" s="16" t="s">
        <v>91</v>
      </c>
      <c r="B48">
        <v>4.806688789844251E-2</v>
      </c>
      <c r="D48" s="16" t="s">
        <v>100</v>
      </c>
      <c r="E48">
        <v>3.0798262835705723E-2</v>
      </c>
      <c r="G48" s="16" t="s">
        <v>118</v>
      </c>
      <c r="H48">
        <v>7.9626574538516876E-2</v>
      </c>
    </row>
    <row r="49" spans="1:8" x14ac:dyDescent="0.25">
      <c r="A49" s="16" t="s">
        <v>119</v>
      </c>
      <c r="B49">
        <v>3.7298371830276601E-2</v>
      </c>
      <c r="D49" s="16" t="s">
        <v>103</v>
      </c>
      <c r="E49">
        <v>1.6174364593625139E-2</v>
      </c>
      <c r="G49" s="16" t="s">
        <v>115</v>
      </c>
      <c r="H49">
        <v>7.93210393901565E-2</v>
      </c>
    </row>
    <row r="50" spans="1:8" x14ac:dyDescent="0.25">
      <c r="A50" s="16" t="s">
        <v>82</v>
      </c>
      <c r="B50">
        <v>2.440884401139426E-2</v>
      </c>
      <c r="D50" s="16" t="s">
        <v>112</v>
      </c>
      <c r="E50">
        <v>8.7293351124479324E-3</v>
      </c>
      <c r="G50" s="58" t="s">
        <v>74</v>
      </c>
      <c r="H50">
        <v>7.6612190788159049E-2</v>
      </c>
    </row>
    <row r="51" spans="1:8" x14ac:dyDescent="0.25">
      <c r="A51" s="58" t="s">
        <v>78</v>
      </c>
      <c r="B51">
        <v>1.7557241516991808E-2</v>
      </c>
      <c r="D51" s="16" t="s">
        <v>121</v>
      </c>
      <c r="E51">
        <v>7.3452091926583052E-3</v>
      </c>
      <c r="G51" s="16" t="s">
        <v>106</v>
      </c>
      <c r="H51">
        <v>7.5593139235155524E-2</v>
      </c>
    </row>
    <row r="52" spans="1:8" x14ac:dyDescent="0.25">
      <c r="A52" s="16" t="s">
        <v>106</v>
      </c>
      <c r="B52">
        <v>1.6935213186678223E-2</v>
      </c>
      <c r="D52" s="16" t="s">
        <v>91</v>
      </c>
      <c r="E52">
        <v>3.9496969906177293E-3</v>
      </c>
      <c r="G52" s="16" t="s">
        <v>103</v>
      </c>
      <c r="H52">
        <v>7.4576363972688506E-2</v>
      </c>
    </row>
    <row r="53" spans="1:8" x14ac:dyDescent="0.25">
      <c r="A53" s="16" t="s">
        <v>83</v>
      </c>
      <c r="B53">
        <v>1.5397088595176994E-2</v>
      </c>
      <c r="D53" s="16" t="s">
        <v>95</v>
      </c>
      <c r="E53">
        <v>5.286675841873449E-4</v>
      </c>
      <c r="G53" s="16" t="s">
        <v>117</v>
      </c>
      <c r="H53">
        <v>7.1253872167932636E-2</v>
      </c>
    </row>
    <row r="54" spans="1:8" x14ac:dyDescent="0.25">
      <c r="A54" s="58" t="s">
        <v>74</v>
      </c>
      <c r="B54">
        <v>1.3814129322022745E-2</v>
      </c>
      <c r="D54" s="16" t="s">
        <v>87</v>
      </c>
      <c r="E54">
        <v>-5.5334961270668464E-3</v>
      </c>
      <c r="G54" s="58" t="s">
        <v>78</v>
      </c>
      <c r="H54">
        <v>6.5368843218769596E-2</v>
      </c>
    </row>
    <row r="55" spans="1:8" x14ac:dyDescent="0.25">
      <c r="A55" s="16" t="s">
        <v>110</v>
      </c>
      <c r="B55">
        <v>1.3684776194916801E-2</v>
      </c>
      <c r="D55" s="16" t="s">
        <v>105</v>
      </c>
      <c r="E55">
        <v>-1.5642440889741323E-2</v>
      </c>
      <c r="G55" s="16" t="s">
        <v>107</v>
      </c>
      <c r="H55">
        <v>5.6837639353400728E-2</v>
      </c>
    </row>
    <row r="56" spans="1:8" x14ac:dyDescent="0.25">
      <c r="A56" s="16" t="s">
        <v>89</v>
      </c>
      <c r="B56">
        <v>1.9919937912603615E-3</v>
      </c>
      <c r="D56" s="16" t="s">
        <v>82</v>
      </c>
      <c r="E56">
        <v>-2.3953979605992069E-2</v>
      </c>
      <c r="G56" s="16" t="s">
        <v>90</v>
      </c>
      <c r="H56">
        <v>5.1494129730168973E-2</v>
      </c>
    </row>
    <row r="57" spans="1:8" x14ac:dyDescent="0.25">
      <c r="A57" s="16" t="s">
        <v>98</v>
      </c>
      <c r="B57">
        <v>-5.2606766271110427E-4</v>
      </c>
      <c r="D57" s="58" t="s">
        <v>78</v>
      </c>
      <c r="E57">
        <v>-2.4348878151129332E-2</v>
      </c>
      <c r="G57" s="16" t="s">
        <v>123</v>
      </c>
      <c r="H57">
        <v>4.931947030685567E-2</v>
      </c>
    </row>
    <row r="58" spans="1:8" x14ac:dyDescent="0.25">
      <c r="A58" s="16" t="s">
        <v>93</v>
      </c>
      <c r="B58">
        <v>-6.1148390801174903E-3</v>
      </c>
      <c r="D58" s="16" t="s">
        <v>109</v>
      </c>
      <c r="E58">
        <v>-2.5455943876882874E-2</v>
      </c>
      <c r="G58" s="16" t="s">
        <v>99</v>
      </c>
      <c r="H58">
        <v>4.1529486226966728E-2</v>
      </c>
    </row>
    <row r="59" spans="1:8" x14ac:dyDescent="0.25">
      <c r="A59" s="16" t="s">
        <v>112</v>
      </c>
      <c r="B59">
        <v>-8.1358837182064405E-3</v>
      </c>
      <c r="D59" s="16" t="s">
        <v>96</v>
      </c>
      <c r="E59">
        <v>-3.5778052389129934E-2</v>
      </c>
      <c r="G59" s="16" t="s">
        <v>119</v>
      </c>
      <c r="H59">
        <v>3.9691312479719069E-2</v>
      </c>
    </row>
    <row r="60" spans="1:8" x14ac:dyDescent="0.25">
      <c r="A60" s="58" t="s">
        <v>75</v>
      </c>
      <c r="B60">
        <v>-8.4535262065366309E-3</v>
      </c>
      <c r="D60" s="16" t="s">
        <v>93</v>
      </c>
      <c r="E60">
        <v>-3.870638626122104E-2</v>
      </c>
      <c r="G60" s="16" t="s">
        <v>108</v>
      </c>
      <c r="H60">
        <v>3.5253285340303968E-2</v>
      </c>
    </row>
    <row r="61" spans="1:8" x14ac:dyDescent="0.25">
      <c r="A61" s="16" t="s">
        <v>107</v>
      </c>
      <c r="B61">
        <v>-9.3251913930268437E-3</v>
      </c>
      <c r="D61" s="16" t="s">
        <v>99</v>
      </c>
      <c r="E61">
        <v>-4.3411332140513889E-2</v>
      </c>
      <c r="G61" s="16" t="s">
        <v>98</v>
      </c>
      <c r="H61">
        <v>3.524565580462978E-2</v>
      </c>
    </row>
    <row r="62" spans="1:8" x14ac:dyDescent="0.25">
      <c r="A62" s="16" t="s">
        <v>105</v>
      </c>
      <c r="B62">
        <v>-1.5640136045377988E-2</v>
      </c>
      <c r="D62" s="16" t="s">
        <v>106</v>
      </c>
      <c r="E62">
        <v>-4.5772715812714658E-2</v>
      </c>
      <c r="G62" s="58" t="s">
        <v>75</v>
      </c>
      <c r="H62">
        <v>3.354412262562978E-2</v>
      </c>
    </row>
    <row r="63" spans="1:8" x14ac:dyDescent="0.25">
      <c r="A63" s="16" t="s">
        <v>101</v>
      </c>
      <c r="B63">
        <v>-2.1232546850915152E-2</v>
      </c>
      <c r="D63" s="16" t="s">
        <v>89</v>
      </c>
      <c r="E63">
        <v>-4.956051316000043E-2</v>
      </c>
      <c r="G63" s="16" t="s">
        <v>89</v>
      </c>
      <c r="H63">
        <v>2.5067154297718795E-2</v>
      </c>
    </row>
    <row r="64" spans="1:8" x14ac:dyDescent="0.25">
      <c r="A64" s="16" t="s">
        <v>97</v>
      </c>
      <c r="B64">
        <v>-2.4083139756577859E-2</v>
      </c>
      <c r="D64" s="16" t="s">
        <v>107</v>
      </c>
      <c r="E64">
        <v>-5.7352352202891324E-2</v>
      </c>
      <c r="G64" s="16" t="s">
        <v>85</v>
      </c>
      <c r="H64">
        <v>2.3923445539271473E-2</v>
      </c>
    </row>
    <row r="65" spans="1:8" x14ac:dyDescent="0.25">
      <c r="A65" s="16" t="s">
        <v>96</v>
      </c>
      <c r="B65">
        <v>-2.5305708597460518E-2</v>
      </c>
      <c r="D65" s="16" t="s">
        <v>98</v>
      </c>
      <c r="E65">
        <v>-5.7546708622182467E-2</v>
      </c>
      <c r="G65" s="16" t="s">
        <v>93</v>
      </c>
      <c r="H65">
        <v>2.2223878030471492E-2</v>
      </c>
    </row>
    <row r="66" spans="1:8" x14ac:dyDescent="0.25">
      <c r="A66" s="16" t="s">
        <v>95</v>
      </c>
      <c r="B66">
        <v>-2.7368482268046761E-2</v>
      </c>
      <c r="D66" s="16" t="s">
        <v>111</v>
      </c>
      <c r="E66">
        <v>-7.0446311574138415E-2</v>
      </c>
      <c r="G66" s="16" t="s">
        <v>97</v>
      </c>
      <c r="H66">
        <v>2.0802173752764462E-2</v>
      </c>
    </row>
    <row r="67" spans="1:8" x14ac:dyDescent="0.25">
      <c r="A67" s="16" t="s">
        <v>90</v>
      </c>
      <c r="B67">
        <v>-2.8473797050710112E-2</v>
      </c>
      <c r="D67" s="58" t="s">
        <v>74</v>
      </c>
      <c r="E67">
        <v>-8.4296259403474377E-2</v>
      </c>
      <c r="G67" s="16" t="s">
        <v>111</v>
      </c>
      <c r="H67">
        <v>1.4818356636343597E-2</v>
      </c>
    </row>
    <row r="68" spans="1:8" x14ac:dyDescent="0.25">
      <c r="A68" s="16" t="s">
        <v>109</v>
      </c>
      <c r="B68">
        <v>-3.4158065016888506E-2</v>
      </c>
      <c r="D68" s="16" t="s">
        <v>90</v>
      </c>
      <c r="E68">
        <v>-8.5552890952307559E-2</v>
      </c>
      <c r="G68" s="16" t="s">
        <v>84</v>
      </c>
      <c r="H68">
        <v>6.9168743993864301E-3</v>
      </c>
    </row>
    <row r="69" spans="1:8" x14ac:dyDescent="0.25">
      <c r="A69" s="16" t="s">
        <v>87</v>
      </c>
      <c r="B69">
        <v>-3.5086649468211648E-2</v>
      </c>
      <c r="D69" s="16" t="s">
        <v>110</v>
      </c>
      <c r="E69">
        <v>-9.1634104502125363E-2</v>
      </c>
      <c r="G69" s="16" t="s">
        <v>121</v>
      </c>
      <c r="H69">
        <v>-9.3093808888647378E-4</v>
      </c>
    </row>
    <row r="70" spans="1:8" x14ac:dyDescent="0.25">
      <c r="A70" s="16" t="s">
        <v>111</v>
      </c>
      <c r="B70">
        <v>-3.7061059336022918E-2</v>
      </c>
      <c r="D70" s="16" t="s">
        <v>92</v>
      </c>
      <c r="E70">
        <v>-9.1965246180560428E-2</v>
      </c>
      <c r="G70" s="16" t="s">
        <v>94</v>
      </c>
      <c r="H70">
        <v>-5.8109661058869241E-3</v>
      </c>
    </row>
    <row r="71" spans="1:8" x14ac:dyDescent="0.25">
      <c r="A71" s="16" t="s">
        <v>84</v>
      </c>
      <c r="B71">
        <v>-4.9727612155444335E-2</v>
      </c>
      <c r="D71" s="16" t="s">
        <v>88</v>
      </c>
      <c r="E71">
        <v>-9.8733753191448545E-2</v>
      </c>
      <c r="G71" s="16" t="s">
        <v>112</v>
      </c>
      <c r="H71">
        <v>-5.9672205177716195E-3</v>
      </c>
    </row>
    <row r="72" spans="1:8" x14ac:dyDescent="0.25">
      <c r="A72" s="16" t="s">
        <v>85</v>
      </c>
      <c r="B72">
        <v>-5.2481547386601497E-2</v>
      </c>
      <c r="D72" s="58" t="s">
        <v>75</v>
      </c>
      <c r="E72">
        <v>-0.10192455724666856</v>
      </c>
      <c r="G72" s="16" t="s">
        <v>109</v>
      </c>
      <c r="H72">
        <v>-9.2689739520261036E-3</v>
      </c>
    </row>
    <row r="73" spans="1:8" x14ac:dyDescent="0.25">
      <c r="A73" s="16" t="s">
        <v>99</v>
      </c>
      <c r="B73">
        <v>-5.2782810050539225E-2</v>
      </c>
      <c r="D73" s="16" t="s">
        <v>97</v>
      </c>
      <c r="E73">
        <v>-0.10934376712002385</v>
      </c>
      <c r="G73" s="58" t="s">
        <v>76</v>
      </c>
      <c r="H73">
        <v>-1.0791109319627087E-2</v>
      </c>
    </row>
    <row r="74" spans="1:8" x14ac:dyDescent="0.25">
      <c r="A74" s="16" t="s">
        <v>92</v>
      </c>
      <c r="B74">
        <v>-5.3385357194771582E-2</v>
      </c>
      <c r="D74" s="16" t="s">
        <v>94</v>
      </c>
      <c r="E74">
        <v>-0.10946021417776311</v>
      </c>
      <c r="G74" s="16" t="s">
        <v>96</v>
      </c>
      <c r="H74">
        <v>-1.2573864961775951E-2</v>
      </c>
    </row>
    <row r="75" spans="1:8" x14ac:dyDescent="0.25">
      <c r="A75" s="16" t="s">
        <v>88</v>
      </c>
      <c r="B75">
        <v>-5.8762955357740919E-2</v>
      </c>
      <c r="D75" s="16" t="s">
        <v>84</v>
      </c>
      <c r="E75">
        <v>-0.1223476206363817</v>
      </c>
      <c r="G75" s="16" t="s">
        <v>95</v>
      </c>
      <c r="H75">
        <v>-1.6473764875013449E-2</v>
      </c>
    </row>
    <row r="76" spans="1:8" x14ac:dyDescent="0.25">
      <c r="A76" s="58" t="s">
        <v>79</v>
      </c>
      <c r="B76">
        <v>-7.2983658888868638E-2</v>
      </c>
      <c r="D76" s="58" t="s">
        <v>76</v>
      </c>
      <c r="E76">
        <v>-0.1447616244067072</v>
      </c>
      <c r="G76" s="16" t="s">
        <v>124</v>
      </c>
      <c r="H76">
        <v>-2.099404035622909E-2</v>
      </c>
    </row>
    <row r="77" spans="1:8" x14ac:dyDescent="0.25">
      <c r="A77" s="16" t="s">
        <v>94</v>
      </c>
      <c r="B77">
        <v>-7.325115215810378E-2</v>
      </c>
      <c r="D77" s="16" t="s">
        <v>85</v>
      </c>
      <c r="E77">
        <v>-0.15202922102178087</v>
      </c>
      <c r="G77" s="58" t="s">
        <v>79</v>
      </c>
      <c r="H77">
        <v>-2.6737019849422373E-2</v>
      </c>
    </row>
    <row r="78" spans="1:8" x14ac:dyDescent="0.25">
      <c r="A78" s="16" t="s">
        <v>124</v>
      </c>
      <c r="B78">
        <v>-7.776527377071317E-2</v>
      </c>
      <c r="D78" s="16" t="s">
        <v>124</v>
      </c>
      <c r="E78">
        <v>-0.17150398593306163</v>
      </c>
      <c r="G78" s="16" t="s">
        <v>88</v>
      </c>
      <c r="H78">
        <v>-2.9514098947291748E-2</v>
      </c>
    </row>
    <row r="79" spans="1:8" x14ac:dyDescent="0.25">
      <c r="A79" s="58" t="s">
        <v>76</v>
      </c>
      <c r="B79">
        <v>-7.8063032012911912E-2</v>
      </c>
      <c r="D79" s="58" t="s">
        <v>79</v>
      </c>
      <c r="E79">
        <v>-0.180793639065292</v>
      </c>
      <c r="G79" s="16" t="s">
        <v>92</v>
      </c>
      <c r="H79">
        <v>-3.7223674135488459E-2</v>
      </c>
    </row>
    <row r="80" spans="1:8" x14ac:dyDescent="0.25">
      <c r="A80" s="16" t="s">
        <v>86</v>
      </c>
      <c r="B80">
        <v>-0.10103337394782556</v>
      </c>
      <c r="D80" s="16" t="s">
        <v>83</v>
      </c>
      <c r="E80">
        <v>-0.18985582754902386</v>
      </c>
      <c r="G80" s="16" t="s">
        <v>87</v>
      </c>
      <c r="H80">
        <v>-4.1160902673539987E-2</v>
      </c>
    </row>
    <row r="81" spans="1:8" x14ac:dyDescent="0.25">
      <c r="A81" s="58" t="s">
        <v>77</v>
      </c>
      <c r="B81">
        <v>-0.11566458648318118</v>
      </c>
      <c r="D81" s="16" t="s">
        <v>86</v>
      </c>
      <c r="E81">
        <v>-0.19227735980985017</v>
      </c>
      <c r="G81" s="16" t="s">
        <v>86</v>
      </c>
      <c r="H81">
        <v>-5.1790208731971668E-2</v>
      </c>
    </row>
    <row r="82" spans="1:8" x14ac:dyDescent="0.25">
      <c r="A82" s="16" t="s">
        <v>121</v>
      </c>
      <c r="B82">
        <v>-0.1619544194268881</v>
      </c>
      <c r="D82" s="58" t="s">
        <v>77</v>
      </c>
      <c r="E82">
        <v>-0.21810529196864206</v>
      </c>
      <c r="G82" s="58" t="s">
        <v>77</v>
      </c>
      <c r="H82">
        <v>-6.0644125127300205E-2</v>
      </c>
    </row>
    <row r="83" spans="1:8" x14ac:dyDescent="0.25">
      <c r="A83" s="16" t="s">
        <v>120</v>
      </c>
      <c r="B83">
        <v>-0.23984278733735284</v>
      </c>
      <c r="D83" s="16" t="s">
        <v>120</v>
      </c>
      <c r="E83">
        <v>-0.35506646592300761</v>
      </c>
      <c r="G83" s="16" t="s">
        <v>101</v>
      </c>
      <c r="H83">
        <v>-8.7243575194000847E-2</v>
      </c>
    </row>
  </sheetData>
  <sortState ref="G35:H83">
    <sortCondition descending="1" ref="H35:H83"/>
  </sortState>
  <mergeCells count="8">
    <mergeCell ref="D34:E34"/>
    <mergeCell ref="G34:I34"/>
    <mergeCell ref="A27:B27"/>
    <mergeCell ref="A28:B28"/>
    <mergeCell ref="A29:B29"/>
    <mergeCell ref="A30:B30"/>
    <mergeCell ref="A31:B31"/>
    <mergeCell ref="A34:B3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zoomScaleNormal="100" workbookViewId="0">
      <selection activeCell="S21" sqref="S21"/>
    </sheetView>
  </sheetViews>
  <sheetFormatPr defaultRowHeight="15" x14ac:dyDescent="0.25"/>
  <cols>
    <col min="1" max="1" width="11.7109375" bestFit="1" customWidth="1"/>
    <col min="4" max="4" width="11.42578125" bestFit="1" customWidth="1"/>
    <col min="7" max="7" width="11.85546875" customWidth="1"/>
    <col min="10" max="10" width="11.140625" customWidth="1"/>
    <col min="13" max="13" width="11.7109375" bestFit="1" customWidth="1"/>
    <col min="16" max="16" width="11.7109375" bestFit="1" customWidth="1"/>
    <col min="17" max="17" width="11.42578125" bestFit="1" customWidth="1"/>
    <col min="19" max="19" width="11.7109375" bestFit="1" customWidth="1"/>
    <col min="20" max="20" width="11.42578125" bestFit="1" customWidth="1"/>
    <col min="22" max="22" width="12.140625" customWidth="1"/>
    <col min="23" max="23" width="15" bestFit="1" customWidth="1"/>
    <col min="24" max="24" width="14.42578125" bestFit="1" customWidth="1"/>
    <col min="25" max="25" width="15.42578125" bestFit="1" customWidth="1"/>
    <col min="27" max="27" width="14.7109375" bestFit="1" customWidth="1"/>
    <col min="28" max="28" width="15" bestFit="1" customWidth="1"/>
    <col min="29" max="29" width="14.7109375" bestFit="1" customWidth="1"/>
  </cols>
  <sheetData>
    <row r="1" spans="1:27" ht="69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27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27" x14ac:dyDescent="0.25">
      <c r="A3" s="17" t="s">
        <v>109</v>
      </c>
      <c r="B3" s="21">
        <v>2.5099999999999998</v>
      </c>
      <c r="C3" s="48">
        <v>1</v>
      </c>
      <c r="D3" s="18" t="s">
        <v>105</v>
      </c>
      <c r="E3" s="45">
        <v>0.73933106531186343</v>
      </c>
      <c r="F3" s="48">
        <v>1</v>
      </c>
      <c r="G3" s="18" t="s">
        <v>105</v>
      </c>
      <c r="H3" s="45">
        <v>0.91737361058950495</v>
      </c>
      <c r="I3" s="48">
        <v>1</v>
      </c>
      <c r="J3" s="18" t="s">
        <v>105</v>
      </c>
      <c r="K3" s="45">
        <v>0.93129312594052349</v>
      </c>
      <c r="L3" s="48">
        <v>1</v>
      </c>
      <c r="M3" s="17" t="s">
        <v>101</v>
      </c>
      <c r="N3" s="21">
        <v>84.85</v>
      </c>
      <c r="O3" s="48">
        <v>1</v>
      </c>
      <c r="P3" s="17" t="s">
        <v>101</v>
      </c>
      <c r="Q3" s="21">
        <v>100</v>
      </c>
      <c r="R3" s="48">
        <v>1</v>
      </c>
      <c r="S3" s="17" t="s">
        <v>101</v>
      </c>
      <c r="T3" s="21">
        <v>100</v>
      </c>
      <c r="U3" s="48">
        <v>1</v>
      </c>
      <c r="V3" s="17" t="s">
        <v>97</v>
      </c>
      <c r="W3" s="21">
        <v>36</v>
      </c>
      <c r="X3" s="48">
        <v>1</v>
      </c>
      <c r="Y3" s="19" t="s">
        <v>97</v>
      </c>
      <c r="Z3" s="19">
        <v>30</v>
      </c>
      <c r="AA3" s="48">
        <v>1</v>
      </c>
    </row>
    <row r="4" spans="1:27" x14ac:dyDescent="0.25">
      <c r="A4" s="17" t="s">
        <v>105</v>
      </c>
      <c r="B4" s="21">
        <v>2.1800000000000002</v>
      </c>
      <c r="C4" s="48">
        <v>2</v>
      </c>
      <c r="D4" s="18" t="s">
        <v>103</v>
      </c>
      <c r="E4" s="45">
        <v>0.6004298341730373</v>
      </c>
      <c r="F4" s="48">
        <v>2</v>
      </c>
      <c r="G4" s="18" t="s">
        <v>86</v>
      </c>
      <c r="H4" s="45">
        <v>0.7914669492292763</v>
      </c>
      <c r="I4" s="48">
        <v>2</v>
      </c>
      <c r="J4" s="18" t="s">
        <v>103</v>
      </c>
      <c r="K4" s="45">
        <v>0.81094479170845768</v>
      </c>
      <c r="L4" s="48">
        <v>2</v>
      </c>
      <c r="M4" s="17" t="s">
        <v>103</v>
      </c>
      <c r="N4" s="21">
        <v>84.85</v>
      </c>
      <c r="O4" s="48">
        <v>1</v>
      </c>
      <c r="P4" s="17" t="s">
        <v>103</v>
      </c>
      <c r="Q4" s="21">
        <v>100</v>
      </c>
      <c r="R4" s="48">
        <v>1</v>
      </c>
      <c r="S4" s="17" t="s">
        <v>105</v>
      </c>
      <c r="T4" s="21">
        <v>90.91</v>
      </c>
      <c r="U4" s="48">
        <v>2</v>
      </c>
      <c r="V4" s="17" t="s">
        <v>101</v>
      </c>
      <c r="W4" s="21">
        <v>33</v>
      </c>
      <c r="X4" s="48">
        <v>2</v>
      </c>
      <c r="Y4" s="19" t="s">
        <v>101</v>
      </c>
      <c r="Z4" s="19">
        <v>27</v>
      </c>
      <c r="AA4" s="48">
        <v>2</v>
      </c>
    </row>
    <row r="5" spans="1:27" x14ac:dyDescent="0.25">
      <c r="A5" s="17" t="s">
        <v>101</v>
      </c>
      <c r="B5" s="21">
        <v>0.88</v>
      </c>
      <c r="C5" s="48">
        <v>3</v>
      </c>
      <c r="D5" s="18" t="s">
        <v>86</v>
      </c>
      <c r="E5" s="45">
        <v>0.47063302280376623</v>
      </c>
      <c r="F5" s="48">
        <v>3</v>
      </c>
      <c r="G5" s="18" t="s">
        <v>109</v>
      </c>
      <c r="H5" s="45">
        <v>0.77766034786166682</v>
      </c>
      <c r="I5" s="48">
        <v>3</v>
      </c>
      <c r="J5" s="18" t="s">
        <v>104</v>
      </c>
      <c r="K5" s="45">
        <v>0.54214760601271328</v>
      </c>
      <c r="L5" s="48">
        <v>3</v>
      </c>
      <c r="M5" s="17" t="s">
        <v>105</v>
      </c>
      <c r="N5" s="21">
        <v>78.790000000000006</v>
      </c>
      <c r="O5" s="48">
        <v>2</v>
      </c>
      <c r="P5" s="17" t="s">
        <v>86</v>
      </c>
      <c r="Q5" s="21">
        <v>100</v>
      </c>
      <c r="R5" s="48">
        <v>1</v>
      </c>
      <c r="S5" s="17" t="s">
        <v>103</v>
      </c>
      <c r="T5" s="21">
        <v>90.91</v>
      </c>
      <c r="U5" s="48">
        <v>2</v>
      </c>
      <c r="V5" s="17" t="s">
        <v>86</v>
      </c>
      <c r="W5" s="21">
        <v>17</v>
      </c>
      <c r="X5" s="48">
        <v>3</v>
      </c>
      <c r="Y5" s="19" t="s">
        <v>86</v>
      </c>
      <c r="Z5" s="19">
        <v>17</v>
      </c>
      <c r="AA5" s="48">
        <v>3</v>
      </c>
    </row>
    <row r="6" spans="1:27" x14ac:dyDescent="0.25">
      <c r="A6" s="17" t="s">
        <v>103</v>
      </c>
      <c r="B6" s="21">
        <v>0.85</v>
      </c>
      <c r="C6" s="48">
        <v>4</v>
      </c>
      <c r="D6" s="18" t="s">
        <v>109</v>
      </c>
      <c r="E6" s="45">
        <v>0.34382907857366252</v>
      </c>
      <c r="F6" s="48">
        <v>4</v>
      </c>
      <c r="G6" s="18" t="s">
        <v>103</v>
      </c>
      <c r="H6" s="45">
        <v>0.6740589404401901</v>
      </c>
      <c r="I6" s="48">
        <v>4</v>
      </c>
      <c r="J6" s="18" t="s">
        <v>86</v>
      </c>
      <c r="K6" s="45">
        <v>0.43092026563756625</v>
      </c>
      <c r="L6" s="48">
        <v>4</v>
      </c>
      <c r="M6" s="17" t="s">
        <v>107</v>
      </c>
      <c r="N6" s="21">
        <v>78.790000000000006</v>
      </c>
      <c r="O6" s="48">
        <v>2</v>
      </c>
      <c r="P6" s="17" t="s">
        <v>105</v>
      </c>
      <c r="Q6" s="21">
        <v>85.71</v>
      </c>
      <c r="R6" s="48">
        <v>2</v>
      </c>
      <c r="S6" s="17" t="s">
        <v>107</v>
      </c>
      <c r="T6" s="21">
        <v>81.819999999999993</v>
      </c>
      <c r="U6" s="48">
        <v>3</v>
      </c>
      <c r="V6" s="17" t="s">
        <v>79</v>
      </c>
      <c r="W6" s="21">
        <v>13</v>
      </c>
      <c r="X6" s="48">
        <v>4</v>
      </c>
      <c r="Y6" s="19" t="s">
        <v>79</v>
      </c>
      <c r="Z6" s="19">
        <v>10</v>
      </c>
      <c r="AA6" s="48">
        <v>4</v>
      </c>
    </row>
    <row r="7" spans="1:27" x14ac:dyDescent="0.25">
      <c r="A7" s="17" t="s">
        <v>108</v>
      </c>
      <c r="B7" s="21">
        <v>0.65</v>
      </c>
      <c r="C7" s="48">
        <v>5</v>
      </c>
      <c r="D7" s="18" t="s">
        <v>101</v>
      </c>
      <c r="E7" s="45">
        <v>0.257465233687593</v>
      </c>
      <c r="F7" s="48">
        <v>5</v>
      </c>
      <c r="G7" s="18" t="s">
        <v>104</v>
      </c>
      <c r="H7" s="45">
        <v>0.41362750016943911</v>
      </c>
      <c r="I7" s="48">
        <v>5</v>
      </c>
      <c r="J7" s="18" t="s">
        <v>109</v>
      </c>
      <c r="K7" s="45">
        <v>0.4305230209486256</v>
      </c>
      <c r="L7" s="48">
        <v>4</v>
      </c>
      <c r="M7" s="17" t="s">
        <v>86</v>
      </c>
      <c r="N7" s="21">
        <v>72.73</v>
      </c>
      <c r="O7" s="48">
        <v>3</v>
      </c>
      <c r="P7" s="17" t="s">
        <v>107</v>
      </c>
      <c r="Q7" s="21">
        <v>85.71</v>
      </c>
      <c r="R7" s="48">
        <v>2</v>
      </c>
      <c r="S7" s="17" t="s">
        <v>109</v>
      </c>
      <c r="T7" s="21">
        <v>72.73</v>
      </c>
      <c r="U7" s="48">
        <v>4</v>
      </c>
      <c r="V7" s="17" t="s">
        <v>82</v>
      </c>
      <c r="W7" s="21">
        <v>13</v>
      </c>
      <c r="X7" s="48">
        <v>4</v>
      </c>
      <c r="Y7" s="19" t="s">
        <v>82</v>
      </c>
      <c r="Z7" s="19">
        <v>10</v>
      </c>
      <c r="AA7" s="48">
        <v>4</v>
      </c>
    </row>
    <row r="8" spans="1:27" x14ac:dyDescent="0.25">
      <c r="A8" s="3" t="s">
        <v>107</v>
      </c>
      <c r="B8" s="2">
        <v>0.48</v>
      </c>
      <c r="C8" s="4">
        <v>6</v>
      </c>
      <c r="D8" s="13" t="s">
        <v>104</v>
      </c>
      <c r="E8" s="32">
        <v>0.25473235720702675</v>
      </c>
      <c r="F8" s="4">
        <v>6</v>
      </c>
      <c r="G8" s="13" t="s">
        <v>101</v>
      </c>
      <c r="H8" s="32">
        <v>0.34057389151374251</v>
      </c>
      <c r="I8" s="4">
        <v>6</v>
      </c>
      <c r="J8" s="18" t="s">
        <v>107</v>
      </c>
      <c r="K8" s="45">
        <v>0.39638440386147961</v>
      </c>
      <c r="L8" s="48">
        <v>5</v>
      </c>
      <c r="M8" s="17" t="s">
        <v>109</v>
      </c>
      <c r="N8" s="21">
        <v>60.61</v>
      </c>
      <c r="O8" s="48">
        <v>4</v>
      </c>
      <c r="P8" s="17" t="s">
        <v>109</v>
      </c>
      <c r="Q8" s="21">
        <v>71.430000000000007</v>
      </c>
      <c r="R8" s="48">
        <v>3</v>
      </c>
      <c r="S8" s="17" t="s">
        <v>86</v>
      </c>
      <c r="T8" s="21">
        <v>66.67</v>
      </c>
      <c r="U8" s="48">
        <v>5</v>
      </c>
      <c r="V8" s="17" t="s">
        <v>89</v>
      </c>
      <c r="W8" s="21">
        <v>4</v>
      </c>
      <c r="X8" s="48">
        <v>5</v>
      </c>
      <c r="Y8" s="19" t="s">
        <v>89</v>
      </c>
      <c r="Z8" s="19">
        <v>4</v>
      </c>
      <c r="AA8" s="48">
        <v>5</v>
      </c>
    </row>
    <row r="9" spans="1:27" x14ac:dyDescent="0.25">
      <c r="A9" s="3" t="s">
        <v>86</v>
      </c>
      <c r="B9" s="2">
        <v>0.47</v>
      </c>
      <c r="C9" s="4">
        <v>7</v>
      </c>
      <c r="D9" s="13" t="s">
        <v>107</v>
      </c>
      <c r="E9" s="32">
        <v>0.25019941590835137</v>
      </c>
      <c r="F9" s="4">
        <v>6</v>
      </c>
      <c r="G9" s="13" t="s">
        <v>108</v>
      </c>
      <c r="H9" s="32">
        <v>0.31436883377463121</v>
      </c>
      <c r="I9" s="4">
        <v>7</v>
      </c>
      <c r="J9" s="13" t="s">
        <v>101</v>
      </c>
      <c r="K9" s="32">
        <v>0.36230946233350408</v>
      </c>
      <c r="L9" s="4">
        <v>6</v>
      </c>
      <c r="M9" s="17" t="s">
        <v>79</v>
      </c>
      <c r="N9" s="21">
        <v>51.52</v>
      </c>
      <c r="O9" s="48">
        <v>5</v>
      </c>
      <c r="P9" s="17" t="s">
        <v>108</v>
      </c>
      <c r="Q9" s="21">
        <v>71.430000000000007</v>
      </c>
      <c r="R9" s="48">
        <v>3</v>
      </c>
      <c r="S9" s="3" t="s">
        <v>79</v>
      </c>
      <c r="T9" s="2">
        <v>60</v>
      </c>
      <c r="U9" s="4">
        <v>6</v>
      </c>
      <c r="V9" s="17" t="s">
        <v>109</v>
      </c>
      <c r="W9" s="21">
        <v>4</v>
      </c>
      <c r="X9" s="48">
        <v>5</v>
      </c>
      <c r="Y9" s="19" t="s">
        <v>109</v>
      </c>
      <c r="Z9" s="19">
        <v>4</v>
      </c>
      <c r="AA9" s="48">
        <v>5</v>
      </c>
    </row>
    <row r="10" spans="1:27" x14ac:dyDescent="0.25">
      <c r="A10" s="3" t="s">
        <v>79</v>
      </c>
      <c r="B10" s="2">
        <v>0.37</v>
      </c>
      <c r="C10" s="4">
        <v>8</v>
      </c>
      <c r="D10" s="13" t="s">
        <v>108</v>
      </c>
      <c r="E10" s="32">
        <v>0.10361451629382007</v>
      </c>
      <c r="F10" s="4">
        <v>7</v>
      </c>
      <c r="G10" s="13" t="s">
        <v>107</v>
      </c>
      <c r="H10" s="32">
        <v>0.3134693197157033</v>
      </c>
      <c r="I10" s="4">
        <v>7</v>
      </c>
      <c r="J10" s="13" t="s">
        <v>108</v>
      </c>
      <c r="K10" s="32">
        <v>9.8319815614393097E-2</v>
      </c>
      <c r="L10" s="4">
        <v>7</v>
      </c>
      <c r="M10" s="3" t="s">
        <v>89</v>
      </c>
      <c r="N10" s="2">
        <v>48.48</v>
      </c>
      <c r="O10" s="4">
        <v>6</v>
      </c>
      <c r="P10" s="17" t="s">
        <v>104</v>
      </c>
      <c r="Q10" s="21">
        <v>71.430000000000007</v>
      </c>
      <c r="R10" s="48">
        <v>3</v>
      </c>
      <c r="S10" s="3" t="s">
        <v>89</v>
      </c>
      <c r="T10" s="2">
        <v>60</v>
      </c>
      <c r="U10" s="4">
        <v>6</v>
      </c>
      <c r="V10" s="3" t="s">
        <v>103</v>
      </c>
      <c r="W10" s="2">
        <v>2</v>
      </c>
      <c r="X10" s="4">
        <v>6</v>
      </c>
      <c r="Y10" t="s">
        <v>107</v>
      </c>
      <c r="Z10">
        <v>2</v>
      </c>
      <c r="AA10" s="4">
        <v>6</v>
      </c>
    </row>
    <row r="11" spans="1:27" x14ac:dyDescent="0.25">
      <c r="A11" s="3" t="s">
        <v>104</v>
      </c>
      <c r="B11" s="2">
        <v>0.35</v>
      </c>
      <c r="C11" s="4">
        <v>9</v>
      </c>
      <c r="D11" s="131" t="s">
        <v>79</v>
      </c>
      <c r="E11" s="32">
        <v>5.752667697674773E-2</v>
      </c>
      <c r="F11" s="4">
        <v>8</v>
      </c>
      <c r="G11" s="131" t="s">
        <v>79</v>
      </c>
      <c r="H11" s="32">
        <v>6.2809321957175313E-2</v>
      </c>
      <c r="I11" s="4">
        <v>8</v>
      </c>
      <c r="J11" s="13" t="s">
        <v>87</v>
      </c>
      <c r="K11" s="32">
        <v>9.4371543622614421E-2</v>
      </c>
      <c r="L11" s="4">
        <v>8</v>
      </c>
      <c r="M11" s="3" t="s">
        <v>87</v>
      </c>
      <c r="N11" s="2">
        <v>48.48</v>
      </c>
      <c r="O11" s="4">
        <v>6</v>
      </c>
      <c r="P11" s="17" t="s">
        <v>87</v>
      </c>
      <c r="Q11" s="21">
        <v>57.14</v>
      </c>
      <c r="R11" s="48">
        <v>4</v>
      </c>
      <c r="S11" s="3" t="s">
        <v>82</v>
      </c>
      <c r="T11" s="2">
        <v>53.33</v>
      </c>
      <c r="U11" s="4">
        <v>7</v>
      </c>
      <c r="V11" s="3" t="s">
        <v>104</v>
      </c>
      <c r="W11" s="2">
        <v>2</v>
      </c>
      <c r="X11" s="4">
        <v>6</v>
      </c>
      <c r="Y11" t="s">
        <v>103</v>
      </c>
      <c r="Z11">
        <v>1</v>
      </c>
      <c r="AA11" s="4">
        <v>7</v>
      </c>
    </row>
    <row r="12" spans="1:27" x14ac:dyDescent="0.25">
      <c r="A12" s="3" t="s">
        <v>82</v>
      </c>
      <c r="B12" s="2">
        <v>0.27</v>
      </c>
      <c r="C12" s="4">
        <v>10</v>
      </c>
      <c r="D12" s="13" t="s">
        <v>87</v>
      </c>
      <c r="E12" s="32">
        <v>4.9010742006011514E-2</v>
      </c>
      <c r="F12" s="4">
        <v>9</v>
      </c>
      <c r="G12" s="13" t="s">
        <v>87</v>
      </c>
      <c r="H12" s="32">
        <v>2.9494551685667884E-2</v>
      </c>
      <c r="I12" s="4">
        <v>9</v>
      </c>
      <c r="J12" s="13" t="s">
        <v>89</v>
      </c>
      <c r="K12" s="32">
        <v>9.0052497589628258E-2</v>
      </c>
      <c r="L12" s="4">
        <v>8</v>
      </c>
      <c r="M12" s="3" t="s">
        <v>108</v>
      </c>
      <c r="N12" s="2">
        <v>42.42</v>
      </c>
      <c r="O12" s="4">
        <v>7</v>
      </c>
      <c r="P12" s="17" t="s">
        <v>79</v>
      </c>
      <c r="Q12" s="21">
        <v>42.86</v>
      </c>
      <c r="R12" s="48">
        <v>5</v>
      </c>
      <c r="S12" s="3" t="s">
        <v>108</v>
      </c>
      <c r="T12" s="2">
        <v>46.67</v>
      </c>
      <c r="U12" s="4">
        <v>8</v>
      </c>
      <c r="V12" s="3" t="s">
        <v>107</v>
      </c>
      <c r="W12" s="2">
        <v>2</v>
      </c>
      <c r="X12" s="4">
        <v>6</v>
      </c>
      <c r="Y12" t="s">
        <v>104</v>
      </c>
      <c r="Z12">
        <v>1</v>
      </c>
      <c r="AA12" s="4">
        <v>7</v>
      </c>
    </row>
    <row r="13" spans="1:27" x14ac:dyDescent="0.25">
      <c r="A13" s="3" t="s">
        <v>89</v>
      </c>
      <c r="B13" s="2">
        <v>0.24</v>
      </c>
      <c r="C13" s="4">
        <v>11</v>
      </c>
      <c r="D13" s="13" t="s">
        <v>89</v>
      </c>
      <c r="E13" s="32">
        <v>2.1444245901121865E-2</v>
      </c>
      <c r="F13" s="4">
        <v>10</v>
      </c>
      <c r="G13" s="13" t="s">
        <v>97</v>
      </c>
      <c r="H13" s="32">
        <v>2.602016891024914E-2</v>
      </c>
      <c r="I13" s="4">
        <v>9</v>
      </c>
      <c r="J13" s="131" t="s">
        <v>79</v>
      </c>
      <c r="K13" s="32">
        <v>8.6137180266388891E-2</v>
      </c>
      <c r="L13" s="4">
        <v>8</v>
      </c>
      <c r="M13" s="3" t="s">
        <v>104</v>
      </c>
      <c r="N13" s="2">
        <v>42.42</v>
      </c>
      <c r="O13" s="4">
        <v>7</v>
      </c>
      <c r="P13" s="17" t="s">
        <v>89</v>
      </c>
      <c r="Q13" s="21">
        <v>42.86</v>
      </c>
      <c r="R13" s="48">
        <v>5</v>
      </c>
      <c r="S13" s="3" t="s">
        <v>87</v>
      </c>
      <c r="T13" s="2">
        <v>46.67</v>
      </c>
      <c r="U13" s="4">
        <v>8</v>
      </c>
      <c r="V13" s="3" t="s">
        <v>108</v>
      </c>
      <c r="W13" s="2">
        <v>1</v>
      </c>
      <c r="X13" s="4">
        <v>7</v>
      </c>
      <c r="Y13" t="s">
        <v>108</v>
      </c>
      <c r="Z13">
        <v>1</v>
      </c>
      <c r="AA13" s="4">
        <v>7</v>
      </c>
    </row>
    <row r="14" spans="1:27" x14ac:dyDescent="0.25">
      <c r="A14" s="3" t="s">
        <v>97</v>
      </c>
      <c r="B14" s="2">
        <v>0.22</v>
      </c>
      <c r="C14" s="4">
        <v>12</v>
      </c>
      <c r="D14" s="13" t="s">
        <v>82</v>
      </c>
      <c r="E14" s="32">
        <v>1.6959301106138049E-2</v>
      </c>
      <c r="F14" s="4">
        <v>10</v>
      </c>
      <c r="G14" s="13" t="s">
        <v>89</v>
      </c>
      <c r="H14" s="32">
        <v>-2.2753885300003307E-3</v>
      </c>
      <c r="I14" s="4">
        <v>10</v>
      </c>
      <c r="J14" s="13" t="s">
        <v>82</v>
      </c>
      <c r="K14" s="32">
        <v>7.4281902485994589E-2</v>
      </c>
      <c r="L14" s="4">
        <v>9</v>
      </c>
      <c r="M14" s="3" t="s">
        <v>97</v>
      </c>
      <c r="N14" s="2">
        <v>42.42</v>
      </c>
      <c r="O14" s="4">
        <v>7</v>
      </c>
      <c r="P14" s="17" t="s">
        <v>97</v>
      </c>
      <c r="Q14" s="21">
        <v>42.86</v>
      </c>
      <c r="R14" s="48">
        <v>5</v>
      </c>
      <c r="S14" s="3" t="s">
        <v>104</v>
      </c>
      <c r="T14" s="2">
        <v>45.45</v>
      </c>
      <c r="U14" s="4">
        <v>9</v>
      </c>
      <c r="V14" s="3" t="s">
        <v>87</v>
      </c>
      <c r="W14" s="2">
        <v>0</v>
      </c>
      <c r="X14" s="4">
        <v>8</v>
      </c>
      <c r="Y14" t="s">
        <v>87</v>
      </c>
      <c r="Z14">
        <v>0</v>
      </c>
      <c r="AA14" s="4">
        <v>8</v>
      </c>
    </row>
    <row r="15" spans="1:27" x14ac:dyDescent="0.25">
      <c r="A15" s="3" t="s">
        <v>87</v>
      </c>
      <c r="B15" s="2">
        <v>0.2</v>
      </c>
      <c r="C15" s="4">
        <v>13</v>
      </c>
      <c r="D15" s="13" t="s">
        <v>97</v>
      </c>
      <c r="E15" s="32">
        <v>-2.5138628813220043E-2</v>
      </c>
      <c r="F15" s="4">
        <v>11</v>
      </c>
      <c r="G15" s="13" t="s">
        <v>82</v>
      </c>
      <c r="H15" s="32">
        <v>-1.11546029629295E-2</v>
      </c>
      <c r="I15" s="4">
        <v>11</v>
      </c>
      <c r="J15" s="13" t="s">
        <v>97</v>
      </c>
      <c r="K15" s="32">
        <v>-3.6381504733776888E-2</v>
      </c>
      <c r="L15" s="4">
        <v>10</v>
      </c>
      <c r="M15" s="3" t="s">
        <v>82</v>
      </c>
      <c r="N15" s="2">
        <v>36.36</v>
      </c>
      <c r="O15" s="4">
        <v>8</v>
      </c>
      <c r="P15" s="3" t="s">
        <v>82</v>
      </c>
      <c r="Q15" s="2">
        <v>28.57</v>
      </c>
      <c r="R15" s="4">
        <v>6</v>
      </c>
      <c r="S15" s="3" t="s">
        <v>97</v>
      </c>
      <c r="T15" s="2">
        <v>45.45</v>
      </c>
      <c r="U15" s="4">
        <v>9</v>
      </c>
      <c r="V15" s="3" t="s">
        <v>105</v>
      </c>
      <c r="W15" s="2">
        <v>0</v>
      </c>
      <c r="X15" s="4">
        <v>8</v>
      </c>
      <c r="Y15" t="s">
        <v>105</v>
      </c>
      <c r="Z15">
        <v>0</v>
      </c>
      <c r="AA15" s="4">
        <v>8</v>
      </c>
    </row>
    <row r="16" spans="1:27" x14ac:dyDescent="0.25">
      <c r="A16" s="3"/>
      <c r="B16" s="2"/>
      <c r="C16" s="4"/>
      <c r="D16" s="3"/>
      <c r="E16" s="2"/>
      <c r="F16" s="4"/>
      <c r="G16" s="3"/>
      <c r="H16" s="2"/>
      <c r="I16" s="4"/>
      <c r="J16" s="3"/>
      <c r="K16" s="2"/>
      <c r="L16" s="4"/>
      <c r="M16" s="3"/>
      <c r="N16" s="2"/>
      <c r="O16" s="4"/>
      <c r="P16" s="3"/>
      <c r="Q16" s="2"/>
      <c r="R16" s="4"/>
      <c r="S16" s="3"/>
      <c r="T16" s="2"/>
      <c r="U16" s="4"/>
      <c r="V16" s="3"/>
      <c r="W16" s="2"/>
      <c r="X16" s="4"/>
      <c r="Y16" s="3"/>
      <c r="Z16" s="2"/>
      <c r="AA16" s="4"/>
    </row>
    <row r="17" spans="1:30" ht="15.75" thickBot="1" x14ac:dyDescent="0.3">
      <c r="A17" s="197" t="s">
        <v>20</v>
      </c>
      <c r="B17" s="198"/>
      <c r="C17" s="199"/>
      <c r="D17" s="197" t="s">
        <v>20</v>
      </c>
      <c r="E17" s="198"/>
      <c r="F17" s="199"/>
      <c r="G17" s="197" t="s">
        <v>20</v>
      </c>
      <c r="H17" s="198"/>
      <c r="I17" s="199"/>
      <c r="J17" s="197" t="s">
        <v>20</v>
      </c>
      <c r="K17" s="198"/>
      <c r="L17" s="199"/>
      <c r="M17" s="197" t="s">
        <v>20</v>
      </c>
      <c r="N17" s="198"/>
      <c r="O17" s="199"/>
      <c r="P17" s="197" t="s">
        <v>20</v>
      </c>
      <c r="Q17" s="198"/>
      <c r="R17" s="199"/>
      <c r="S17" s="197" t="s">
        <v>20</v>
      </c>
      <c r="T17" s="198"/>
      <c r="U17" s="199"/>
      <c r="V17" s="197" t="s">
        <v>20</v>
      </c>
      <c r="W17" s="198"/>
      <c r="X17" s="199"/>
      <c r="Y17" s="197" t="s">
        <v>20</v>
      </c>
      <c r="Z17" s="198"/>
      <c r="AA17" s="199"/>
    </row>
    <row r="19" spans="1:30" ht="15.75" thickBot="1" x14ac:dyDescent="0.3"/>
    <row r="20" spans="1:30" ht="15.75" thickBot="1" x14ac:dyDescent="0.3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224" t="s">
        <v>417</v>
      </c>
      <c r="R20" s="225"/>
      <c r="S20" s="61"/>
      <c r="T20" s="61"/>
      <c r="U20" s="61"/>
      <c r="V20" s="61"/>
      <c r="W20" s="61"/>
      <c r="X20" s="61"/>
      <c r="Y20" s="64"/>
      <c r="Z20" s="64"/>
      <c r="AA20" s="64"/>
      <c r="AB20" s="64"/>
      <c r="AC20" s="64"/>
      <c r="AD20" s="64"/>
    </row>
    <row r="21" spans="1:30" x14ac:dyDescent="0.25">
      <c r="A21" s="221" t="s">
        <v>416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3"/>
      <c r="M21" s="228" t="s">
        <v>418</v>
      </c>
      <c r="N21" s="229"/>
      <c r="O21" s="230"/>
      <c r="Q21" s="226"/>
      <c r="R21" s="227"/>
    </row>
    <row r="22" spans="1:30" ht="75" x14ac:dyDescent="0.25">
      <c r="A22" s="5" t="s">
        <v>30</v>
      </c>
      <c r="B22" s="6" t="s">
        <v>29</v>
      </c>
      <c r="C22" s="6" t="s">
        <v>31</v>
      </c>
      <c r="D22" s="6" t="s">
        <v>32</v>
      </c>
      <c r="E22" s="6" t="s">
        <v>33</v>
      </c>
      <c r="F22" s="6" t="s">
        <v>34</v>
      </c>
      <c r="G22" s="6" t="s">
        <v>35</v>
      </c>
      <c r="H22" s="6" t="s">
        <v>36</v>
      </c>
      <c r="I22" s="6" t="s">
        <v>271</v>
      </c>
      <c r="J22" s="6" t="s">
        <v>37</v>
      </c>
      <c r="K22" s="70" t="s">
        <v>38</v>
      </c>
      <c r="L22" s="66" t="s">
        <v>39</v>
      </c>
      <c r="M22" s="5" t="s">
        <v>30</v>
      </c>
      <c r="N22" s="70" t="s">
        <v>419</v>
      </c>
      <c r="O22" s="66" t="s">
        <v>420</v>
      </c>
      <c r="Q22" s="65" t="s">
        <v>21</v>
      </c>
      <c r="R22" s="66" t="s">
        <v>273</v>
      </c>
      <c r="T22" s="63" t="s">
        <v>21</v>
      </c>
      <c r="U22" s="49" t="s">
        <v>407</v>
      </c>
      <c r="V22" s="49" t="s">
        <v>408</v>
      </c>
      <c r="W22" s="49" t="s">
        <v>409</v>
      </c>
      <c r="X22" s="49" t="s">
        <v>410</v>
      </c>
      <c r="Y22" s="49" t="s">
        <v>411</v>
      </c>
      <c r="Z22" s="49" t="s">
        <v>412</v>
      </c>
      <c r="AA22" s="49" t="s">
        <v>413</v>
      </c>
      <c r="AB22" s="49" t="s">
        <v>414</v>
      </c>
      <c r="AC22" s="49" t="s">
        <v>415</v>
      </c>
      <c r="AD22" s="49" t="s">
        <v>406</v>
      </c>
    </row>
    <row r="23" spans="1:30" x14ac:dyDescent="0.25">
      <c r="A23" s="17" t="s">
        <v>101</v>
      </c>
      <c r="B23" s="2">
        <v>3</v>
      </c>
      <c r="C23" s="2">
        <v>5</v>
      </c>
      <c r="D23" s="2">
        <v>6</v>
      </c>
      <c r="E23" s="2">
        <v>6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f t="shared" ref="K23:K35" si="0">SUM(B23:J23)</f>
        <v>27</v>
      </c>
      <c r="L23" s="52">
        <v>1</v>
      </c>
      <c r="M23" s="96" t="s">
        <v>105</v>
      </c>
      <c r="N23" s="2">
        <v>11</v>
      </c>
      <c r="O23" s="127">
        <v>1</v>
      </c>
      <c r="Q23" s="105" t="s">
        <v>109</v>
      </c>
      <c r="R23" s="116">
        <v>9</v>
      </c>
      <c r="T23" t="s">
        <v>86</v>
      </c>
      <c r="U23">
        <f>COUNTIF(A3:A7,"metacell-11")</f>
        <v>0</v>
      </c>
      <c r="V23">
        <f>COUNTIF(D3:D7,"metacell-11")</f>
        <v>1</v>
      </c>
      <c r="W23">
        <f>COUNTIF(G3:G7,"metacell-11")</f>
        <v>1</v>
      </c>
      <c r="X23">
        <f>COUNTIF(J3:J8,"metacell-11")</f>
        <v>1</v>
      </c>
      <c r="Y23">
        <f>COUNTIF(M3:M9,"metacell-11")</f>
        <v>1</v>
      </c>
      <c r="Z23">
        <f>COUNTIF(P3:P14,"metacell-11")</f>
        <v>1</v>
      </c>
      <c r="AA23">
        <f>COUNTIF(S3:S8,"metacell-11")</f>
        <v>1</v>
      </c>
      <c r="AB23">
        <f>COUNTIF(V3:V9,"metacell-11")</f>
        <v>1</v>
      </c>
      <c r="AC23">
        <f>COUNTIF(Y3:Y9,"metacell-11")</f>
        <v>1</v>
      </c>
      <c r="AD23">
        <f>SUM(U23:AC23)</f>
        <v>8</v>
      </c>
    </row>
    <row r="24" spans="1:30" x14ac:dyDescent="0.25">
      <c r="A24" s="17" t="s">
        <v>105</v>
      </c>
      <c r="B24" s="2">
        <v>2</v>
      </c>
      <c r="C24" s="2">
        <v>1</v>
      </c>
      <c r="D24" s="2">
        <v>1</v>
      </c>
      <c r="E24" s="2">
        <v>1</v>
      </c>
      <c r="F24" s="2">
        <v>2</v>
      </c>
      <c r="G24" s="2">
        <v>2</v>
      </c>
      <c r="H24" s="2">
        <v>2</v>
      </c>
      <c r="I24" s="2">
        <v>8</v>
      </c>
      <c r="J24" s="2">
        <v>8</v>
      </c>
      <c r="K24" s="2">
        <f t="shared" si="0"/>
        <v>27</v>
      </c>
      <c r="L24" s="52">
        <v>1</v>
      </c>
      <c r="M24" s="96" t="s">
        <v>103</v>
      </c>
      <c r="N24" s="2">
        <v>16</v>
      </c>
      <c r="O24" s="127">
        <v>2</v>
      </c>
      <c r="Q24" s="105" t="s">
        <v>86</v>
      </c>
      <c r="R24" s="116">
        <v>8</v>
      </c>
      <c r="T24" t="s">
        <v>87</v>
      </c>
      <c r="U24">
        <f>COUNTIF(A3:A7,"metacell-12")</f>
        <v>0</v>
      </c>
      <c r="V24">
        <f>COUNTIF(D3:D7,"metacell-12")</f>
        <v>0</v>
      </c>
      <c r="W24">
        <f>COUNTIF(G3:G7,"metacell-12")</f>
        <v>0</v>
      </c>
      <c r="X24">
        <f>COUNTIF(J3:J8,"metacell-12")</f>
        <v>0</v>
      </c>
      <c r="Y24">
        <f>COUNTIF(M3:M9,"metacell-12")</f>
        <v>0</v>
      </c>
      <c r="Z24">
        <f>COUNTIF(P3:P14,"metacell-12")</f>
        <v>1</v>
      </c>
      <c r="AA24">
        <f>COUNTIF(S3:S8,"metacell-12")</f>
        <v>0</v>
      </c>
      <c r="AB24">
        <f>COUNTIF(V3:V9,"metacell-12")</f>
        <v>0</v>
      </c>
      <c r="AC24">
        <f>COUNTIF(Y3:Y9,"metacell-12")</f>
        <v>0</v>
      </c>
      <c r="AD24">
        <f>SUM(U24:AC24)</f>
        <v>1</v>
      </c>
    </row>
    <row r="25" spans="1:30" x14ac:dyDescent="0.25">
      <c r="A25" s="17" t="s">
        <v>103</v>
      </c>
      <c r="B25" s="2">
        <v>4</v>
      </c>
      <c r="C25" s="2">
        <v>2</v>
      </c>
      <c r="D25" s="2">
        <v>4</v>
      </c>
      <c r="E25" s="2">
        <v>2</v>
      </c>
      <c r="F25" s="2">
        <v>1</v>
      </c>
      <c r="G25" s="2">
        <v>1</v>
      </c>
      <c r="H25" s="2">
        <v>2</v>
      </c>
      <c r="I25" s="2">
        <v>6</v>
      </c>
      <c r="J25" s="2">
        <v>7</v>
      </c>
      <c r="K25" s="2">
        <f t="shared" si="0"/>
        <v>29</v>
      </c>
      <c r="L25" s="52">
        <v>2</v>
      </c>
      <c r="M25" s="96" t="s">
        <v>101</v>
      </c>
      <c r="N25" s="2">
        <v>23</v>
      </c>
      <c r="O25" s="127">
        <v>3</v>
      </c>
      <c r="Q25" s="105" t="s">
        <v>101</v>
      </c>
      <c r="R25" s="116">
        <v>7</v>
      </c>
      <c r="T25" t="s">
        <v>89</v>
      </c>
      <c r="U25">
        <f>COUNTIF(A3:A7,"metacell-14")</f>
        <v>0</v>
      </c>
      <c r="V25">
        <f>COUNTIF(D3:D7,"metacell-14")</f>
        <v>0</v>
      </c>
      <c r="W25">
        <f>COUNTIF(G3:G7,"metacell-14")</f>
        <v>0</v>
      </c>
      <c r="X25">
        <f>COUNTIF(J3:J8,"metacell-14")</f>
        <v>0</v>
      </c>
      <c r="Y25">
        <f>COUNTIF(M3:M9,"metacell-14")</f>
        <v>0</v>
      </c>
      <c r="Z25">
        <f>COUNTIF(P3:P14,"metacell-14")</f>
        <v>1</v>
      </c>
      <c r="AA25">
        <f>COUNTIF(S3:S8,"metacell-14")</f>
        <v>0</v>
      </c>
      <c r="AB25">
        <f>COUNTIF(V3:V9,"metacell-14")</f>
        <v>1</v>
      </c>
      <c r="AC25">
        <f>COUNTIF(Y3:Y9,"metacell-14")</f>
        <v>1</v>
      </c>
      <c r="AD25">
        <f t="shared" ref="AD25:AD35" si="1">SUM(U25:AC25)</f>
        <v>3</v>
      </c>
    </row>
    <row r="26" spans="1:30" x14ac:dyDescent="0.25">
      <c r="A26" s="17" t="s">
        <v>86</v>
      </c>
      <c r="B26" s="2">
        <v>7</v>
      </c>
      <c r="C26" s="2">
        <v>3</v>
      </c>
      <c r="D26" s="2">
        <v>2</v>
      </c>
      <c r="E26" s="2">
        <v>4</v>
      </c>
      <c r="F26" s="2">
        <v>3</v>
      </c>
      <c r="G26" s="2">
        <v>1</v>
      </c>
      <c r="H26" s="2">
        <v>5</v>
      </c>
      <c r="I26" s="2">
        <v>3</v>
      </c>
      <c r="J26" s="2">
        <v>3</v>
      </c>
      <c r="K26" s="2">
        <f t="shared" si="0"/>
        <v>31</v>
      </c>
      <c r="L26" s="52">
        <v>3</v>
      </c>
      <c r="M26" s="96" t="s">
        <v>109</v>
      </c>
      <c r="N26" s="2">
        <v>23</v>
      </c>
      <c r="O26" s="127">
        <v>3</v>
      </c>
      <c r="Q26" s="105" t="s">
        <v>103</v>
      </c>
      <c r="R26" s="116">
        <v>7</v>
      </c>
      <c r="T26" t="s">
        <v>97</v>
      </c>
      <c r="U26">
        <f>COUNTIF(A3:A7,"metacell-22")</f>
        <v>0</v>
      </c>
      <c r="V26">
        <f>COUNTIF(D3:D7,"metacell-22")</f>
        <v>0</v>
      </c>
      <c r="W26">
        <f>COUNTIF(G3:G7,"metacell-22")</f>
        <v>0</v>
      </c>
      <c r="X26">
        <f>COUNTIF(J3:J8,"metacell-22")</f>
        <v>0</v>
      </c>
      <c r="Y26">
        <f>COUNTIF(M3:M9,"metacell-22")</f>
        <v>0</v>
      </c>
      <c r="Z26">
        <f>COUNTIF(P3:P14,"metacell-22")</f>
        <v>1</v>
      </c>
      <c r="AA26">
        <f>COUNTIF(S3:S8,"metacell-22")</f>
        <v>0</v>
      </c>
      <c r="AB26">
        <f>COUNTIF(V3:V9,"metacell-22")</f>
        <v>1</v>
      </c>
      <c r="AC26">
        <f>COUNTIF(Y3:Y9,"metacell-22")</f>
        <v>1</v>
      </c>
      <c r="AD26">
        <f t="shared" si="1"/>
        <v>3</v>
      </c>
    </row>
    <row r="27" spans="1:30" x14ac:dyDescent="0.25">
      <c r="A27" s="17" t="s">
        <v>109</v>
      </c>
      <c r="B27" s="2">
        <v>1</v>
      </c>
      <c r="C27" s="2">
        <v>4</v>
      </c>
      <c r="D27" s="2">
        <v>3</v>
      </c>
      <c r="E27" s="2">
        <v>4</v>
      </c>
      <c r="F27" s="2">
        <v>4</v>
      </c>
      <c r="G27" s="2">
        <v>3</v>
      </c>
      <c r="H27" s="2">
        <v>4</v>
      </c>
      <c r="I27" s="2">
        <v>5</v>
      </c>
      <c r="J27" s="2">
        <v>5</v>
      </c>
      <c r="K27" s="2">
        <f t="shared" si="0"/>
        <v>33</v>
      </c>
      <c r="L27" s="52">
        <v>4</v>
      </c>
      <c r="M27" s="96" t="s">
        <v>86</v>
      </c>
      <c r="N27" s="2">
        <v>25</v>
      </c>
      <c r="O27" s="127">
        <v>4</v>
      </c>
      <c r="Q27" s="105" t="s">
        <v>105</v>
      </c>
      <c r="R27" s="116">
        <v>7</v>
      </c>
      <c r="T27" t="s">
        <v>101</v>
      </c>
      <c r="U27">
        <f>COUNTIF(A3:A7,"metacell-26")</f>
        <v>1</v>
      </c>
      <c r="V27">
        <f>COUNTIF(D3:D7,"metacell-26")</f>
        <v>1</v>
      </c>
      <c r="W27">
        <f>COUNTIF(G3:G7,"metacell-26")</f>
        <v>0</v>
      </c>
      <c r="X27">
        <f>COUNTIF(J3:J8,"metacell-26")</f>
        <v>0</v>
      </c>
      <c r="Y27">
        <f>COUNTIF(M3:M9,"metacell-26")</f>
        <v>1</v>
      </c>
      <c r="Z27">
        <f>COUNTIF(P3:P14,"metacell-26")</f>
        <v>1</v>
      </c>
      <c r="AA27">
        <f>COUNTIF(S3:S8,"metacell-26")</f>
        <v>1</v>
      </c>
      <c r="AB27">
        <f>COUNTIF(V3:V9,"metacell-26")</f>
        <v>1</v>
      </c>
      <c r="AC27">
        <f>COUNTIF(Y3:Y9,"metacell-26")</f>
        <v>1</v>
      </c>
      <c r="AD27">
        <f t="shared" si="1"/>
        <v>7</v>
      </c>
    </row>
    <row r="28" spans="1:30" x14ac:dyDescent="0.25">
      <c r="A28" s="17" t="s">
        <v>107</v>
      </c>
      <c r="B28" s="2">
        <v>6</v>
      </c>
      <c r="C28" s="2">
        <v>6</v>
      </c>
      <c r="D28" s="2">
        <v>7</v>
      </c>
      <c r="E28" s="2">
        <v>5</v>
      </c>
      <c r="F28" s="2">
        <v>2</v>
      </c>
      <c r="G28" s="2">
        <v>2</v>
      </c>
      <c r="H28" s="2">
        <v>3</v>
      </c>
      <c r="I28" s="2">
        <v>6</v>
      </c>
      <c r="J28" s="2">
        <v>6</v>
      </c>
      <c r="K28" s="2">
        <f t="shared" si="0"/>
        <v>43</v>
      </c>
      <c r="L28" s="52">
        <v>5</v>
      </c>
      <c r="M28" s="96" t="s">
        <v>107</v>
      </c>
      <c r="N28" s="2">
        <v>31</v>
      </c>
      <c r="O28" s="127">
        <v>5</v>
      </c>
      <c r="Q28" s="77" t="s">
        <v>107</v>
      </c>
      <c r="R28" s="53">
        <v>4</v>
      </c>
      <c r="T28" t="s">
        <v>103</v>
      </c>
      <c r="U28">
        <f>COUNTIF(A3:A7,"metacell-28")</f>
        <v>1</v>
      </c>
      <c r="V28">
        <f>COUNTIF(D3:D7,"metacell-28")</f>
        <v>1</v>
      </c>
      <c r="W28">
        <f>COUNTIF(G3:G7,"metacell-28")</f>
        <v>1</v>
      </c>
      <c r="X28">
        <f>COUNTIF(J3:J8,"metacell-28")</f>
        <v>1</v>
      </c>
      <c r="Y28">
        <f>COUNTIF(M3:M9,"metacell-28")</f>
        <v>1</v>
      </c>
      <c r="Z28">
        <f>COUNTIF(P3:P14,"metacell-28")</f>
        <v>1</v>
      </c>
      <c r="AA28">
        <f>COUNTIF(S3:S8,"metacell-28")</f>
        <v>1</v>
      </c>
      <c r="AB28">
        <f>COUNTIF(V3:V9,"metacell-28")</f>
        <v>0</v>
      </c>
      <c r="AC28">
        <f>COUNTIF(Y3:Y9,"metacell-28")</f>
        <v>0</v>
      </c>
      <c r="AD28">
        <f t="shared" si="1"/>
        <v>7</v>
      </c>
    </row>
    <row r="29" spans="1:30" x14ac:dyDescent="0.25">
      <c r="A29" s="3" t="s">
        <v>104</v>
      </c>
      <c r="B29" s="2">
        <v>9</v>
      </c>
      <c r="C29" s="2">
        <v>6</v>
      </c>
      <c r="D29" s="2">
        <v>5</v>
      </c>
      <c r="E29" s="2">
        <v>3</v>
      </c>
      <c r="F29" s="2">
        <v>7</v>
      </c>
      <c r="G29" s="2">
        <v>3</v>
      </c>
      <c r="H29" s="2">
        <v>9</v>
      </c>
      <c r="I29" s="2">
        <v>6</v>
      </c>
      <c r="J29" s="2">
        <v>7</v>
      </c>
      <c r="K29" s="2">
        <f t="shared" si="0"/>
        <v>55</v>
      </c>
      <c r="L29" s="53">
        <v>6</v>
      </c>
      <c r="M29" s="3" t="s">
        <v>104</v>
      </c>
      <c r="N29" s="2">
        <v>42</v>
      </c>
      <c r="O29" s="4">
        <v>6</v>
      </c>
      <c r="Q29" s="144" t="s">
        <v>79</v>
      </c>
      <c r="R29" s="53">
        <v>4</v>
      </c>
      <c r="T29" t="s">
        <v>104</v>
      </c>
      <c r="U29">
        <f>COUNTIF(A3:A7,"metacell-29")</f>
        <v>0</v>
      </c>
      <c r="V29">
        <f>COUNTIF(D3:D7,"metacell-29")</f>
        <v>0</v>
      </c>
      <c r="W29">
        <f>COUNTIF(G3:G7,"metacell-29")</f>
        <v>1</v>
      </c>
      <c r="X29">
        <f>COUNTIF(J3:J8,"metacell-29")</f>
        <v>1</v>
      </c>
      <c r="Y29">
        <f>COUNTIF(M3:M9,"metacell-29")</f>
        <v>0</v>
      </c>
      <c r="Z29">
        <f>COUNTIF(P3:P14,"metacell-29")</f>
        <v>1</v>
      </c>
      <c r="AA29">
        <f>COUNTIF(S3:S8,"metacell-29")</f>
        <v>0</v>
      </c>
      <c r="AB29">
        <f>COUNTIF(V3:V9,"metacell-29")</f>
        <v>0</v>
      </c>
      <c r="AC29">
        <f>COUNTIF(Y3:Y9,"metacell-29")</f>
        <v>0</v>
      </c>
      <c r="AD29">
        <f t="shared" si="1"/>
        <v>3</v>
      </c>
    </row>
    <row r="30" spans="1:30" x14ac:dyDescent="0.25">
      <c r="A30" s="3" t="s">
        <v>79</v>
      </c>
      <c r="B30" s="2">
        <v>8</v>
      </c>
      <c r="C30" s="2">
        <v>8</v>
      </c>
      <c r="D30" s="2">
        <v>8</v>
      </c>
      <c r="E30" s="2">
        <v>8</v>
      </c>
      <c r="F30" s="2">
        <v>5</v>
      </c>
      <c r="G30" s="2">
        <v>5</v>
      </c>
      <c r="H30" s="2">
        <v>6</v>
      </c>
      <c r="I30" s="2">
        <v>4</v>
      </c>
      <c r="J30" s="2">
        <v>4</v>
      </c>
      <c r="K30" s="2">
        <f t="shared" si="0"/>
        <v>56</v>
      </c>
      <c r="L30" s="53">
        <v>7</v>
      </c>
      <c r="M30" s="3" t="s">
        <v>108</v>
      </c>
      <c r="N30" s="2">
        <v>44</v>
      </c>
      <c r="O30" s="4">
        <v>7</v>
      </c>
      <c r="Q30" s="144" t="s">
        <v>89</v>
      </c>
      <c r="R30" s="53">
        <v>3</v>
      </c>
      <c r="T30" t="s">
        <v>105</v>
      </c>
      <c r="U30">
        <f>COUNTIF(A3:A7,"metacell-30")</f>
        <v>1</v>
      </c>
      <c r="V30">
        <f>COUNTIF(D3:D7,"metacell-30")</f>
        <v>1</v>
      </c>
      <c r="W30">
        <f>COUNTIF(G3:G7,"metacell-30")</f>
        <v>1</v>
      </c>
      <c r="X30">
        <f>COUNTIF(J3:J8,"metacell-30")</f>
        <v>1</v>
      </c>
      <c r="Y30">
        <f>COUNTIF(M3:M9,"metacell-30")</f>
        <v>1</v>
      </c>
      <c r="Z30">
        <f>COUNTIF(P3:P14,"metacell-30")</f>
        <v>1</v>
      </c>
      <c r="AA30">
        <f>COUNTIF(S3:S8,"metacell-30")</f>
        <v>1</v>
      </c>
      <c r="AB30">
        <f>COUNTIF(V3:V9,"metacell-30")</f>
        <v>0</v>
      </c>
      <c r="AC30">
        <f>COUNTIF(Y3:Y9,"metacell-30")</f>
        <v>0</v>
      </c>
      <c r="AD30">
        <f t="shared" si="1"/>
        <v>7</v>
      </c>
    </row>
    <row r="31" spans="1:30" x14ac:dyDescent="0.25">
      <c r="A31" s="3" t="s">
        <v>108</v>
      </c>
      <c r="B31" s="2">
        <v>5</v>
      </c>
      <c r="C31" s="2">
        <v>7</v>
      </c>
      <c r="D31" s="2">
        <v>7</v>
      </c>
      <c r="E31" s="2">
        <v>7</v>
      </c>
      <c r="F31" s="2">
        <v>7</v>
      </c>
      <c r="G31" s="2">
        <v>3</v>
      </c>
      <c r="H31" s="2">
        <v>8</v>
      </c>
      <c r="I31" s="2">
        <v>7</v>
      </c>
      <c r="J31" s="2">
        <v>7</v>
      </c>
      <c r="K31" s="2">
        <f t="shared" si="0"/>
        <v>58</v>
      </c>
      <c r="L31" s="53">
        <v>8</v>
      </c>
      <c r="M31" s="3" t="s">
        <v>79</v>
      </c>
      <c r="N31" s="2">
        <v>48</v>
      </c>
      <c r="O31" s="4">
        <v>8</v>
      </c>
      <c r="Q31" s="144" t="s">
        <v>97</v>
      </c>
      <c r="R31" s="53">
        <v>3</v>
      </c>
      <c r="T31" t="s">
        <v>107</v>
      </c>
      <c r="U31">
        <f>COUNTIF(A3:A7,"metacell-32")</f>
        <v>0</v>
      </c>
      <c r="V31">
        <f>COUNTIF(D3:D7,"metacell-32")</f>
        <v>0</v>
      </c>
      <c r="W31">
        <f>COUNTIF(G3:G7,"metacell-32")</f>
        <v>0</v>
      </c>
      <c r="X31">
        <f>COUNTIF(J3:J8,"metacell-32")</f>
        <v>1</v>
      </c>
      <c r="Y31">
        <f>COUNTIF(M3:M9,"metacell-32")</f>
        <v>1</v>
      </c>
      <c r="Z31">
        <f>COUNTIF(P3:P14,"metacell-32")</f>
        <v>1</v>
      </c>
      <c r="AA31">
        <f>COUNTIF(S3:S8,"metacell-32")</f>
        <v>1</v>
      </c>
      <c r="AB31">
        <f>COUNTIF(V3:V9,"metacell-32")</f>
        <v>0</v>
      </c>
      <c r="AC31">
        <f>COUNTIF(Y3:Y9,"metacell-32")</f>
        <v>0</v>
      </c>
      <c r="AD31">
        <f t="shared" si="1"/>
        <v>4</v>
      </c>
    </row>
    <row r="32" spans="1:30" x14ac:dyDescent="0.25">
      <c r="A32" s="3" t="s">
        <v>97</v>
      </c>
      <c r="B32" s="2">
        <v>12</v>
      </c>
      <c r="C32" s="2">
        <v>11</v>
      </c>
      <c r="D32" s="2">
        <v>9</v>
      </c>
      <c r="E32" s="2">
        <v>10</v>
      </c>
      <c r="F32" s="2">
        <v>7</v>
      </c>
      <c r="G32" s="2">
        <v>5</v>
      </c>
      <c r="H32" s="2">
        <v>9</v>
      </c>
      <c r="I32" s="2">
        <v>1</v>
      </c>
      <c r="J32" s="2">
        <v>1</v>
      </c>
      <c r="K32" s="2">
        <f t="shared" si="0"/>
        <v>65</v>
      </c>
      <c r="L32" s="53">
        <v>9</v>
      </c>
      <c r="M32" s="3" t="s">
        <v>89</v>
      </c>
      <c r="N32" s="2">
        <v>56</v>
      </c>
      <c r="O32" s="4">
        <v>9</v>
      </c>
      <c r="Q32" s="144" t="s">
        <v>104</v>
      </c>
      <c r="R32" s="53">
        <v>3</v>
      </c>
      <c r="T32" t="s">
        <v>108</v>
      </c>
      <c r="U32">
        <f>COUNTIF(A3:A7,"metacell-33")</f>
        <v>1</v>
      </c>
      <c r="V32">
        <f>COUNTIF(D3:D7,"metacell-33")</f>
        <v>0</v>
      </c>
      <c r="W32">
        <f>COUNTIF(G3:G7,"metacell-33")</f>
        <v>0</v>
      </c>
      <c r="X32">
        <f>COUNTIF(J3:J8,"metacell-33")</f>
        <v>0</v>
      </c>
      <c r="Y32">
        <f>COUNTIF(M3:M9,"metacell-33")</f>
        <v>0</v>
      </c>
      <c r="Z32">
        <f>COUNTIF(P3:P14,"metacell-33")</f>
        <v>1</v>
      </c>
      <c r="AA32">
        <f>COUNTIF(S3:S8,"metacell-33")</f>
        <v>0</v>
      </c>
      <c r="AB32">
        <f>COUNTIF(V3:V9,"metacell-33")</f>
        <v>0</v>
      </c>
      <c r="AC32">
        <f>COUNTIF(Y3:Y9,"metacell-33")</f>
        <v>0</v>
      </c>
      <c r="AD32">
        <f t="shared" si="1"/>
        <v>2</v>
      </c>
    </row>
    <row r="33" spans="1:30" x14ac:dyDescent="0.25">
      <c r="A33" s="3" t="s">
        <v>89</v>
      </c>
      <c r="B33" s="2">
        <v>11</v>
      </c>
      <c r="C33" s="2">
        <v>10</v>
      </c>
      <c r="D33" s="2">
        <v>10</v>
      </c>
      <c r="E33" s="2">
        <v>8</v>
      </c>
      <c r="F33" s="2">
        <v>6</v>
      </c>
      <c r="G33" s="2">
        <v>5</v>
      </c>
      <c r="H33" s="2">
        <v>6</v>
      </c>
      <c r="I33" s="2">
        <v>5</v>
      </c>
      <c r="J33" s="2">
        <v>5</v>
      </c>
      <c r="K33" s="2">
        <f t="shared" si="0"/>
        <v>66</v>
      </c>
      <c r="L33" s="53">
        <v>10</v>
      </c>
      <c r="M33" s="3" t="s">
        <v>87</v>
      </c>
      <c r="N33" s="2">
        <v>57</v>
      </c>
      <c r="O33" s="4">
        <v>10</v>
      </c>
      <c r="Q33" s="144" t="s">
        <v>108</v>
      </c>
      <c r="R33" s="53">
        <v>2</v>
      </c>
      <c r="T33" t="s">
        <v>109</v>
      </c>
      <c r="U33">
        <f>COUNTIF(A3:A7,"metacell-34")</f>
        <v>1</v>
      </c>
      <c r="V33">
        <f>COUNTIF(D3:D7,"metacell-34")</f>
        <v>1</v>
      </c>
      <c r="W33">
        <f>COUNTIF(G3:G7,"metacell-34")</f>
        <v>1</v>
      </c>
      <c r="X33">
        <f>COUNTIF(J3:J8,"metacell-34")</f>
        <v>1</v>
      </c>
      <c r="Y33">
        <f>COUNTIF(M3:M9,"metacell-34")</f>
        <v>1</v>
      </c>
      <c r="Z33">
        <f>COUNTIF(P3:P14,"metacell-34")</f>
        <v>1</v>
      </c>
      <c r="AA33">
        <f>COUNTIF(S3:S8,"metacell-34")</f>
        <v>1</v>
      </c>
      <c r="AB33">
        <f>COUNTIF(V3:V9,"metacell-34")</f>
        <v>1</v>
      </c>
      <c r="AC33">
        <f>COUNTIF(Y3:Y9,"metacell-34")</f>
        <v>1</v>
      </c>
      <c r="AD33">
        <f t="shared" si="1"/>
        <v>9</v>
      </c>
    </row>
    <row r="34" spans="1:30" x14ac:dyDescent="0.25">
      <c r="A34" s="3" t="s">
        <v>82</v>
      </c>
      <c r="B34" s="2">
        <v>10</v>
      </c>
      <c r="C34" s="2">
        <v>10</v>
      </c>
      <c r="D34" s="2">
        <v>11</v>
      </c>
      <c r="E34" s="2">
        <v>9</v>
      </c>
      <c r="F34" s="2">
        <v>8</v>
      </c>
      <c r="G34" s="2">
        <v>6</v>
      </c>
      <c r="H34" s="2">
        <v>7</v>
      </c>
      <c r="I34" s="2">
        <v>4</v>
      </c>
      <c r="J34" s="2">
        <v>4</v>
      </c>
      <c r="K34" s="2">
        <f t="shared" si="0"/>
        <v>69</v>
      </c>
      <c r="L34" s="53">
        <v>11</v>
      </c>
      <c r="M34" s="3" t="s">
        <v>82</v>
      </c>
      <c r="N34" s="2">
        <v>61</v>
      </c>
      <c r="O34" s="4">
        <v>11</v>
      </c>
      <c r="Q34" s="144" t="s">
        <v>82</v>
      </c>
      <c r="R34" s="53">
        <v>2</v>
      </c>
      <c r="T34" t="s">
        <v>79</v>
      </c>
      <c r="U34">
        <f>COUNTIF(A3:A7,"metacell-6")</f>
        <v>0</v>
      </c>
      <c r="V34">
        <f>COUNTIF(D3:D7,"metacell-6")</f>
        <v>0</v>
      </c>
      <c r="W34">
        <f>COUNTIF(G3:G7,"metacell-6")</f>
        <v>0</v>
      </c>
      <c r="X34">
        <f>COUNTIF(J3:J8,"metacell-6")</f>
        <v>0</v>
      </c>
      <c r="Y34">
        <f>COUNTIF(M3:M9,"metacell-6")</f>
        <v>1</v>
      </c>
      <c r="Z34">
        <f>COUNTIF(P3:P14,"metacell-6")</f>
        <v>1</v>
      </c>
      <c r="AA34">
        <f>COUNTIF(S3:S8,"metacell-6")</f>
        <v>0</v>
      </c>
      <c r="AB34">
        <f>COUNTIF(V3:V9,"metacell-6")</f>
        <v>1</v>
      </c>
      <c r="AC34">
        <f>COUNTIF(Y3:Y9,"metacell-6")</f>
        <v>1</v>
      </c>
      <c r="AD34">
        <f t="shared" si="1"/>
        <v>4</v>
      </c>
    </row>
    <row r="35" spans="1:30" ht="15.75" thickBot="1" x14ac:dyDescent="0.3">
      <c r="A35" s="76" t="s">
        <v>87</v>
      </c>
      <c r="B35" s="11">
        <v>13</v>
      </c>
      <c r="C35" s="11">
        <v>9</v>
      </c>
      <c r="D35" s="11">
        <v>9</v>
      </c>
      <c r="E35" s="11">
        <v>8</v>
      </c>
      <c r="F35" s="11">
        <v>6</v>
      </c>
      <c r="G35" s="11">
        <v>4</v>
      </c>
      <c r="H35" s="11">
        <v>8</v>
      </c>
      <c r="I35" s="11">
        <v>8</v>
      </c>
      <c r="J35" s="11">
        <v>8</v>
      </c>
      <c r="K35" s="11">
        <f t="shared" si="0"/>
        <v>73</v>
      </c>
      <c r="L35" s="143">
        <v>12</v>
      </c>
      <c r="M35" s="76" t="s">
        <v>97</v>
      </c>
      <c r="N35" s="11">
        <v>63</v>
      </c>
      <c r="O35" s="69">
        <v>12</v>
      </c>
      <c r="Q35" s="145" t="s">
        <v>87</v>
      </c>
      <c r="R35" s="143">
        <v>1</v>
      </c>
      <c r="T35" t="s">
        <v>82</v>
      </c>
      <c r="U35">
        <f>COUNTIF(A3:A7,"metacell-7")</f>
        <v>0</v>
      </c>
      <c r="V35">
        <f>COUNTIF(D3:D7,"metacell-7")</f>
        <v>0</v>
      </c>
      <c r="W35">
        <f>COUNTIF(G3:G7,"metacell-7")</f>
        <v>0</v>
      </c>
      <c r="X35">
        <f>COUNTIF(J3:J8,"metacell-7")</f>
        <v>0</v>
      </c>
      <c r="Y35">
        <f>COUNTIF(M3:M9,"metacell-7")</f>
        <v>0</v>
      </c>
      <c r="Z35">
        <f>COUNTIF(P3:P14,"metacell-7")</f>
        <v>0</v>
      </c>
      <c r="AA35">
        <f>COUNTIF(S3:S8,"metacell-7")</f>
        <v>0</v>
      </c>
      <c r="AB35">
        <f>COUNTIF(V3:V9,"metacell-7")</f>
        <v>1</v>
      </c>
      <c r="AC35">
        <f>COUNTIF(Y3:Y9,"metacell-7")</f>
        <v>1</v>
      </c>
      <c r="AD35">
        <f t="shared" si="1"/>
        <v>2</v>
      </c>
    </row>
    <row r="36" spans="1:3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3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3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3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3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3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30" x14ac:dyDescent="0.25">
      <c r="A43" s="2"/>
      <c r="B43" s="2"/>
      <c r="C43" s="2"/>
      <c r="D43" s="2"/>
      <c r="E43" s="2"/>
    </row>
    <row r="44" spans="1:30" x14ac:dyDescent="0.25">
      <c r="A44" s="2"/>
      <c r="B44" s="2"/>
      <c r="C44" s="2"/>
      <c r="D44" s="2"/>
      <c r="E44" s="2"/>
    </row>
    <row r="45" spans="1:30" x14ac:dyDescent="0.25">
      <c r="A45" s="2"/>
      <c r="B45" s="2"/>
      <c r="C45" s="2"/>
      <c r="D45" s="2"/>
      <c r="E45" s="2"/>
    </row>
    <row r="46" spans="1:30" x14ac:dyDescent="0.25">
      <c r="A46" s="2"/>
      <c r="B46" s="2"/>
      <c r="C46" s="2"/>
      <c r="D46" s="2"/>
      <c r="E46" s="2"/>
    </row>
    <row r="47" spans="1:30" x14ac:dyDescent="0.25">
      <c r="A47" s="2"/>
      <c r="B47" s="2"/>
      <c r="C47" s="2"/>
      <c r="D47" s="2"/>
      <c r="E47" s="2"/>
    </row>
    <row r="48" spans="1:30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</sheetData>
  <sortState ref="Q23:R35">
    <sortCondition descending="1" ref="R23:R35"/>
  </sortState>
  <mergeCells count="21">
    <mergeCell ref="V17:X17"/>
    <mergeCell ref="Y17:AA17"/>
    <mergeCell ref="Q20:R21"/>
    <mergeCell ref="A21:L21"/>
    <mergeCell ref="M21:O21"/>
    <mergeCell ref="S1:U1"/>
    <mergeCell ref="V1:X1"/>
    <mergeCell ref="Y1:AA1"/>
    <mergeCell ref="A17:C17"/>
    <mergeCell ref="D17:F17"/>
    <mergeCell ref="G17:I17"/>
    <mergeCell ref="J17:L17"/>
    <mergeCell ref="M17:O17"/>
    <mergeCell ref="P17:R17"/>
    <mergeCell ref="S17:U17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43" sqref="A43:K43"/>
    </sheetView>
  </sheetViews>
  <sheetFormatPr defaultRowHeight="15" x14ac:dyDescent="0.25"/>
  <cols>
    <col min="1" max="1" width="20.5703125" customWidth="1"/>
    <col min="2" max="2" width="24.85546875" customWidth="1"/>
    <col min="3" max="3" width="10.42578125" bestFit="1" customWidth="1"/>
    <col min="4" max="4" width="12.7109375" bestFit="1" customWidth="1"/>
    <col min="5" max="6" width="10.42578125" bestFit="1" customWidth="1"/>
    <col min="7" max="7" width="12.7109375" bestFit="1" customWidth="1"/>
    <col min="8" max="11" width="10.42578125" bestFit="1" customWidth="1"/>
    <col min="12" max="38" width="11.42578125" bestFit="1" customWidth="1"/>
  </cols>
  <sheetData>
    <row r="1" spans="1:38" x14ac:dyDescent="0.25">
      <c r="A1" s="59"/>
      <c r="B1" s="16" t="s">
        <v>80</v>
      </c>
      <c r="C1" s="58" t="s">
        <v>74</v>
      </c>
      <c r="D1" s="58" t="s">
        <v>75</v>
      </c>
      <c r="E1" s="58" t="s">
        <v>76</v>
      </c>
      <c r="F1" s="58" t="s">
        <v>77</v>
      </c>
      <c r="G1" s="58" t="s">
        <v>78</v>
      </c>
      <c r="H1" s="131" t="s">
        <v>79</v>
      </c>
      <c r="I1" s="13" t="s">
        <v>82</v>
      </c>
      <c r="J1" s="16" t="s">
        <v>83</v>
      </c>
      <c r="K1" s="16" t="s">
        <v>84</v>
      </c>
      <c r="L1" s="16" t="s">
        <v>85</v>
      </c>
      <c r="M1" s="13" t="s">
        <v>86</v>
      </c>
      <c r="N1" s="13" t="s">
        <v>87</v>
      </c>
      <c r="O1" s="16" t="s">
        <v>88</v>
      </c>
      <c r="P1" s="13" t="s">
        <v>89</v>
      </c>
      <c r="Q1" s="16" t="s">
        <v>90</v>
      </c>
      <c r="R1" s="16" t="s">
        <v>91</v>
      </c>
      <c r="S1" s="16" t="s">
        <v>92</v>
      </c>
      <c r="T1" s="16" t="s">
        <v>93</v>
      </c>
      <c r="U1" s="16" t="s">
        <v>94</v>
      </c>
      <c r="V1" s="16" t="s">
        <v>95</v>
      </c>
      <c r="W1" s="16" t="s">
        <v>96</v>
      </c>
      <c r="X1" s="13" t="s">
        <v>97</v>
      </c>
      <c r="Y1" s="16" t="s">
        <v>98</v>
      </c>
      <c r="Z1" s="16" t="s">
        <v>99</v>
      </c>
      <c r="AA1" s="16" t="s">
        <v>100</v>
      </c>
      <c r="AB1" s="13" t="s">
        <v>101</v>
      </c>
      <c r="AC1" s="16" t="s">
        <v>102</v>
      </c>
      <c r="AD1" s="13" t="s">
        <v>103</v>
      </c>
      <c r="AE1" s="13" t="s">
        <v>104</v>
      </c>
      <c r="AF1" s="13" t="s">
        <v>105</v>
      </c>
      <c r="AG1" s="16" t="s">
        <v>106</v>
      </c>
      <c r="AH1" s="13" t="s">
        <v>107</v>
      </c>
      <c r="AI1" s="13" t="s">
        <v>108</v>
      </c>
      <c r="AJ1" s="13" t="s">
        <v>109</v>
      </c>
      <c r="AK1" s="16" t="s">
        <v>110</v>
      </c>
      <c r="AL1" s="16" t="s">
        <v>111</v>
      </c>
    </row>
    <row r="2" spans="1:38" x14ac:dyDescent="0.25">
      <c r="A2" t="s">
        <v>265</v>
      </c>
      <c r="B2" t="s">
        <v>511</v>
      </c>
      <c r="C2">
        <v>0.22365477851761101</v>
      </c>
      <c r="D2">
        <v>-0.11180750811816401</v>
      </c>
      <c r="E2">
        <v>8.1585535792129904E-2</v>
      </c>
      <c r="F2">
        <v>-0.13881411540602601</v>
      </c>
      <c r="G2">
        <v>-1.94353093340973E-2</v>
      </c>
      <c r="H2">
        <v>0.14776622561494801</v>
      </c>
      <c r="I2">
        <v>-0.31139605671620402</v>
      </c>
      <c r="J2">
        <v>-0.46782303045248302</v>
      </c>
      <c r="K2">
        <v>-0.35664750312542998</v>
      </c>
      <c r="L2">
        <v>-0.134422536898475</v>
      </c>
      <c r="M2">
        <v>1.6101156234802101</v>
      </c>
      <c r="N2">
        <v>0.21536588068078399</v>
      </c>
      <c r="O2">
        <v>-0.56357228031018702</v>
      </c>
      <c r="P2">
        <v>-0.53582113312861601</v>
      </c>
      <c r="Q2">
        <v>-0.32234160008604001</v>
      </c>
      <c r="R2">
        <v>-5.4958367287410801E-3</v>
      </c>
      <c r="S2">
        <v>-4.9190522232645997E-3</v>
      </c>
      <c r="T2">
        <v>-0.39832142327748998</v>
      </c>
      <c r="U2">
        <v>-9.7452148918590305E-4</v>
      </c>
      <c r="V2">
        <v>1.47443974788846E-2</v>
      </c>
      <c r="W2">
        <v>-0.115707996870884</v>
      </c>
      <c r="X2">
        <v>0.107268053005766</v>
      </c>
      <c r="Y2">
        <v>-0.20533365229907499</v>
      </c>
      <c r="Z2">
        <v>4.8003146497858099E-2</v>
      </c>
      <c r="AA2">
        <v>-0.20652784461009799</v>
      </c>
      <c r="AB2">
        <v>0.56840440037708795</v>
      </c>
      <c r="AC2">
        <v>0.69827254677986295</v>
      </c>
      <c r="AD2">
        <v>1.7979095211967799</v>
      </c>
      <c r="AE2">
        <v>1.3074389920602201</v>
      </c>
      <c r="AF2">
        <v>1.7821075801214901</v>
      </c>
      <c r="AG2">
        <v>9.7386365709334799E-4</v>
      </c>
      <c r="AH2">
        <v>0.748156103166148</v>
      </c>
      <c r="AI2">
        <v>8.8490979348720605E-2</v>
      </c>
      <c r="AJ2">
        <v>0.16555967330143101</v>
      </c>
      <c r="AK2">
        <v>-0.49663616470760302</v>
      </c>
      <c r="AL2">
        <v>4.7075888237754097E-2</v>
      </c>
    </row>
    <row r="3" spans="1:38" x14ac:dyDescent="0.25">
      <c r="A3" t="s">
        <v>265</v>
      </c>
      <c r="B3" t="s">
        <v>514</v>
      </c>
      <c r="C3">
        <v>0.188815174130362</v>
      </c>
      <c r="D3">
        <v>0</v>
      </c>
      <c r="E3">
        <v>3.6259237608091903E-2</v>
      </c>
      <c r="F3">
        <v>0</v>
      </c>
      <c r="G3">
        <v>0</v>
      </c>
      <c r="H3">
        <v>0</v>
      </c>
      <c r="I3">
        <v>0</v>
      </c>
      <c r="J3">
        <v>0.13977218563645399</v>
      </c>
      <c r="K3">
        <v>5.26901564963205E-2</v>
      </c>
      <c r="L3">
        <v>0</v>
      </c>
      <c r="M3">
        <v>0</v>
      </c>
      <c r="N3">
        <v>0</v>
      </c>
      <c r="O3">
        <v>0</v>
      </c>
      <c r="P3">
        <v>3.4383005884616E-2</v>
      </c>
      <c r="Q3">
        <v>0</v>
      </c>
      <c r="R3">
        <v>2.7559198271935301E-2</v>
      </c>
      <c r="S3">
        <v>4.8906387438686701E-2</v>
      </c>
      <c r="T3">
        <v>5.1642706016675498E-2</v>
      </c>
      <c r="U3">
        <v>0</v>
      </c>
      <c r="V3">
        <v>2.6503423221666999E-2</v>
      </c>
      <c r="W3">
        <v>9.1614400386590703E-2</v>
      </c>
      <c r="X3">
        <v>0</v>
      </c>
      <c r="Y3">
        <v>2.9255081166736401E-2</v>
      </c>
      <c r="Z3">
        <v>0</v>
      </c>
      <c r="AA3">
        <v>9.0987798894549193E-2</v>
      </c>
      <c r="AB3">
        <v>0.17879401461250999</v>
      </c>
      <c r="AC3">
        <v>0</v>
      </c>
      <c r="AD3">
        <v>6.3943667825593603E-2</v>
      </c>
      <c r="AE3">
        <v>0</v>
      </c>
      <c r="AF3">
        <v>0.655936228211913</v>
      </c>
      <c r="AG3">
        <v>0</v>
      </c>
      <c r="AH3">
        <v>0.27475866197975202</v>
      </c>
      <c r="AI3">
        <v>0</v>
      </c>
      <c r="AJ3">
        <v>0.83149528292560704</v>
      </c>
      <c r="AK3">
        <v>0</v>
      </c>
      <c r="AL3">
        <v>0</v>
      </c>
    </row>
    <row r="4" spans="1:38" x14ac:dyDescent="0.25">
      <c r="A4" t="s">
        <v>265</v>
      </c>
      <c r="B4" t="s">
        <v>517</v>
      </c>
      <c r="C4">
        <v>0.11923168388362899</v>
      </c>
      <c r="D4">
        <v>0.37070351549741698</v>
      </c>
      <c r="E4">
        <v>6.8031828998414395E-2</v>
      </c>
      <c r="F4">
        <v>0.25218864795561502</v>
      </c>
      <c r="G4">
        <v>0.292115949176046</v>
      </c>
      <c r="H4">
        <v>5.05060363556699E-2</v>
      </c>
      <c r="I4">
        <v>-0.120289418032221</v>
      </c>
      <c r="J4">
        <v>1.3792674915506799E-3</v>
      </c>
      <c r="K4">
        <v>-7.6778147952795806E-2</v>
      </c>
      <c r="L4">
        <v>-0.28759018219898602</v>
      </c>
      <c r="M4">
        <v>7.6628031061919996E-2</v>
      </c>
      <c r="N4">
        <v>-0.47807231303631798</v>
      </c>
      <c r="O4">
        <v>0.321480319688219</v>
      </c>
      <c r="P4">
        <v>0.22008169771823299</v>
      </c>
      <c r="Q4">
        <v>-0.151902769426663</v>
      </c>
      <c r="R4">
        <v>-3.8100390005935299E-2</v>
      </c>
      <c r="S4">
        <v>-1.3805873820240499E-3</v>
      </c>
      <c r="T4">
        <v>-0.47709763096173102</v>
      </c>
      <c r="U4">
        <v>-0.40188281176246399</v>
      </c>
      <c r="V4">
        <v>-0.24936127806511299</v>
      </c>
      <c r="W4">
        <v>-0.53209733337383203</v>
      </c>
      <c r="X4">
        <v>-0.66193604324800503</v>
      </c>
      <c r="Y4">
        <v>-0.35277804958824499</v>
      </c>
      <c r="Z4">
        <v>-0.48655368883784</v>
      </c>
      <c r="AA4">
        <v>-0.45333501087035</v>
      </c>
      <c r="AB4">
        <v>0.230104365615105</v>
      </c>
      <c r="AC4">
        <v>-0.201246238399901</v>
      </c>
      <c r="AD4">
        <v>1.3469189007109299</v>
      </c>
      <c r="AE4">
        <v>1.53593274835089</v>
      </c>
      <c r="AF4">
        <v>1.44421433813315</v>
      </c>
      <c r="AG4">
        <v>0.26361743016262901</v>
      </c>
      <c r="AH4">
        <v>0.65341671831711901</v>
      </c>
      <c r="AI4">
        <v>-0.48520246750439899</v>
      </c>
      <c r="AJ4">
        <v>5.7628728219691998E-2</v>
      </c>
      <c r="AK4">
        <v>-0.57790539089061599</v>
      </c>
      <c r="AL4">
        <v>0.293414002755992</v>
      </c>
    </row>
    <row r="5" spans="1:38" x14ac:dyDescent="0.25">
      <c r="A5" t="s">
        <v>265</v>
      </c>
      <c r="B5" t="s">
        <v>522</v>
      </c>
      <c r="C5">
        <v>-3.5321426752361003E-2</v>
      </c>
      <c r="D5">
        <v>-3.5321426752361003E-2</v>
      </c>
      <c r="E5">
        <v>9.3781085573075098E-4</v>
      </c>
      <c r="F5">
        <v>4.9521446894156801E-2</v>
      </c>
      <c r="G5">
        <v>0.127380298464907</v>
      </c>
      <c r="H5">
        <v>2.6408615802156799E-2</v>
      </c>
      <c r="I5">
        <v>-3.5321426752361003E-2</v>
      </c>
      <c r="J5">
        <v>0.104450758884093</v>
      </c>
      <c r="K5">
        <v>-8.8432271247537407E-3</v>
      </c>
      <c r="L5">
        <v>-3.5321426752361003E-2</v>
      </c>
      <c r="M5">
        <v>7.6440285841576597E-2</v>
      </c>
      <c r="N5">
        <v>-3.5321426752361003E-2</v>
      </c>
      <c r="O5">
        <v>4.9243413920743197E-2</v>
      </c>
      <c r="P5">
        <v>-9.3842086774496803E-4</v>
      </c>
      <c r="Q5">
        <v>2.5426447329995699E-2</v>
      </c>
      <c r="R5">
        <v>-3.5321426752361003E-2</v>
      </c>
      <c r="S5">
        <v>1.3584960686325699E-2</v>
      </c>
      <c r="T5">
        <v>1.6321279264314498E-2</v>
      </c>
      <c r="U5">
        <v>1.8050176612613399E-2</v>
      </c>
      <c r="V5">
        <v>-8.8180035306940005E-3</v>
      </c>
      <c r="W5">
        <v>-3.5321426752361003E-2</v>
      </c>
      <c r="X5">
        <v>-3.5321426752361003E-2</v>
      </c>
      <c r="Y5">
        <v>2.2762636930081799E-2</v>
      </c>
      <c r="Z5">
        <v>-3.5321426752361003E-2</v>
      </c>
      <c r="AA5">
        <v>-3.5321426752361003E-2</v>
      </c>
      <c r="AB5">
        <v>7.3176132527766405E-2</v>
      </c>
      <c r="AC5">
        <v>4.3485843902601101E-2</v>
      </c>
      <c r="AD5">
        <v>9.0514711206430898E-2</v>
      </c>
      <c r="AE5">
        <v>-3.5321426752361003E-2</v>
      </c>
      <c r="AF5">
        <v>6.5431038913174894E-2</v>
      </c>
      <c r="AG5">
        <v>3.1806004154451402E-2</v>
      </c>
      <c r="AH5">
        <v>4.5558675729837697E-2</v>
      </c>
      <c r="AI5">
        <v>-3.5321426752361003E-2</v>
      </c>
      <c r="AJ5">
        <v>-3.5321426752361003E-2</v>
      </c>
      <c r="AK5">
        <v>-3.5321426752361003E-2</v>
      </c>
      <c r="AL5">
        <v>-3.5321426752361003E-2</v>
      </c>
    </row>
    <row r="6" spans="1:38" x14ac:dyDescent="0.25">
      <c r="A6" t="s">
        <v>265</v>
      </c>
      <c r="B6" t="s">
        <v>524</v>
      </c>
      <c r="C6">
        <v>0</v>
      </c>
      <c r="D6">
        <v>0</v>
      </c>
      <c r="E6">
        <v>0.106920578246973</v>
      </c>
      <c r="F6">
        <v>8.4842873646518005E-2</v>
      </c>
      <c r="G6">
        <v>8.3157593418467304E-2</v>
      </c>
      <c r="H6">
        <v>0</v>
      </c>
      <c r="I6">
        <v>0</v>
      </c>
      <c r="J6">
        <v>0</v>
      </c>
      <c r="K6">
        <v>2.6478199627607401E-2</v>
      </c>
      <c r="L6">
        <v>0</v>
      </c>
      <c r="M6">
        <v>0</v>
      </c>
      <c r="N6">
        <v>0</v>
      </c>
      <c r="O6">
        <v>0</v>
      </c>
      <c r="P6">
        <v>6.8159520641661697E-2</v>
      </c>
      <c r="Q6">
        <v>0</v>
      </c>
      <c r="R6">
        <v>0</v>
      </c>
      <c r="S6">
        <v>0</v>
      </c>
      <c r="T6">
        <v>0</v>
      </c>
      <c r="U6">
        <v>0</v>
      </c>
      <c r="V6">
        <v>2.6503423221666999E-2</v>
      </c>
      <c r="W6">
        <v>0</v>
      </c>
      <c r="X6">
        <v>0</v>
      </c>
      <c r="Y6">
        <v>0</v>
      </c>
      <c r="Z6">
        <v>3.0448421310922499E-2</v>
      </c>
      <c r="AA6">
        <v>0</v>
      </c>
      <c r="AB6">
        <v>3.65929459563583E-2</v>
      </c>
      <c r="AC6">
        <v>0</v>
      </c>
      <c r="AD6">
        <v>0.10038757824530101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265</v>
      </c>
      <c r="B7" t="s">
        <v>530</v>
      </c>
      <c r="C7">
        <v>-8.8066693641468893E-2</v>
      </c>
      <c r="D7">
        <v>-8.8066693641468893E-2</v>
      </c>
      <c r="E7">
        <v>-1.61758585716767E-2</v>
      </c>
      <c r="F7">
        <v>7.77675300995401E-2</v>
      </c>
      <c r="G7">
        <v>-8.8066693641468893E-2</v>
      </c>
      <c r="H7">
        <v>3.3358469799181903E-2</v>
      </c>
      <c r="I7">
        <v>7.3335498491517395E-2</v>
      </c>
      <c r="J7">
        <v>0.117862541861064</v>
      </c>
      <c r="K7">
        <v>-6.1588494013861697E-2</v>
      </c>
      <c r="L7">
        <v>8.9136791011405099E-3</v>
      </c>
      <c r="M7">
        <v>2.3695018952468502E-2</v>
      </c>
      <c r="N7">
        <v>0.11469931364418701</v>
      </c>
      <c r="O7">
        <v>-8.8066693641468893E-2</v>
      </c>
      <c r="P7">
        <v>1.32872184875045E-2</v>
      </c>
      <c r="Q7">
        <v>-8.8066693641468893E-2</v>
      </c>
      <c r="R7">
        <v>2.12023055566046E-2</v>
      </c>
      <c r="S7">
        <v>-3.9160306202782297E-2</v>
      </c>
      <c r="T7">
        <v>0.13609050448187099</v>
      </c>
      <c r="U7">
        <v>-6.1257404801305003E-2</v>
      </c>
      <c r="V7">
        <v>-8.9690947545603694E-3</v>
      </c>
      <c r="W7">
        <v>-8.8066693641468893E-2</v>
      </c>
      <c r="X7">
        <v>-2.0532904378497401E-2</v>
      </c>
      <c r="Y7">
        <v>-5.8811612474732697E-2</v>
      </c>
      <c r="Z7">
        <v>-2.7472744287505999E-2</v>
      </c>
      <c r="AA7">
        <v>-8.8066693641468893E-2</v>
      </c>
      <c r="AB7">
        <v>9.0727320971040901E-2</v>
      </c>
      <c r="AC7">
        <v>0.18097855180778</v>
      </c>
      <c r="AD7">
        <v>0.80804121246661198</v>
      </c>
      <c r="AE7">
        <v>-8.8066693641468893E-2</v>
      </c>
      <c r="AF7">
        <v>0.108184451048545</v>
      </c>
      <c r="AG7">
        <v>-2.0939262734656398E-2</v>
      </c>
      <c r="AH7">
        <v>0.51318947773089096</v>
      </c>
      <c r="AI7">
        <v>-8.8066693641468893E-2</v>
      </c>
      <c r="AJ7">
        <v>0.15942868273385699</v>
      </c>
      <c r="AK7">
        <v>0.37709923236320497</v>
      </c>
      <c r="AL7">
        <v>1.2192446913558199</v>
      </c>
    </row>
    <row r="8" spans="1:38" x14ac:dyDescent="0.25">
      <c r="A8" t="s">
        <v>265</v>
      </c>
      <c r="B8" t="s">
        <v>535</v>
      </c>
      <c r="C8">
        <v>0.18759394479345601</v>
      </c>
      <c r="D8">
        <v>-4.7859908022516301E-2</v>
      </c>
      <c r="E8">
        <v>-0.16583556691124601</v>
      </c>
      <c r="F8">
        <v>-0.20863547375132799</v>
      </c>
      <c r="G8">
        <v>8.3524073516343406E-3</v>
      </c>
      <c r="H8">
        <v>0.118408530638326</v>
      </c>
      <c r="I8">
        <v>0.203054439868463</v>
      </c>
      <c r="J8">
        <v>-0.10461082391835699</v>
      </c>
      <c r="K8">
        <v>-0.21945050077723999</v>
      </c>
      <c r="L8">
        <v>-1.44051770156301E-2</v>
      </c>
      <c r="M8">
        <v>1.2680395117637699</v>
      </c>
      <c r="N8">
        <v>2.11015108486475E-2</v>
      </c>
      <c r="O8">
        <v>1.8243634008911699E-2</v>
      </c>
      <c r="P8">
        <v>-0.14571992484884</v>
      </c>
      <c r="Q8">
        <v>-8.7050745032938096E-2</v>
      </c>
      <c r="R8">
        <v>-8.5071167608294605E-3</v>
      </c>
      <c r="S8">
        <v>0.17359342571014999</v>
      </c>
      <c r="T8">
        <v>-3.0148253534384498E-2</v>
      </c>
      <c r="U8">
        <v>0.282376615340938</v>
      </c>
      <c r="V8">
        <v>-0.16181276852948001</v>
      </c>
      <c r="W8">
        <v>-7.1353283823867103E-2</v>
      </c>
      <c r="X8">
        <v>-0.11738402841508799</v>
      </c>
      <c r="Y8">
        <v>7.3287809208871096E-2</v>
      </c>
      <c r="Z8">
        <v>-0.105835190609897</v>
      </c>
      <c r="AA8">
        <v>-3.3088628441053702E-2</v>
      </c>
      <c r="AB8">
        <v>1.45360435821054</v>
      </c>
      <c r="AC8">
        <v>-8.4010448975524593E-3</v>
      </c>
      <c r="AD8">
        <v>2.5602502650173902</v>
      </c>
      <c r="AE8">
        <v>1.0252385325423301</v>
      </c>
      <c r="AF8">
        <v>3.0784092868047002</v>
      </c>
      <c r="AG8">
        <v>1.16874253309673</v>
      </c>
      <c r="AH8">
        <v>0.78129644965835598</v>
      </c>
      <c r="AI8">
        <v>-6.4956085075103101E-2</v>
      </c>
      <c r="AJ8">
        <v>0.56231075678416298</v>
      </c>
      <c r="AK8">
        <v>-0.157659008461321</v>
      </c>
      <c r="AL8">
        <v>0.71366038518528896</v>
      </c>
    </row>
    <row r="9" spans="1:38" x14ac:dyDescent="0.25">
      <c r="A9" t="s">
        <v>265</v>
      </c>
      <c r="B9" t="s">
        <v>536</v>
      </c>
      <c r="C9">
        <v>-5.3299519040936202E-2</v>
      </c>
      <c r="D9">
        <v>-5.3299519040936202E-2</v>
      </c>
      <c r="E9">
        <v>-1.7040281432844299E-2</v>
      </c>
      <c r="F9">
        <v>-5.3299519040936202E-2</v>
      </c>
      <c r="G9">
        <v>0.10940220617633201</v>
      </c>
      <c r="H9">
        <v>-5.3299519040936202E-2</v>
      </c>
      <c r="I9">
        <v>-5.3299519040936202E-2</v>
      </c>
      <c r="J9">
        <v>1.79004023052028E-2</v>
      </c>
      <c r="K9">
        <v>-5.3299519040936202E-2</v>
      </c>
      <c r="L9">
        <v>-5.3299519040936202E-2</v>
      </c>
      <c r="M9">
        <v>5.8462193553001203E-2</v>
      </c>
      <c r="N9">
        <v>0.14946648824472</v>
      </c>
      <c r="O9">
        <v>-5.3299519040936202E-2</v>
      </c>
      <c r="P9">
        <v>-1.8916513156320099E-2</v>
      </c>
      <c r="Q9">
        <v>-5.3299519040936202E-2</v>
      </c>
      <c r="R9">
        <v>1.65491249725899E-3</v>
      </c>
      <c r="S9">
        <v>-4.3931316022494601E-3</v>
      </c>
      <c r="T9">
        <v>-1.65681302426056E-3</v>
      </c>
      <c r="U9">
        <v>2.63941438650904E-2</v>
      </c>
      <c r="V9">
        <v>0.14441029312652001</v>
      </c>
      <c r="W9">
        <v>8.2512642736636596E-2</v>
      </c>
      <c r="X9">
        <v>7.9480517632692496E-2</v>
      </c>
      <c r="Y9">
        <v>0.13189758319903</v>
      </c>
      <c r="Z9">
        <v>9.6003548375687101E-2</v>
      </c>
      <c r="AA9">
        <v>3.7688279853612998E-2</v>
      </c>
      <c r="AB9">
        <v>7.5919713431007105E-2</v>
      </c>
      <c r="AC9">
        <v>0.24468184438993301</v>
      </c>
      <c r="AD9">
        <v>-5.3299519040936202E-2</v>
      </c>
      <c r="AE9">
        <v>-5.3299519040936202E-2</v>
      </c>
      <c r="AF9">
        <v>0.23378199256309901</v>
      </c>
      <c r="AG9">
        <v>1.3827911865876501E-2</v>
      </c>
      <c r="AH9">
        <v>0.31963108257928302</v>
      </c>
      <c r="AI9">
        <v>-5.3299519040936202E-2</v>
      </c>
      <c r="AJ9">
        <v>2.4456114794795001</v>
      </c>
      <c r="AK9">
        <v>-5.3299519040936202E-2</v>
      </c>
      <c r="AL9">
        <v>-5.3299519040936202E-2</v>
      </c>
    </row>
    <row r="10" spans="1:38" x14ac:dyDescent="0.25">
      <c r="A10" t="s">
        <v>265</v>
      </c>
      <c r="B10" t="s">
        <v>538</v>
      </c>
      <c r="C10">
        <v>1.2327102081860599E-2</v>
      </c>
      <c r="D10">
        <v>6.4016005862415501E-2</v>
      </c>
      <c r="E10">
        <v>-8.4471905793283397E-2</v>
      </c>
      <c r="F10">
        <v>-8.4471905793283397E-2</v>
      </c>
      <c r="G10">
        <v>7.8229819423984895E-2</v>
      </c>
      <c r="H10">
        <v>-2.2741863238765599E-2</v>
      </c>
      <c r="I10">
        <v>-2.03235565509891E-3</v>
      </c>
      <c r="J10">
        <v>5.5300279843170902E-2</v>
      </c>
      <c r="K10">
        <v>-3.1781749296962702E-2</v>
      </c>
      <c r="L10">
        <v>-1.97942911529701E-2</v>
      </c>
      <c r="M10">
        <v>1.65678654984427</v>
      </c>
      <c r="N10">
        <v>0.118294101492373</v>
      </c>
      <c r="O10">
        <v>8.1367013119370099E-2</v>
      </c>
      <c r="P10">
        <v>-5.00888999086673E-2</v>
      </c>
      <c r="Q10">
        <v>-8.4471905793283397E-2</v>
      </c>
      <c r="R10">
        <v>-2.28217351562805E-3</v>
      </c>
      <c r="S10">
        <v>0.13629031467657199</v>
      </c>
      <c r="T10">
        <v>-3.2829199776607698E-2</v>
      </c>
      <c r="U10">
        <v>4.71706984254774E-2</v>
      </c>
      <c r="V10">
        <v>-5.7968482571616402E-2</v>
      </c>
      <c r="W10">
        <v>-3.8108269504084497E-2</v>
      </c>
      <c r="X10">
        <v>0.111440509990322</v>
      </c>
      <c r="Y10">
        <v>2.0294966588622399E-3</v>
      </c>
      <c r="Z10">
        <v>-5.4023484482360801E-2</v>
      </c>
      <c r="AA10">
        <v>-8.4471905793283397E-2</v>
      </c>
      <c r="AB10">
        <v>0.76061480221993005</v>
      </c>
      <c r="AC10">
        <v>-5.6646351383212497E-3</v>
      </c>
      <c r="AD10">
        <v>1.0490409977327899</v>
      </c>
      <c r="AE10">
        <v>2.2228089695433901</v>
      </c>
      <c r="AF10">
        <v>1.3385340723971899</v>
      </c>
      <c r="AG10">
        <v>8.4756556945536493E-2</v>
      </c>
      <c r="AH10">
        <v>0.45573740621778802</v>
      </c>
      <c r="AI10">
        <v>0.38572165965426097</v>
      </c>
      <c r="AJ10">
        <v>-3.4378260974608298E-2</v>
      </c>
      <c r="AK10">
        <v>-8.4471905793283397E-2</v>
      </c>
      <c r="AL10">
        <v>-8.4471905793283397E-2</v>
      </c>
    </row>
    <row r="11" spans="1:38" x14ac:dyDescent="0.25">
      <c r="A11" t="s">
        <v>265</v>
      </c>
      <c r="B11" t="s">
        <v>540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8.2189732277655206E-2</v>
      </c>
      <c r="S11">
        <v>0</v>
      </c>
      <c r="T11">
        <v>5.1642706016675498E-2</v>
      </c>
      <c r="U11">
        <v>4.2376790153297497E-2</v>
      </c>
      <c r="V11">
        <v>2.6503423221666999E-2</v>
      </c>
      <c r="W11">
        <v>0.13581216177757299</v>
      </c>
      <c r="X11">
        <v>6.7533789262971794E-2</v>
      </c>
      <c r="Y11">
        <v>0</v>
      </c>
      <c r="Z11">
        <v>0</v>
      </c>
      <c r="AA11">
        <v>0</v>
      </c>
      <c r="AB11">
        <v>3.65929459563583E-2</v>
      </c>
      <c r="AC11">
        <v>7.8807270654962194E-2</v>
      </c>
      <c r="AD11">
        <v>6.3943667825593603E-2</v>
      </c>
      <c r="AE11">
        <v>0</v>
      </c>
      <c r="AF11">
        <v>0.100752465665536</v>
      </c>
      <c r="AG11">
        <v>6.7127430906812696E-2</v>
      </c>
      <c r="AH11">
        <v>0</v>
      </c>
      <c r="AI11">
        <v>0</v>
      </c>
      <c r="AJ11">
        <v>5.00936448186751E-2</v>
      </c>
      <c r="AK11">
        <v>0</v>
      </c>
      <c r="AL11">
        <v>0</v>
      </c>
    </row>
    <row r="12" spans="1:38" s="11" customFormat="1" ht="15.75" thickBot="1" x14ac:dyDescent="0.3">
      <c r="A12" s="11" t="s">
        <v>265</v>
      </c>
      <c r="B12" s="11" t="s">
        <v>541</v>
      </c>
      <c r="C12" s="11">
        <v>-0.21618108447305601</v>
      </c>
      <c r="D12" s="11">
        <v>-9.3887975526576503E-2</v>
      </c>
      <c r="E12" s="11">
        <v>-3.9137574347262498E-2</v>
      </c>
      <c r="F12" s="11">
        <v>-0.147145868607191</v>
      </c>
      <c r="G12" s="11">
        <v>-0.31298009234820001</v>
      </c>
      <c r="H12" s="11">
        <v>-0.133749113393966</v>
      </c>
      <c r="I12" s="11">
        <v>-0.23054054221001599</v>
      </c>
      <c r="J12" s="11">
        <v>-0.31298009234820001</v>
      </c>
      <c r="K12" s="11">
        <v>-0.157960895633103</v>
      </c>
      <c r="L12" s="11">
        <v>-0.15146357637284499</v>
      </c>
      <c r="M12" s="11">
        <v>-3.0044292483988301E-2</v>
      </c>
      <c r="N12" s="11">
        <v>-0.110214085062544</v>
      </c>
      <c r="O12" s="11">
        <v>-6.8859625146503206E-2</v>
      </c>
      <c r="P12" s="11">
        <v>-0.21162618021922699</v>
      </c>
      <c r="Q12" s="11">
        <v>5.8002943942291198E-2</v>
      </c>
      <c r="R12" s="11">
        <v>0.135683100724033</v>
      </c>
      <c r="S12" s="11">
        <v>0.25997686978376899</v>
      </c>
      <c r="T12" s="11">
        <v>-6.51326317521735E-2</v>
      </c>
      <c r="U12" s="11">
        <v>-1.6323665604651399E-2</v>
      </c>
      <c r="V12" s="11">
        <v>-4.5677029236956601E-2</v>
      </c>
      <c r="W12" s="11">
        <v>5.9257858377993702E-2</v>
      </c>
      <c r="X12" s="11">
        <v>3.4581707008471598E-3</v>
      </c>
      <c r="Y12" s="11">
        <v>0.124914334822426</v>
      </c>
      <c r="Z12" s="11">
        <v>8.2093009096212796E-2</v>
      </c>
      <c r="AA12" s="11">
        <v>7.38405117526717E-2</v>
      </c>
      <c r="AB12" s="11">
        <v>0.48087308579084098</v>
      </c>
      <c r="AC12" s="11">
        <v>0.28048974917353198</v>
      </c>
      <c r="AD12" s="11">
        <v>1.09274170560655</v>
      </c>
      <c r="AE12" s="11">
        <v>4.8892063077781801E-2</v>
      </c>
      <c r="AF12" s="11">
        <v>1.4368729314869599</v>
      </c>
      <c r="AG12" s="11">
        <v>0.172226416643005</v>
      </c>
      <c r="AH12" s="11">
        <v>0.56848386709709997</v>
      </c>
      <c r="AI12" s="11">
        <v>-3.46647993096576E-3</v>
      </c>
      <c r="AJ12" s="11">
        <v>0.53332466989892602</v>
      </c>
      <c r="AK12" s="11">
        <v>0.27611292153439199</v>
      </c>
      <c r="AL12" s="11">
        <v>6.0599789244304397E-2</v>
      </c>
    </row>
    <row r="13" spans="1:38" x14ac:dyDescent="0.25">
      <c r="A13" t="s">
        <v>266</v>
      </c>
      <c r="B13" t="s">
        <v>510</v>
      </c>
      <c r="C13">
        <v>-5.97315460451932E-2</v>
      </c>
      <c r="D13">
        <v>-0.18780313684505101</v>
      </c>
      <c r="E13">
        <v>-0.22937047025377699</v>
      </c>
      <c r="F13">
        <v>-9.29455871460306E-2</v>
      </c>
      <c r="G13">
        <v>-5.41043545434855E-2</v>
      </c>
      <c r="H13">
        <v>-0.27456100594623201</v>
      </c>
      <c r="I13">
        <v>-0.25385149836256499</v>
      </c>
      <c r="J13">
        <v>-6.6432174926769103E-2</v>
      </c>
      <c r="K13">
        <v>7.2531955918613999E-2</v>
      </c>
      <c r="L13">
        <v>-0.15591592798949799</v>
      </c>
      <c r="M13">
        <v>1.81305638532039</v>
      </c>
      <c r="N13">
        <v>5.92801598402352E-2</v>
      </c>
      <c r="O13">
        <v>-0.170452129588096</v>
      </c>
      <c r="P13">
        <v>-0.17020429405339699</v>
      </c>
      <c r="Q13">
        <v>-4.8872096041350198E-2</v>
      </c>
      <c r="R13">
        <v>-0.15771978167690601</v>
      </c>
      <c r="S13">
        <v>8.3914803297416199E-2</v>
      </c>
      <c r="T13">
        <v>9.3589881351076903E-2</v>
      </c>
      <c r="U13">
        <v>-2.9520872889074099E-2</v>
      </c>
      <c r="V13">
        <v>-0.102492775993313</v>
      </c>
      <c r="W13">
        <v>0.15780669693793101</v>
      </c>
      <c r="X13">
        <v>0.125982537845204</v>
      </c>
      <c r="Y13">
        <v>2.89289005234818E-2</v>
      </c>
      <c r="Z13">
        <v>0.11904779267582601</v>
      </c>
      <c r="AA13">
        <v>-0.15833286715108699</v>
      </c>
      <c r="AB13">
        <v>0.59499056340115197</v>
      </c>
      <c r="AC13">
        <v>-0.18172221563810401</v>
      </c>
      <c r="AD13">
        <v>1.59082599336046</v>
      </c>
      <c r="AE13">
        <v>0.48491965050643798</v>
      </c>
      <c r="AF13">
        <v>1.58553747499051</v>
      </c>
      <c r="AG13">
        <v>7.0649601338723805E-2</v>
      </c>
      <c r="AH13">
        <v>0.64745153331266003</v>
      </c>
      <c r="AI13">
        <v>0.2406514772643</v>
      </c>
      <c r="AJ13">
        <v>0.47419249508811501</v>
      </c>
      <c r="AK13">
        <v>-0.22477852612378901</v>
      </c>
      <c r="AL13">
        <v>0.50601925312742202</v>
      </c>
    </row>
    <row r="14" spans="1:38" x14ac:dyDescent="0.25">
      <c r="A14" t="s">
        <v>266</v>
      </c>
      <c r="B14" t="s">
        <v>521</v>
      </c>
      <c r="C14">
        <v>0.19472725992027501</v>
      </c>
      <c r="D14">
        <v>0.31214066449007599</v>
      </c>
      <c r="E14">
        <v>-7.8886529263475696E-2</v>
      </c>
      <c r="F14">
        <v>-0.22827398344642399</v>
      </c>
      <c r="G14">
        <v>-8.6747252847372701E-4</v>
      </c>
      <c r="H14">
        <v>-0.124562560065475</v>
      </c>
      <c r="I14">
        <v>-0.103494777190124</v>
      </c>
      <c r="J14">
        <v>-0.41151155269360501</v>
      </c>
      <c r="K14">
        <v>-1.77387424205783E-2</v>
      </c>
      <c r="L14">
        <v>0.17435748014711</v>
      </c>
      <c r="M14">
        <v>0.410203335662021</v>
      </c>
      <c r="N14">
        <v>0.31161066182279401</v>
      </c>
      <c r="O14">
        <v>-0.224727456694889</v>
      </c>
      <c r="P14">
        <v>0.13089110799134501</v>
      </c>
      <c r="Q14">
        <v>0.159286944094715</v>
      </c>
      <c r="R14">
        <v>1.1734471642265799E-2</v>
      </c>
      <c r="S14">
        <v>1.2706299104996301E-2</v>
      </c>
      <c r="T14">
        <v>-0.25051040183495399</v>
      </c>
      <c r="U14">
        <v>-0.24433337421568599</v>
      </c>
      <c r="V14">
        <v>-2.2122595663960201E-2</v>
      </c>
      <c r="W14">
        <v>-6.6373441209057402E-2</v>
      </c>
      <c r="X14">
        <v>-0.13268432255434501</v>
      </c>
      <c r="Y14">
        <v>-8.2428621180754294E-2</v>
      </c>
      <c r="Z14">
        <v>-5.2777856561753503E-2</v>
      </c>
      <c r="AA14">
        <v>-0.155152809314902</v>
      </c>
      <c r="AB14">
        <v>0.25605096117482601</v>
      </c>
      <c r="AC14">
        <v>8.6695124269390298E-4</v>
      </c>
      <c r="AD14">
        <v>0.79995442024081298</v>
      </c>
      <c r="AE14">
        <v>1.1165970657876301</v>
      </c>
      <c r="AF14">
        <v>0.312783213997327</v>
      </c>
      <c r="AG14">
        <v>0.18099661669341399</v>
      </c>
      <c r="AH14">
        <v>0.48365378844825402</v>
      </c>
      <c r="AI14">
        <v>1.19081567986422</v>
      </c>
      <c r="AJ14">
        <v>-0.19541660974170899</v>
      </c>
      <c r="AK14">
        <v>-0.115138391487891</v>
      </c>
      <c r="AL14">
        <v>0.330627193898897</v>
      </c>
    </row>
    <row r="15" spans="1:38" x14ac:dyDescent="0.25">
      <c r="A15" t="s">
        <v>266</v>
      </c>
      <c r="B15" t="s">
        <v>523</v>
      </c>
      <c r="C15">
        <v>0</v>
      </c>
      <c r="D15">
        <v>7.5526330856059296E-2</v>
      </c>
      <c r="E15">
        <v>3.6259237608091903E-2</v>
      </c>
      <c r="F15">
        <v>0</v>
      </c>
      <c r="G15">
        <v>0.162701725217268</v>
      </c>
      <c r="H15">
        <v>0.342554989398279</v>
      </c>
      <c r="I15">
        <v>0</v>
      </c>
      <c r="J15">
        <v>0</v>
      </c>
      <c r="K15">
        <v>0</v>
      </c>
      <c r="L15">
        <v>0</v>
      </c>
      <c r="M15">
        <v>0.111761712593937</v>
      </c>
      <c r="N15">
        <v>0.202766007285656</v>
      </c>
      <c r="O15">
        <v>0</v>
      </c>
      <c r="P15">
        <v>0</v>
      </c>
      <c r="Q15">
        <v>0</v>
      </c>
      <c r="R15">
        <v>0</v>
      </c>
      <c r="S15">
        <v>0</v>
      </c>
      <c r="T15">
        <v>2.5962029194423801E-2</v>
      </c>
      <c r="U15">
        <v>0</v>
      </c>
      <c r="V15">
        <v>0</v>
      </c>
      <c r="W15">
        <v>4.6363636289198901E-2</v>
      </c>
      <c r="X15">
        <v>0</v>
      </c>
      <c r="Y15">
        <v>8.6501402452145798E-2</v>
      </c>
      <c r="Z15">
        <v>3.0448421310922499E-2</v>
      </c>
      <c r="AA15">
        <v>0</v>
      </c>
      <c r="AB15">
        <v>3.65929459563583E-2</v>
      </c>
      <c r="AC15">
        <v>0</v>
      </c>
      <c r="AD15">
        <v>0.125836137958792</v>
      </c>
      <c r="AE15">
        <v>0</v>
      </c>
      <c r="AF15">
        <v>0</v>
      </c>
      <c r="AG15">
        <v>0</v>
      </c>
      <c r="AH15">
        <v>0</v>
      </c>
      <c r="AI15">
        <v>0.30951361241723402</v>
      </c>
      <c r="AJ15">
        <v>2.5083039332806001</v>
      </c>
      <c r="AK15">
        <v>0</v>
      </c>
      <c r="AL15">
        <v>0</v>
      </c>
    </row>
    <row r="16" spans="1:38" x14ac:dyDescent="0.25">
      <c r="A16" t="s">
        <v>266</v>
      </c>
      <c r="B16" t="s">
        <v>527</v>
      </c>
      <c r="C16">
        <v>0.15673984644986699</v>
      </c>
      <c r="D16">
        <v>0.31308183732240702</v>
      </c>
      <c r="E16">
        <v>-0.18604393936877001</v>
      </c>
      <c r="F16">
        <v>1.73325445275751E-2</v>
      </c>
      <c r="G16">
        <v>9.4331822308743707E-2</v>
      </c>
      <c r="H16">
        <v>0.220513146035242</v>
      </c>
      <c r="I16">
        <v>0.16697315369035101</v>
      </c>
      <c r="J16">
        <v>0.198819297576488</v>
      </c>
      <c r="K16">
        <v>-0.15010789654822901</v>
      </c>
      <c r="L16">
        <v>6.7400286919202995E-2</v>
      </c>
      <c r="M16">
        <v>1.5175720750063799</v>
      </c>
      <c r="N16">
        <v>-0.12400357267069</v>
      </c>
      <c r="O16">
        <v>-0.48900076592707697</v>
      </c>
      <c r="P16">
        <v>-0.31526348338940002</v>
      </c>
      <c r="Q16">
        <v>-0.212223374776111</v>
      </c>
      <c r="R16">
        <v>-0.18322629045699099</v>
      </c>
      <c r="S16">
        <v>-0.16892115689276699</v>
      </c>
      <c r="T16">
        <v>-0.29749101260905098</v>
      </c>
      <c r="U16">
        <v>-0.48358628635262302</v>
      </c>
      <c r="V16">
        <v>-0.24920458023613801</v>
      </c>
      <c r="W16">
        <v>0.15253528204528699</v>
      </c>
      <c r="X16">
        <v>-2.2878304396632E-2</v>
      </c>
      <c r="Y16">
        <v>-1.7543312526890401E-2</v>
      </c>
      <c r="Z16">
        <v>-0.16729369796697199</v>
      </c>
      <c r="AA16">
        <v>-0.315833064835154</v>
      </c>
      <c r="AB16">
        <v>0.25122272136130502</v>
      </c>
      <c r="AC16">
        <v>0.11963817868519</v>
      </c>
      <c r="AD16">
        <v>0.54789001551984795</v>
      </c>
      <c r="AE16">
        <v>0.34848161676931499</v>
      </c>
      <c r="AF16">
        <v>0.77298081745543401</v>
      </c>
      <c r="AG16">
        <v>0.43299944306070198</v>
      </c>
      <c r="AH16">
        <v>0.175072475096261</v>
      </c>
      <c r="AI16">
        <v>-0.49915649429991399</v>
      </c>
      <c r="AJ16">
        <v>-0.201096564429049</v>
      </c>
      <c r="AK16">
        <v>-0.21957709283455701</v>
      </c>
      <c r="AL16">
        <v>0.77473250059879495</v>
      </c>
    </row>
    <row r="17" spans="1:38" x14ac:dyDescent="0.25">
      <c r="A17" t="s">
        <v>266</v>
      </c>
      <c r="B17" t="s">
        <v>531</v>
      </c>
      <c r="C17">
        <v>7.6279903504822702E-3</v>
      </c>
      <c r="D17">
        <v>-8.9171017524661403E-2</v>
      </c>
      <c r="E17">
        <v>-8.9171017524661403E-2</v>
      </c>
      <c r="F17">
        <v>7.6663206216347798E-2</v>
      </c>
      <c r="G17">
        <v>-8.9171017524661403E-2</v>
      </c>
      <c r="H17">
        <v>-8.9171017524661403E-2</v>
      </c>
      <c r="I17">
        <v>-8.9171017524661403E-2</v>
      </c>
      <c r="J17">
        <v>-8.9171017524661403E-2</v>
      </c>
      <c r="K17">
        <v>-3.6480861028340902E-2</v>
      </c>
      <c r="L17">
        <v>-2.44934028843482E-2</v>
      </c>
      <c r="M17">
        <v>0.19376478233955099</v>
      </c>
      <c r="N17">
        <v>0.113594989760995</v>
      </c>
      <c r="O17">
        <v>7.6667901387991802E-2</v>
      </c>
      <c r="P17">
        <v>-5.4788011640045299E-2</v>
      </c>
      <c r="Q17">
        <v>8.7958988303099103E-2</v>
      </c>
      <c r="R17">
        <v>-3.4216585986466298E-2</v>
      </c>
      <c r="S17">
        <v>-1.8190721220462201E-3</v>
      </c>
      <c r="T17">
        <v>-2.2633323074705201E-2</v>
      </c>
      <c r="U17">
        <v>6.8110656026624403E-2</v>
      </c>
      <c r="V17">
        <v>-6.2667594302994498E-2</v>
      </c>
      <c r="W17">
        <v>2.8421600740021199E-2</v>
      </c>
      <c r="X17">
        <v>-8.9171017524661403E-2</v>
      </c>
      <c r="Y17">
        <v>-5.9915936357925199E-2</v>
      </c>
      <c r="Z17">
        <v>8.9154013211598104E-2</v>
      </c>
      <c r="AA17">
        <v>1.8167813698877901E-3</v>
      </c>
      <c r="AB17">
        <v>0.109895590416239</v>
      </c>
      <c r="AC17">
        <v>6.5397815337983806E-2</v>
      </c>
      <c r="AD17">
        <v>0.32004075282747402</v>
      </c>
      <c r="AE17">
        <v>-8.9171017524661403E-2</v>
      </c>
      <c r="AF17">
        <v>0.197910494079374</v>
      </c>
      <c r="AG17">
        <v>8.0057445214158293E-2</v>
      </c>
      <c r="AH17">
        <v>0.214915038357883</v>
      </c>
      <c r="AI17">
        <v>0.38102254792288298</v>
      </c>
      <c r="AJ17">
        <v>1.17825435466293</v>
      </c>
      <c r="AK17">
        <v>-8.9171017524661403E-2</v>
      </c>
      <c r="AL17">
        <v>-8.9171017524661403E-2</v>
      </c>
    </row>
    <row r="18" spans="1:38" x14ac:dyDescent="0.25">
      <c r="A18" t="s">
        <v>266</v>
      </c>
      <c r="B18" t="s">
        <v>534</v>
      </c>
      <c r="C18">
        <v>-0.38529694456409502</v>
      </c>
      <c r="D18">
        <v>2.8101039521215E-2</v>
      </c>
      <c r="E18">
        <v>-0.115544462286207</v>
      </c>
      <c r="F18">
        <v>-4.9706994804860703E-2</v>
      </c>
      <c r="G18">
        <v>6.1622385414253304E-3</v>
      </c>
      <c r="H18">
        <v>0.37309338832334599</v>
      </c>
      <c r="I18">
        <v>0.272336415897871</v>
      </c>
      <c r="J18">
        <v>-0.12424779984796901</v>
      </c>
      <c r="K18">
        <v>-0.21154997589767899</v>
      </c>
      <c r="L18">
        <v>-0.33778284974316602</v>
      </c>
      <c r="M18">
        <v>0.47395815714567402</v>
      </c>
      <c r="N18">
        <v>-0.178540910353472</v>
      </c>
      <c r="O18">
        <v>-0.40827319978180299</v>
      </c>
      <c r="P18">
        <v>0.24306932630804501</v>
      </c>
      <c r="Q18">
        <v>0.13279612488902301</v>
      </c>
      <c r="R18">
        <v>-5.6177077449773599E-2</v>
      </c>
      <c r="S18">
        <v>-8.7753427931682601E-2</v>
      </c>
      <c r="T18">
        <v>-9.6952120377039E-2</v>
      </c>
      <c r="U18">
        <v>-6.1886724954631099E-3</v>
      </c>
      <c r="V18">
        <v>-0.19585305527778199</v>
      </c>
      <c r="W18">
        <v>-0.116790471717179</v>
      </c>
      <c r="X18">
        <v>0.21963018382772401</v>
      </c>
      <c r="Y18">
        <v>0.19261080733561201</v>
      </c>
      <c r="Z18">
        <v>-7.9283590298431295E-2</v>
      </c>
      <c r="AA18">
        <v>3.1555076078057097E-2</v>
      </c>
      <c r="AB18">
        <v>0.88001897244057403</v>
      </c>
      <c r="AC18">
        <v>-0.142119796462152</v>
      </c>
      <c r="AD18">
        <v>0.850910915915007</v>
      </c>
      <c r="AE18">
        <v>0.35144898124754598</v>
      </c>
      <c r="AF18">
        <v>2.1766631592884802</v>
      </c>
      <c r="AG18">
        <v>-8.8905609703251107E-2</v>
      </c>
      <c r="AH18">
        <v>0.47805557043452002</v>
      </c>
      <c r="AI18">
        <v>0.64923288200796003</v>
      </c>
      <c r="AJ18">
        <v>1.6209818246921099</v>
      </c>
      <c r="AK18">
        <v>-2.0595250970890499E-2</v>
      </c>
      <c r="AL18">
        <v>0.108556184513824</v>
      </c>
    </row>
    <row r="19" spans="1:38" s="11" customFormat="1" ht="15.75" thickBot="1" x14ac:dyDescent="0.3">
      <c r="A19" s="11" t="s">
        <v>266</v>
      </c>
      <c r="B19" s="11" t="s">
        <v>539</v>
      </c>
      <c r="C19" s="11">
        <v>5.9893241308122097E-2</v>
      </c>
      <c r="D19" s="11">
        <v>1.0910259125515799E-2</v>
      </c>
      <c r="E19" s="11">
        <v>0.18110902151519301</v>
      </c>
      <c r="F19" s="11">
        <v>8.1553235782149992E-3</v>
      </c>
      <c r="G19" s="11">
        <v>-9.8824787214234794E-2</v>
      </c>
      <c r="H19" s="11">
        <v>-8.2016865202713795E-3</v>
      </c>
      <c r="I19" s="11">
        <v>-7.0874497251378094E-2</v>
      </c>
      <c r="J19" s="11">
        <v>-0.11115260759751799</v>
      </c>
      <c r="K19" s="11">
        <v>-8.7891276728246197E-3</v>
      </c>
      <c r="L19" s="11">
        <v>-0.232879969325123</v>
      </c>
      <c r="M19" s="11">
        <v>1.01995219653698</v>
      </c>
      <c r="N19" s="11">
        <v>-0.178245473885843</v>
      </c>
      <c r="O19" s="11">
        <v>-1.8323513478054401E-2</v>
      </c>
      <c r="P19" s="11">
        <v>0.15036763507345</v>
      </c>
      <c r="Q19" s="11">
        <v>-9.3592528712099401E-2</v>
      </c>
      <c r="R19" s="11">
        <v>-5.5899405770704097E-2</v>
      </c>
      <c r="S19" s="11">
        <v>0.12622174795260999</v>
      </c>
      <c r="T19" s="11">
        <v>-0.25393713064971801</v>
      </c>
      <c r="U19" s="11">
        <v>-0.10885652181861501</v>
      </c>
      <c r="V19" s="11">
        <v>-9.6598826492432593E-2</v>
      </c>
      <c r="W19" s="11">
        <v>-0.21981120377722399</v>
      </c>
      <c r="X19" s="11">
        <v>8.1262105174454397E-2</v>
      </c>
      <c r="Y19" s="11">
        <v>9.4308828377807102E-2</v>
      </c>
      <c r="Z19" s="11">
        <v>-3.37798251179834E-2</v>
      </c>
      <c r="AA19" s="11">
        <v>-0.11970278787732699</v>
      </c>
      <c r="AB19" s="11">
        <v>0.25524548584574303</v>
      </c>
      <c r="AC19" s="11">
        <v>0.114901837256141</v>
      </c>
      <c r="AD19" s="11">
        <v>0.48295434725893699</v>
      </c>
      <c r="AE19" s="11">
        <v>0.68311620439980603</v>
      </c>
      <c r="AF19" s="11">
        <v>1.37574011431541</v>
      </c>
      <c r="AG19" s="11">
        <v>0.21039163357354199</v>
      </c>
      <c r="AH19" s="11">
        <v>0.19513683236034499</v>
      </c>
      <c r="AI19" s="11">
        <v>-7.1497868754264504E-2</v>
      </c>
      <c r="AJ19" s="11">
        <v>5.8403001478671002E-2</v>
      </c>
      <c r="AK19" s="11">
        <v>-6.4367828907462094E-2</v>
      </c>
      <c r="AL19" s="11">
        <v>0.80091842841995098</v>
      </c>
    </row>
    <row r="20" spans="1:38" x14ac:dyDescent="0.25">
      <c r="A20" t="s">
        <v>267</v>
      </c>
      <c r="B20" t="s">
        <v>512</v>
      </c>
      <c r="C20">
        <v>-7.1332992829798506E-2</v>
      </c>
      <c r="D20">
        <v>4.1933380262609201E-3</v>
      </c>
      <c r="E20">
        <v>-7.1332992829798506E-2</v>
      </c>
      <c r="F20">
        <v>-7.1332992829798506E-2</v>
      </c>
      <c r="G20">
        <v>-7.1332992829798506E-2</v>
      </c>
      <c r="H20">
        <v>-7.1332992829798506E-2</v>
      </c>
      <c r="I20">
        <v>1.11065573083859E-2</v>
      </c>
      <c r="J20">
        <v>-7.1332992829798506E-2</v>
      </c>
      <c r="K20">
        <v>-7.1332992829798506E-2</v>
      </c>
      <c r="L20">
        <v>5.7926836415139203E-2</v>
      </c>
      <c r="M20">
        <v>-7.1332992829798506E-2</v>
      </c>
      <c r="N20">
        <v>-7.1332992829798506E-2</v>
      </c>
      <c r="O20">
        <v>-7.1332992829798506E-2</v>
      </c>
      <c r="P20">
        <v>3.0020919299175101E-2</v>
      </c>
      <c r="Q20">
        <v>-7.1332992829798506E-2</v>
      </c>
      <c r="R20">
        <v>6.4863010198782406E-2</v>
      </c>
      <c r="S20">
        <v>-4.6823900128835499E-2</v>
      </c>
      <c r="T20">
        <v>3.0858418503579101E-2</v>
      </c>
      <c r="U20">
        <v>6.0309611388962403E-2</v>
      </c>
      <c r="V20">
        <v>8.5670965336954896E-2</v>
      </c>
      <c r="W20">
        <v>0.107679119173982</v>
      </c>
      <c r="X20">
        <v>6.14470438438302E-2</v>
      </c>
      <c r="Y20">
        <v>-1.3248929147355501E-2</v>
      </c>
      <c r="Z20">
        <v>1.9112775688008302E-2</v>
      </c>
      <c r="AA20">
        <v>-7.1332992829798506E-2</v>
      </c>
      <c r="AB20">
        <v>7.2506680243430197E-2</v>
      </c>
      <c r="AC20">
        <v>0.22664837060106999</v>
      </c>
      <c r="AD20">
        <v>-7.1332992829798506E-2</v>
      </c>
      <c r="AE20">
        <v>-7.1332992829798506E-2</v>
      </c>
      <c r="AF20">
        <v>0.124918151860215</v>
      </c>
      <c r="AG20">
        <v>-4.2055619229858596E-3</v>
      </c>
      <c r="AH20">
        <v>8.6984757525080794E-2</v>
      </c>
      <c r="AI20">
        <v>0.64735631971193797</v>
      </c>
      <c r="AJ20">
        <v>-2.1239348011123399E-2</v>
      </c>
      <c r="AK20">
        <v>4.0179529547162203E-2</v>
      </c>
      <c r="AL20">
        <v>0.302246888762706</v>
      </c>
    </row>
    <row r="21" spans="1:38" x14ac:dyDescent="0.25">
      <c r="A21" t="s">
        <v>267</v>
      </c>
      <c r="B21" t="s">
        <v>513</v>
      </c>
      <c r="C21">
        <v>1.4941437899603401E-3</v>
      </c>
      <c r="D21">
        <v>0.47317084795786601</v>
      </c>
      <c r="E21">
        <v>0.229042135181906</v>
      </c>
      <c r="F21">
        <v>0.20184577440931201</v>
      </c>
      <c r="G21">
        <v>0.54864224533205397</v>
      </c>
      <c r="H21">
        <v>0.380491063874069</v>
      </c>
      <c r="I21">
        <v>0.193109883115098</v>
      </c>
      <c r="J21">
        <v>0.40551166495361102</v>
      </c>
      <c r="K21">
        <v>0.24823069255062699</v>
      </c>
      <c r="L21">
        <v>0.153952647052574</v>
      </c>
      <c r="M21">
        <v>0.30263618485176103</v>
      </c>
      <c r="N21">
        <v>0.49734550370605701</v>
      </c>
      <c r="O21">
        <v>5.6799436861295197E-2</v>
      </c>
      <c r="P21">
        <v>-0.11916150969874</v>
      </c>
      <c r="Q21">
        <v>-0.12657315625804499</v>
      </c>
      <c r="R21">
        <v>4.4210576853704497E-2</v>
      </c>
      <c r="S21">
        <v>-6.1789332392030098E-2</v>
      </c>
      <c r="T21">
        <v>0.19274466495975101</v>
      </c>
      <c r="U21">
        <v>-4.6161431807997698E-3</v>
      </c>
      <c r="V21">
        <v>-4.5991120348232396E-3</v>
      </c>
      <c r="W21">
        <v>-9.5706629953811101E-2</v>
      </c>
      <c r="X21">
        <v>-0.11978724107743</v>
      </c>
      <c r="Y21">
        <v>-1.7903410538588401E-2</v>
      </c>
      <c r="Z21">
        <v>6.4834781802385097E-2</v>
      </c>
      <c r="AA21">
        <v>-9.3628489907395095E-3</v>
      </c>
      <c r="AB21">
        <v>-7.8823471060274403E-2</v>
      </c>
      <c r="AC21">
        <v>-0.10851375968544</v>
      </c>
      <c r="AD21">
        <v>-1.49569282165295E-3</v>
      </c>
      <c r="AE21">
        <v>-0.18732103034040201</v>
      </c>
      <c r="AF21">
        <v>0.18641570068958699</v>
      </c>
      <c r="AG21">
        <v>-0.120193599433589</v>
      </c>
      <c r="AH21">
        <v>0.11676502554214301</v>
      </c>
      <c r="AI21">
        <v>-0.18732103034040201</v>
      </c>
      <c r="AJ21">
        <v>-0.137227385521727</v>
      </c>
      <c r="AK21">
        <v>-7.5808507963441005E-2</v>
      </c>
      <c r="AL21">
        <v>-0.18732103034040201</v>
      </c>
    </row>
    <row r="22" spans="1:38" x14ac:dyDescent="0.25">
      <c r="A22" t="s">
        <v>267</v>
      </c>
      <c r="B22" t="s">
        <v>515</v>
      </c>
      <c r="C22">
        <v>0.41566897862560498</v>
      </c>
      <c r="D22">
        <v>0.12325216780168199</v>
      </c>
      <c r="E22">
        <v>8.1684834392955805E-2</v>
      </c>
      <c r="F22">
        <v>0.21810971750070299</v>
      </c>
      <c r="G22">
        <v>0.73465135341274101</v>
      </c>
      <c r="H22">
        <v>0.26444826720354497</v>
      </c>
      <c r="I22">
        <v>-2.5235743854016598E-2</v>
      </c>
      <c r="J22">
        <v>-2.5235743854016598E-2</v>
      </c>
      <c r="K22">
        <v>7.9108899662530305E-2</v>
      </c>
      <c r="L22">
        <v>9.0629694680359696E-2</v>
      </c>
      <c r="M22">
        <v>0.25770005601019502</v>
      </c>
      <c r="N22">
        <v>-2.5235743854016598E-2</v>
      </c>
      <c r="O22">
        <v>5.9329096819087601E-2</v>
      </c>
      <c r="P22">
        <v>-2.5235743854016598E-2</v>
      </c>
      <c r="Q22">
        <v>-2.5235743854016598E-2</v>
      </c>
      <c r="R22">
        <v>8.4033255344056798E-2</v>
      </c>
      <c r="S22">
        <v>-7.2665115305360498E-4</v>
      </c>
      <c r="T22">
        <v>7.2628534040712297E-4</v>
      </c>
      <c r="U22">
        <v>1.71410462992811E-2</v>
      </c>
      <c r="V22">
        <v>-2.5235743854016598E-2</v>
      </c>
      <c r="W22">
        <v>-2.5235743854016598E-2</v>
      </c>
      <c r="X22">
        <v>-2.5235743854016598E-2</v>
      </c>
      <c r="Y22">
        <v>-2.5235743854016598E-2</v>
      </c>
      <c r="Z22">
        <v>-2.5235743854016598E-2</v>
      </c>
      <c r="AA22">
        <v>-2.5235743854016598E-2</v>
      </c>
      <c r="AB22">
        <v>0.34223571457827201</v>
      </c>
      <c r="AC22">
        <v>-2.5235743854016598E-2</v>
      </c>
      <c r="AD22">
        <v>0.39294291938710801</v>
      </c>
      <c r="AE22">
        <v>-2.5235743854016598E-2</v>
      </c>
      <c r="AF22">
        <v>1.55641518031857</v>
      </c>
      <c r="AG22">
        <v>-2.5235743854016598E-2</v>
      </c>
      <c r="AH22">
        <v>5.5644358628181997E-2</v>
      </c>
      <c r="AI22">
        <v>-2.5235743854016598E-2</v>
      </c>
      <c r="AJ22">
        <v>7.3823477431051304E-2</v>
      </c>
      <c r="AK22">
        <v>-2.5235743854016598E-2</v>
      </c>
      <c r="AL22">
        <v>-2.5235743854016598E-2</v>
      </c>
    </row>
    <row r="23" spans="1:38" x14ac:dyDescent="0.25">
      <c r="A23" t="s">
        <v>267</v>
      </c>
      <c r="B23" t="s">
        <v>516</v>
      </c>
      <c r="C23">
        <v>-6.5401815023169996E-2</v>
      </c>
      <c r="D23">
        <v>-5.0859756349650002E-2</v>
      </c>
      <c r="E23">
        <v>-0.18214645889945</v>
      </c>
      <c r="F23">
        <v>-0.146468937707116</v>
      </c>
      <c r="G23">
        <v>-0.34360481228552298</v>
      </c>
      <c r="H23">
        <v>-6.2238120313507103E-2</v>
      </c>
      <c r="I23">
        <v>-0.19616955358266999</v>
      </c>
      <c r="J23">
        <v>-0.17457860607881401</v>
      </c>
      <c r="K23">
        <v>-0.26274622715441898</v>
      </c>
      <c r="L23">
        <v>-0.114134115173638</v>
      </c>
      <c r="M23">
        <v>2.55073321470024E-2</v>
      </c>
      <c r="N23">
        <v>-1.89364083543186E-3</v>
      </c>
      <c r="O23">
        <v>-0.37382001650492502</v>
      </c>
      <c r="P23">
        <v>0.30732663950448902</v>
      </c>
      <c r="Q23">
        <v>-0.32917653167503103</v>
      </c>
      <c r="R23">
        <v>-8.92295074539078E-2</v>
      </c>
      <c r="S23">
        <v>0.17389268437226399</v>
      </c>
      <c r="T23">
        <v>0.15376045175787101</v>
      </c>
      <c r="U23">
        <v>0.19586841760372001</v>
      </c>
      <c r="V23">
        <v>0.12327130785449</v>
      </c>
      <c r="W23">
        <v>7.9913451650630907E-2</v>
      </c>
      <c r="X23">
        <v>0.142695995924807</v>
      </c>
      <c r="Y23">
        <v>1.8911585536772501E-3</v>
      </c>
      <c r="Z23">
        <v>-0.131731913041259</v>
      </c>
      <c r="AA23">
        <v>0.167668191723154</v>
      </c>
      <c r="AB23">
        <v>1.2528971070826</v>
      </c>
      <c r="AC23">
        <v>0.22792984715978201</v>
      </c>
      <c r="AD23">
        <v>2.0940807898308198</v>
      </c>
      <c r="AE23">
        <v>-0.50630653750279098</v>
      </c>
      <c r="AF23">
        <v>3.2204892607509001</v>
      </c>
      <c r="AG23">
        <v>0.14502700738541399</v>
      </c>
      <c r="AH23">
        <v>0.55516114616480805</v>
      </c>
      <c r="AI23">
        <v>7.0635988262259197E-2</v>
      </c>
      <c r="AJ23">
        <v>0.553252463053997</v>
      </c>
      <c r="AK23">
        <v>-4.0041407945441403E-3</v>
      </c>
      <c r="AL23">
        <v>-0.13272665591028601</v>
      </c>
    </row>
    <row r="24" spans="1:38" x14ac:dyDescent="0.25">
      <c r="A24" t="s">
        <v>267</v>
      </c>
      <c r="B24" t="s">
        <v>518</v>
      </c>
      <c r="C24">
        <v>0.167214334506679</v>
      </c>
      <c r="D24">
        <v>0.22979235455481201</v>
      </c>
      <c r="E24">
        <v>-6.3297216013809401E-2</v>
      </c>
      <c r="F24">
        <v>0.21366126917862299</v>
      </c>
      <c r="G24">
        <v>-0.114381056597248</v>
      </c>
      <c r="H24">
        <v>-5.3134744251935803E-2</v>
      </c>
      <c r="I24">
        <v>0.116615651167151</v>
      </c>
      <c r="J24">
        <v>-7.1277433313031005E-2</v>
      </c>
      <c r="K24">
        <v>8.0861598906639701E-2</v>
      </c>
      <c r="L24">
        <v>0.27650811355056698</v>
      </c>
      <c r="M24">
        <v>-7.2459462490566499E-3</v>
      </c>
      <c r="N24">
        <v>7.2097352261393903E-3</v>
      </c>
      <c r="O24">
        <v>0.32628898159779701</v>
      </c>
      <c r="P24">
        <v>0.19225816865203799</v>
      </c>
      <c r="Q24">
        <v>4.3800446521714102E-2</v>
      </c>
      <c r="R24">
        <v>-0.17843645548766399</v>
      </c>
      <c r="S24">
        <v>-4.4713343916565902E-2</v>
      </c>
      <c r="T24">
        <v>-0.143474347809881</v>
      </c>
      <c r="U24">
        <v>-0.142138593204687</v>
      </c>
      <c r="V24">
        <v>-3.0687815576202801E-2</v>
      </c>
      <c r="W24">
        <v>-0.36139099966364702</v>
      </c>
      <c r="X24">
        <v>-6.7036331720817299E-2</v>
      </c>
      <c r="Y24">
        <v>-0.30088389966568602</v>
      </c>
      <c r="Z24">
        <v>-0.20532457411331201</v>
      </c>
      <c r="AA24">
        <v>-0.23589446814704801</v>
      </c>
      <c r="AB24">
        <v>0.184849868797301</v>
      </c>
      <c r="AC24">
        <v>-0.26965362519258901</v>
      </c>
      <c r="AD24">
        <v>1.00932754148249</v>
      </c>
      <c r="AE24">
        <v>0.56692452413008498</v>
      </c>
      <c r="AF24">
        <v>0.97315142975759195</v>
      </c>
      <c r="AG24">
        <v>0.25319052221731297</v>
      </c>
      <c r="AH24">
        <v>1.71018902258998E-2</v>
      </c>
      <c r="AI24">
        <v>0.530445762141176</v>
      </c>
      <c r="AJ24">
        <v>-5.7788678791049597E-2</v>
      </c>
      <c r="AK24">
        <v>-0.28039247241020299</v>
      </c>
      <c r="AL24">
        <v>1.11715994939219</v>
      </c>
    </row>
    <row r="25" spans="1:38" x14ac:dyDescent="0.25">
      <c r="A25" t="s">
        <v>267</v>
      </c>
      <c r="B25" t="s">
        <v>519</v>
      </c>
      <c r="C25">
        <v>0.24998440313944101</v>
      </c>
      <c r="D25">
        <v>5.4251364142005203E-2</v>
      </c>
      <c r="E25">
        <v>-4.75767263454379E-2</v>
      </c>
      <c r="F25">
        <v>0.564849376462213</v>
      </c>
      <c r="G25">
        <v>0.30250912895537302</v>
      </c>
      <c r="H25">
        <v>0.17893486634745401</v>
      </c>
      <c r="I25">
        <v>0.20996299550365499</v>
      </c>
      <c r="J25">
        <v>0.41333509893993903</v>
      </c>
      <c r="K25">
        <v>0.16502027154545101</v>
      </c>
      <c r="L25">
        <v>0.204619179623272</v>
      </c>
      <c r="M25">
        <v>1.4205321581264501</v>
      </c>
      <c r="N25">
        <v>5.6702563560467101E-2</v>
      </c>
      <c r="O25">
        <v>-0.35752504760846898</v>
      </c>
      <c r="P25">
        <v>-0.294614193877625</v>
      </c>
      <c r="Q25">
        <v>-0.462616092438766</v>
      </c>
      <c r="R25">
        <v>4.2045048386582198E-2</v>
      </c>
      <c r="S25">
        <v>1.9561347611122E-2</v>
      </c>
      <c r="T25">
        <v>-0.44631400274232802</v>
      </c>
      <c r="U25">
        <v>-0.41758204041370101</v>
      </c>
      <c r="V25">
        <v>-0.377070032074031</v>
      </c>
      <c r="W25">
        <v>-0.38755180474355</v>
      </c>
      <c r="X25">
        <v>-0.39058392984749402</v>
      </c>
      <c r="Y25">
        <v>-0.436862564068977</v>
      </c>
      <c r="Z25">
        <v>-0.46277001716715999</v>
      </c>
      <c r="AA25">
        <v>-0.34540578517145998</v>
      </c>
      <c r="AB25">
        <v>-0.236181651912584</v>
      </c>
      <c r="AC25">
        <v>-0.29581443027249199</v>
      </c>
      <c r="AD25">
        <v>-6.1932212237498098E-2</v>
      </c>
      <c r="AE25">
        <v>0.14080503515280099</v>
      </c>
      <c r="AF25">
        <v>-1.98302277217751E-2</v>
      </c>
      <c r="AG25">
        <v>0.178013218272491</v>
      </c>
      <c r="AH25">
        <v>0.13711618420171701</v>
      </c>
      <c r="AI25">
        <v>0.19532534602061399</v>
      </c>
      <c r="AJ25">
        <v>-4.2557926983424497E-2</v>
      </c>
      <c r="AK25">
        <v>-0.52336396652112305</v>
      </c>
      <c r="AL25">
        <v>3.7248851214008602E-2</v>
      </c>
    </row>
    <row r="26" spans="1:38" x14ac:dyDescent="0.25">
      <c r="A26" t="s">
        <v>267</v>
      </c>
      <c r="B26" t="s">
        <v>520</v>
      </c>
      <c r="C26">
        <v>9.0577885163118002E-2</v>
      </c>
      <c r="D26">
        <v>-1.64122901930608E-2</v>
      </c>
      <c r="E26">
        <v>-0.16361357194489201</v>
      </c>
      <c r="F26">
        <v>0.222493877106969</v>
      </c>
      <c r="G26">
        <v>-0.235504407014685</v>
      </c>
      <c r="H26">
        <v>-0.114079243574034</v>
      </c>
      <c r="I26">
        <v>1.7041192116745299E-3</v>
      </c>
      <c r="J26">
        <v>3.43544665592962E-2</v>
      </c>
      <c r="K26">
        <v>0.61174910417450901</v>
      </c>
      <c r="L26">
        <v>0.620623189210744</v>
      </c>
      <c r="M26">
        <v>0.25445280817747801</v>
      </c>
      <c r="N26">
        <v>0.34456212306690498</v>
      </c>
      <c r="O26">
        <v>0.78917861856404203</v>
      </c>
      <c r="P26">
        <v>1.08751721859685</v>
      </c>
      <c r="Q26">
        <v>0.87972826989001895</v>
      </c>
      <c r="R26">
        <v>-3.9727998205783301E-3</v>
      </c>
      <c r="S26">
        <v>0.35599484008401699</v>
      </c>
      <c r="T26">
        <v>-5.9411934227241302E-2</v>
      </c>
      <c r="U26">
        <v>-0.155810744108658</v>
      </c>
      <c r="V26">
        <v>-1.70613450724829E-3</v>
      </c>
      <c r="W26">
        <v>-0.235504407014685</v>
      </c>
      <c r="X26">
        <v>-0.102724370341056</v>
      </c>
      <c r="Y26">
        <v>-9.3348979279269897E-2</v>
      </c>
      <c r="Z26">
        <v>-0.145058638496878</v>
      </c>
      <c r="AA26">
        <v>-0.144516608120136</v>
      </c>
      <c r="AB26">
        <v>9.8949508972321604E-2</v>
      </c>
      <c r="AC26">
        <v>-3.7922585944953097E-2</v>
      </c>
      <c r="AD26">
        <v>0.17370736333745099</v>
      </c>
      <c r="AE26">
        <v>-0.235504407014685</v>
      </c>
      <c r="AF26">
        <v>-3.9253262324670697E-2</v>
      </c>
      <c r="AG26">
        <v>-0.103376317208329</v>
      </c>
      <c r="AH26">
        <v>0.13742619460553501</v>
      </c>
      <c r="AI26">
        <v>0.48318490552705201</v>
      </c>
      <c r="AJ26">
        <v>4.9302358685731101E-2</v>
      </c>
      <c r="AK26">
        <v>-0.123991884637724</v>
      </c>
      <c r="AL26">
        <v>0.13807547457781999</v>
      </c>
    </row>
    <row r="27" spans="1:38" x14ac:dyDescent="0.25">
      <c r="A27" t="s">
        <v>267</v>
      </c>
      <c r="B27" t="s">
        <v>525</v>
      </c>
      <c r="C27">
        <v>8.0532824889513993E-2</v>
      </c>
      <c r="D27">
        <v>-1.6266182985629801E-2</v>
      </c>
      <c r="E27">
        <v>-1.6266182985629801E-2</v>
      </c>
      <c r="F27">
        <v>-1.6266182985629801E-2</v>
      </c>
      <c r="G27">
        <v>6.6891410432837597E-2</v>
      </c>
      <c r="H27">
        <v>4.5463859568888099E-2</v>
      </c>
      <c r="I27">
        <v>-1.6266182985629801E-2</v>
      </c>
      <c r="J27">
        <v>-1.6266182985629801E-2</v>
      </c>
      <c r="K27">
        <v>3.6423973510690703E-2</v>
      </c>
      <c r="L27">
        <v>1.6084826932171298E-2</v>
      </c>
      <c r="M27">
        <v>0.204289286757664</v>
      </c>
      <c r="N27">
        <v>-1.6266182985629801E-2</v>
      </c>
      <c r="O27">
        <v>-1.6266182985629801E-2</v>
      </c>
      <c r="P27">
        <v>-1.6266182985629801E-2</v>
      </c>
      <c r="Q27">
        <v>-1.6266182985629801E-2</v>
      </c>
      <c r="R27">
        <v>-1.6266182985629801E-2</v>
      </c>
      <c r="S27">
        <v>5.6928073213213401E-2</v>
      </c>
      <c r="T27">
        <v>-1.6266182985629801E-2</v>
      </c>
      <c r="U27">
        <v>6.3427479920396795E-2</v>
      </c>
      <c r="V27">
        <v>0.16645573531994901</v>
      </c>
      <c r="W27">
        <v>0.11954597879194299</v>
      </c>
      <c r="X27">
        <v>-1.6266182985629801E-2</v>
      </c>
      <c r="Y27">
        <v>7.0235219466515897E-2</v>
      </c>
      <c r="Z27">
        <v>7.4179585532176906E-2</v>
      </c>
      <c r="AA27">
        <v>-1.6266182985629801E-2</v>
      </c>
      <c r="AB27">
        <v>2.0326762970728302E-2</v>
      </c>
      <c r="AC27">
        <v>0.13830264987701599</v>
      </c>
      <c r="AD27">
        <v>-1.6266182985629801E-2</v>
      </c>
      <c r="AE27">
        <v>-1.6266182985629801E-2</v>
      </c>
      <c r="AF27">
        <v>8.44862826799061E-2</v>
      </c>
      <c r="AG27">
        <v>0.50051517966317505</v>
      </c>
      <c r="AH27">
        <v>0.14205156736925001</v>
      </c>
      <c r="AI27">
        <v>-1.6266182985629801E-2</v>
      </c>
      <c r="AJ27">
        <v>3.3827461833045303E-2</v>
      </c>
      <c r="AK27">
        <v>-1.6266182985629801E-2</v>
      </c>
      <c r="AL27">
        <v>-1.6266182985629801E-2</v>
      </c>
    </row>
    <row r="28" spans="1:38" x14ac:dyDescent="0.25">
      <c r="A28" t="s">
        <v>267</v>
      </c>
      <c r="B28" t="s">
        <v>526</v>
      </c>
      <c r="C28">
        <v>0.219222797487791</v>
      </c>
      <c r="D28">
        <v>0.167641334038443</v>
      </c>
      <c r="E28">
        <v>-3.4968659620219597E-2</v>
      </c>
      <c r="F28">
        <v>-2.20166210434939E-2</v>
      </c>
      <c r="G28">
        <v>-2.3701901271544399E-2</v>
      </c>
      <c r="H28">
        <v>7.2371484264222796E-2</v>
      </c>
      <c r="I28">
        <v>5.4542697442974498E-2</v>
      </c>
      <c r="J28">
        <v>-0.10685949469001201</v>
      </c>
      <c r="K28">
        <v>-8.0381295062404504E-2</v>
      </c>
      <c r="L28">
        <v>-7.4508484772210795E-2</v>
      </c>
      <c r="M28">
        <v>4.9022179039257298E-3</v>
      </c>
      <c r="N28">
        <v>9.5906512595644297E-2</v>
      </c>
      <c r="O28">
        <v>2.5627026307854201E-2</v>
      </c>
      <c r="P28">
        <v>2.7129623097590101E-2</v>
      </c>
      <c r="Q28">
        <v>-4.6111620607655203E-2</v>
      </c>
      <c r="R28">
        <v>-7.9300296418076496E-2</v>
      </c>
      <c r="S28">
        <v>-8.2350401989048902E-2</v>
      </c>
      <c r="T28">
        <v>-4.6680833566343201E-3</v>
      </c>
      <c r="U28">
        <v>-8.0050205849847705E-2</v>
      </c>
      <c r="V28">
        <v>-5.3991277185740302E-2</v>
      </c>
      <c r="W28">
        <v>-6.0495858400813098E-2</v>
      </c>
      <c r="X28">
        <v>2.5920541983616902E-2</v>
      </c>
      <c r="Y28">
        <v>7.6613402218100998E-3</v>
      </c>
      <c r="Z28">
        <v>-4.6265545336048701E-2</v>
      </c>
      <c r="AA28">
        <v>7.1098686659650606E-2</v>
      </c>
      <c r="AB28">
        <v>5.7473355614548798E-2</v>
      </c>
      <c r="AC28">
        <v>2.4982411096237498</v>
      </c>
      <c r="AD28">
        <v>0.89234726168045098</v>
      </c>
      <c r="AE28">
        <v>-0.10685949469001201</v>
      </c>
      <c r="AF28">
        <v>0.26687723633997701</v>
      </c>
      <c r="AG28">
        <v>6.2368968048808003E-2</v>
      </c>
      <c r="AH28">
        <v>-2.5979392207813201E-2</v>
      </c>
      <c r="AI28">
        <v>-0.10685949469001201</v>
      </c>
      <c r="AJ28">
        <v>-0.10685949469001201</v>
      </c>
      <c r="AK28">
        <v>4.6530276869489497E-3</v>
      </c>
      <c r="AL28">
        <v>0.57580880851826799</v>
      </c>
    </row>
    <row r="29" spans="1:38" x14ac:dyDescent="0.25">
      <c r="A29" t="s">
        <v>267</v>
      </c>
      <c r="B29" t="s">
        <v>528</v>
      </c>
      <c r="C29">
        <v>-0.14273065047632599</v>
      </c>
      <c r="D29">
        <v>-0.112453707785064</v>
      </c>
      <c r="E29">
        <v>-2.58216852188679E-2</v>
      </c>
      <c r="F29">
        <v>-8.8200363251969005E-2</v>
      </c>
      <c r="G29">
        <v>-0.16884409938941999</v>
      </c>
      <c r="H29">
        <v>-0.15231484565245301</v>
      </c>
      <c r="I29">
        <v>-0.249106274468504</v>
      </c>
      <c r="J29">
        <v>-6.1686951032707299E-2</v>
      </c>
      <c r="K29">
        <v>-6.17314457689067E-3</v>
      </c>
      <c r="L29">
        <v>-0.10858058087894901</v>
      </c>
      <c r="M29">
        <v>2.2568550416097901</v>
      </c>
      <c r="N29">
        <v>-0.128779817321032</v>
      </c>
      <c r="O29">
        <v>-1.1876483816615499E-2</v>
      </c>
      <c r="P29">
        <v>4.5752957531876297E-2</v>
      </c>
      <c r="Q29">
        <v>6.9491504660715006E-2</v>
      </c>
      <c r="R29">
        <v>-1.0831891372736E-2</v>
      </c>
      <c r="S29">
        <v>6.1468428249455203E-3</v>
      </c>
      <c r="T29">
        <v>0.11116260803417199</v>
      </c>
      <c r="U29">
        <v>0.16819223533144501</v>
      </c>
      <c r="V29">
        <v>3.2190658999738199E-2</v>
      </c>
      <c r="W29">
        <v>-6.8927078058886898E-2</v>
      </c>
      <c r="X29">
        <v>1.8817688562851199E-2</v>
      </c>
      <c r="Y29">
        <v>7.2377177250803407E-2</v>
      </c>
      <c r="Z29">
        <v>3.6346762311428402E-2</v>
      </c>
      <c r="AA29">
        <v>-0.15358764325702601</v>
      </c>
      <c r="AB29">
        <v>0.24602380976989499</v>
      </c>
      <c r="AC29">
        <v>-0.10399628835805801</v>
      </c>
      <c r="AD29">
        <v>0.73385909542274697</v>
      </c>
      <c r="AE29">
        <v>3.0326330819293802E-2</v>
      </c>
      <c r="AF29">
        <v>0.46606730086613801</v>
      </c>
      <c r="AG29">
        <v>0.41884785905184502</v>
      </c>
      <c r="AH29">
        <v>0.44239966216989601</v>
      </c>
      <c r="AI29">
        <v>-0.33154582460668802</v>
      </c>
      <c r="AJ29">
        <v>0.26939372159896802</v>
      </c>
      <c r="AK29">
        <v>-0.114735135575671</v>
      </c>
      <c r="AL29">
        <v>0.35112247860159201</v>
      </c>
    </row>
    <row r="30" spans="1:38" x14ac:dyDescent="0.25">
      <c r="A30" t="s">
        <v>267</v>
      </c>
      <c r="B30" t="s">
        <v>529</v>
      </c>
      <c r="C30">
        <v>9.6799007875143894E-2</v>
      </c>
      <c r="D30">
        <v>0</v>
      </c>
      <c r="E30">
        <v>0</v>
      </c>
      <c r="F30">
        <v>0</v>
      </c>
      <c r="G30">
        <v>8.3157593418467304E-2</v>
      </c>
      <c r="H30">
        <v>0.17923097895423501</v>
      </c>
      <c r="I30">
        <v>0</v>
      </c>
      <c r="J30">
        <v>7.1199921346139006E-2</v>
      </c>
      <c r="K30">
        <v>6.7902713751454499E-2</v>
      </c>
      <c r="L30">
        <v>3.2351009917801099E-2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6.3943667825593603E-2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0.216810689031017</v>
      </c>
      <c r="AL30">
        <v>0</v>
      </c>
    </row>
    <row r="31" spans="1:38" x14ac:dyDescent="0.25">
      <c r="A31" t="s">
        <v>267</v>
      </c>
      <c r="B31" t="s">
        <v>532</v>
      </c>
      <c r="C31">
        <v>-4.5637117119068898E-2</v>
      </c>
      <c r="D31">
        <v>-4.5637117119068898E-2</v>
      </c>
      <c r="E31">
        <v>-9.3778795109771204E-3</v>
      </c>
      <c r="F31">
        <v>-4.5637117119068898E-2</v>
      </c>
      <c r="G31">
        <v>0.11706460809819901</v>
      </c>
      <c r="H31">
        <v>-4.5637117119068898E-2</v>
      </c>
      <c r="I31">
        <v>-4.5637117119068898E-2</v>
      </c>
      <c r="J31">
        <v>-4.5637117119068898E-2</v>
      </c>
      <c r="K31">
        <v>3.3006152873210501E-2</v>
      </c>
      <c r="L31">
        <v>-4.5637117119068898E-2</v>
      </c>
      <c r="M31">
        <v>-4.5637117119068898E-2</v>
      </c>
      <c r="N31">
        <v>-4.5637117119068898E-2</v>
      </c>
      <c r="O31">
        <v>-4.5637117119068898E-2</v>
      </c>
      <c r="P31">
        <v>2.2522403522592702E-2</v>
      </c>
      <c r="Q31">
        <v>-4.5637117119068898E-2</v>
      </c>
      <c r="R31">
        <v>9.3173144191260708E-3</v>
      </c>
      <c r="S31">
        <v>9.9786925170358504E-2</v>
      </c>
      <c r="T31">
        <v>3.1412846659725303E-2</v>
      </c>
      <c r="U31">
        <v>-1.88278282789048E-2</v>
      </c>
      <c r="V31">
        <v>3.3460481767839702E-2</v>
      </c>
      <c r="W31">
        <v>-4.5637117119068898E-2</v>
      </c>
      <c r="X31">
        <v>2.1896672143902701E-2</v>
      </c>
      <c r="Y31">
        <v>-1.6382035952332601E-2</v>
      </c>
      <c r="Z31">
        <v>0.13268791361719101</v>
      </c>
      <c r="AA31">
        <v>0.13232106423059301</v>
      </c>
      <c r="AB31">
        <v>0.27501970255393898</v>
      </c>
      <c r="AC31">
        <v>-4.5637117119068898E-2</v>
      </c>
      <c r="AD31">
        <v>0.56508495818137205</v>
      </c>
      <c r="AE31">
        <v>-4.5637117119068898E-2</v>
      </c>
      <c r="AF31">
        <v>0.97365775093301199</v>
      </c>
      <c r="AG31">
        <v>0.27021953109964297</v>
      </c>
      <c r="AH31">
        <v>0.11268063323581</v>
      </c>
      <c r="AI31">
        <v>0.26387649529816598</v>
      </c>
      <c r="AJ31">
        <v>0.60062834374761997</v>
      </c>
      <c r="AK31">
        <v>-4.5637117119068898E-2</v>
      </c>
      <c r="AL31">
        <v>0.32794276447343601</v>
      </c>
    </row>
    <row r="32" spans="1:38" x14ac:dyDescent="0.25">
      <c r="A32" t="s">
        <v>267</v>
      </c>
      <c r="B32" t="s">
        <v>533</v>
      </c>
      <c r="C32">
        <v>0.29272553715517802</v>
      </c>
      <c r="D32">
        <v>4.2169575833434197E-2</v>
      </c>
      <c r="E32">
        <v>2.90248258546684E-3</v>
      </c>
      <c r="F32">
        <v>5.14861186238929E-2</v>
      </c>
      <c r="G32">
        <v>-3.3356755022624897E-2</v>
      </c>
      <c r="H32">
        <v>2.8373287531892898E-2</v>
      </c>
      <c r="I32">
        <v>-3.3356755022624897E-2</v>
      </c>
      <c r="J32">
        <v>3.7843166323513998E-2</v>
      </c>
      <c r="K32">
        <v>9.6444345028549205E-2</v>
      </c>
      <c r="L32">
        <v>6.9110332972844801E-2</v>
      </c>
      <c r="M32">
        <v>0.293310735482542</v>
      </c>
      <c r="N32">
        <v>-3.3356755022624897E-2</v>
      </c>
      <c r="O32">
        <v>-3.3356755022624897E-2</v>
      </c>
      <c r="P32">
        <v>6.7997157106348502E-2</v>
      </c>
      <c r="Q32">
        <v>0.143773250805136</v>
      </c>
      <c r="R32">
        <v>-5.7975567506896404E-3</v>
      </c>
      <c r="S32">
        <v>5.3995190379990302E-2</v>
      </c>
      <c r="T32">
        <v>-7.3947258282012103E-3</v>
      </c>
      <c r="U32">
        <v>0.123924918528661</v>
      </c>
      <c r="V32">
        <v>-6.85333180095795E-3</v>
      </c>
      <c r="W32">
        <v>-3.3356755022624897E-2</v>
      </c>
      <c r="X32">
        <v>-3.3356755022624897E-2</v>
      </c>
      <c r="Y32">
        <v>-4.1016738558886301E-3</v>
      </c>
      <c r="Z32">
        <v>-2.90833371170242E-3</v>
      </c>
      <c r="AA32">
        <v>-3.3356755022624897E-2</v>
      </c>
      <c r="AB32">
        <v>3.2361909337332E-3</v>
      </c>
      <c r="AC32">
        <v>-3.3356755022624897E-2</v>
      </c>
      <c r="AD32">
        <v>0.29962177727866501</v>
      </c>
      <c r="AE32">
        <v>-3.3356755022624897E-2</v>
      </c>
      <c r="AF32">
        <v>-3.3356755022624897E-2</v>
      </c>
      <c r="AG32">
        <v>3.3770675884187501E-2</v>
      </c>
      <c r="AH32">
        <v>0.16879107820986</v>
      </c>
      <c r="AI32">
        <v>0.27615685739460999</v>
      </c>
      <c r="AJ32">
        <v>-3.3356755022624897E-2</v>
      </c>
      <c r="AK32">
        <v>-3.3356755022624897E-2</v>
      </c>
      <c r="AL32">
        <v>-3.3356755022624897E-2</v>
      </c>
    </row>
    <row r="33" spans="1:38" x14ac:dyDescent="0.25">
      <c r="A33" t="s">
        <v>267</v>
      </c>
      <c r="B33" t="s">
        <v>537</v>
      </c>
      <c r="C33">
        <v>-0.18052158372404201</v>
      </c>
      <c r="D33">
        <v>0.52786558660228899</v>
      </c>
      <c r="E33">
        <v>0.26821746164742</v>
      </c>
      <c r="F33">
        <v>0.34782475142082803</v>
      </c>
      <c r="G33">
        <v>0.54855250387731003</v>
      </c>
      <c r="H33">
        <v>0.50988555310207295</v>
      </c>
      <c r="I33">
        <v>0.57847095435976703</v>
      </c>
      <c r="J33">
        <v>0.36822362584088397</v>
      </c>
      <c r="K33">
        <v>0.36361960700500501</v>
      </c>
      <c r="L33">
        <v>0.34939498398824098</v>
      </c>
      <c r="M33">
        <v>0.40216399310122197</v>
      </c>
      <c r="N33">
        <v>0.58121853092993403</v>
      </c>
      <c r="O33">
        <v>0.115392739902064</v>
      </c>
      <c r="P33">
        <v>-7.9653373805357294E-2</v>
      </c>
      <c r="Q33">
        <v>0.115028298941968</v>
      </c>
      <c r="R33">
        <v>0.28010011621601599</v>
      </c>
      <c r="S33">
        <v>-0.10802396034108799</v>
      </c>
      <c r="T33">
        <v>-0.101228118811743</v>
      </c>
      <c r="U33">
        <v>-0.1200389180479</v>
      </c>
      <c r="V33">
        <v>-0.14615809771480001</v>
      </c>
      <c r="W33">
        <v>-0.27732059159918598</v>
      </c>
      <c r="X33">
        <v>-8.1408175815580394E-2</v>
      </c>
      <c r="Y33">
        <v>-5.4448938982812597E-2</v>
      </c>
      <c r="Z33">
        <v>-5.3527917707188198E-2</v>
      </c>
      <c r="AA33">
        <v>-0.18633279270463701</v>
      </c>
      <c r="AB33">
        <v>-6.3946621054102606E-2</v>
      </c>
      <c r="AC33">
        <v>2.0660771831683002E-2</v>
      </c>
      <c r="AD33">
        <v>2.3290376388935798E-2</v>
      </c>
      <c r="AE33">
        <v>8.4551563826796003E-2</v>
      </c>
      <c r="AF33">
        <v>-8.1069446909171894E-2</v>
      </c>
      <c r="AG33">
        <v>-2.0960957988283801E-2</v>
      </c>
      <c r="AH33">
        <v>-0.196440489116987</v>
      </c>
      <c r="AI33">
        <v>-0.27732059159918598</v>
      </c>
      <c r="AJ33">
        <v>3.3421262197843998E-2</v>
      </c>
      <c r="AK33">
        <v>-0.16580806922222499</v>
      </c>
      <c r="AL33">
        <v>-0.27732059159918598</v>
      </c>
    </row>
    <row r="34" spans="1:38" s="11" customFormat="1" ht="15.75" thickBot="1" x14ac:dyDescent="0.3">
      <c r="A34" s="11" t="s">
        <v>267</v>
      </c>
      <c r="B34" s="11" t="s">
        <v>542</v>
      </c>
      <c r="C34" s="11">
        <v>0.326733797787297</v>
      </c>
      <c r="D34" s="11">
        <v>0.45787900689526101</v>
      </c>
      <c r="E34" s="11">
        <v>4.4817820303931097E-2</v>
      </c>
      <c r="F34" s="11">
        <v>0.63847376319127802</v>
      </c>
      <c r="G34" s="11">
        <v>0.532638785171898</v>
      </c>
      <c r="H34" s="11">
        <v>0.13159540689025101</v>
      </c>
      <c r="I34" s="11">
        <v>0.51448730621372696</v>
      </c>
      <c r="J34" s="11">
        <v>-4.7635572063984097E-2</v>
      </c>
      <c r="K34" s="11">
        <v>0.151081308223249</v>
      </c>
      <c r="L34" s="11">
        <v>-4.7635572063984097E-2</v>
      </c>
      <c r="M34" s="11">
        <v>-4.7635572063984097E-2</v>
      </c>
      <c r="N34" s="11">
        <v>0.155130435221672</v>
      </c>
      <c r="O34" s="11">
        <v>0.24099460248536</v>
      </c>
      <c r="P34" s="11">
        <v>0.105193380754833</v>
      </c>
      <c r="Q34" s="11">
        <v>-4.7635572063984097E-2</v>
      </c>
      <c r="R34" s="11">
        <v>0.20374228649871601</v>
      </c>
      <c r="S34" s="11">
        <v>1.27081537470257E-3</v>
      </c>
      <c r="T34" s="11">
        <v>-4.7635572063984097E-2</v>
      </c>
      <c r="U34" s="11">
        <v>-4.7635572063984097E-2</v>
      </c>
      <c r="V34" s="11">
        <v>-4.7635572063984097E-2</v>
      </c>
      <c r="W34" s="11">
        <v>-1.27193577478524E-3</v>
      </c>
      <c r="X34" s="11">
        <v>1.98982171989876E-2</v>
      </c>
      <c r="Y34" s="11">
        <v>-1.8380490897247699E-2</v>
      </c>
      <c r="Z34" s="11">
        <v>-1.71871507530614E-2</v>
      </c>
      <c r="AA34" s="11">
        <v>-4.7635572063984097E-2</v>
      </c>
      <c r="AB34" s="11">
        <v>-4.7635572063984097E-2</v>
      </c>
      <c r="AC34" s="11">
        <v>0.106933260798661</v>
      </c>
      <c r="AD34" s="11">
        <v>7.8200565894808005E-2</v>
      </c>
      <c r="AE34" s="11">
        <v>-4.7635572063984097E-2</v>
      </c>
      <c r="AF34" s="11">
        <v>5.3116893601552001E-2</v>
      </c>
      <c r="AG34" s="11">
        <v>1.9491858842828499E-2</v>
      </c>
      <c r="AH34" s="11">
        <v>-4.7635572063984097E-2</v>
      </c>
      <c r="AI34" s="11">
        <v>-4.7635572063984097E-2</v>
      </c>
      <c r="AJ34" s="11">
        <v>-4.7635572063984097E-2</v>
      </c>
      <c r="AK34" s="11">
        <v>-4.7635572063984097E-2</v>
      </c>
      <c r="AL34" s="11">
        <v>-4.7635572063984097E-2</v>
      </c>
    </row>
    <row r="36" spans="1:38" x14ac:dyDescent="0.25">
      <c r="A36" s="220" t="s">
        <v>81</v>
      </c>
      <c r="B36" s="220"/>
      <c r="C36">
        <f>AVERAGE(C2:C34)</f>
        <v>5.297101085351142E-2</v>
      </c>
      <c r="D36">
        <f t="shared" ref="D36:AL36" si="0">AVERAGE(D2:D34)</f>
        <v>6.9874211776453032E-2</v>
      </c>
      <c r="E36">
        <f t="shared" si="0"/>
        <v>-1.5100333163211559E-2</v>
      </c>
      <c r="F36">
        <f t="shared" si="0"/>
        <v>4.9454562359958508E-2</v>
      </c>
      <c r="G36">
        <f t="shared" si="0"/>
        <v>6.7932301128249176E-2</v>
      </c>
      <c r="H36">
        <f t="shared" si="0"/>
        <v>5.752667697674773E-2</v>
      </c>
      <c r="I36">
        <f t="shared" si="0"/>
        <v>1.6959301106138049E-2</v>
      </c>
      <c r="J36">
        <f t="shared" si="0"/>
        <v>-1.0378379264097522E-2</v>
      </c>
      <c r="K36">
        <f t="shared" si="0"/>
        <v>8.2878387611578924E-3</v>
      </c>
      <c r="L36">
        <f t="shared" si="0"/>
        <v>8.6062888220902415E-3</v>
      </c>
      <c r="M36">
        <f t="shared" si="0"/>
        <v>0.47063302280376623</v>
      </c>
      <c r="N36">
        <f t="shared" si="0"/>
        <v>4.9010742006011514E-2</v>
      </c>
      <c r="O36">
        <f t="shared" si="0"/>
        <v>-2.5265969540406368E-2</v>
      </c>
      <c r="P36">
        <f t="shared" si="0"/>
        <v>2.1444245901121865E-2</v>
      </c>
      <c r="Q36">
        <f t="shared" si="0"/>
        <v>-1.8094334030430571E-2</v>
      </c>
      <c r="R36">
        <f t="shared" si="0"/>
        <v>1.441047075549057E-3</v>
      </c>
      <c r="S36">
        <f t="shared" si="0"/>
        <v>2.9393854648597E-2</v>
      </c>
      <c r="T36">
        <f t="shared" si="0"/>
        <v>-5.6278440215673159E-2</v>
      </c>
      <c r="U36">
        <f t="shared" si="0"/>
        <v>-3.7160042032758855E-2</v>
      </c>
      <c r="V36">
        <f t="shared" si="0"/>
        <v>-3.8659669452044465E-2</v>
      </c>
      <c r="W36">
        <f t="shared" si="0"/>
        <v>-5.4986854938401344E-2</v>
      </c>
      <c r="X36">
        <f t="shared" si="0"/>
        <v>-2.5138628813220043E-2</v>
      </c>
      <c r="Y36">
        <f t="shared" si="0"/>
        <v>-2.4816547712179893E-2</v>
      </c>
      <c r="Z36">
        <f t="shared" si="0"/>
        <v>-3.9696702050470128E-2</v>
      </c>
      <c r="AA36">
        <f t="shared" si="0"/>
        <v>-7.0054061874909368E-2</v>
      </c>
      <c r="AB36">
        <f t="shared" si="0"/>
        <v>0.257465233687593</v>
      </c>
      <c r="AC36">
        <f t="shared" si="0"/>
        <v>0.10869552615567786</v>
      </c>
      <c r="AD36">
        <f t="shared" si="0"/>
        <v>0.6004298341730373</v>
      </c>
      <c r="AE36">
        <f t="shared" si="0"/>
        <v>0.25473235720702675</v>
      </c>
      <c r="AF36">
        <f t="shared" si="0"/>
        <v>0.73933106531186343</v>
      </c>
      <c r="AG36">
        <f t="shared" si="0"/>
        <v>0.12956971681615964</v>
      </c>
      <c r="AH36">
        <f t="shared" si="0"/>
        <v>0.25019941590835137</v>
      </c>
      <c r="AI36">
        <f t="shared" si="0"/>
        <v>0.10361451629382007</v>
      </c>
      <c r="AJ36">
        <f t="shared" si="0"/>
        <v>0.34382907857366252</v>
      </c>
      <c r="AK36">
        <f t="shared" si="0"/>
        <v>-8.1221262772815203E-2</v>
      </c>
      <c r="AL36">
        <f t="shared" si="0"/>
        <v>0.20370688278759685</v>
      </c>
    </row>
    <row r="37" spans="1:38" x14ac:dyDescent="0.25">
      <c r="A37" s="220" t="s">
        <v>262</v>
      </c>
      <c r="B37" s="220"/>
      <c r="C37">
        <f>AVERAGE(C13:C19)</f>
        <v>-3.7200217972202638E-3</v>
      </c>
      <c r="D37">
        <f t="shared" ref="D37:AL37" si="1">AVERAGE(D13:D19)</f>
        <v>6.611228242079438E-2</v>
      </c>
      <c r="E37">
        <f t="shared" si="1"/>
        <v>-6.8806879939086601E-2</v>
      </c>
      <c r="F37">
        <f t="shared" si="1"/>
        <v>-3.8396498725025333E-2</v>
      </c>
      <c r="G37">
        <f t="shared" si="1"/>
        <v>2.8897363223688043E-3</v>
      </c>
      <c r="H37">
        <f t="shared" si="1"/>
        <v>6.2809321957175313E-2</v>
      </c>
      <c r="I37">
        <f t="shared" si="1"/>
        <v>-1.11546029629295E-2</v>
      </c>
      <c r="J37">
        <f t="shared" si="1"/>
        <v>-8.6242265002004936E-2</v>
      </c>
      <c r="K37">
        <f t="shared" si="1"/>
        <v>-5.0304949664148266E-2</v>
      </c>
      <c r="L37">
        <f t="shared" si="1"/>
        <v>-7.2759197553688884E-2</v>
      </c>
      <c r="M37">
        <f t="shared" si="1"/>
        <v>0.7914669492292763</v>
      </c>
      <c r="N37">
        <f t="shared" si="1"/>
        <v>2.9494551685667884E-2</v>
      </c>
      <c r="O37">
        <f t="shared" si="1"/>
        <v>-0.17630130915456108</v>
      </c>
      <c r="P37">
        <f t="shared" si="1"/>
        <v>-2.2753885300003307E-3</v>
      </c>
      <c r="Q37">
        <f t="shared" si="1"/>
        <v>3.6220082510395007E-3</v>
      </c>
      <c r="R37">
        <f t="shared" si="1"/>
        <v>-6.792923852836788E-2</v>
      </c>
      <c r="S37">
        <f t="shared" si="1"/>
        <v>-5.0929723702104746E-3</v>
      </c>
      <c r="T37">
        <f t="shared" si="1"/>
        <v>-0.11456743971428093</v>
      </c>
      <c r="U37">
        <f t="shared" si="1"/>
        <v>-0.11491072453497668</v>
      </c>
      <c r="V37">
        <f t="shared" si="1"/>
        <v>-0.10413420399523146</v>
      </c>
      <c r="W37">
        <f t="shared" si="1"/>
        <v>-2.5497000987174706E-3</v>
      </c>
      <c r="X37">
        <f t="shared" si="1"/>
        <v>2.602016891024914E-2</v>
      </c>
      <c r="Y37">
        <f t="shared" si="1"/>
        <v>3.4637438374782406E-2</v>
      </c>
      <c r="Z37">
        <f t="shared" si="1"/>
        <v>-1.3497820392399083E-2</v>
      </c>
      <c r="AA37">
        <f t="shared" si="1"/>
        <v>-0.10223566739007502</v>
      </c>
      <c r="AB37">
        <f t="shared" si="1"/>
        <v>0.34057389151374251</v>
      </c>
      <c r="AC37">
        <f t="shared" si="1"/>
        <v>-3.2910327968924719E-3</v>
      </c>
      <c r="AD37">
        <f t="shared" si="1"/>
        <v>0.6740589404401901</v>
      </c>
      <c r="AE37">
        <f t="shared" si="1"/>
        <v>0.41362750016943911</v>
      </c>
      <c r="AF37">
        <f t="shared" si="1"/>
        <v>0.91737361058950495</v>
      </c>
      <c r="AG37">
        <f t="shared" si="1"/>
        <v>0.12659844716818411</v>
      </c>
      <c r="AH37">
        <f t="shared" si="1"/>
        <v>0.3134693197157033</v>
      </c>
      <c r="AI37">
        <f t="shared" si="1"/>
        <v>0.31436883377463121</v>
      </c>
      <c r="AJ37">
        <f t="shared" si="1"/>
        <v>0.77766034786166682</v>
      </c>
      <c r="AK37">
        <f t="shared" si="1"/>
        <v>-0.10480401540703586</v>
      </c>
      <c r="AL37">
        <f t="shared" si="1"/>
        <v>0.34738322043346109</v>
      </c>
    </row>
    <row r="38" spans="1:38" x14ac:dyDescent="0.25">
      <c r="A38" s="220" t="s">
        <v>263</v>
      </c>
      <c r="B38" s="220"/>
      <c r="C38">
        <f>AVERAGE(C2:C12)</f>
        <v>3.0795814499917865E-2</v>
      </c>
      <c r="D38">
        <f t="shared" ref="D38:AL38" si="2">AVERAGE(D2:D12)</f>
        <v>4.0695365980087208E-4</v>
      </c>
      <c r="E38">
        <f t="shared" si="2"/>
        <v>-2.6296541413611762E-3</v>
      </c>
      <c r="F38">
        <f t="shared" si="2"/>
        <v>-1.5276944000266785E-2</v>
      </c>
      <c r="G38">
        <f t="shared" si="2"/>
        <v>2.528692533523685E-2</v>
      </c>
      <c r="H38">
        <f t="shared" si="2"/>
        <v>1.5150671139692257E-2</v>
      </c>
      <c r="I38">
        <f t="shared" si="2"/>
        <v>-4.3317216367896066E-2</v>
      </c>
      <c r="J38">
        <f t="shared" si="2"/>
        <v>-4.0795319154318603E-2</v>
      </c>
      <c r="K38">
        <f t="shared" si="2"/>
        <v>-8.0652880076468647E-2</v>
      </c>
      <c r="L38">
        <f t="shared" si="2"/>
        <v>-6.2489366393732995E-2</v>
      </c>
      <c r="M38">
        <f t="shared" si="2"/>
        <v>0.43092026563756625</v>
      </c>
      <c r="N38">
        <f t="shared" si="2"/>
        <v>-4.2550272186467846E-4</v>
      </c>
      <c r="O38">
        <f t="shared" si="2"/>
        <v>-2.7587612491077388E-2</v>
      </c>
      <c r="P38">
        <f t="shared" si="2"/>
        <v>-5.7018148127036386E-2</v>
      </c>
      <c r="Q38">
        <f t="shared" si="2"/>
        <v>-6.3973076522640226E-2</v>
      </c>
      <c r="R38">
        <f t="shared" si="2"/>
        <v>1.6234755051272018E-2</v>
      </c>
      <c r="S38">
        <f t="shared" si="2"/>
        <v>5.2954443716834818E-2</v>
      </c>
      <c r="T38">
        <f t="shared" si="2"/>
        <v>-6.8135341504282812E-2</v>
      </c>
      <c r="U38">
        <f t="shared" si="2"/>
        <v>-5.8245435691081475E-3</v>
      </c>
      <c r="V38">
        <f t="shared" si="2"/>
        <v>-2.6721972401637706E-2</v>
      </c>
      <c r="W38">
        <f t="shared" si="2"/>
        <v>-4.6496176426154869E-2</v>
      </c>
      <c r="X38">
        <f t="shared" si="2"/>
        <v>-4.2363032927395641E-2</v>
      </c>
      <c r="Y38">
        <f t="shared" si="2"/>
        <v>-2.1161488397822274E-2</v>
      </c>
      <c r="Z38">
        <f t="shared" si="2"/>
        <v>-4.1150764517207665E-2</v>
      </c>
      <c r="AA38">
        <f t="shared" si="2"/>
        <v>-6.348135632798009E-2</v>
      </c>
      <c r="AB38">
        <f t="shared" si="2"/>
        <v>0.36230946233350408</v>
      </c>
      <c r="AC38">
        <f t="shared" si="2"/>
        <v>0.11921853529753604</v>
      </c>
      <c r="AD38">
        <f t="shared" si="2"/>
        <v>0.81094479170845768</v>
      </c>
      <c r="AE38">
        <f t="shared" si="2"/>
        <v>0.54214760601271328</v>
      </c>
      <c r="AF38">
        <f t="shared" si="2"/>
        <v>0.93129312594052349</v>
      </c>
      <c r="AG38">
        <f t="shared" si="2"/>
        <v>0.16201262588158888</v>
      </c>
      <c r="AH38">
        <f t="shared" si="2"/>
        <v>0.39638440386147961</v>
      </c>
      <c r="AI38">
        <f t="shared" si="2"/>
        <v>-2.3281821176568393E-2</v>
      </c>
      <c r="AJ38">
        <f t="shared" si="2"/>
        <v>0.4305230209486256</v>
      </c>
      <c r="AK38">
        <f t="shared" si="2"/>
        <v>-6.8371023795320326E-2</v>
      </c>
      <c r="AL38">
        <f t="shared" si="2"/>
        <v>0.19644562774477992</v>
      </c>
    </row>
    <row r="39" spans="1:38" x14ac:dyDescent="0.25">
      <c r="A39" s="220" t="s">
        <v>264</v>
      </c>
      <c r="B39" s="220"/>
      <c r="C39">
        <f>AVERAGE(C20:C34)</f>
        <v>9.5688636749821476E-2</v>
      </c>
      <c r="D39">
        <f t="shared" ref="D39:AL39" si="3">AVERAGE(D20:D34)</f>
        <v>0.12257243476130532</v>
      </c>
      <c r="E39">
        <f t="shared" si="3"/>
        <v>8.1755738283983135E-4</v>
      </c>
      <c r="F39">
        <f t="shared" si="3"/>
        <v>0.13792149553044952</v>
      </c>
      <c r="G39">
        <f t="shared" si="3"/>
        <v>0.1295587736192024</v>
      </c>
      <c r="H39">
        <f t="shared" si="3"/>
        <v>8.6137180266388891E-2</v>
      </c>
      <c r="I39">
        <f t="shared" si="3"/>
        <v>7.4281902485994589E-2</v>
      </c>
      <c r="J39">
        <f t="shared" si="3"/>
        <v>4.733052333308807E-2</v>
      </c>
      <c r="K39">
        <f t="shared" si="3"/>
        <v>0.10085433384056022</v>
      </c>
      <c r="L39">
        <f t="shared" si="3"/>
        <v>9.8713662955724216E-2</v>
      </c>
      <c r="M39">
        <f t="shared" si="3"/>
        <v>0.35003321239374147</v>
      </c>
      <c r="N39">
        <f t="shared" si="3"/>
        <v>9.4371543622614421E-2</v>
      </c>
      <c r="O39">
        <f t="shared" si="3"/>
        <v>4.691972711002456E-2</v>
      </c>
      <c r="P39">
        <f t="shared" si="3"/>
        <v>9.0052497589628258E-2</v>
      </c>
      <c r="Q39">
        <f t="shared" si="3"/>
        <v>5.4157840658371342E-3</v>
      </c>
      <c r="R39">
        <f t="shared" si="3"/>
        <v>2.2965127841846796E-2</v>
      </c>
      <c r="S39">
        <f t="shared" si="3"/>
        <v>2.8209941940666096E-2</v>
      </c>
      <c r="T39">
        <f t="shared" si="3"/>
        <v>-2.0381846171342484E-2</v>
      </c>
      <c r="U39">
        <f t="shared" si="3"/>
        <v>-2.3855755738401076E-2</v>
      </c>
      <c r="V39">
        <f t="shared" si="3"/>
        <v>-1.6859197835522168E-2</v>
      </c>
      <c r="W39">
        <f t="shared" si="3"/>
        <v>-8.568402477256791E-2</v>
      </c>
      <c r="X39">
        <f t="shared" si="3"/>
        <v>-3.6381504733776888E-2</v>
      </c>
      <c r="Y39">
        <f t="shared" si="3"/>
        <v>-5.5242118049957892E-2</v>
      </c>
      <c r="Z39">
        <f t="shared" si="3"/>
        <v>-5.0856534348629107E-2</v>
      </c>
      <c r="AA39">
        <f t="shared" si="3"/>
        <v>-5.9855963368913516E-2</v>
      </c>
      <c r="AB39">
        <f t="shared" si="3"/>
        <v>0.14179542569505491</v>
      </c>
      <c r="AC39">
        <f t="shared" si="3"/>
        <v>0.15323904696284796</v>
      </c>
      <c r="AD39">
        <f t="shared" si="3"/>
        <v>0.41169194905572409</v>
      </c>
      <c r="AE39">
        <f t="shared" si="3"/>
        <v>-3.0189891966269141E-2</v>
      </c>
      <c r="AF39">
        <f t="shared" si="3"/>
        <v>0.51547236638794702</v>
      </c>
      <c r="AG39">
        <f t="shared" si="3"/>
        <v>0.10716484267056671</v>
      </c>
      <c r="AH39">
        <f t="shared" si="3"/>
        <v>0.11347113629929313</v>
      </c>
      <c r="AI39">
        <f t="shared" si="3"/>
        <v>9.8319815614393097E-2</v>
      </c>
      <c r="AJ39">
        <f t="shared" si="3"/>
        <v>7.7798928497620767E-2</v>
      </c>
      <c r="AK39">
        <f t="shared" si="3"/>
        <v>-7.9639486793675149E-2</v>
      </c>
      <c r="AL39">
        <f t="shared" si="3"/>
        <v>0.14198284558425939</v>
      </c>
    </row>
    <row r="40" spans="1:38" x14ac:dyDescent="0.25">
      <c r="A40" s="220" t="s">
        <v>268</v>
      </c>
      <c r="B40" s="220"/>
      <c r="C40">
        <f>MAX(C38:C39)</f>
        <v>9.5688636749821476E-2</v>
      </c>
      <c r="D40">
        <f t="shared" ref="D40:AL40" si="4">MAX(D38:D39)</f>
        <v>0.12257243476130532</v>
      </c>
      <c r="E40">
        <f t="shared" si="4"/>
        <v>8.1755738283983135E-4</v>
      </c>
      <c r="F40">
        <f t="shared" si="4"/>
        <v>0.13792149553044952</v>
      </c>
      <c r="G40">
        <f t="shared" si="4"/>
        <v>0.1295587736192024</v>
      </c>
      <c r="H40">
        <f t="shared" si="4"/>
        <v>8.6137180266388891E-2</v>
      </c>
      <c r="I40">
        <f t="shared" si="4"/>
        <v>7.4281902485994589E-2</v>
      </c>
      <c r="J40">
        <f t="shared" si="4"/>
        <v>4.733052333308807E-2</v>
      </c>
      <c r="K40">
        <f t="shared" si="4"/>
        <v>0.10085433384056022</v>
      </c>
      <c r="L40">
        <f t="shared" si="4"/>
        <v>9.8713662955724216E-2</v>
      </c>
      <c r="M40">
        <f t="shared" si="4"/>
        <v>0.43092026563756625</v>
      </c>
      <c r="N40">
        <f t="shared" si="4"/>
        <v>9.4371543622614421E-2</v>
      </c>
      <c r="O40">
        <f t="shared" si="4"/>
        <v>4.691972711002456E-2</v>
      </c>
      <c r="P40">
        <f t="shared" si="4"/>
        <v>9.0052497589628258E-2</v>
      </c>
      <c r="Q40">
        <f t="shared" si="4"/>
        <v>5.4157840658371342E-3</v>
      </c>
      <c r="R40">
        <f t="shared" si="4"/>
        <v>2.2965127841846796E-2</v>
      </c>
      <c r="S40">
        <f t="shared" si="4"/>
        <v>5.2954443716834818E-2</v>
      </c>
      <c r="T40">
        <f t="shared" si="4"/>
        <v>-2.0381846171342484E-2</v>
      </c>
      <c r="U40">
        <f t="shared" si="4"/>
        <v>-5.8245435691081475E-3</v>
      </c>
      <c r="V40">
        <f t="shared" si="4"/>
        <v>-1.6859197835522168E-2</v>
      </c>
      <c r="W40">
        <f t="shared" si="4"/>
        <v>-4.6496176426154869E-2</v>
      </c>
      <c r="X40">
        <f t="shared" si="4"/>
        <v>-3.6381504733776888E-2</v>
      </c>
      <c r="Y40">
        <f t="shared" si="4"/>
        <v>-2.1161488397822274E-2</v>
      </c>
      <c r="Z40">
        <f t="shared" si="4"/>
        <v>-4.1150764517207665E-2</v>
      </c>
      <c r="AA40">
        <f t="shared" si="4"/>
        <v>-5.9855963368913516E-2</v>
      </c>
      <c r="AB40">
        <f t="shared" si="4"/>
        <v>0.36230946233350408</v>
      </c>
      <c r="AC40">
        <f t="shared" si="4"/>
        <v>0.15323904696284796</v>
      </c>
      <c r="AD40">
        <f t="shared" si="4"/>
        <v>0.81094479170845768</v>
      </c>
      <c r="AE40">
        <f t="shared" si="4"/>
        <v>0.54214760601271328</v>
      </c>
      <c r="AF40">
        <f t="shared" si="4"/>
        <v>0.93129312594052349</v>
      </c>
      <c r="AG40">
        <f t="shared" si="4"/>
        <v>0.16201262588158888</v>
      </c>
      <c r="AH40">
        <f t="shared" si="4"/>
        <v>0.39638440386147961</v>
      </c>
      <c r="AI40">
        <f t="shared" si="4"/>
        <v>9.8319815614393097E-2</v>
      </c>
      <c r="AJ40">
        <f t="shared" si="4"/>
        <v>0.4305230209486256</v>
      </c>
      <c r="AK40">
        <f t="shared" si="4"/>
        <v>-6.8371023795320326E-2</v>
      </c>
      <c r="AL40">
        <f t="shared" si="4"/>
        <v>0.19644562774477992</v>
      </c>
    </row>
    <row r="43" spans="1:38" x14ac:dyDescent="0.25">
      <c r="A43" s="220" t="s">
        <v>260</v>
      </c>
      <c r="B43" s="220"/>
      <c r="D43" s="220" t="s">
        <v>261</v>
      </c>
      <c r="E43" s="220"/>
      <c r="G43" s="220" t="s">
        <v>269</v>
      </c>
      <c r="H43" s="220"/>
      <c r="I43" s="220"/>
      <c r="K43" s="15" t="s">
        <v>270</v>
      </c>
    </row>
    <row r="44" spans="1:38" x14ac:dyDescent="0.25">
      <c r="A44" s="13" t="s">
        <v>105</v>
      </c>
      <c r="B44">
        <v>0.73933106531186343</v>
      </c>
      <c r="D44" s="13" t="s">
        <v>105</v>
      </c>
      <c r="E44">
        <v>0.91737361058950495</v>
      </c>
      <c r="G44" s="13" t="s">
        <v>105</v>
      </c>
      <c r="H44">
        <v>0.93129312594052349</v>
      </c>
    </row>
    <row r="45" spans="1:38" x14ac:dyDescent="0.25">
      <c r="A45" s="13" t="s">
        <v>103</v>
      </c>
      <c r="B45">
        <v>0.6004298341730373</v>
      </c>
      <c r="D45" s="13" t="s">
        <v>86</v>
      </c>
      <c r="E45">
        <v>0.7914669492292763</v>
      </c>
      <c r="G45" s="13" t="s">
        <v>103</v>
      </c>
      <c r="H45">
        <v>0.81094479170845768</v>
      </c>
    </row>
    <row r="46" spans="1:38" x14ac:dyDescent="0.25">
      <c r="A46" s="13" t="s">
        <v>86</v>
      </c>
      <c r="B46">
        <v>0.47063302280376623</v>
      </c>
      <c r="D46" s="13" t="s">
        <v>109</v>
      </c>
      <c r="E46">
        <v>0.77766034786166682</v>
      </c>
      <c r="G46" s="13" t="s">
        <v>104</v>
      </c>
      <c r="H46">
        <v>0.54214760601271328</v>
      </c>
    </row>
    <row r="47" spans="1:38" x14ac:dyDescent="0.25">
      <c r="A47" s="13" t="s">
        <v>109</v>
      </c>
      <c r="B47">
        <v>0.34382907857366252</v>
      </c>
      <c r="D47" s="13" t="s">
        <v>103</v>
      </c>
      <c r="E47">
        <v>0.6740589404401901</v>
      </c>
      <c r="G47" s="13" t="s">
        <v>86</v>
      </c>
      <c r="H47">
        <v>0.43092026563756625</v>
      </c>
    </row>
    <row r="48" spans="1:38" x14ac:dyDescent="0.25">
      <c r="A48" s="13" t="s">
        <v>101</v>
      </c>
      <c r="B48">
        <v>0.257465233687593</v>
      </c>
      <c r="D48" s="13" t="s">
        <v>104</v>
      </c>
      <c r="E48">
        <v>0.41362750016943911</v>
      </c>
      <c r="G48" s="13" t="s">
        <v>109</v>
      </c>
      <c r="H48">
        <v>0.4305230209486256</v>
      </c>
    </row>
    <row r="49" spans="1:8" x14ac:dyDescent="0.25">
      <c r="A49" s="13" t="s">
        <v>104</v>
      </c>
      <c r="B49">
        <v>0.25473235720702675</v>
      </c>
      <c r="D49" s="16" t="s">
        <v>111</v>
      </c>
      <c r="E49">
        <v>0.34738322043346109</v>
      </c>
      <c r="G49" s="13" t="s">
        <v>107</v>
      </c>
      <c r="H49">
        <v>0.39638440386147961</v>
      </c>
    </row>
    <row r="50" spans="1:8" x14ac:dyDescent="0.25">
      <c r="A50" s="13" t="s">
        <v>107</v>
      </c>
      <c r="B50">
        <v>0.25019941590835137</v>
      </c>
      <c r="D50" s="13" t="s">
        <v>101</v>
      </c>
      <c r="E50">
        <v>0.34057389151374251</v>
      </c>
      <c r="G50" s="13" t="s">
        <v>101</v>
      </c>
      <c r="H50">
        <v>0.36230946233350408</v>
      </c>
    </row>
    <row r="51" spans="1:8" x14ac:dyDescent="0.25">
      <c r="A51" s="16" t="s">
        <v>111</v>
      </c>
      <c r="B51">
        <v>0.20370688278759685</v>
      </c>
      <c r="D51" s="13" t="s">
        <v>108</v>
      </c>
      <c r="E51">
        <v>0.31436883377463121</v>
      </c>
      <c r="G51" s="16" t="s">
        <v>111</v>
      </c>
      <c r="H51">
        <v>0.19644562774477992</v>
      </c>
    </row>
    <row r="52" spans="1:8" x14ac:dyDescent="0.25">
      <c r="A52" s="16" t="s">
        <v>106</v>
      </c>
      <c r="B52">
        <v>0.12956971681615964</v>
      </c>
      <c r="D52" s="13" t="s">
        <v>107</v>
      </c>
      <c r="E52">
        <v>0.3134693197157033</v>
      </c>
      <c r="G52" s="16" t="s">
        <v>106</v>
      </c>
      <c r="H52">
        <v>0.16201262588158888</v>
      </c>
    </row>
    <row r="53" spans="1:8" x14ac:dyDescent="0.25">
      <c r="A53" s="16" t="s">
        <v>102</v>
      </c>
      <c r="B53">
        <v>0.10869552615567786</v>
      </c>
      <c r="D53" s="16" t="s">
        <v>106</v>
      </c>
      <c r="E53">
        <v>0.12659844716818411</v>
      </c>
      <c r="G53" s="16" t="s">
        <v>102</v>
      </c>
      <c r="H53">
        <v>0.15323904696284796</v>
      </c>
    </row>
    <row r="54" spans="1:8" x14ac:dyDescent="0.25">
      <c r="A54" s="13" t="s">
        <v>108</v>
      </c>
      <c r="B54">
        <v>0.10361451629382007</v>
      </c>
      <c r="D54" s="58" t="s">
        <v>75</v>
      </c>
      <c r="E54">
        <v>6.611228242079438E-2</v>
      </c>
      <c r="G54" s="58" t="s">
        <v>77</v>
      </c>
      <c r="H54">
        <v>0.13792149553044952</v>
      </c>
    </row>
    <row r="55" spans="1:8" x14ac:dyDescent="0.25">
      <c r="A55" s="58" t="s">
        <v>75</v>
      </c>
      <c r="B55">
        <v>6.9874211776453032E-2</v>
      </c>
      <c r="D55" s="131" t="s">
        <v>79</v>
      </c>
      <c r="E55">
        <v>6.2809321957175313E-2</v>
      </c>
      <c r="G55" s="58" t="s">
        <v>78</v>
      </c>
      <c r="H55">
        <v>0.1295587736192024</v>
      </c>
    </row>
    <row r="56" spans="1:8" x14ac:dyDescent="0.25">
      <c r="A56" s="58" t="s">
        <v>78</v>
      </c>
      <c r="B56">
        <v>6.7932301128249176E-2</v>
      </c>
      <c r="D56" s="16" t="s">
        <v>98</v>
      </c>
      <c r="E56">
        <v>3.4637438374782406E-2</v>
      </c>
      <c r="G56" s="58" t="s">
        <v>75</v>
      </c>
      <c r="H56">
        <v>0.12257243476130532</v>
      </c>
    </row>
    <row r="57" spans="1:8" x14ac:dyDescent="0.25">
      <c r="A57" s="131" t="s">
        <v>79</v>
      </c>
      <c r="B57">
        <v>5.752667697674773E-2</v>
      </c>
      <c r="D57" s="13" t="s">
        <v>87</v>
      </c>
      <c r="E57">
        <v>2.9494551685667884E-2</v>
      </c>
      <c r="G57" s="16" t="s">
        <v>84</v>
      </c>
      <c r="H57">
        <v>0.10085433384056022</v>
      </c>
    </row>
    <row r="58" spans="1:8" x14ac:dyDescent="0.25">
      <c r="A58" s="58" t="s">
        <v>74</v>
      </c>
      <c r="B58">
        <v>5.297101085351142E-2</v>
      </c>
      <c r="D58" s="13" t="s">
        <v>97</v>
      </c>
      <c r="E58">
        <v>2.602016891024914E-2</v>
      </c>
      <c r="G58" s="16" t="s">
        <v>85</v>
      </c>
      <c r="H58">
        <v>9.8713662955724216E-2</v>
      </c>
    </row>
    <row r="59" spans="1:8" x14ac:dyDescent="0.25">
      <c r="A59" s="58" t="s">
        <v>77</v>
      </c>
      <c r="B59">
        <v>4.9454562359958508E-2</v>
      </c>
      <c r="D59" s="16" t="s">
        <v>90</v>
      </c>
      <c r="E59">
        <v>3.6220082510395007E-3</v>
      </c>
      <c r="G59" s="13" t="s">
        <v>108</v>
      </c>
      <c r="H59">
        <v>9.8319815614393097E-2</v>
      </c>
    </row>
    <row r="60" spans="1:8" x14ac:dyDescent="0.25">
      <c r="A60" s="13" t="s">
        <v>87</v>
      </c>
      <c r="B60">
        <v>4.9010742006011514E-2</v>
      </c>
      <c r="D60" s="58" t="s">
        <v>78</v>
      </c>
      <c r="E60">
        <v>2.8897363223688043E-3</v>
      </c>
      <c r="G60" s="58" t="s">
        <v>74</v>
      </c>
      <c r="H60">
        <v>9.5688636749821476E-2</v>
      </c>
    </row>
    <row r="61" spans="1:8" x14ac:dyDescent="0.25">
      <c r="A61" s="16" t="s">
        <v>92</v>
      </c>
      <c r="B61">
        <v>2.9393854648597E-2</v>
      </c>
      <c r="D61" s="13" t="s">
        <v>89</v>
      </c>
      <c r="E61">
        <v>-2.2753885300003307E-3</v>
      </c>
      <c r="G61" s="13" t="s">
        <v>87</v>
      </c>
      <c r="H61">
        <v>9.4371543622614421E-2</v>
      </c>
    </row>
    <row r="62" spans="1:8" x14ac:dyDescent="0.25">
      <c r="A62" s="13" t="s">
        <v>89</v>
      </c>
      <c r="B62">
        <v>2.1444245901121865E-2</v>
      </c>
      <c r="D62" s="16" t="s">
        <v>96</v>
      </c>
      <c r="E62">
        <v>-2.5497000987174706E-3</v>
      </c>
      <c r="G62" s="13" t="s">
        <v>89</v>
      </c>
      <c r="H62">
        <v>9.0052497589628258E-2</v>
      </c>
    </row>
    <row r="63" spans="1:8" x14ac:dyDescent="0.25">
      <c r="A63" s="13" t="s">
        <v>82</v>
      </c>
      <c r="B63">
        <v>1.6959301106138049E-2</v>
      </c>
      <c r="D63" s="16" t="s">
        <v>102</v>
      </c>
      <c r="E63">
        <v>-3.2910327968924719E-3</v>
      </c>
      <c r="G63" s="131" t="s">
        <v>79</v>
      </c>
      <c r="H63">
        <v>8.6137180266388891E-2</v>
      </c>
    </row>
    <row r="64" spans="1:8" x14ac:dyDescent="0.25">
      <c r="A64" s="16" t="s">
        <v>85</v>
      </c>
      <c r="B64">
        <v>8.6062888220902415E-3</v>
      </c>
      <c r="D64" s="58" t="s">
        <v>74</v>
      </c>
      <c r="E64">
        <v>-3.7200217972202638E-3</v>
      </c>
      <c r="G64" s="13" t="s">
        <v>82</v>
      </c>
      <c r="H64">
        <v>7.4281902485994589E-2</v>
      </c>
    </row>
    <row r="65" spans="1:8" x14ac:dyDescent="0.25">
      <c r="A65" s="16" t="s">
        <v>84</v>
      </c>
      <c r="B65">
        <v>8.2878387611578924E-3</v>
      </c>
      <c r="D65" s="16" t="s">
        <v>92</v>
      </c>
      <c r="E65">
        <v>-5.0929723702104746E-3</v>
      </c>
      <c r="G65" s="16" t="s">
        <v>92</v>
      </c>
      <c r="H65">
        <v>5.2954443716834818E-2</v>
      </c>
    </row>
    <row r="66" spans="1:8" x14ac:dyDescent="0.25">
      <c r="A66" s="16" t="s">
        <v>91</v>
      </c>
      <c r="B66">
        <v>1.441047075549057E-3</v>
      </c>
      <c r="D66" s="13" t="s">
        <v>82</v>
      </c>
      <c r="E66">
        <v>-1.11546029629295E-2</v>
      </c>
      <c r="G66" s="16" t="s">
        <v>83</v>
      </c>
      <c r="H66">
        <v>4.733052333308807E-2</v>
      </c>
    </row>
    <row r="67" spans="1:8" x14ac:dyDescent="0.25">
      <c r="A67" s="16" t="s">
        <v>83</v>
      </c>
      <c r="B67">
        <v>-1.0378379264097522E-2</v>
      </c>
      <c r="D67" s="16" t="s">
        <v>99</v>
      </c>
      <c r="E67">
        <v>-1.3497820392399083E-2</v>
      </c>
      <c r="G67" s="16" t="s">
        <v>88</v>
      </c>
      <c r="H67">
        <v>4.691972711002456E-2</v>
      </c>
    </row>
    <row r="68" spans="1:8" x14ac:dyDescent="0.25">
      <c r="A68" s="58" t="s">
        <v>76</v>
      </c>
      <c r="B68">
        <v>-1.5100333163211559E-2</v>
      </c>
      <c r="D68" s="58" t="s">
        <v>77</v>
      </c>
      <c r="E68">
        <v>-3.8396498725025333E-2</v>
      </c>
      <c r="G68" s="16" t="s">
        <v>91</v>
      </c>
      <c r="H68">
        <v>2.2965127841846796E-2</v>
      </c>
    </row>
    <row r="69" spans="1:8" x14ac:dyDescent="0.25">
      <c r="A69" s="16" t="s">
        <v>90</v>
      </c>
      <c r="B69">
        <v>-1.8094334030430571E-2</v>
      </c>
      <c r="D69" s="16" t="s">
        <v>84</v>
      </c>
      <c r="E69">
        <v>-5.0304949664148266E-2</v>
      </c>
      <c r="G69" s="16" t="s">
        <v>90</v>
      </c>
      <c r="H69">
        <v>5.4157840658371342E-3</v>
      </c>
    </row>
    <row r="70" spans="1:8" x14ac:dyDescent="0.25">
      <c r="A70" s="16" t="s">
        <v>98</v>
      </c>
      <c r="B70">
        <v>-2.4816547712179893E-2</v>
      </c>
      <c r="D70" s="16" t="s">
        <v>91</v>
      </c>
      <c r="E70">
        <v>-6.792923852836788E-2</v>
      </c>
      <c r="G70" s="58" t="s">
        <v>76</v>
      </c>
      <c r="H70">
        <v>8.1755738283983135E-4</v>
      </c>
    </row>
    <row r="71" spans="1:8" x14ac:dyDescent="0.25">
      <c r="A71" s="13" t="s">
        <v>97</v>
      </c>
      <c r="B71">
        <v>-2.5138628813220043E-2</v>
      </c>
      <c r="D71" s="58" t="s">
        <v>76</v>
      </c>
      <c r="E71">
        <v>-6.8806879939086601E-2</v>
      </c>
      <c r="G71" s="16" t="s">
        <v>94</v>
      </c>
      <c r="H71">
        <v>-5.8245435691081475E-3</v>
      </c>
    </row>
    <row r="72" spans="1:8" x14ac:dyDescent="0.25">
      <c r="A72" s="16" t="s">
        <v>88</v>
      </c>
      <c r="B72">
        <v>-2.5265969540406368E-2</v>
      </c>
      <c r="D72" s="16" t="s">
        <v>85</v>
      </c>
      <c r="E72">
        <v>-7.2759197553688884E-2</v>
      </c>
      <c r="G72" s="16" t="s">
        <v>95</v>
      </c>
      <c r="H72">
        <v>-1.6859197835522168E-2</v>
      </c>
    </row>
    <row r="73" spans="1:8" x14ac:dyDescent="0.25">
      <c r="A73" s="16" t="s">
        <v>94</v>
      </c>
      <c r="B73">
        <v>-3.7160042032758855E-2</v>
      </c>
      <c r="D73" s="16" t="s">
        <v>83</v>
      </c>
      <c r="E73">
        <v>-8.6242265002004936E-2</v>
      </c>
      <c r="G73" s="16" t="s">
        <v>93</v>
      </c>
      <c r="H73">
        <v>-2.0381846171342484E-2</v>
      </c>
    </row>
    <row r="74" spans="1:8" x14ac:dyDescent="0.25">
      <c r="A74" s="16" t="s">
        <v>95</v>
      </c>
      <c r="B74">
        <v>-3.8659669452044465E-2</v>
      </c>
      <c r="D74" s="16" t="s">
        <v>100</v>
      </c>
      <c r="E74">
        <v>-0.10223566739007502</v>
      </c>
      <c r="G74" s="16" t="s">
        <v>98</v>
      </c>
      <c r="H74">
        <v>-2.1161488397822274E-2</v>
      </c>
    </row>
    <row r="75" spans="1:8" x14ac:dyDescent="0.25">
      <c r="A75" s="16" t="s">
        <v>99</v>
      </c>
      <c r="B75">
        <v>-3.9696702050470128E-2</v>
      </c>
      <c r="D75" s="16" t="s">
        <v>95</v>
      </c>
      <c r="E75">
        <v>-0.10413420399523146</v>
      </c>
      <c r="G75" s="13" t="s">
        <v>97</v>
      </c>
      <c r="H75">
        <v>-3.6381504733776888E-2</v>
      </c>
    </row>
    <row r="76" spans="1:8" x14ac:dyDescent="0.25">
      <c r="A76" s="16" t="s">
        <v>96</v>
      </c>
      <c r="B76">
        <v>-5.4986854938401344E-2</v>
      </c>
      <c r="D76" s="16" t="s">
        <v>110</v>
      </c>
      <c r="E76">
        <v>-0.10480401540703586</v>
      </c>
      <c r="G76" s="16" t="s">
        <v>99</v>
      </c>
      <c r="H76">
        <v>-4.1150764517207665E-2</v>
      </c>
    </row>
    <row r="77" spans="1:8" x14ac:dyDescent="0.25">
      <c r="A77" s="16" t="s">
        <v>93</v>
      </c>
      <c r="B77">
        <v>-5.6278440215673159E-2</v>
      </c>
      <c r="D77" s="16" t="s">
        <v>93</v>
      </c>
      <c r="E77">
        <v>-0.11456743971428093</v>
      </c>
      <c r="G77" s="16" t="s">
        <v>96</v>
      </c>
      <c r="H77">
        <v>-4.6496176426154869E-2</v>
      </c>
    </row>
    <row r="78" spans="1:8" x14ac:dyDescent="0.25">
      <c r="A78" s="16" t="s">
        <v>100</v>
      </c>
      <c r="B78">
        <v>-7.0054061874909368E-2</v>
      </c>
      <c r="D78" s="16" t="s">
        <v>94</v>
      </c>
      <c r="E78">
        <v>-0.11491072453497668</v>
      </c>
      <c r="G78" s="16" t="s">
        <v>100</v>
      </c>
      <c r="H78">
        <v>-5.9855963368913516E-2</v>
      </c>
    </row>
    <row r="79" spans="1:8" x14ac:dyDescent="0.25">
      <c r="A79" s="16" t="s">
        <v>110</v>
      </c>
      <c r="B79">
        <v>-8.1221262772815203E-2</v>
      </c>
      <c r="D79" s="16" t="s">
        <v>88</v>
      </c>
      <c r="E79">
        <v>-0.17630130915456108</v>
      </c>
      <c r="G79" s="16" t="s">
        <v>110</v>
      </c>
      <c r="H79">
        <v>-6.8371023795320326E-2</v>
      </c>
    </row>
  </sheetData>
  <sortState ref="G44:H79">
    <sortCondition descending="1" ref="H44:H79"/>
  </sortState>
  <mergeCells count="8">
    <mergeCell ref="D43:E43"/>
    <mergeCell ref="G43:I43"/>
    <mergeCell ref="A36:B36"/>
    <mergeCell ref="A37:B37"/>
    <mergeCell ref="A38:B38"/>
    <mergeCell ref="A39:B39"/>
    <mergeCell ref="A40:B40"/>
    <mergeCell ref="A43:B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E1" workbookViewId="0">
      <selection activeCell="P27" sqref="P27"/>
    </sheetView>
  </sheetViews>
  <sheetFormatPr defaultRowHeight="15" x14ac:dyDescent="0.25"/>
  <cols>
    <col min="1" max="1" width="13.710937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2.7109375" bestFit="1" customWidth="1"/>
    <col min="16" max="16" width="12.7109375" bestFit="1" customWidth="1"/>
    <col min="17" max="17" width="12.42578125" bestFit="1" customWidth="1"/>
    <col min="19" max="19" width="12.7109375" bestFit="1" customWidth="1"/>
    <col min="20" max="20" width="12.42578125" bestFit="1" customWidth="1"/>
    <col min="22" max="22" width="11" customWidth="1"/>
    <col min="25" max="25" width="11.28515625" customWidth="1"/>
  </cols>
  <sheetData>
    <row r="1" spans="1:30" ht="72.75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30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30" x14ac:dyDescent="0.25">
      <c r="A3" s="17" t="s">
        <v>225</v>
      </c>
      <c r="B3" s="21">
        <v>0.87</v>
      </c>
      <c r="C3" s="48">
        <v>1</v>
      </c>
      <c r="D3" s="18" t="s">
        <v>207</v>
      </c>
      <c r="E3" s="45">
        <v>0.33370529817519873</v>
      </c>
      <c r="F3" s="48">
        <v>1</v>
      </c>
      <c r="G3" s="18" t="s">
        <v>207</v>
      </c>
      <c r="H3" s="45">
        <v>0.6968333353965952</v>
      </c>
      <c r="I3" s="48">
        <v>1</v>
      </c>
      <c r="J3" s="18" t="s">
        <v>207</v>
      </c>
      <c r="K3" s="45">
        <v>0.23025852599028312</v>
      </c>
      <c r="L3" s="48">
        <v>1</v>
      </c>
      <c r="M3" s="17" t="s">
        <v>207</v>
      </c>
      <c r="N3" s="21">
        <v>48.72</v>
      </c>
      <c r="O3" s="48">
        <v>1</v>
      </c>
      <c r="P3" s="17" t="s">
        <v>207</v>
      </c>
      <c r="Q3" s="21">
        <v>66.67</v>
      </c>
      <c r="R3" s="48">
        <v>1</v>
      </c>
      <c r="S3" s="17" t="s">
        <v>207</v>
      </c>
      <c r="T3" s="21">
        <v>45.45</v>
      </c>
      <c r="U3" s="48">
        <v>1</v>
      </c>
      <c r="V3" s="17" t="s">
        <v>207</v>
      </c>
      <c r="W3" s="21">
        <v>21</v>
      </c>
      <c r="X3" s="48">
        <v>1</v>
      </c>
      <c r="Y3" s="19" t="s">
        <v>207</v>
      </c>
      <c r="Z3" s="19">
        <v>21</v>
      </c>
      <c r="AA3" s="48">
        <v>1</v>
      </c>
    </row>
    <row r="4" spans="1:30" x14ac:dyDescent="0.25">
      <c r="A4" s="17" t="s">
        <v>134</v>
      </c>
      <c r="B4" s="21">
        <v>0.49</v>
      </c>
      <c r="C4" s="48">
        <v>2</v>
      </c>
      <c r="D4" s="18" t="s">
        <v>134</v>
      </c>
      <c r="E4" s="45">
        <v>7.6381265386100752E-2</v>
      </c>
      <c r="F4" s="48">
        <v>2</v>
      </c>
      <c r="G4" s="18" t="s">
        <v>134</v>
      </c>
      <c r="H4" s="45">
        <v>0.16829180884319883</v>
      </c>
      <c r="I4" s="48">
        <v>2</v>
      </c>
      <c r="J4" s="18" t="s">
        <v>225</v>
      </c>
      <c r="K4" s="45">
        <v>0.11655531344169034</v>
      </c>
      <c r="L4" s="48">
        <v>2</v>
      </c>
      <c r="M4" s="17" t="s">
        <v>225</v>
      </c>
      <c r="N4" s="21">
        <v>20.51</v>
      </c>
      <c r="O4" s="48">
        <v>2</v>
      </c>
      <c r="P4" s="17" t="s">
        <v>134</v>
      </c>
      <c r="Q4" s="21">
        <v>50</v>
      </c>
      <c r="R4" s="48">
        <v>2</v>
      </c>
      <c r="S4" s="17" t="s">
        <v>225</v>
      </c>
      <c r="T4" s="21">
        <v>18.18</v>
      </c>
      <c r="U4" s="48">
        <v>2</v>
      </c>
      <c r="V4" s="17" t="s">
        <v>225</v>
      </c>
      <c r="W4" s="21">
        <v>6</v>
      </c>
      <c r="X4" s="48">
        <v>2</v>
      </c>
      <c r="Y4" s="19" t="s">
        <v>225</v>
      </c>
      <c r="Z4" s="19">
        <v>5</v>
      </c>
      <c r="AA4" s="48">
        <v>2</v>
      </c>
    </row>
    <row r="5" spans="1:30" x14ac:dyDescent="0.25">
      <c r="A5" s="17" t="s">
        <v>207</v>
      </c>
      <c r="B5" s="21">
        <v>0.25</v>
      </c>
      <c r="C5" s="48">
        <v>3</v>
      </c>
      <c r="D5" s="18" t="s">
        <v>225</v>
      </c>
      <c r="E5" s="45">
        <v>5.9206917421103865E-2</v>
      </c>
      <c r="F5" s="48">
        <v>3</v>
      </c>
      <c r="G5" s="18" t="s">
        <v>225</v>
      </c>
      <c r="H5" s="45">
        <v>9.9532839247815988E-2</v>
      </c>
      <c r="I5" s="48">
        <v>3</v>
      </c>
      <c r="J5" s="18" t="s">
        <v>134</v>
      </c>
      <c r="K5" s="45">
        <v>5.2060128049672125E-2</v>
      </c>
      <c r="L5" s="48">
        <v>3</v>
      </c>
      <c r="M5" s="17" t="s">
        <v>134</v>
      </c>
      <c r="N5" s="21">
        <v>20.51</v>
      </c>
      <c r="O5" s="48">
        <v>2</v>
      </c>
      <c r="P5" s="17" t="s">
        <v>225</v>
      </c>
      <c r="Q5" s="21">
        <v>41.67</v>
      </c>
      <c r="R5" s="48">
        <v>3</v>
      </c>
      <c r="S5" s="17" t="s">
        <v>134</v>
      </c>
      <c r="T5" s="21">
        <v>9.09</v>
      </c>
      <c r="U5" s="48">
        <v>3</v>
      </c>
      <c r="V5" s="17" t="s">
        <v>134</v>
      </c>
      <c r="W5" s="21">
        <v>4</v>
      </c>
      <c r="X5" s="48">
        <v>3</v>
      </c>
      <c r="Y5" s="19" t="s">
        <v>134</v>
      </c>
      <c r="Z5" s="19">
        <v>3</v>
      </c>
      <c r="AA5" s="48">
        <v>3</v>
      </c>
    </row>
    <row r="6" spans="1:30" x14ac:dyDescent="0.25">
      <c r="A6" s="3"/>
      <c r="B6" s="2"/>
      <c r="C6" s="4"/>
      <c r="D6" s="3"/>
      <c r="E6" s="2"/>
      <c r="F6" s="4"/>
      <c r="G6" s="3"/>
      <c r="H6" s="2"/>
      <c r="I6" s="4"/>
      <c r="J6" s="3"/>
      <c r="K6" s="2"/>
      <c r="L6" s="4"/>
      <c r="M6" s="3"/>
      <c r="N6" s="2"/>
      <c r="O6" s="4"/>
      <c r="P6" s="3"/>
      <c r="Q6" s="2"/>
      <c r="R6" s="4"/>
      <c r="S6" s="3"/>
      <c r="T6" s="2"/>
      <c r="U6" s="4"/>
      <c r="V6" s="3"/>
      <c r="W6" s="2"/>
      <c r="X6" s="4"/>
      <c r="Y6" s="3"/>
      <c r="Z6" s="2"/>
      <c r="AA6" s="4"/>
    </row>
    <row r="7" spans="1:30" ht="15.75" thickBot="1" x14ac:dyDescent="0.3">
      <c r="A7" s="197" t="s">
        <v>20</v>
      </c>
      <c r="B7" s="198"/>
      <c r="C7" s="199"/>
      <c r="D7" s="197" t="s">
        <v>20</v>
      </c>
      <c r="E7" s="198"/>
      <c r="F7" s="199"/>
      <c r="G7" s="197" t="s">
        <v>20</v>
      </c>
      <c r="H7" s="198"/>
      <c r="I7" s="199"/>
      <c r="J7" s="197" t="s">
        <v>20</v>
      </c>
      <c r="K7" s="198"/>
      <c r="L7" s="199"/>
      <c r="M7" s="197" t="s">
        <v>20</v>
      </c>
      <c r="N7" s="198"/>
      <c r="O7" s="199"/>
      <c r="P7" s="197" t="s">
        <v>20</v>
      </c>
      <c r="Q7" s="198"/>
      <c r="R7" s="199"/>
      <c r="S7" s="197" t="s">
        <v>20</v>
      </c>
      <c r="T7" s="198"/>
      <c r="U7" s="199"/>
      <c r="V7" s="197" t="s">
        <v>20</v>
      </c>
      <c r="W7" s="198"/>
      <c r="X7" s="199"/>
      <c r="Y7" s="197" t="s">
        <v>20</v>
      </c>
      <c r="Z7" s="198"/>
      <c r="AA7" s="199"/>
    </row>
    <row r="9" spans="1:30" ht="15.75" thickBot="1" x14ac:dyDescent="0.3"/>
    <row r="10" spans="1:30" ht="15.75" thickBot="1" x14ac:dyDescent="0.3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224" t="s">
        <v>417</v>
      </c>
      <c r="R10" s="225"/>
      <c r="S10" s="61"/>
      <c r="T10" s="61"/>
      <c r="U10" s="61"/>
      <c r="V10" s="61"/>
      <c r="W10" s="61"/>
      <c r="X10" s="61"/>
      <c r="Y10" s="64"/>
      <c r="Z10" s="64"/>
      <c r="AA10" s="64"/>
      <c r="AB10" s="64"/>
      <c r="AC10" s="64"/>
      <c r="AD10" s="64"/>
    </row>
    <row r="11" spans="1:30" x14ac:dyDescent="0.25">
      <c r="A11" s="221" t="s">
        <v>416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3"/>
      <c r="M11" s="228" t="s">
        <v>418</v>
      </c>
      <c r="N11" s="229"/>
      <c r="O11" s="230"/>
      <c r="Q11" s="226"/>
      <c r="R11" s="227"/>
    </row>
    <row r="12" spans="1:30" ht="75" x14ac:dyDescent="0.25">
      <c r="A12" s="5" t="s">
        <v>30</v>
      </c>
      <c r="B12" s="6" t="s">
        <v>29</v>
      </c>
      <c r="C12" s="6" t="s">
        <v>31</v>
      </c>
      <c r="D12" s="6" t="s">
        <v>32</v>
      </c>
      <c r="E12" s="6" t="s">
        <v>33</v>
      </c>
      <c r="F12" s="6" t="s">
        <v>34</v>
      </c>
      <c r="G12" s="6" t="s">
        <v>35</v>
      </c>
      <c r="H12" s="6" t="s">
        <v>36</v>
      </c>
      <c r="I12" s="6" t="s">
        <v>271</v>
      </c>
      <c r="J12" s="6" t="s">
        <v>37</v>
      </c>
      <c r="K12" s="70" t="s">
        <v>38</v>
      </c>
      <c r="L12" s="66" t="s">
        <v>39</v>
      </c>
      <c r="M12" s="5" t="s">
        <v>30</v>
      </c>
      <c r="N12" s="70" t="s">
        <v>419</v>
      </c>
      <c r="O12" s="148" t="s">
        <v>420</v>
      </c>
      <c r="Q12" s="65" t="s">
        <v>21</v>
      </c>
      <c r="R12" s="66" t="s">
        <v>273</v>
      </c>
      <c r="T12" s="63" t="s">
        <v>21</v>
      </c>
      <c r="U12" s="49" t="s">
        <v>407</v>
      </c>
      <c r="V12" s="49" t="s">
        <v>408</v>
      </c>
      <c r="W12" s="49" t="s">
        <v>409</v>
      </c>
      <c r="X12" s="49" t="s">
        <v>410</v>
      </c>
      <c r="Y12" s="49" t="s">
        <v>411</v>
      </c>
      <c r="Z12" s="49" t="s">
        <v>412</v>
      </c>
      <c r="AA12" s="49" t="s">
        <v>413</v>
      </c>
      <c r="AB12" s="49" t="s">
        <v>414</v>
      </c>
      <c r="AC12" s="49" t="s">
        <v>415</v>
      </c>
      <c r="AD12" s="49" t="s">
        <v>406</v>
      </c>
    </row>
    <row r="13" spans="1:30" x14ac:dyDescent="0.25">
      <c r="A13" s="17" t="s">
        <v>207</v>
      </c>
      <c r="B13" s="62">
        <v>3</v>
      </c>
      <c r="C13" s="62">
        <v>1</v>
      </c>
      <c r="D13" s="62">
        <v>1</v>
      </c>
      <c r="E13" s="62">
        <v>1</v>
      </c>
      <c r="F13" s="62">
        <v>1</v>
      </c>
      <c r="G13" s="62">
        <v>1</v>
      </c>
      <c r="H13" s="62">
        <v>1</v>
      </c>
      <c r="I13" s="62">
        <v>1</v>
      </c>
      <c r="J13" s="62">
        <v>1</v>
      </c>
      <c r="K13" s="62">
        <f>SUM(B13:J13)</f>
        <v>11</v>
      </c>
      <c r="L13" s="48">
        <v>1</v>
      </c>
      <c r="M13" s="96" t="s">
        <v>207</v>
      </c>
      <c r="N13" s="2">
        <v>9</v>
      </c>
      <c r="O13" s="113">
        <v>1</v>
      </c>
      <c r="Q13" s="105" t="s">
        <v>207</v>
      </c>
      <c r="R13" s="116">
        <v>9</v>
      </c>
      <c r="T13" s="62" t="s">
        <v>207</v>
      </c>
      <c r="U13">
        <f>COUNTIF(A3:A5,"metacell-141")</f>
        <v>1</v>
      </c>
      <c r="V13">
        <f>COUNTIF(G3:G5,"metacell-141")</f>
        <v>1</v>
      </c>
      <c r="W13">
        <f>COUNTIF(G3:G5,"metacell-141")</f>
        <v>1</v>
      </c>
      <c r="X13">
        <f>COUNTIF(J3:J5,"metacell-141")</f>
        <v>1</v>
      </c>
      <c r="Y13">
        <f>COUNTIF(M3:M5,"metacell-141")</f>
        <v>1</v>
      </c>
      <c r="Z13">
        <f>COUNTIF(P3:P5,"metacell-141")</f>
        <v>1</v>
      </c>
      <c r="AA13">
        <f>COUNTIF(S3:S5,"metacell-141")</f>
        <v>1</v>
      </c>
      <c r="AB13">
        <f>COUNTIF(V3:V5,"metacell-141")</f>
        <v>1</v>
      </c>
      <c r="AC13">
        <f>COUNTIF(Y3:Y5,"metacell-141")</f>
        <v>1</v>
      </c>
      <c r="AD13">
        <f>SUM(U13:AC13)</f>
        <v>9</v>
      </c>
    </row>
    <row r="14" spans="1:30" x14ac:dyDescent="0.25">
      <c r="A14" s="17" t="s">
        <v>225</v>
      </c>
      <c r="B14" s="62">
        <v>1</v>
      </c>
      <c r="C14" s="62">
        <v>3</v>
      </c>
      <c r="D14" s="62">
        <v>3</v>
      </c>
      <c r="E14" s="62">
        <v>2</v>
      </c>
      <c r="F14" s="62">
        <v>2</v>
      </c>
      <c r="G14" s="62">
        <v>3</v>
      </c>
      <c r="H14" s="62">
        <v>2</v>
      </c>
      <c r="I14" s="62">
        <v>2</v>
      </c>
      <c r="J14" s="62">
        <v>2</v>
      </c>
      <c r="K14" s="62">
        <f t="shared" ref="K14:K15" si="0">SUM(B14:J14)</f>
        <v>20</v>
      </c>
      <c r="L14" s="48">
        <v>2</v>
      </c>
      <c r="M14" s="96" t="s">
        <v>225</v>
      </c>
      <c r="N14" s="2">
        <v>16</v>
      </c>
      <c r="O14" s="113">
        <v>2</v>
      </c>
      <c r="Q14" s="105" t="s">
        <v>225</v>
      </c>
      <c r="R14" s="116">
        <v>9</v>
      </c>
      <c r="T14" s="62" t="s">
        <v>225</v>
      </c>
      <c r="U14">
        <f>COUNTIF(A3:A5,"metacell-159")</f>
        <v>1</v>
      </c>
      <c r="V14">
        <f>COUNTIF(G3:G5,"metacell-159")</f>
        <v>1</v>
      </c>
      <c r="W14">
        <f>COUNTIF(G3:G5,"metacell-159")</f>
        <v>1</v>
      </c>
      <c r="X14">
        <f>COUNTIF(J3:J5,"metacell-159")</f>
        <v>1</v>
      </c>
      <c r="Y14">
        <f>COUNTIF(M3:M5,"metacell-159")</f>
        <v>1</v>
      </c>
      <c r="Z14">
        <f>COUNTIF(P3:P5,"metacell-159")</f>
        <v>1</v>
      </c>
      <c r="AA14">
        <f>COUNTIF(S3:S5,"metacell-159")</f>
        <v>1</v>
      </c>
      <c r="AB14">
        <f>COUNTIF(V3:V5,"metacell-159")</f>
        <v>1</v>
      </c>
      <c r="AC14">
        <f>COUNTIF(Y3:Y5,"metacell-159")</f>
        <v>1</v>
      </c>
      <c r="AD14">
        <f t="shared" ref="AD14:AD15" si="1">SUM(U14:AC14)</f>
        <v>9</v>
      </c>
    </row>
    <row r="15" spans="1:30" ht="15.75" thickBot="1" x14ac:dyDescent="0.3">
      <c r="A15" s="132" t="s">
        <v>134</v>
      </c>
      <c r="B15" s="147">
        <v>2</v>
      </c>
      <c r="C15" s="147">
        <v>2</v>
      </c>
      <c r="D15" s="147">
        <v>2</v>
      </c>
      <c r="E15" s="147">
        <v>3</v>
      </c>
      <c r="F15" s="147">
        <v>2</v>
      </c>
      <c r="G15" s="147">
        <v>2</v>
      </c>
      <c r="H15" s="147">
        <v>3</v>
      </c>
      <c r="I15" s="147">
        <v>3</v>
      </c>
      <c r="J15" s="147">
        <v>3</v>
      </c>
      <c r="K15" s="147">
        <f t="shared" si="0"/>
        <v>22</v>
      </c>
      <c r="L15" s="124">
        <v>3</v>
      </c>
      <c r="M15" s="112" t="s">
        <v>134</v>
      </c>
      <c r="N15" s="11">
        <v>16</v>
      </c>
      <c r="O15" s="114">
        <v>2</v>
      </c>
      <c r="Q15" s="117" t="s">
        <v>134</v>
      </c>
      <c r="R15" s="118">
        <v>9</v>
      </c>
      <c r="T15" s="62" t="s">
        <v>134</v>
      </c>
      <c r="U15">
        <f>COUNTIF(A3:A5,"metacell-59")</f>
        <v>1</v>
      </c>
      <c r="V15">
        <f>COUNTIF(G3:G5,"metacell-59")</f>
        <v>1</v>
      </c>
      <c r="W15">
        <f>COUNTIF(G3:G5,"metacell-59")</f>
        <v>1</v>
      </c>
      <c r="X15">
        <f>COUNTIF(J3:J5,"metacell-59")</f>
        <v>1</v>
      </c>
      <c r="Y15">
        <f>COUNTIF(M3:M5,"metacell-159")</f>
        <v>1</v>
      </c>
      <c r="Z15">
        <f>COUNTIF(P3:P5,"metacell-59")</f>
        <v>1</v>
      </c>
      <c r="AA15">
        <f>COUNTIF(S3:S5,"metacell-59")</f>
        <v>1</v>
      </c>
      <c r="AB15">
        <f>COUNTIF(V3:V5,"metacell-59")</f>
        <v>1</v>
      </c>
      <c r="AC15">
        <f>COUNTIF(Y3:Y5,"metacell-59")</f>
        <v>1</v>
      </c>
      <c r="AD15">
        <f t="shared" si="1"/>
        <v>9</v>
      </c>
    </row>
    <row r="18" spans="1:9" x14ac:dyDescent="0.25">
      <c r="A18" s="62"/>
      <c r="B18" s="62"/>
      <c r="C18" s="62"/>
      <c r="D18" s="62"/>
      <c r="E18" s="62"/>
      <c r="F18" s="62"/>
      <c r="G18" s="62"/>
      <c r="H18" s="62"/>
      <c r="I18" s="62"/>
    </row>
    <row r="19" spans="1:9" x14ac:dyDescent="0.25">
      <c r="A19" s="62"/>
      <c r="B19" s="62"/>
      <c r="C19" s="62"/>
      <c r="D19" s="62"/>
      <c r="E19" s="62"/>
      <c r="F19" s="62"/>
      <c r="G19" s="62"/>
      <c r="H19" s="62"/>
      <c r="I19" s="62"/>
    </row>
    <row r="20" spans="1:9" x14ac:dyDescent="0.25">
      <c r="A20" s="62"/>
      <c r="B20" s="62"/>
      <c r="C20" s="62"/>
      <c r="D20" s="62"/>
      <c r="E20" s="62"/>
      <c r="F20" s="62"/>
      <c r="G20" s="62"/>
      <c r="H20" s="62"/>
      <c r="I20" s="62"/>
    </row>
    <row r="21" spans="1:9" x14ac:dyDescent="0.25">
      <c r="A21" s="62"/>
      <c r="B21" s="62"/>
      <c r="C21" s="62"/>
      <c r="D21" s="62"/>
      <c r="E21" s="62"/>
      <c r="F21" s="62"/>
      <c r="G21" s="62"/>
      <c r="H21" s="62"/>
      <c r="I21" s="62"/>
    </row>
    <row r="22" spans="1:9" x14ac:dyDescent="0.25">
      <c r="A22" s="62"/>
      <c r="B22" s="62"/>
      <c r="C22" s="62"/>
      <c r="D22" s="62"/>
      <c r="E22" s="62"/>
      <c r="F22" s="62"/>
      <c r="G22" s="62"/>
      <c r="H22" s="62"/>
      <c r="I22" s="62"/>
    </row>
    <row r="23" spans="1:9" x14ac:dyDescent="0.25">
      <c r="A23" s="62"/>
      <c r="B23" s="62"/>
      <c r="C23" s="62"/>
      <c r="D23" s="62"/>
      <c r="E23" s="62"/>
      <c r="F23" s="62"/>
      <c r="G23" s="62"/>
      <c r="H23" s="62"/>
      <c r="I23" s="62"/>
    </row>
    <row r="24" spans="1:9" x14ac:dyDescent="0.25">
      <c r="A24" s="62"/>
      <c r="B24" s="62"/>
      <c r="C24" s="62"/>
      <c r="D24" s="62"/>
      <c r="E24" s="62"/>
      <c r="F24" s="62"/>
      <c r="G24" s="62"/>
      <c r="H24" s="62"/>
      <c r="I24" s="62"/>
    </row>
    <row r="25" spans="1:9" x14ac:dyDescent="0.25">
      <c r="A25" s="62"/>
      <c r="B25" s="62"/>
      <c r="C25" s="62"/>
      <c r="D25" s="62"/>
      <c r="E25" s="62"/>
      <c r="F25" s="62"/>
      <c r="G25" s="62"/>
      <c r="H25" s="62"/>
      <c r="I25" s="62"/>
    </row>
    <row r="26" spans="1:9" x14ac:dyDescent="0.25">
      <c r="A26" s="62"/>
      <c r="B26" s="62"/>
      <c r="C26" s="62"/>
      <c r="D26" s="62"/>
      <c r="E26" s="62"/>
      <c r="F26" s="62"/>
      <c r="G26" s="62"/>
      <c r="H26" s="62"/>
      <c r="I26" s="62"/>
    </row>
    <row r="27" spans="1:9" x14ac:dyDescent="0.25">
      <c r="A27" s="62"/>
      <c r="B27" s="62"/>
      <c r="C27" s="62"/>
      <c r="D27" s="62"/>
      <c r="E27" s="62"/>
      <c r="F27" s="62"/>
      <c r="G27" s="62"/>
      <c r="H27" s="62"/>
      <c r="I27" s="62"/>
    </row>
    <row r="28" spans="1:9" x14ac:dyDescent="0.25">
      <c r="A28" s="62"/>
      <c r="B28" s="62"/>
      <c r="C28" s="62"/>
      <c r="D28" s="62"/>
      <c r="E28" s="62"/>
      <c r="F28" s="62"/>
      <c r="G28" s="62"/>
      <c r="H28" s="62"/>
      <c r="I28" s="62"/>
    </row>
  </sheetData>
  <sortState ref="A18:B20">
    <sortCondition ref="A18:A20"/>
  </sortState>
  <mergeCells count="21">
    <mergeCell ref="V7:X7"/>
    <mergeCell ref="Y7:AA7"/>
    <mergeCell ref="Q10:R11"/>
    <mergeCell ref="A11:L11"/>
    <mergeCell ref="M11:O11"/>
    <mergeCell ref="S1:U1"/>
    <mergeCell ref="V1:X1"/>
    <mergeCell ref="Y1:AA1"/>
    <mergeCell ref="A7:C7"/>
    <mergeCell ref="D7:F7"/>
    <mergeCell ref="G7:I7"/>
    <mergeCell ref="J7:L7"/>
    <mergeCell ref="M7:O7"/>
    <mergeCell ref="P7:R7"/>
    <mergeCell ref="S7:U7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238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47" sqref="A47:K47"/>
    </sheetView>
  </sheetViews>
  <sheetFormatPr defaultRowHeight="15" x14ac:dyDescent="0.25"/>
  <cols>
    <col min="1" max="1" width="20.140625" customWidth="1"/>
    <col min="2" max="2" width="24" customWidth="1"/>
    <col min="3" max="3" width="10.42578125" bestFit="1" customWidth="1"/>
    <col min="4" max="4" width="12.7109375" bestFit="1" customWidth="1"/>
    <col min="5" max="6" width="10.42578125" bestFit="1" customWidth="1"/>
    <col min="7" max="7" width="12.7109375" bestFit="1" customWidth="1"/>
    <col min="8" max="11" width="10.42578125" bestFit="1" customWidth="1"/>
    <col min="12" max="101" width="11.42578125" bestFit="1" customWidth="1"/>
    <col min="102" max="193" width="12.42578125" bestFit="1" customWidth="1"/>
  </cols>
  <sheetData>
    <row r="1" spans="1:193" s="59" customFormat="1" x14ac:dyDescent="0.25">
      <c r="B1" s="16" t="s">
        <v>80</v>
      </c>
      <c r="C1" s="58" t="s">
        <v>74</v>
      </c>
      <c r="D1" s="58" t="s">
        <v>75</v>
      </c>
      <c r="E1" s="58" t="s">
        <v>76</v>
      </c>
      <c r="F1" s="58" t="s">
        <v>77</v>
      </c>
      <c r="G1" s="58" t="s">
        <v>78</v>
      </c>
      <c r="H1" s="58" t="s">
        <v>79</v>
      </c>
      <c r="I1" s="16" t="s">
        <v>82</v>
      </c>
      <c r="J1" s="16" t="s">
        <v>83</v>
      </c>
      <c r="K1" s="16" t="s">
        <v>84</v>
      </c>
      <c r="L1" s="16" t="s">
        <v>85</v>
      </c>
      <c r="M1" s="16" t="s">
        <v>86</v>
      </c>
      <c r="N1" s="16" t="s">
        <v>87</v>
      </c>
      <c r="O1" s="16" t="s">
        <v>88</v>
      </c>
      <c r="P1" s="16" t="s">
        <v>89</v>
      </c>
      <c r="Q1" s="16" t="s">
        <v>90</v>
      </c>
      <c r="R1" s="16" t="s">
        <v>91</v>
      </c>
      <c r="S1" s="16" t="s">
        <v>92</v>
      </c>
      <c r="T1" s="16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102</v>
      </c>
      <c r="AD1" s="16" t="s">
        <v>103</v>
      </c>
      <c r="AE1" s="16" t="s">
        <v>104</v>
      </c>
      <c r="AF1" s="16" t="s">
        <v>105</v>
      </c>
      <c r="AG1" s="16" t="s">
        <v>106</v>
      </c>
      <c r="AH1" s="16" t="s">
        <v>107</v>
      </c>
      <c r="AI1" s="16" t="s">
        <v>108</v>
      </c>
      <c r="AJ1" s="16" t="s">
        <v>109</v>
      </c>
      <c r="AK1" s="16" t="s">
        <v>110</v>
      </c>
      <c r="AL1" s="16" t="s">
        <v>111</v>
      </c>
      <c r="AM1" s="16" t="s">
        <v>112</v>
      </c>
      <c r="AN1" s="16" t="s">
        <v>113</v>
      </c>
      <c r="AO1" s="16" t="s">
        <v>114</v>
      </c>
      <c r="AP1" s="16" t="s">
        <v>115</v>
      </c>
      <c r="AQ1" s="16" t="s">
        <v>116</v>
      </c>
      <c r="AR1" s="16" t="s">
        <v>117</v>
      </c>
      <c r="AS1" s="16" t="s">
        <v>118</v>
      </c>
      <c r="AT1" s="16" t="s">
        <v>119</v>
      </c>
      <c r="AU1" s="16" t="s">
        <v>120</v>
      </c>
      <c r="AV1" s="16" t="s">
        <v>121</v>
      </c>
      <c r="AW1" s="16" t="s">
        <v>122</v>
      </c>
      <c r="AX1" s="16" t="s">
        <v>123</v>
      </c>
      <c r="AY1" s="16" t="s">
        <v>124</v>
      </c>
      <c r="AZ1" s="16" t="s">
        <v>125</v>
      </c>
      <c r="BA1" s="16" t="s">
        <v>126</v>
      </c>
      <c r="BB1" s="16" t="s">
        <v>127</v>
      </c>
      <c r="BC1" s="16" t="s">
        <v>128</v>
      </c>
      <c r="BD1" s="16" t="s">
        <v>129</v>
      </c>
      <c r="BE1" s="16" t="s">
        <v>130</v>
      </c>
      <c r="BF1" s="16" t="s">
        <v>131</v>
      </c>
      <c r="BG1" s="16" t="s">
        <v>132</v>
      </c>
      <c r="BH1" s="16" t="s">
        <v>133</v>
      </c>
      <c r="BI1" s="13" t="s">
        <v>134</v>
      </c>
      <c r="BJ1" s="16" t="s">
        <v>135</v>
      </c>
      <c r="BK1" s="16" t="s">
        <v>136</v>
      </c>
      <c r="BL1" s="16" t="s">
        <v>137</v>
      </c>
      <c r="BM1" s="16" t="s">
        <v>14</v>
      </c>
      <c r="BN1" s="16" t="s">
        <v>138</v>
      </c>
      <c r="BO1" s="16" t="s">
        <v>139</v>
      </c>
      <c r="BP1" s="16" t="s">
        <v>140</v>
      </c>
      <c r="BQ1" s="16" t="s">
        <v>141</v>
      </c>
      <c r="BR1" s="16" t="s">
        <v>142</v>
      </c>
      <c r="BS1" s="16" t="s">
        <v>143</v>
      </c>
      <c r="BT1" s="16" t="s">
        <v>144</v>
      </c>
      <c r="BU1" s="16" t="s">
        <v>145</v>
      </c>
      <c r="BV1" s="16" t="s">
        <v>146</v>
      </c>
      <c r="BW1" s="16" t="s">
        <v>147</v>
      </c>
      <c r="BX1" s="16" t="s">
        <v>148</v>
      </c>
      <c r="BY1" s="16" t="s">
        <v>149</v>
      </c>
      <c r="BZ1" s="16" t="s">
        <v>10</v>
      </c>
      <c r="CA1" s="16" t="s">
        <v>150</v>
      </c>
      <c r="CB1" s="16" t="s">
        <v>16</v>
      </c>
      <c r="CC1" s="16" t="s">
        <v>151</v>
      </c>
      <c r="CD1" s="16" t="s">
        <v>152</v>
      </c>
      <c r="CE1" s="16" t="s">
        <v>153</v>
      </c>
      <c r="CF1" s="16" t="s">
        <v>154</v>
      </c>
      <c r="CG1" s="16" t="s">
        <v>155</v>
      </c>
      <c r="CH1" s="16" t="s">
        <v>156</v>
      </c>
      <c r="CI1" s="16" t="s">
        <v>157</v>
      </c>
      <c r="CJ1" s="16" t="s">
        <v>158</v>
      </c>
      <c r="CK1" s="16" t="s">
        <v>159</v>
      </c>
      <c r="CL1" s="16" t="s">
        <v>15</v>
      </c>
      <c r="CM1" s="16" t="s">
        <v>9</v>
      </c>
      <c r="CN1" s="16" t="s">
        <v>160</v>
      </c>
      <c r="CO1" s="16" t="s">
        <v>161</v>
      </c>
      <c r="CP1" s="16" t="s">
        <v>162</v>
      </c>
      <c r="CQ1" s="16" t="s">
        <v>7</v>
      </c>
      <c r="CR1" s="16" t="s">
        <v>3</v>
      </c>
      <c r="CS1" s="16" t="s">
        <v>13</v>
      </c>
      <c r="CT1" s="16" t="s">
        <v>6</v>
      </c>
      <c r="CU1" s="16" t="s">
        <v>163</v>
      </c>
      <c r="CV1" s="16" t="s">
        <v>164</v>
      </c>
      <c r="CW1" s="16" t="s">
        <v>165</v>
      </c>
      <c r="CX1" s="16" t="s">
        <v>166</v>
      </c>
      <c r="CY1" s="16" t="s">
        <v>167</v>
      </c>
      <c r="CZ1" s="16" t="s">
        <v>168</v>
      </c>
      <c r="DA1" s="16" t="s">
        <v>169</v>
      </c>
      <c r="DB1" s="16" t="s">
        <v>170</v>
      </c>
      <c r="DC1" s="16" t="s">
        <v>171</v>
      </c>
      <c r="DD1" s="16" t="s">
        <v>172</v>
      </c>
      <c r="DE1" s="16" t="s">
        <v>173</v>
      </c>
      <c r="DF1" s="16" t="s">
        <v>174</v>
      </c>
      <c r="DG1" s="16" t="s">
        <v>175</v>
      </c>
      <c r="DH1" s="16" t="s">
        <v>176</v>
      </c>
      <c r="DI1" s="16" t="s">
        <v>177</v>
      </c>
      <c r="DJ1" s="16" t="s">
        <v>178</v>
      </c>
      <c r="DK1" s="16" t="s">
        <v>179</v>
      </c>
      <c r="DL1" s="16" t="s">
        <v>180</v>
      </c>
      <c r="DM1" s="16" t="s">
        <v>181</v>
      </c>
      <c r="DN1" s="16" t="s">
        <v>182</v>
      </c>
      <c r="DO1" s="16" t="s">
        <v>183</v>
      </c>
      <c r="DP1" s="16" t="s">
        <v>184</v>
      </c>
      <c r="DQ1" s="16" t="s">
        <v>185</v>
      </c>
      <c r="DR1" s="16" t="s">
        <v>186</v>
      </c>
      <c r="DS1" s="16" t="s">
        <v>187</v>
      </c>
      <c r="DT1" s="16" t="s">
        <v>188</v>
      </c>
      <c r="DU1" s="16" t="s">
        <v>189</v>
      </c>
      <c r="DV1" s="16" t="s">
        <v>190</v>
      </c>
      <c r="DW1" s="16" t="s">
        <v>191</v>
      </c>
      <c r="DX1" s="16" t="s">
        <v>192</v>
      </c>
      <c r="DY1" s="16" t="s">
        <v>193</v>
      </c>
      <c r="DZ1" s="16" t="s">
        <v>194</v>
      </c>
      <c r="EA1" s="16" t="s">
        <v>195</v>
      </c>
      <c r="EB1" s="16" t="s">
        <v>196</v>
      </c>
      <c r="EC1" s="16" t="s">
        <v>197</v>
      </c>
      <c r="ED1" s="16" t="s">
        <v>198</v>
      </c>
      <c r="EE1" s="16" t="s">
        <v>199</v>
      </c>
      <c r="EF1" s="16" t="s">
        <v>200</v>
      </c>
      <c r="EG1" s="16" t="s">
        <v>201</v>
      </c>
      <c r="EH1" s="16" t="s">
        <v>202</v>
      </c>
      <c r="EI1" s="16" t="s">
        <v>203</v>
      </c>
      <c r="EJ1" s="16" t="s">
        <v>204</v>
      </c>
      <c r="EK1" s="16" t="s">
        <v>205</v>
      </c>
      <c r="EL1" s="16" t="s">
        <v>206</v>
      </c>
      <c r="EM1" s="13" t="s">
        <v>207</v>
      </c>
      <c r="EN1" s="16" t="s">
        <v>208</v>
      </c>
      <c r="EO1" s="16" t="s">
        <v>209</v>
      </c>
      <c r="EP1" s="16" t="s">
        <v>210</v>
      </c>
      <c r="EQ1" s="16" t="s">
        <v>211</v>
      </c>
      <c r="ER1" s="16" t="s">
        <v>212</v>
      </c>
      <c r="ES1" s="16" t="s">
        <v>213</v>
      </c>
      <c r="ET1" s="16" t="s">
        <v>214</v>
      </c>
      <c r="EU1" s="16" t="s">
        <v>215</v>
      </c>
      <c r="EV1" s="16" t="s">
        <v>216</v>
      </c>
      <c r="EW1" s="16" t="s">
        <v>217</v>
      </c>
      <c r="EX1" s="16" t="s">
        <v>218</v>
      </c>
      <c r="EY1" s="16" t="s">
        <v>219</v>
      </c>
      <c r="EZ1" s="16" t="s">
        <v>220</v>
      </c>
      <c r="FA1" s="16" t="s">
        <v>221</v>
      </c>
      <c r="FB1" s="16" t="s">
        <v>222</v>
      </c>
      <c r="FC1" s="16" t="s">
        <v>223</v>
      </c>
      <c r="FD1" s="16" t="s">
        <v>224</v>
      </c>
      <c r="FE1" s="13" t="s">
        <v>225</v>
      </c>
      <c r="FF1" s="16" t="s">
        <v>226</v>
      </c>
      <c r="FG1" s="16" t="s">
        <v>227</v>
      </c>
      <c r="FH1" s="16" t="s">
        <v>228</v>
      </c>
      <c r="FI1" s="16" t="s">
        <v>229</v>
      </c>
      <c r="FJ1" s="16" t="s">
        <v>230</v>
      </c>
      <c r="FK1" s="16" t="s">
        <v>231</v>
      </c>
      <c r="FL1" s="16" t="s">
        <v>232</v>
      </c>
      <c r="FM1" s="16" t="s">
        <v>233</v>
      </c>
      <c r="FN1" s="16" t="s">
        <v>234</v>
      </c>
      <c r="FO1" s="16" t="s">
        <v>1</v>
      </c>
      <c r="FP1" s="16" t="s">
        <v>235</v>
      </c>
      <c r="FQ1" s="16" t="s">
        <v>236</v>
      </c>
      <c r="FR1" s="16" t="s">
        <v>11</v>
      </c>
      <c r="FS1" s="16" t="s">
        <v>237</v>
      </c>
      <c r="FT1" s="16" t="s">
        <v>238</v>
      </c>
      <c r="FU1" s="16" t="s">
        <v>239</v>
      </c>
      <c r="FV1" s="16" t="s">
        <v>240</v>
      </c>
      <c r="FW1" s="16" t="s">
        <v>241</v>
      </c>
      <c r="FX1" s="16" t="s">
        <v>242</v>
      </c>
      <c r="FY1" s="16" t="s">
        <v>243</v>
      </c>
      <c r="FZ1" s="16" t="s">
        <v>244</v>
      </c>
      <c r="GA1" s="16" t="s">
        <v>245</v>
      </c>
      <c r="GB1" s="16" t="s">
        <v>246</v>
      </c>
      <c r="GC1" s="16" t="s">
        <v>247</v>
      </c>
      <c r="GD1" s="16" t="s">
        <v>248</v>
      </c>
      <c r="GE1" s="16" t="s">
        <v>249</v>
      </c>
      <c r="GF1" s="16" t="s">
        <v>250</v>
      </c>
      <c r="GG1" s="16" t="s">
        <v>251</v>
      </c>
      <c r="GH1" s="16" t="s">
        <v>0</v>
      </c>
      <c r="GI1" s="16" t="s">
        <v>5</v>
      </c>
      <c r="GJ1" s="16" t="s">
        <v>252</v>
      </c>
      <c r="GK1" s="16" t="s">
        <v>253</v>
      </c>
    </row>
    <row r="2" spans="1:193" x14ac:dyDescent="0.25">
      <c r="A2" t="s">
        <v>265</v>
      </c>
      <c r="B2" t="s">
        <v>547</v>
      </c>
      <c r="C2">
        <v>5.0106575480724301E-2</v>
      </c>
      <c r="D2">
        <v>1.32388833811366E-2</v>
      </c>
      <c r="E2">
        <v>0.111307096887702</v>
      </c>
      <c r="F2">
        <v>5.2180969458748396E-3</v>
      </c>
      <c r="G2">
        <v>9.4349266108894603E-3</v>
      </c>
      <c r="H2">
        <v>3.6053685015134299E-2</v>
      </c>
      <c r="I2">
        <v>6.67269166745207E-2</v>
      </c>
      <c r="J2">
        <v>7.6805303524963897E-2</v>
      </c>
      <c r="K2">
        <v>1.98922764265996E-2</v>
      </c>
      <c r="L2">
        <v>-1.6324077483683801E-2</v>
      </c>
      <c r="M2">
        <v>9.45268326785796E-2</v>
      </c>
      <c r="N2">
        <v>5.1589505852117197E-2</v>
      </c>
      <c r="O2">
        <v>1.92851391869021E-3</v>
      </c>
      <c r="P2">
        <v>5.7388537564827001E-2</v>
      </c>
      <c r="Q2">
        <v>8.98300563549672E-2</v>
      </c>
      <c r="R2">
        <v>2.24424648136551E-2</v>
      </c>
      <c r="S2">
        <v>3.5901499848114499E-2</v>
      </c>
      <c r="T2">
        <v>1.6809609010103199E-2</v>
      </c>
      <c r="U2">
        <v>7.4479134050760001E-3</v>
      </c>
      <c r="V2">
        <v>0</v>
      </c>
      <c r="W2">
        <v>-1.6324077483683801E-2</v>
      </c>
      <c r="X2">
        <v>2.60142310507975E-2</v>
      </c>
      <c r="Y2">
        <v>2.2810226130058699E-2</v>
      </c>
      <c r="Z2">
        <v>1.24105498590996E-2</v>
      </c>
      <c r="AA2">
        <v>7.9415787255534304E-2</v>
      </c>
      <c r="AB2">
        <v>6.3367610672834199E-3</v>
      </c>
      <c r="AC2">
        <v>-3.9192783569606702E-3</v>
      </c>
      <c r="AD2">
        <v>-1.6324077483683801E-2</v>
      </c>
      <c r="AE2">
        <v>0.13380565079797099</v>
      </c>
      <c r="AF2">
        <v>1.1338016051723901E-2</v>
      </c>
      <c r="AG2">
        <v>-1.6324077483683801E-2</v>
      </c>
      <c r="AH2">
        <v>-1.6324077483683801E-2</v>
      </c>
      <c r="AI2">
        <v>2.4940898361407501E-2</v>
      </c>
      <c r="AJ2">
        <v>1.4886421590886399E-2</v>
      </c>
      <c r="AK2">
        <v>-1.6324077483683801E-2</v>
      </c>
      <c r="AL2">
        <v>6.4498147842514106E-2</v>
      </c>
      <c r="AM2">
        <v>2.1442451363212E-2</v>
      </c>
      <c r="AN2">
        <v>-1.6324077483683801E-2</v>
      </c>
      <c r="AO2">
        <v>1.74131182593768E-2</v>
      </c>
      <c r="AP2">
        <v>-1.6324077483683801E-2</v>
      </c>
      <c r="AQ2">
        <v>2.9318972678718198E-2</v>
      </c>
      <c r="AR2">
        <v>-3.77319290546162E-3</v>
      </c>
      <c r="AS2">
        <v>0.116191866527945</v>
      </c>
      <c r="AT2">
        <v>6.3657442645871004E-2</v>
      </c>
      <c r="AU2">
        <v>-1.6324077483683801E-2</v>
      </c>
      <c r="AV2">
        <v>3.3362807388476398E-2</v>
      </c>
      <c r="AW2">
        <v>2.7786883894736599E-2</v>
      </c>
      <c r="AX2">
        <v>-1.6324077483683801E-2</v>
      </c>
      <c r="AY2">
        <v>0.12135169387222999</v>
      </c>
      <c r="AZ2">
        <v>6.4424150529741805E-2</v>
      </c>
      <c r="BA2">
        <v>-1.6324077483683801E-2</v>
      </c>
      <c r="BB2">
        <v>-1.6324077483683801E-2</v>
      </c>
      <c r="BC2">
        <v>-1.6324077483683801E-2</v>
      </c>
      <c r="BD2">
        <v>-1.6324077483683801E-2</v>
      </c>
      <c r="BE2">
        <v>-1.6324077483683801E-2</v>
      </c>
      <c r="BF2">
        <v>3.54278010132002E-2</v>
      </c>
      <c r="BG2">
        <v>-1.6324077483683801E-2</v>
      </c>
      <c r="BH2">
        <v>7.3245494531873206E-2</v>
      </c>
      <c r="BI2">
        <v>-1.6324077483683801E-2</v>
      </c>
      <c r="BJ2">
        <v>-1.6324077483683801E-2</v>
      </c>
      <c r="BK2">
        <v>-1.6324077483683801E-2</v>
      </c>
      <c r="BL2">
        <v>9.7616770419726398E-2</v>
      </c>
      <c r="BM2">
        <v>2.5554015089488999E-2</v>
      </c>
      <c r="BN2">
        <v>5.3715036725730102E-2</v>
      </c>
      <c r="BO2">
        <v>-1.6324077483683801E-2</v>
      </c>
      <c r="BP2">
        <v>-1.6324077483683801E-2</v>
      </c>
      <c r="BQ2">
        <v>8.1465564172967797E-2</v>
      </c>
      <c r="BR2">
        <v>0.56677674782651899</v>
      </c>
      <c r="BS2">
        <v>-1.6324077483683801E-2</v>
      </c>
      <c r="BT2">
        <v>3.4564613133060897E-2</v>
      </c>
      <c r="BU2">
        <v>-1.6324077483683801E-2</v>
      </c>
      <c r="BV2">
        <v>-1.6324077483683801E-2</v>
      </c>
      <c r="BW2">
        <v>-1.6324077483683801E-2</v>
      </c>
      <c r="BX2">
        <v>-1.6324077483683801E-2</v>
      </c>
      <c r="BY2">
        <v>-1.6324077483683801E-2</v>
      </c>
      <c r="BZ2">
        <v>-1.6324077483683801E-2</v>
      </c>
      <c r="CA2">
        <v>-1.6324077483683801E-2</v>
      </c>
      <c r="CB2">
        <v>-1.6324077483683801E-2</v>
      </c>
      <c r="CC2">
        <v>3.5456411415396398E-2</v>
      </c>
      <c r="CD2">
        <v>-1.6324077483683801E-2</v>
      </c>
      <c r="CE2">
        <v>0.14554291329837499</v>
      </c>
      <c r="CF2">
        <v>-1.6324077483683801E-2</v>
      </c>
      <c r="CG2">
        <v>0.29288089185729399</v>
      </c>
      <c r="CH2">
        <v>-1.6324077483683801E-2</v>
      </c>
      <c r="CI2">
        <v>-1.6324077483683801E-2</v>
      </c>
      <c r="CJ2">
        <v>-1.6324077483683801E-2</v>
      </c>
      <c r="CK2">
        <v>0.125760698644415</v>
      </c>
      <c r="CL2">
        <v>-1.6324077483683801E-2</v>
      </c>
      <c r="CM2">
        <v>-1.6324077483683801E-2</v>
      </c>
      <c r="CN2">
        <v>-1.6324077483683801E-2</v>
      </c>
      <c r="CO2">
        <v>0.52141683684874696</v>
      </c>
      <c r="CP2">
        <v>-1.6324077483683801E-2</v>
      </c>
      <c r="CQ2">
        <v>-1.6324077483683801E-2</v>
      </c>
      <c r="CR2">
        <v>-1.6324077483683801E-2</v>
      </c>
      <c r="CS2">
        <v>-1.6324077483683801E-2</v>
      </c>
      <c r="CT2">
        <v>-1.6324077483683801E-2</v>
      </c>
      <c r="CU2">
        <v>-1.6324077483683801E-2</v>
      </c>
      <c r="CV2">
        <v>-1.6324077483683801E-2</v>
      </c>
      <c r="CW2">
        <v>-1.6324077483683801E-2</v>
      </c>
      <c r="CX2">
        <v>-1.6324077483683801E-2</v>
      </c>
      <c r="CY2">
        <v>9.3481153300286599E-2</v>
      </c>
      <c r="CZ2">
        <v>5.89259187706411E-2</v>
      </c>
      <c r="DA2">
        <v>-1.6324077483683801E-2</v>
      </c>
      <c r="DB2">
        <v>-1.6324077483683801E-2</v>
      </c>
      <c r="DC2">
        <v>-1.6324077483683801E-2</v>
      </c>
      <c r="DD2">
        <v>-1.6324077483683801E-2</v>
      </c>
      <c r="DE2">
        <v>-1.6324077483683801E-2</v>
      </c>
      <c r="DF2">
        <v>-1.6324077483683801E-2</v>
      </c>
      <c r="DG2">
        <v>-1.6324077483683801E-2</v>
      </c>
      <c r="DH2">
        <v>-1.6324077483683801E-2</v>
      </c>
      <c r="DI2">
        <v>-1.6324077483683801E-2</v>
      </c>
      <c r="DJ2">
        <v>0.119994076767771</v>
      </c>
      <c r="DK2">
        <v>-1.6324077483683801E-2</v>
      </c>
      <c r="DL2">
        <v>0.23081027612875199</v>
      </c>
      <c r="DM2">
        <v>-1.6324077483683801E-2</v>
      </c>
      <c r="DN2">
        <v>1.38689124168243E-2</v>
      </c>
      <c r="DO2">
        <v>-1.6324077483683801E-2</v>
      </c>
      <c r="DP2">
        <v>1.3946521699394299E-2</v>
      </c>
      <c r="DQ2">
        <v>-3.3639485777354201E-3</v>
      </c>
      <c r="DR2">
        <v>0.18675882531643501</v>
      </c>
      <c r="DS2">
        <v>4.6493637733443097E-3</v>
      </c>
      <c r="DT2">
        <v>7.8595287719184795E-2</v>
      </c>
      <c r="DU2">
        <v>1.78259409492806E-2</v>
      </c>
      <c r="DV2">
        <v>0.10402488679036299</v>
      </c>
      <c r="DW2">
        <v>0.31904104099073699</v>
      </c>
      <c r="DX2">
        <v>-1.6324077483683801E-2</v>
      </c>
      <c r="DY2">
        <v>-1.6324077483683801E-2</v>
      </c>
      <c r="DZ2">
        <v>9.7340290927020092E-3</v>
      </c>
      <c r="EA2">
        <v>-1.6324077483683801E-2</v>
      </c>
      <c r="EB2">
        <v>6.2666666115089503E-2</v>
      </c>
      <c r="EC2">
        <v>2.9653011408419201E-2</v>
      </c>
      <c r="ED2">
        <v>-1.6324077483683801E-2</v>
      </c>
      <c r="EE2">
        <v>5.0942291675987503E-2</v>
      </c>
      <c r="EF2">
        <v>5.1045999915884703E-2</v>
      </c>
      <c r="EG2">
        <v>5.7318022413645003E-2</v>
      </c>
      <c r="EH2">
        <v>9.7211748870613596E-2</v>
      </c>
      <c r="EI2">
        <v>1.81011717829942E-2</v>
      </c>
      <c r="EJ2">
        <v>0.334599416855139</v>
      </c>
      <c r="EK2">
        <v>0.32750679902999402</v>
      </c>
      <c r="EL2">
        <v>5.4207276927978498E-2</v>
      </c>
      <c r="EM2">
        <v>0.23147177602854599</v>
      </c>
      <c r="EN2">
        <v>-1.6324077483683801E-2</v>
      </c>
      <c r="EO2">
        <v>-1.6324077483683801E-2</v>
      </c>
      <c r="EP2">
        <v>0.149477248609097</v>
      </c>
      <c r="EQ2">
        <v>0.188768677636757</v>
      </c>
      <c r="ER2">
        <v>-1.6324077483683801E-2</v>
      </c>
      <c r="ES2">
        <v>-1.6324077483683801E-2</v>
      </c>
      <c r="ET2">
        <v>-1.6324077483683801E-2</v>
      </c>
      <c r="EU2">
        <v>-1.6324077483683801E-2</v>
      </c>
      <c r="EV2">
        <v>7.9042676072525395E-2</v>
      </c>
      <c r="EW2">
        <v>-1.6324077483683801E-2</v>
      </c>
      <c r="EX2">
        <v>0.11124338027764701</v>
      </c>
      <c r="EY2">
        <v>8.9201099914272497E-2</v>
      </c>
      <c r="EZ2">
        <v>0.13539725721992499</v>
      </c>
      <c r="FA2">
        <v>-1.6324077483683801E-2</v>
      </c>
      <c r="FB2">
        <v>-1.6324077483683801E-2</v>
      </c>
      <c r="FC2">
        <v>-1.6324077483683801E-2</v>
      </c>
      <c r="FD2">
        <v>0.14499343122683001</v>
      </c>
      <c r="FE2">
        <v>-1.6324077483683801E-2</v>
      </c>
      <c r="FF2">
        <v>9.5740944266872102E-2</v>
      </c>
      <c r="FG2">
        <v>-1.6324077483683801E-2</v>
      </c>
      <c r="FH2">
        <v>-1.6324077483683801E-2</v>
      </c>
      <c r="FI2">
        <v>-1.6324077483683801E-2</v>
      </c>
      <c r="FJ2">
        <v>-1.6324077483683801E-2</v>
      </c>
      <c r="FK2">
        <v>-1.6324077483683801E-2</v>
      </c>
      <c r="FL2">
        <v>-1.6324077483683801E-2</v>
      </c>
      <c r="FM2">
        <v>-1.6324077483683801E-2</v>
      </c>
      <c r="FN2">
        <v>-1.6324077483683801E-2</v>
      </c>
      <c r="FO2">
        <v>-1.6324077483683801E-2</v>
      </c>
      <c r="FP2">
        <v>-1.6324077483683801E-2</v>
      </c>
      <c r="FQ2">
        <v>-1.6324077483683801E-2</v>
      </c>
      <c r="FR2">
        <v>-1.6324077483683801E-2</v>
      </c>
      <c r="FS2">
        <v>0.164400337877495</v>
      </c>
      <c r="FT2">
        <v>-1.6324077483683801E-2</v>
      </c>
      <c r="FU2">
        <v>-1.6324077483683801E-2</v>
      </c>
      <c r="FV2">
        <v>-1.6324077483683801E-2</v>
      </c>
      <c r="FW2">
        <v>8.2208187295950599E-2</v>
      </c>
      <c r="FX2">
        <v>0.20523372831976999</v>
      </c>
      <c r="FY2">
        <v>0.23069068642061799</v>
      </c>
      <c r="FZ2">
        <v>-1.6324077483683801E-2</v>
      </c>
      <c r="GA2">
        <v>-1.6324077483683801E-2</v>
      </c>
      <c r="GB2">
        <v>0.20031339989561101</v>
      </c>
      <c r="GC2">
        <v>0.10482072327391199</v>
      </c>
      <c r="GD2">
        <v>7.2543345497523403E-3</v>
      </c>
      <c r="GE2">
        <v>6.8761144208770303E-2</v>
      </c>
      <c r="GF2">
        <v>-1.6324077483683801E-2</v>
      </c>
      <c r="GG2">
        <v>9.09095716439315E-2</v>
      </c>
      <c r="GH2">
        <v>5.3510671737287997E-2</v>
      </c>
      <c r="GI2">
        <v>7.4698542607637697E-2</v>
      </c>
      <c r="GJ2">
        <v>1.0849590990316601E-2</v>
      </c>
      <c r="GK2">
        <v>1.7974069901493101E-2</v>
      </c>
    </row>
    <row r="3" spans="1:193" x14ac:dyDescent="0.25">
      <c r="A3" t="s">
        <v>265</v>
      </c>
      <c r="B3" t="s">
        <v>551</v>
      </c>
      <c r="C3">
        <v>0</v>
      </c>
      <c r="D3">
        <v>0</v>
      </c>
      <c r="E3">
        <v>3.2751568024049903E-2</v>
      </c>
      <c r="F3">
        <v>4.2832708251554101E-2</v>
      </c>
      <c r="G3">
        <v>0</v>
      </c>
      <c r="H3">
        <v>0</v>
      </c>
      <c r="I3">
        <v>0</v>
      </c>
      <c r="J3">
        <v>0</v>
      </c>
      <c r="K3">
        <v>7.1684280749542195E-2</v>
      </c>
      <c r="L3">
        <v>2.8449815464716199E-2</v>
      </c>
      <c r="M3">
        <v>0</v>
      </c>
      <c r="N3">
        <v>0</v>
      </c>
      <c r="O3">
        <v>0</v>
      </c>
      <c r="P3">
        <v>2.4843779961152699E-2</v>
      </c>
      <c r="Q3">
        <v>1.3562747761370101E-2</v>
      </c>
      <c r="R3">
        <v>0</v>
      </c>
      <c r="S3">
        <v>0</v>
      </c>
      <c r="T3">
        <v>0</v>
      </c>
      <c r="U3">
        <v>0</v>
      </c>
      <c r="V3">
        <v>1.6324077483683801E-2</v>
      </c>
      <c r="W3">
        <v>0</v>
      </c>
      <c r="X3">
        <v>0</v>
      </c>
      <c r="Y3">
        <v>0</v>
      </c>
      <c r="Z3">
        <v>2.87346273427833E-2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7.6709973665081499E-3</v>
      </c>
      <c r="AR3">
        <v>2.5032796268486601E-2</v>
      </c>
      <c r="AS3">
        <v>2.26792270495721E-2</v>
      </c>
      <c r="AT3">
        <v>0</v>
      </c>
      <c r="AU3">
        <v>5.2793196631235099E-2</v>
      </c>
      <c r="AV3">
        <v>0</v>
      </c>
      <c r="AW3">
        <v>4.4110961378420299E-2</v>
      </c>
      <c r="AX3">
        <v>0</v>
      </c>
      <c r="AY3">
        <v>0</v>
      </c>
      <c r="AZ3">
        <v>8.0748228013425502E-2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0.16186699078205899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1.29601289059482E-2</v>
      </c>
      <c r="DR3">
        <v>0</v>
      </c>
      <c r="DS3">
        <v>0</v>
      </c>
      <c r="DT3">
        <v>0</v>
      </c>
      <c r="DU3">
        <v>0</v>
      </c>
      <c r="DV3">
        <v>0.232141638459641</v>
      </c>
      <c r="DW3">
        <v>0.42146062764381298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8.0615604147807204E-2</v>
      </c>
      <c r="EL3">
        <v>0</v>
      </c>
      <c r="EM3">
        <v>0</v>
      </c>
      <c r="EN3">
        <v>7.1809029056269305E-2</v>
      </c>
      <c r="EO3">
        <v>0</v>
      </c>
      <c r="EP3">
        <v>5.71825164967932E-2</v>
      </c>
      <c r="EQ3">
        <v>0.20509275512044101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4.68635835297051E-2</v>
      </c>
      <c r="GE3">
        <v>0</v>
      </c>
      <c r="GF3">
        <v>0</v>
      </c>
      <c r="GG3">
        <v>0</v>
      </c>
      <c r="GH3">
        <v>6.9834749220971798E-2</v>
      </c>
      <c r="GI3">
        <v>0</v>
      </c>
      <c r="GJ3">
        <v>0</v>
      </c>
      <c r="GK3">
        <v>0</v>
      </c>
    </row>
    <row r="4" spans="1:193" x14ac:dyDescent="0.25">
      <c r="A4" t="s">
        <v>265</v>
      </c>
      <c r="B4" t="s">
        <v>562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2.8449815464716199E-2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1.66332546995418E-2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3.2504203008244199E-2</v>
      </c>
      <c r="AB4">
        <v>1.1362078835236201E-2</v>
      </c>
      <c r="AC4">
        <v>2.4724317999489001E-2</v>
      </c>
      <c r="AD4">
        <v>2.8353075951583699E-2</v>
      </c>
      <c r="AE4">
        <v>5.1475396946919202E-2</v>
      </c>
      <c r="AF4">
        <v>2.7662093535407901E-2</v>
      </c>
      <c r="AG4">
        <v>2.93049079129265E-2</v>
      </c>
      <c r="AH4">
        <v>4.4408767498340503E-2</v>
      </c>
      <c r="AI4">
        <v>0</v>
      </c>
      <c r="AJ4">
        <v>3.1210499074570301E-2</v>
      </c>
      <c r="AK4">
        <v>0</v>
      </c>
      <c r="AL4">
        <v>0</v>
      </c>
      <c r="AM4">
        <v>1.8977363243450601E-2</v>
      </c>
      <c r="AN4">
        <v>1.6094188376503601E-2</v>
      </c>
      <c r="AO4">
        <v>0</v>
      </c>
      <c r="AP4">
        <v>0</v>
      </c>
      <c r="AQ4">
        <v>7.6709973665081499E-3</v>
      </c>
      <c r="AR4">
        <v>0</v>
      </c>
      <c r="AS4">
        <v>0</v>
      </c>
      <c r="AT4">
        <v>0</v>
      </c>
      <c r="AU4">
        <v>3.34832021244501E-2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</row>
    <row r="5" spans="1:193" x14ac:dyDescent="0.25">
      <c r="A5" t="s">
        <v>265</v>
      </c>
      <c r="B5" t="s">
        <v>567</v>
      </c>
      <c r="C5">
        <v>0.106409214658022</v>
      </c>
      <c r="D5">
        <v>0.16882291587275899</v>
      </c>
      <c r="E5">
        <v>0.132923130154145</v>
      </c>
      <c r="F5">
        <v>9.0373129773827804E-2</v>
      </c>
      <c r="G5">
        <v>0.14187151021524799</v>
      </c>
      <c r="H5">
        <v>0.23832816751151201</v>
      </c>
      <c r="I5">
        <v>0.14519468626152299</v>
      </c>
      <c r="J5">
        <v>0.25182266237065598</v>
      </c>
      <c r="K5">
        <v>1.6325539051984E-2</v>
      </c>
      <c r="L5">
        <v>-2.69089262328416E-2</v>
      </c>
      <c r="M5">
        <v>-5.5358741697558E-2</v>
      </c>
      <c r="N5">
        <v>3.4773775734522901E-2</v>
      </c>
      <c r="O5">
        <v>0.103012239846188</v>
      </c>
      <c r="P5">
        <v>0.39932557253686501</v>
      </c>
      <c r="Q5">
        <v>0.347077884138566</v>
      </c>
      <c r="R5">
        <v>1.06448989718644</v>
      </c>
      <c r="S5">
        <v>0.43230996735296401</v>
      </c>
      <c r="T5">
        <v>0.42836746769128398</v>
      </c>
      <c r="U5">
        <v>0.26286285965156497</v>
      </c>
      <c r="V5">
        <v>0.764751172142354</v>
      </c>
      <c r="W5">
        <v>0.26677404838300001</v>
      </c>
      <c r="X5">
        <v>0.30240662460475598</v>
      </c>
      <c r="Y5">
        <v>0.28550405499155701</v>
      </c>
      <c r="Z5">
        <v>0.237239818079613</v>
      </c>
      <c r="AA5">
        <v>4.0381123041660201E-2</v>
      </c>
      <c r="AB5">
        <v>0.65039212970857396</v>
      </c>
      <c r="AC5">
        <v>0.31082800111069198</v>
      </c>
      <c r="AD5">
        <v>0.496251205829284</v>
      </c>
      <c r="AE5">
        <v>0.233237003666699</v>
      </c>
      <c r="AF5">
        <v>0.19368152115694801</v>
      </c>
      <c r="AG5">
        <v>0.218102727709934</v>
      </c>
      <c r="AH5">
        <v>0.421352699055486</v>
      </c>
      <c r="AI5">
        <v>0.25045036802458298</v>
      </c>
      <c r="AJ5">
        <v>0.20743983937141799</v>
      </c>
      <c r="AK5">
        <v>0.23196832017753199</v>
      </c>
      <c r="AL5">
        <v>0.17756570123426299</v>
      </c>
      <c r="AM5">
        <v>0.15373376689613999</v>
      </c>
      <c r="AN5">
        <v>0.13799404921820299</v>
      </c>
      <c r="AO5">
        <v>0.16941232090743599</v>
      </c>
      <c r="AP5">
        <v>0.135966947619928</v>
      </c>
      <c r="AQ5">
        <v>0.23048691400976101</v>
      </c>
      <c r="AR5">
        <v>0.28291577461996598</v>
      </c>
      <c r="AS5">
        <v>0.173106978984056</v>
      </c>
      <c r="AT5">
        <v>0.39279358168657402</v>
      </c>
      <c r="AU5">
        <v>0.43565989011654899</v>
      </c>
      <c r="AV5">
        <v>0.24665276553237001</v>
      </c>
      <c r="AW5">
        <v>0.42093454688083198</v>
      </c>
      <c r="AX5">
        <v>0.26735264866416902</v>
      </c>
      <c r="AY5">
        <v>8.2317029658355495E-2</v>
      </c>
      <c r="AZ5">
        <v>-5.5358741697558E-2</v>
      </c>
      <c r="BA5">
        <v>-5.5358741697558E-2</v>
      </c>
      <c r="BB5">
        <v>-5.5358741697558E-2</v>
      </c>
      <c r="BC5">
        <v>-5.5358741697558E-2</v>
      </c>
      <c r="BD5">
        <v>-5.5358741697558E-2</v>
      </c>
      <c r="BE5">
        <v>7.6595017666193799E-3</v>
      </c>
      <c r="BF5">
        <v>-3.6068632006739901E-3</v>
      </c>
      <c r="BG5">
        <v>-5.5358741697558E-2</v>
      </c>
      <c r="BH5">
        <v>-5.5358741697558E-2</v>
      </c>
      <c r="BI5">
        <v>-5.5358741697558E-2</v>
      </c>
      <c r="BJ5">
        <v>-5.5358741697558E-2</v>
      </c>
      <c r="BK5">
        <v>-5.5358741697558E-2</v>
      </c>
      <c r="BL5">
        <v>5.8582106205852101E-2</v>
      </c>
      <c r="BM5">
        <v>-1.34806491243853E-2</v>
      </c>
      <c r="BN5">
        <v>1.46803725118559E-2</v>
      </c>
      <c r="BO5">
        <v>-5.5358741697558E-2</v>
      </c>
      <c r="BP5">
        <v>-5.5358741697558E-2</v>
      </c>
      <c r="BQ5">
        <v>7.0251473515584098E-3</v>
      </c>
      <c r="BR5">
        <v>-5.5358741697558E-2</v>
      </c>
      <c r="BS5">
        <v>0.26797415238970002</v>
      </c>
      <c r="BT5">
        <v>-4.4700510808131904E-3</v>
      </c>
      <c r="BU5">
        <v>5.3645980268719397E-2</v>
      </c>
      <c r="BV5">
        <v>0.14890590030928</v>
      </c>
      <c r="BW5">
        <v>-5.5358741697558E-2</v>
      </c>
      <c r="BX5">
        <v>-5.5358741697558E-2</v>
      </c>
      <c r="BY5">
        <v>-5.5358741697558E-2</v>
      </c>
      <c r="BZ5">
        <v>-5.5358741697558E-2</v>
      </c>
      <c r="CA5">
        <v>-5.5358741697558E-2</v>
      </c>
      <c r="CB5">
        <v>-5.5297454601224202E-3</v>
      </c>
      <c r="CC5">
        <v>-3.5782527984780099E-3</v>
      </c>
      <c r="CD5">
        <v>-5.5358741697558E-2</v>
      </c>
      <c r="CE5">
        <v>0.106508249084501</v>
      </c>
      <c r="CF5">
        <v>-5.5358741697558E-2</v>
      </c>
      <c r="CG5">
        <v>-5.5358741697558E-2</v>
      </c>
      <c r="CH5">
        <v>-5.5358741697558E-2</v>
      </c>
      <c r="CI5">
        <v>-5.5358741697558E-2</v>
      </c>
      <c r="CJ5">
        <v>0.108413450537327</v>
      </c>
      <c r="CK5">
        <v>0.216617895780926</v>
      </c>
      <c r="CL5">
        <v>7.4141780387172201E-2</v>
      </c>
      <c r="CM5">
        <v>-5.5358741697558E-2</v>
      </c>
      <c r="CN5">
        <v>-5.5358741697558E-2</v>
      </c>
      <c r="CO5">
        <v>0.48238217263487299</v>
      </c>
      <c r="CP5">
        <v>-5.5358741697558E-2</v>
      </c>
      <c r="CQ5">
        <v>-5.5358741697558E-2</v>
      </c>
      <c r="CR5">
        <v>-5.5358741697558E-2</v>
      </c>
      <c r="CS5">
        <v>-5.5358741697558E-2</v>
      </c>
      <c r="CT5">
        <v>-5.5358741697558E-2</v>
      </c>
      <c r="CU5">
        <v>0.201239568233814</v>
      </c>
      <c r="CV5">
        <v>6.1236768374266601E-2</v>
      </c>
      <c r="CW5">
        <v>-5.5358741697558E-2</v>
      </c>
      <c r="CX5">
        <v>-5.5358741697558E-2</v>
      </c>
      <c r="CY5">
        <v>-5.5358741697558E-2</v>
      </c>
      <c r="CZ5">
        <v>1.98912545567668E-2</v>
      </c>
      <c r="DA5">
        <v>0.176915751920384</v>
      </c>
      <c r="DB5">
        <v>-5.5358741697558E-2</v>
      </c>
      <c r="DC5">
        <v>-5.5358741697558E-2</v>
      </c>
      <c r="DD5">
        <v>-5.5358741697558E-2</v>
      </c>
      <c r="DE5">
        <v>-5.5358741697558E-2</v>
      </c>
      <c r="DF5">
        <v>-5.5358741697558E-2</v>
      </c>
      <c r="DG5">
        <v>-5.5358741697558E-2</v>
      </c>
      <c r="DH5">
        <v>-5.5358741697558E-2</v>
      </c>
      <c r="DI5">
        <v>-5.5358741697558E-2</v>
      </c>
      <c r="DJ5">
        <v>8.0959412553897506E-2</v>
      </c>
      <c r="DK5">
        <v>0.29934677759565598</v>
      </c>
      <c r="DL5">
        <v>-5.5358741697558E-2</v>
      </c>
      <c r="DM5">
        <v>-5.5358741697558E-2</v>
      </c>
      <c r="DN5">
        <v>6.2787029614204501E-2</v>
      </c>
      <c r="DO5">
        <v>0.32436518062943798</v>
      </c>
      <c r="DP5">
        <v>1.7006280634189899E-3</v>
      </c>
      <c r="DQ5">
        <v>-1.67095703899139E-2</v>
      </c>
      <c r="DR5">
        <v>0.14772416110256101</v>
      </c>
      <c r="DS5">
        <v>0.18158162116660301</v>
      </c>
      <c r="DT5">
        <v>0.12978157093397699</v>
      </c>
      <c r="DU5">
        <v>-2.1208723264593599E-2</v>
      </c>
      <c r="DV5">
        <v>-5.5358741697558E-2</v>
      </c>
      <c r="DW5">
        <v>-5.5358741697558E-2</v>
      </c>
      <c r="DX5">
        <v>0</v>
      </c>
      <c r="DY5">
        <v>-1.7649223481477901E-2</v>
      </c>
      <c r="DZ5">
        <v>2.1602568357688399E-2</v>
      </c>
      <c r="EA5">
        <v>3.0600401590350601E-2</v>
      </c>
      <c r="EB5">
        <v>-2.8631674971125301E-2</v>
      </c>
      <c r="EC5">
        <v>-5.5358741697558E-2</v>
      </c>
      <c r="ED5">
        <v>0.33533784326916599</v>
      </c>
      <c r="EE5">
        <v>-5.5358741697558E-2</v>
      </c>
      <c r="EF5">
        <v>1.20113357020105E-2</v>
      </c>
      <c r="EG5">
        <v>-5.5358741697558E-2</v>
      </c>
      <c r="EH5">
        <v>-5.5358741697558E-2</v>
      </c>
      <c r="EI5">
        <v>-5.5358741697558E-2</v>
      </c>
      <c r="EJ5">
        <v>1.4544386491526701E-2</v>
      </c>
      <c r="EK5">
        <v>3.7825419881106701E-2</v>
      </c>
      <c r="EL5">
        <v>-5.5358741697558E-2</v>
      </c>
      <c r="EM5">
        <v>0.84626040288228799</v>
      </c>
      <c r="EN5">
        <v>-5.5358741697558E-2</v>
      </c>
      <c r="EO5">
        <v>-5.5358741697558E-2</v>
      </c>
      <c r="EP5">
        <v>1.8237747992350299E-3</v>
      </c>
      <c r="EQ5">
        <v>-5.5358741697558E-2</v>
      </c>
      <c r="ER5">
        <v>-5.5358741697558E-2</v>
      </c>
      <c r="ES5">
        <v>-5.5358741697558E-2</v>
      </c>
      <c r="ET5">
        <v>-5.5358741697558E-2</v>
      </c>
      <c r="EU5">
        <v>-5.5358741697558E-2</v>
      </c>
      <c r="EV5">
        <v>4.0008011858651299E-2</v>
      </c>
      <c r="EW5">
        <v>0.142048732165724</v>
      </c>
      <c r="EX5">
        <v>-5.5358741697558E-2</v>
      </c>
      <c r="EY5">
        <v>5.0166435700397999E-2</v>
      </c>
      <c r="EZ5">
        <v>0.23503870117269701</v>
      </c>
      <c r="FA5">
        <v>-5.5358741697558E-2</v>
      </c>
      <c r="FB5">
        <v>-5.5358741697558E-2</v>
      </c>
      <c r="FC5">
        <v>-5.5358741697558E-2</v>
      </c>
      <c r="FD5">
        <v>-5.5358741697558E-2</v>
      </c>
      <c r="FE5">
        <v>0.81386648482856905</v>
      </c>
      <c r="FF5">
        <v>5.6706280052997798E-2</v>
      </c>
      <c r="FG5">
        <v>-5.5358741697558E-2</v>
      </c>
      <c r="FH5">
        <v>-5.5358741697558E-2</v>
      </c>
      <c r="FI5">
        <v>-5.5358741697558E-2</v>
      </c>
      <c r="FJ5">
        <v>-5.5358741697558E-2</v>
      </c>
      <c r="FK5">
        <v>4.9144620847220301E-2</v>
      </c>
      <c r="FL5">
        <v>-5.5358741697558E-2</v>
      </c>
      <c r="FM5">
        <v>-5.5358741697558E-2</v>
      </c>
      <c r="FN5">
        <v>6.4119245695999305E-2</v>
      </c>
      <c r="FO5">
        <v>8.3507244175100498E-2</v>
      </c>
      <c r="FP5">
        <v>-5.5358741697558E-2</v>
      </c>
      <c r="FQ5">
        <v>-5.5358741697558E-2</v>
      </c>
      <c r="FR5">
        <v>0.140933506143745</v>
      </c>
      <c r="FS5">
        <v>-5.5358741697558E-2</v>
      </c>
      <c r="FT5">
        <v>-5.5358741697558E-2</v>
      </c>
      <c r="FU5">
        <v>-5.5358741697558E-2</v>
      </c>
      <c r="FV5">
        <v>-5.5358741697558E-2</v>
      </c>
      <c r="FW5">
        <v>4.31735230820764E-2</v>
      </c>
      <c r="FX5">
        <v>-5.5358741697558E-2</v>
      </c>
      <c r="FY5">
        <v>0.19165602220674399</v>
      </c>
      <c r="FZ5">
        <v>-5.5358741697558E-2</v>
      </c>
      <c r="GA5">
        <v>0.15315529300176001</v>
      </c>
      <c r="GB5">
        <v>0.16127873568173701</v>
      </c>
      <c r="GC5">
        <v>-5.5358741697558E-2</v>
      </c>
      <c r="GD5">
        <v>-8.4951581678529096E-3</v>
      </c>
      <c r="GE5">
        <v>-1.22550668441084E-2</v>
      </c>
      <c r="GF5">
        <v>1.18073618825151E-2</v>
      </c>
      <c r="GG5">
        <v>-5.5358741697558E-2</v>
      </c>
      <c r="GH5">
        <v>8.12710281903542E-2</v>
      </c>
      <c r="GI5">
        <v>-5.5358741697558E-2</v>
      </c>
      <c r="GJ5">
        <v>-5.5358741697558E-2</v>
      </c>
      <c r="GK5">
        <v>-3.8118046423627497E-2</v>
      </c>
    </row>
    <row r="6" spans="1:193" x14ac:dyDescent="0.25">
      <c r="A6" t="s">
        <v>265</v>
      </c>
      <c r="B6" t="s">
        <v>572</v>
      </c>
      <c r="C6">
        <v>1.6836449079044299E-2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3.62163539102833E-2</v>
      </c>
      <c r="L6">
        <v>0</v>
      </c>
      <c r="M6">
        <v>0</v>
      </c>
      <c r="N6">
        <v>1.14537120131124E-2</v>
      </c>
      <c r="O6">
        <v>1.82525914023739E-2</v>
      </c>
      <c r="P6">
        <v>1.24568106778423E-2</v>
      </c>
      <c r="Q6">
        <v>0</v>
      </c>
      <c r="R6">
        <v>0</v>
      </c>
      <c r="S6">
        <v>2.63081502615541E-2</v>
      </c>
      <c r="T6">
        <v>0</v>
      </c>
      <c r="U6">
        <v>0</v>
      </c>
      <c r="V6">
        <v>0</v>
      </c>
      <c r="W6">
        <v>0</v>
      </c>
      <c r="X6">
        <v>0</v>
      </c>
      <c r="Y6">
        <v>1.9676854801553401E-2</v>
      </c>
      <c r="Z6">
        <v>2.87346273427833E-2</v>
      </c>
      <c r="AA6">
        <v>0</v>
      </c>
      <c r="AB6">
        <v>0</v>
      </c>
      <c r="AC6">
        <v>1.24047991267231E-2</v>
      </c>
      <c r="AD6">
        <v>2.8353075951583699E-2</v>
      </c>
      <c r="AE6">
        <v>0</v>
      </c>
      <c r="AF6">
        <v>0</v>
      </c>
      <c r="AG6">
        <v>0</v>
      </c>
      <c r="AH6">
        <v>0</v>
      </c>
      <c r="AI6">
        <v>4.1264975845091298E-2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7.6709973665081499E-3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0.204264642006838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0.17659509871099099</v>
      </c>
      <c r="CG6">
        <v>0</v>
      </c>
      <c r="CH6">
        <v>0</v>
      </c>
      <c r="CI6">
        <v>0</v>
      </c>
      <c r="CJ6">
        <v>0.16377219223488501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1.51862602038481E-2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</row>
    <row r="7" spans="1:193" x14ac:dyDescent="0.25">
      <c r="A7" t="s">
        <v>265</v>
      </c>
      <c r="B7" t="s">
        <v>573</v>
      </c>
      <c r="C7">
        <v>3.80775770128245E-2</v>
      </c>
      <c r="D7">
        <v>-1.3511587087581E-2</v>
      </c>
      <c r="E7">
        <v>6.8192145608718405E-2</v>
      </c>
      <c r="F7">
        <v>5.6331773789867097E-2</v>
      </c>
      <c r="G7">
        <v>2.2830036257558799E-2</v>
      </c>
      <c r="H7">
        <v>-2.8353075951583699E-2</v>
      </c>
      <c r="I7">
        <v>1.36771321636252E-2</v>
      </c>
      <c r="J7">
        <v>0.109614336963442</v>
      </c>
      <c r="K7">
        <v>7.8632779586996597E-3</v>
      </c>
      <c r="L7">
        <v>5.5743919992068403E-2</v>
      </c>
      <c r="M7">
        <v>-2.8353075951583699E-2</v>
      </c>
      <c r="N7">
        <v>2.8374118431782999E-2</v>
      </c>
      <c r="O7">
        <v>0.130017905592162</v>
      </c>
      <c r="P7">
        <v>2.1059032779995601E-2</v>
      </c>
      <c r="Q7">
        <v>6.4816360037636397E-2</v>
      </c>
      <c r="R7">
        <v>2.9492572496838999E-2</v>
      </c>
      <c r="S7">
        <v>7.4585014217616402E-2</v>
      </c>
      <c r="T7">
        <v>4.7806105422032001E-3</v>
      </c>
      <c r="U7">
        <v>4.2003522339884497E-2</v>
      </c>
      <c r="V7">
        <v>2.02263968139475E-2</v>
      </c>
      <c r="W7">
        <v>4.5464770062637301E-3</v>
      </c>
      <c r="X7">
        <v>4.4875302761170702E-3</v>
      </c>
      <c r="Y7">
        <v>1.07812276621589E-2</v>
      </c>
      <c r="Z7">
        <v>2.8643869455936499E-2</v>
      </c>
      <c r="AA7">
        <v>6.7386788787634405E-2</v>
      </c>
      <c r="AB7">
        <v>7.1694901179753703E-2</v>
      </c>
      <c r="AC7">
        <v>3.9855044251700902E-2</v>
      </c>
      <c r="AD7">
        <v>0</v>
      </c>
      <c r="AE7">
        <v>2.3122320995335399E-2</v>
      </c>
      <c r="AF7">
        <v>-2.8353075951583699E-2</v>
      </c>
      <c r="AG7">
        <v>5.8148553241516902E-2</v>
      </c>
      <c r="AH7">
        <v>1.6055691546756599E-2</v>
      </c>
      <c r="AI7">
        <v>5.3221563229596598E-2</v>
      </c>
      <c r="AJ7">
        <v>3.3520469540582999E-2</v>
      </c>
      <c r="AK7">
        <v>1.93112692176556E-3</v>
      </c>
      <c r="AL7">
        <v>3.25834349174619E-2</v>
      </c>
      <c r="AM7">
        <v>6.4693713770156605E-2</v>
      </c>
      <c r="AN7">
        <v>3.5226088534173403E-2</v>
      </c>
      <c r="AO7">
        <v>-2.8353075951583699E-2</v>
      </c>
      <c r="AP7">
        <v>1.0280946362266599E-3</v>
      </c>
      <c r="AQ7">
        <v>5.8974317807119203E-2</v>
      </c>
      <c r="AR7">
        <v>9.0936274571168305E-3</v>
      </c>
      <c r="AS7">
        <v>-5.6738489020114902E-3</v>
      </c>
      <c r="AT7">
        <v>0.103085684842396</v>
      </c>
      <c r="AU7">
        <v>-2.8353075951583699E-2</v>
      </c>
      <c r="AV7">
        <v>4.5694634490915403E-2</v>
      </c>
      <c r="AW7">
        <v>1.57578854268366E-2</v>
      </c>
      <c r="AX7">
        <v>3.0109024936534601E-2</v>
      </c>
      <c r="AY7">
        <v>-2.8353075951583699E-2</v>
      </c>
      <c r="AZ7">
        <v>-2.8353075951583699E-2</v>
      </c>
      <c r="BA7">
        <v>-2.8353075951583699E-2</v>
      </c>
      <c r="BB7">
        <v>-2.8353075951583699E-2</v>
      </c>
      <c r="BC7">
        <v>-2.8353075951583699E-2</v>
      </c>
      <c r="BD7">
        <v>-2.8353075951583699E-2</v>
      </c>
      <c r="BE7">
        <v>3.4665167512593603E-2</v>
      </c>
      <c r="BF7">
        <v>2.3398802545300499E-2</v>
      </c>
      <c r="BG7">
        <v>-2.8353075951583699E-2</v>
      </c>
      <c r="BH7">
        <v>-2.8353075951583699E-2</v>
      </c>
      <c r="BI7">
        <v>-2.8353075951583699E-2</v>
      </c>
      <c r="BJ7">
        <v>-2.8353075951583699E-2</v>
      </c>
      <c r="BK7">
        <v>-2.8353075951583699E-2</v>
      </c>
      <c r="BL7">
        <v>8.9222214056826799E-4</v>
      </c>
      <c r="BM7">
        <v>1.3525016621588899E-2</v>
      </c>
      <c r="BN7">
        <v>4.1686038257830203E-2</v>
      </c>
      <c r="BO7">
        <v>-2.8353075951583699E-2</v>
      </c>
      <c r="BP7">
        <v>-2.8353075951583699E-2</v>
      </c>
      <c r="BQ7">
        <v>3.4030813097533003E-2</v>
      </c>
      <c r="BR7">
        <v>-2.8353075951583699E-2</v>
      </c>
      <c r="BS7">
        <v>-2.8353075951583699E-2</v>
      </c>
      <c r="BT7">
        <v>7.1868777883323798E-2</v>
      </c>
      <c r="BU7">
        <v>-2.8353075951583699E-2</v>
      </c>
      <c r="BV7">
        <v>-2.8353075951583699E-2</v>
      </c>
      <c r="BW7">
        <v>-2.8353075951583699E-2</v>
      </c>
      <c r="BX7">
        <v>-2.8353075951583699E-2</v>
      </c>
      <c r="BY7">
        <v>-2.8353075951583699E-2</v>
      </c>
      <c r="BZ7">
        <v>-2.8353075951583699E-2</v>
      </c>
      <c r="CA7">
        <v>-2.8353075951583699E-2</v>
      </c>
      <c r="CB7">
        <v>0.11674837792653001</v>
      </c>
      <c r="CC7">
        <v>-2.8353075951583699E-2</v>
      </c>
      <c r="CD7">
        <v>-2.8353075951583699E-2</v>
      </c>
      <c r="CE7">
        <v>-2.8353075951583699E-2</v>
      </c>
      <c r="CF7">
        <v>-2.8353075951583699E-2</v>
      </c>
      <c r="CG7">
        <v>0.13412484910860201</v>
      </c>
      <c r="CH7">
        <v>0.23808602566095499</v>
      </c>
      <c r="CI7">
        <v>-2.8353075951583699E-2</v>
      </c>
      <c r="CJ7">
        <v>-2.8353075951583699E-2</v>
      </c>
      <c r="CK7">
        <v>-2.8353075951583699E-2</v>
      </c>
      <c r="CL7">
        <v>-2.8353075951583699E-2</v>
      </c>
      <c r="CM7">
        <v>-2.8353075951583699E-2</v>
      </c>
      <c r="CN7">
        <v>-2.8353075951583699E-2</v>
      </c>
      <c r="CO7">
        <v>-2.8353075951583699E-2</v>
      </c>
      <c r="CP7">
        <v>-2.8353075951583699E-2</v>
      </c>
      <c r="CQ7">
        <v>-2.8353075951583699E-2</v>
      </c>
      <c r="CR7">
        <v>-2.8353075951583699E-2</v>
      </c>
      <c r="CS7">
        <v>-2.8353075951583699E-2</v>
      </c>
      <c r="CT7">
        <v>-2.8353075951583699E-2</v>
      </c>
      <c r="CU7">
        <v>-2.8353075951583699E-2</v>
      </c>
      <c r="CV7">
        <v>-2.8353075951583699E-2</v>
      </c>
      <c r="CW7">
        <v>-2.8353075951583699E-2</v>
      </c>
      <c r="CX7">
        <v>-2.8353075951583699E-2</v>
      </c>
      <c r="CY7">
        <v>8.14521548323867E-2</v>
      </c>
      <c r="CZ7">
        <v>-2.8353075951583699E-2</v>
      </c>
      <c r="DA7">
        <v>-2.8353075951583699E-2</v>
      </c>
      <c r="DB7">
        <v>-2.8353075951583699E-2</v>
      </c>
      <c r="DC7">
        <v>-2.8353075951583699E-2</v>
      </c>
      <c r="DD7">
        <v>-2.8353075951583699E-2</v>
      </c>
      <c r="DE7">
        <v>-2.8353075951583699E-2</v>
      </c>
      <c r="DF7">
        <v>-2.8353075951583699E-2</v>
      </c>
      <c r="DG7">
        <v>-2.8353075951583699E-2</v>
      </c>
      <c r="DH7">
        <v>-2.8353075951583699E-2</v>
      </c>
      <c r="DI7">
        <v>-2.8353075951583699E-2</v>
      </c>
      <c r="DJ7">
        <v>-2.8353075951583699E-2</v>
      </c>
      <c r="DK7">
        <v>4.9359088946004E-2</v>
      </c>
      <c r="DL7">
        <v>-2.8353075951583699E-2</v>
      </c>
      <c r="DM7">
        <v>-2.8353075951583699E-2</v>
      </c>
      <c r="DN7">
        <v>1.83991394892442E-3</v>
      </c>
      <c r="DO7">
        <v>-2.8353075951583699E-2</v>
      </c>
      <c r="DP7">
        <v>1.6901674536670502E-2</v>
      </c>
      <c r="DQ7">
        <v>2.30272745728918E-2</v>
      </c>
      <c r="DR7">
        <v>-2.8353075951583699E-2</v>
      </c>
      <c r="DS7">
        <v>3.3846277848326403E-2</v>
      </c>
      <c r="DT7">
        <v>4.7975708247698402E-2</v>
      </c>
      <c r="DU7">
        <v>3.9324515374998099E-2</v>
      </c>
      <c r="DV7">
        <v>-2.8353075951583699E-2</v>
      </c>
      <c r="DW7">
        <v>0.393107551692229</v>
      </c>
      <c r="DX7">
        <v>8.0479940476982995E-2</v>
      </c>
      <c r="DY7">
        <v>4.6193398600539302E-2</v>
      </c>
      <c r="DZ7">
        <v>0.14591724822938801</v>
      </c>
      <c r="EA7">
        <v>5.7606067336325097E-2</v>
      </c>
      <c r="EB7">
        <v>3.77164819907332E-2</v>
      </c>
      <c r="EC7">
        <v>3.2683598132795103E-2</v>
      </c>
      <c r="ED7">
        <v>4.9896971681761999E-2</v>
      </c>
      <c r="EE7">
        <v>8.2324757669525406E-2</v>
      </c>
      <c r="EF7">
        <v>0.103754921270167</v>
      </c>
      <c r="EG7">
        <v>-2.8353075951583699E-2</v>
      </c>
      <c r="EH7">
        <v>0.29029063992574999</v>
      </c>
      <c r="EI7">
        <v>6.0721733150943301E-3</v>
      </c>
      <c r="EJ7">
        <v>6.9890038484483304E-3</v>
      </c>
      <c r="EK7">
        <v>9.4710403289555906E-2</v>
      </c>
      <c r="EL7">
        <v>4.21782784600786E-2</v>
      </c>
      <c r="EM7">
        <v>0.10034844823297</v>
      </c>
      <c r="EN7">
        <v>-2.8353075951583699E-2</v>
      </c>
      <c r="EO7">
        <v>8.6343987845529199E-2</v>
      </c>
      <c r="EP7">
        <v>-2.8353075951583699E-2</v>
      </c>
      <c r="EQ7">
        <v>-2.8353075951583699E-2</v>
      </c>
      <c r="ER7">
        <v>-2.8353075951583699E-2</v>
      </c>
      <c r="ES7">
        <v>-2.8353075951583699E-2</v>
      </c>
      <c r="ET7">
        <v>8.6439427130785507E-2</v>
      </c>
      <c r="EU7">
        <v>0.16487176724271399</v>
      </c>
      <c r="EV7">
        <v>0.15693997139076199</v>
      </c>
      <c r="EW7">
        <v>-2.8353075951583699E-2</v>
      </c>
      <c r="EX7">
        <v>-2.8353075951583699E-2</v>
      </c>
      <c r="EY7">
        <v>-2.8353075951583699E-2</v>
      </c>
      <c r="EZ7">
        <v>0.38984959513371398</v>
      </c>
      <c r="FA7">
        <v>-2.8353075951583699E-2</v>
      </c>
      <c r="FB7">
        <v>-2.8353075951583699E-2</v>
      </c>
      <c r="FC7">
        <v>-2.8353075951583699E-2</v>
      </c>
      <c r="FD7">
        <v>-2.8353075951583699E-2</v>
      </c>
      <c r="FE7">
        <v>-2.8353075951583699E-2</v>
      </c>
      <c r="FF7">
        <v>-2.8353075951583699E-2</v>
      </c>
      <c r="FG7">
        <v>-2.8353075951583699E-2</v>
      </c>
      <c r="FH7">
        <v>-2.8353075951583699E-2</v>
      </c>
      <c r="FI7">
        <v>0.101635745862671</v>
      </c>
      <c r="FJ7">
        <v>0.11399539133857101</v>
      </c>
      <c r="FK7">
        <v>-2.8353075951583699E-2</v>
      </c>
      <c r="FL7">
        <v>9.7837742531424604E-2</v>
      </c>
      <c r="FM7">
        <v>-2.8353075951583699E-2</v>
      </c>
      <c r="FN7">
        <v>-2.8353075951583699E-2</v>
      </c>
      <c r="FO7">
        <v>-2.8353075951583699E-2</v>
      </c>
      <c r="FP7">
        <v>-2.8353075951583699E-2</v>
      </c>
      <c r="FQ7">
        <v>5.9886461545667603E-2</v>
      </c>
      <c r="FR7">
        <v>-2.8353075951583699E-2</v>
      </c>
      <c r="FS7">
        <v>-2.8353075951583699E-2</v>
      </c>
      <c r="FT7">
        <v>0.210389774071955</v>
      </c>
      <c r="FU7">
        <v>-2.8353075951583699E-2</v>
      </c>
      <c r="FV7">
        <v>-2.8353075951583699E-2</v>
      </c>
      <c r="FW7">
        <v>-2.8353075951583699E-2</v>
      </c>
      <c r="FX7">
        <v>-2.8353075951583699E-2</v>
      </c>
      <c r="FY7">
        <v>0.10012948746785701</v>
      </c>
      <c r="FZ7">
        <v>0.11493603594603601</v>
      </c>
      <c r="GA7">
        <v>0.180160958747734</v>
      </c>
      <c r="GB7">
        <v>-2.8353075951583699E-2</v>
      </c>
      <c r="GC7">
        <v>5.3416998654024099E-2</v>
      </c>
      <c r="GD7">
        <v>0.13081511412007199</v>
      </c>
      <c r="GE7">
        <v>0.13756482188223201</v>
      </c>
      <c r="GF7">
        <v>3.8813027628489302E-2</v>
      </c>
      <c r="GG7">
        <v>-2.8353075951583699E-2</v>
      </c>
      <c r="GH7">
        <v>0.10827669393632799</v>
      </c>
      <c r="GI7">
        <v>6.2669544139737798E-2</v>
      </c>
      <c r="GJ7">
        <v>0.29737430423989802</v>
      </c>
      <c r="GK7">
        <v>0.1046604014289</v>
      </c>
    </row>
    <row r="8" spans="1:193" x14ac:dyDescent="0.25">
      <c r="A8" t="s">
        <v>265</v>
      </c>
      <c r="B8" t="s">
        <v>575</v>
      </c>
      <c r="C8">
        <v>1.6836449079044299E-2</v>
      </c>
      <c r="D8">
        <v>0</v>
      </c>
      <c r="E8">
        <v>0</v>
      </c>
      <c r="F8">
        <v>2.1542174429558601E-2</v>
      </c>
      <c r="G8">
        <v>0</v>
      </c>
      <c r="H8">
        <v>5.2377762498818002E-2</v>
      </c>
      <c r="I8">
        <v>0</v>
      </c>
      <c r="J8">
        <v>0</v>
      </c>
      <c r="K8">
        <v>3.62163539102833E-2</v>
      </c>
      <c r="L8">
        <v>0</v>
      </c>
      <c r="M8">
        <v>0</v>
      </c>
      <c r="N8">
        <v>3.4197363811723801E-2</v>
      </c>
      <c r="O8">
        <v>0</v>
      </c>
      <c r="P8">
        <v>2.4843779961152699E-2</v>
      </c>
      <c r="Q8">
        <v>1.3562747761370101E-2</v>
      </c>
      <c r="R8">
        <v>1.9486282921985499E-2</v>
      </c>
      <c r="S8">
        <v>0</v>
      </c>
      <c r="T8">
        <v>1.66332546995418E-2</v>
      </c>
      <c r="U8">
        <v>2.3771990888759802E-2</v>
      </c>
      <c r="V8">
        <v>0</v>
      </c>
      <c r="W8">
        <v>0</v>
      </c>
      <c r="X8">
        <v>0</v>
      </c>
      <c r="Y8">
        <v>1.9676854801553401E-2</v>
      </c>
      <c r="Z8">
        <v>0</v>
      </c>
      <c r="AA8">
        <v>3.2504203008244199E-2</v>
      </c>
      <c r="AB8">
        <v>3.3897121870949801E-2</v>
      </c>
      <c r="AC8">
        <v>1.24047991267231E-2</v>
      </c>
      <c r="AD8">
        <v>0</v>
      </c>
      <c r="AE8">
        <v>0</v>
      </c>
      <c r="AF8">
        <v>0</v>
      </c>
      <c r="AG8">
        <v>0</v>
      </c>
      <c r="AH8">
        <v>0</v>
      </c>
      <c r="AI8">
        <v>8.1574639181180297E-2</v>
      </c>
      <c r="AJ8">
        <v>0</v>
      </c>
      <c r="AK8">
        <v>3.0284202873349202E-2</v>
      </c>
      <c r="AL8">
        <v>0</v>
      </c>
      <c r="AM8">
        <v>1.8977363243450601E-2</v>
      </c>
      <c r="AN8">
        <v>1.6094188376503601E-2</v>
      </c>
      <c r="AO8">
        <v>0</v>
      </c>
      <c r="AP8">
        <v>1.4746865652497601E-2</v>
      </c>
      <c r="AQ8">
        <v>0</v>
      </c>
      <c r="AR8">
        <v>0</v>
      </c>
      <c r="AS8">
        <v>2.26792270495721E-2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0.185293047342346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</row>
    <row r="9" spans="1:193" x14ac:dyDescent="0.25">
      <c r="A9" t="s">
        <v>265</v>
      </c>
      <c r="B9" t="s">
        <v>578</v>
      </c>
      <c r="C9">
        <v>-9.3426896661712895E-3</v>
      </c>
      <c r="D9">
        <v>7.8617843184200203E-2</v>
      </c>
      <c r="E9">
        <v>6.61937735095256E-2</v>
      </c>
      <c r="F9">
        <v>0.13211876168199199</v>
      </c>
      <c r="G9">
        <v>-2.61058935213027E-2</v>
      </c>
      <c r="H9">
        <v>0.108941672313888</v>
      </c>
      <c r="I9">
        <v>-4.99797489017604E-2</v>
      </c>
      <c r="J9">
        <v>2.74810092045287E-2</v>
      </c>
      <c r="K9">
        <v>4.8495113521126502E-2</v>
      </c>
      <c r="L9">
        <v>8.0597433910370303E-3</v>
      </c>
      <c r="M9">
        <v>-1.7343299336956799E-2</v>
      </c>
      <c r="N9">
        <v>-2.40963736811683E-2</v>
      </c>
      <c r="O9">
        <v>-7.3757365614595297E-2</v>
      </c>
      <c r="P9">
        <v>-4.2597848285389997E-2</v>
      </c>
      <c r="Q9">
        <v>-4.3785393023395298E-2</v>
      </c>
      <c r="R9">
        <v>0.27953556530685603</v>
      </c>
      <c r="S9">
        <v>0.443821188116579</v>
      </c>
      <c r="T9">
        <v>0.26572058052854203</v>
      </c>
      <c r="U9">
        <v>0.13223497496068601</v>
      </c>
      <c r="V9">
        <v>0.29753881547385902</v>
      </c>
      <c r="W9">
        <v>0.24171424703736799</v>
      </c>
      <c r="X9">
        <v>0.52880003735355796</v>
      </c>
      <c r="Y9">
        <v>-7.2333102215415904E-2</v>
      </c>
      <c r="Z9">
        <v>4.7102838429996803E-2</v>
      </c>
      <c r="AA9">
        <v>-5.9505754008724897E-2</v>
      </c>
      <c r="AB9">
        <v>8.2628580137720606E-2</v>
      </c>
      <c r="AC9">
        <v>2.8350908849644502E-2</v>
      </c>
      <c r="AD9">
        <v>4.5412569933111699E-2</v>
      </c>
      <c r="AE9">
        <v>-4.0534560070050102E-2</v>
      </c>
      <c r="AF9">
        <v>9.3182433548048602E-2</v>
      </c>
      <c r="AG9">
        <v>4.9912952260277303E-2</v>
      </c>
      <c r="AH9">
        <v>3.7952192876756601E-2</v>
      </c>
      <c r="AI9">
        <v>0.12691641917038801</v>
      </c>
      <c r="AJ9">
        <v>0</v>
      </c>
      <c r="AK9">
        <v>2.6275947407332498E-2</v>
      </c>
      <c r="AL9">
        <v>0.10399120333555401</v>
      </c>
      <c r="AM9">
        <v>1.0368327047711101E-3</v>
      </c>
      <c r="AN9">
        <v>-7.5915768640465703E-2</v>
      </c>
      <c r="AO9">
        <v>8.6706747728963002E-2</v>
      </c>
      <c r="AP9">
        <v>6.4325569670332802E-2</v>
      </c>
      <c r="AQ9">
        <v>4.0513001511430197E-2</v>
      </c>
      <c r="AR9">
        <v>6.6035029155512404E-2</v>
      </c>
      <c r="AS9">
        <v>6.1802900058081499E-2</v>
      </c>
      <c r="AT9">
        <v>0.114045865430642</v>
      </c>
      <c r="AU9">
        <v>-5.8526754892519302E-2</v>
      </c>
      <c r="AV9">
        <v>7.6477086440712994E-2</v>
      </c>
      <c r="AW9">
        <v>-4.7813592388500203E-3</v>
      </c>
      <c r="AX9">
        <v>0.10842037324792</v>
      </c>
      <c r="AY9">
        <v>1.0597466683892999E-3</v>
      </c>
      <c r="AZ9">
        <v>6.5636908040537095E-2</v>
      </c>
      <c r="BA9">
        <v>3.8612754239396703E-2</v>
      </c>
      <c r="BB9">
        <v>-9.2009957016969193E-2</v>
      </c>
      <c r="BC9">
        <v>-9.2009957016969193E-2</v>
      </c>
      <c r="BD9">
        <v>-9.2009957016969193E-2</v>
      </c>
      <c r="BE9">
        <v>-2.8991713552791801E-2</v>
      </c>
      <c r="BF9">
        <v>-9.2009957016969193E-2</v>
      </c>
      <c r="BG9">
        <v>-9.2009957016969193E-2</v>
      </c>
      <c r="BH9">
        <v>4.7732754131244899E-2</v>
      </c>
      <c r="BI9">
        <v>-9.2009957016969193E-2</v>
      </c>
      <c r="BJ9">
        <v>-9.2009957016969193E-2</v>
      </c>
      <c r="BK9">
        <v>0.38707402930471102</v>
      </c>
      <c r="BL9">
        <v>-5.81290623749579E-3</v>
      </c>
      <c r="BM9">
        <v>-9.3140722754973294E-3</v>
      </c>
      <c r="BN9">
        <v>0.109615971310201</v>
      </c>
      <c r="BO9">
        <v>-9.2009957016969193E-2</v>
      </c>
      <c r="BP9">
        <v>-9.2009957016969193E-2</v>
      </c>
      <c r="BQ9">
        <v>0.14429835058254301</v>
      </c>
      <c r="BR9">
        <v>-9.2009957016969193E-2</v>
      </c>
      <c r="BS9">
        <v>-9.2009957016969193E-2</v>
      </c>
      <c r="BT9">
        <v>5.6087042691346699E-2</v>
      </c>
      <c r="BU9">
        <v>1.69947649493081E-2</v>
      </c>
      <c r="BV9">
        <v>-9.2009957016969193E-2</v>
      </c>
      <c r="BW9">
        <v>-9.2009957016969193E-2</v>
      </c>
      <c r="BX9">
        <v>-9.2009957016969193E-2</v>
      </c>
      <c r="BY9">
        <v>-9.2009957016969193E-2</v>
      </c>
      <c r="BZ9">
        <v>-9.2009957016969193E-2</v>
      </c>
      <c r="CA9">
        <v>-9.2009957016969193E-2</v>
      </c>
      <c r="CB9">
        <v>6.1556155409024501E-3</v>
      </c>
      <c r="CC9">
        <v>9.9382179536708897E-3</v>
      </c>
      <c r="CD9">
        <v>-9.2009957016969193E-2</v>
      </c>
      <c r="CE9">
        <v>-9.2009957016969193E-2</v>
      </c>
      <c r="CF9">
        <v>-9.2009957016969193E-2</v>
      </c>
      <c r="CG9">
        <v>0.21719501232400801</v>
      </c>
      <c r="CH9">
        <v>0.24426868642935501</v>
      </c>
      <c r="CI9">
        <v>4.4645933104614399E-2</v>
      </c>
      <c r="CJ9">
        <v>0.21948479033504401</v>
      </c>
      <c r="CK9">
        <v>0.299636191520957</v>
      </c>
      <c r="CL9">
        <v>-9.2009957016969193E-2</v>
      </c>
      <c r="CM9">
        <v>-9.2009957016969193E-2</v>
      </c>
      <c r="CN9">
        <v>0.51339195594361597</v>
      </c>
      <c r="CO9">
        <v>-9.2009957016969193E-2</v>
      </c>
      <c r="CP9">
        <v>-9.2009957016969193E-2</v>
      </c>
      <c r="CQ9">
        <v>-9.2009957016969193E-2</v>
      </c>
      <c r="CR9">
        <v>-9.2009957016969193E-2</v>
      </c>
      <c r="CS9">
        <v>-9.2009957016969193E-2</v>
      </c>
      <c r="CT9">
        <v>-9.2009957016969193E-2</v>
      </c>
      <c r="CU9">
        <v>-9.2009957016969193E-2</v>
      </c>
      <c r="CV9">
        <v>0.328544921857096</v>
      </c>
      <c r="CW9">
        <v>-9.2009957016969193E-2</v>
      </c>
      <c r="CX9">
        <v>6.5922650770560295E-2</v>
      </c>
      <c r="CY9">
        <v>0.21597851337210799</v>
      </c>
      <c r="CZ9">
        <v>5.50931656531468E-2</v>
      </c>
      <c r="DA9">
        <v>0.14026453660097299</v>
      </c>
      <c r="DB9">
        <v>-9.2009957016969193E-2</v>
      </c>
      <c r="DC9">
        <v>-9.2009957016969193E-2</v>
      </c>
      <c r="DD9">
        <v>-9.2009957016969193E-2</v>
      </c>
      <c r="DE9">
        <v>-9.2009957016969193E-2</v>
      </c>
      <c r="DF9">
        <v>-9.2009957016969193E-2</v>
      </c>
      <c r="DG9">
        <v>-9.2009957016969193E-2</v>
      </c>
      <c r="DH9">
        <v>-9.2009957016969193E-2</v>
      </c>
      <c r="DI9">
        <v>-9.2009957016969193E-2</v>
      </c>
      <c r="DJ9">
        <v>-9.2009957016969193E-2</v>
      </c>
      <c r="DK9">
        <v>5.9701392762273202E-2</v>
      </c>
      <c r="DL9">
        <v>-9.2009957016969193E-2</v>
      </c>
      <c r="DM9">
        <v>-9.2009957016969193E-2</v>
      </c>
      <c r="DN9">
        <v>-9.2009957016969193E-2</v>
      </c>
      <c r="DO9">
        <v>-4.0027001554124404E-3</v>
      </c>
      <c r="DP9">
        <v>-4.6755206528715197E-2</v>
      </c>
      <c r="DQ9">
        <v>-2.7972518884482801E-2</v>
      </c>
      <c r="DR9">
        <v>0.11107294578315</v>
      </c>
      <c r="DS9">
        <v>0.25285753913537601</v>
      </c>
      <c r="DT9">
        <v>0.394805994686874</v>
      </c>
      <c r="DU9">
        <v>5.9625761576257E-2</v>
      </c>
      <c r="DV9">
        <v>2.8339007257077001E-2</v>
      </c>
      <c r="DW9">
        <v>8.4518667745213799E-2</v>
      </c>
      <c r="DX9">
        <v>-3.6651215319411103E-2</v>
      </c>
      <c r="DY9">
        <v>-5.4300438800889098E-2</v>
      </c>
      <c r="DZ9">
        <v>-1.50486469617227E-2</v>
      </c>
      <c r="EA9">
        <v>-9.2009957016969193E-2</v>
      </c>
      <c r="EB9">
        <v>-6.5282890290536494E-2</v>
      </c>
      <c r="EC9">
        <v>-3.09732829325906E-2</v>
      </c>
      <c r="ED9">
        <v>9.7043239231896894E-2</v>
      </c>
      <c r="EE9">
        <v>-4.68709937503115E-2</v>
      </c>
      <c r="EF9">
        <v>4.0098040204781499E-2</v>
      </c>
      <c r="EG9">
        <v>-4.2551552945557201E-2</v>
      </c>
      <c r="EH9">
        <v>0.127404926917107</v>
      </c>
      <c r="EI9">
        <v>0.359940709582389</v>
      </c>
      <c r="EJ9">
        <v>0.31513551606262602</v>
      </c>
      <c r="EK9">
        <v>0.14524862812571801</v>
      </c>
      <c r="EL9">
        <v>0.23226340183078201</v>
      </c>
      <c r="EM9">
        <v>0.15578589649526001</v>
      </c>
      <c r="EN9">
        <v>-9.2009957016969193E-2</v>
      </c>
      <c r="EO9">
        <v>7.7175289743671993E-2</v>
      </c>
      <c r="EP9">
        <v>0.22421461542415999</v>
      </c>
      <c r="EQ9">
        <v>-9.2009957016969193E-2</v>
      </c>
      <c r="ER9">
        <v>-9.2009957016969193E-2</v>
      </c>
      <c r="ES9">
        <v>-9.2009957016969193E-2</v>
      </c>
      <c r="ET9">
        <v>2.27825460654002E-2</v>
      </c>
      <c r="EU9">
        <v>-9.2009957016969193E-2</v>
      </c>
      <c r="EV9">
        <v>-9.2009957016969193E-2</v>
      </c>
      <c r="EW9">
        <v>9.8414089607063108E-3</v>
      </c>
      <c r="EX9">
        <v>-9.2009957016969193E-2</v>
      </c>
      <c r="EY9">
        <v>-9.2009957016969193E-2</v>
      </c>
      <c r="EZ9">
        <v>5.9711377686639602E-2</v>
      </c>
      <c r="FA9">
        <v>-9.2009957016969193E-2</v>
      </c>
      <c r="FB9">
        <v>-9.2009957016969193E-2</v>
      </c>
      <c r="FC9">
        <v>0.54861821700925295</v>
      </c>
      <c r="FD9">
        <v>6.9307551693544606E-2</v>
      </c>
      <c r="FE9">
        <v>-9.2009957016969193E-2</v>
      </c>
      <c r="FF9">
        <v>2.0055064733586599E-2</v>
      </c>
      <c r="FG9">
        <v>-9.2009957016969193E-2</v>
      </c>
      <c r="FH9">
        <v>8.9250418776388799E-2</v>
      </c>
      <c r="FI9">
        <v>-9.2009957016969193E-2</v>
      </c>
      <c r="FJ9">
        <v>5.0338510273185498E-2</v>
      </c>
      <c r="FK9">
        <v>1.2493405527809E-2</v>
      </c>
      <c r="FL9">
        <v>3.4180861466039103E-2</v>
      </c>
      <c r="FM9">
        <v>-9.2009957016969193E-2</v>
      </c>
      <c r="FN9">
        <v>-9.2009957016969193E-2</v>
      </c>
      <c r="FO9">
        <v>4.6856028855689201E-2</v>
      </c>
      <c r="FP9">
        <v>-9.2009957016969193E-2</v>
      </c>
      <c r="FQ9">
        <v>-9.2009957016969193E-2</v>
      </c>
      <c r="FR9">
        <v>-9.2009957016969193E-2</v>
      </c>
      <c r="FS9">
        <v>8.8714458344209601E-2</v>
      </c>
      <c r="FT9">
        <v>0.146732893006569</v>
      </c>
      <c r="FU9">
        <v>-9.2009957016969193E-2</v>
      </c>
      <c r="FV9">
        <v>-9.2009957016969193E-2</v>
      </c>
      <c r="FW9">
        <v>9.91362020424046E-2</v>
      </c>
      <c r="FX9">
        <v>0.12954784878648401</v>
      </c>
      <c r="FY9">
        <v>3.6472606402471602E-2</v>
      </c>
      <c r="FZ9">
        <v>5.12791548806504E-2</v>
      </c>
      <c r="GA9">
        <v>0.11650407768234899</v>
      </c>
      <c r="GB9">
        <v>2.0085238836493002E-2</v>
      </c>
      <c r="GC9">
        <v>0.10511354874303699</v>
      </c>
      <c r="GD9">
        <v>5.76927807834603E-4</v>
      </c>
      <c r="GE9">
        <v>-4.8906282163519499E-2</v>
      </c>
      <c r="GF9">
        <v>-2.4843853436896199E-2</v>
      </c>
      <c r="GG9">
        <v>0.11567694469090101</v>
      </c>
      <c r="GH9">
        <v>4.4619812870943E-2</v>
      </c>
      <c r="GI9">
        <v>-9.8733692564783194E-4</v>
      </c>
      <c r="GJ9">
        <v>-6.4836288542968898E-2</v>
      </c>
      <c r="GK9">
        <v>-4.08335332878468E-2</v>
      </c>
    </row>
    <row r="10" spans="1:193" x14ac:dyDescent="0.25">
      <c r="A10" t="s">
        <v>265</v>
      </c>
      <c r="B10" t="s">
        <v>579</v>
      </c>
      <c r="C10">
        <v>0.23763443268891801</v>
      </c>
      <c r="D10">
        <v>0.231886760172241</v>
      </c>
      <c r="E10">
        <v>0.217883551730984</v>
      </c>
      <c r="F10">
        <v>0.25430815934885298</v>
      </c>
      <c r="G10">
        <v>0.14972587960516201</v>
      </c>
      <c r="H10">
        <v>0.10326928080502699</v>
      </c>
      <c r="I10">
        <v>8.3050994158204397E-2</v>
      </c>
      <c r="J10">
        <v>0.77784434664242297</v>
      </c>
      <c r="K10">
        <v>0.27048759998334598</v>
      </c>
      <c r="L10">
        <v>0.12707001869464199</v>
      </c>
      <c r="M10">
        <v>7.4666657680012502E-2</v>
      </c>
      <c r="N10">
        <v>6.7913583335800706E-2</v>
      </c>
      <c r="O10">
        <v>3.63329004736022E-2</v>
      </c>
      <c r="P10">
        <v>9.7752619638954999E-2</v>
      </c>
      <c r="Q10">
        <v>6.6962345423621797E-2</v>
      </c>
      <c r="R10">
        <v>0.25857478487919799</v>
      </c>
      <c r="S10">
        <v>9.2533962990412402E-2</v>
      </c>
      <c r="T10">
        <v>0.107156929993186</v>
      </c>
      <c r="U10">
        <v>0.18163710012326301</v>
      </c>
      <c r="V10">
        <v>0.16645258779406699</v>
      </c>
      <c r="W10">
        <v>0.18924175208956001</v>
      </c>
      <c r="X10">
        <v>0.15244463124646801</v>
      </c>
      <c r="Y10">
        <v>0.151557414015737</v>
      </c>
      <c r="Z10">
        <v>0.19177932911501999</v>
      </c>
      <c r="AA10">
        <v>0.215739604224506</v>
      </c>
      <c r="AB10">
        <v>0.10004797713133699</v>
      </c>
      <c r="AC10">
        <v>4.9112701358193303E-2</v>
      </c>
      <c r="AD10">
        <v>0.163676149060731</v>
      </c>
      <c r="AE10">
        <v>0.10148888428776</v>
      </c>
      <c r="AF10">
        <v>0.30674171251270599</v>
      </c>
      <c r="AG10">
        <v>8.6501629193100504E-2</v>
      </c>
      <c r="AH10">
        <v>8.7709753262333295E-2</v>
      </c>
      <c r="AI10">
        <v>0.15951475528669401</v>
      </c>
      <c r="AJ10">
        <v>6.1873545492166802E-2</v>
      </c>
      <c r="AK10">
        <v>0.14672492774336901</v>
      </c>
      <c r="AL10">
        <v>0.10050322689249901</v>
      </c>
      <c r="AM10">
        <v>0.129033830100794</v>
      </c>
      <c r="AN10">
        <v>7.9150015616232902E-2</v>
      </c>
      <c r="AO10">
        <v>0.115600220502273</v>
      </c>
      <c r="AP10">
        <v>0.128829835932005</v>
      </c>
      <c r="AQ10">
        <v>9.0395283020347106E-2</v>
      </c>
      <c r="AR10">
        <v>0.117559407970544</v>
      </c>
      <c r="AS10">
        <v>0.21645980066048601</v>
      </c>
      <c r="AT10">
        <v>0.13143876079398001</v>
      </c>
      <c r="AU10">
        <v>0.19245520642133301</v>
      </c>
      <c r="AV10">
        <v>0.16848704345768201</v>
      </c>
      <c r="AW10">
        <v>0.12940356086676</v>
      </c>
      <c r="AX10">
        <v>5.8462100888118498E-2</v>
      </c>
      <c r="AY10">
        <v>0</v>
      </c>
      <c r="AZ10">
        <v>0</v>
      </c>
      <c r="BA10">
        <v>0.13062271125636599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5.7971250670252703E-2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5.08886906167446E-2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0.17659509871099099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0.145453842330619</v>
      </c>
      <c r="CX10">
        <v>0</v>
      </c>
      <c r="CY10">
        <v>0</v>
      </c>
      <c r="CZ10">
        <v>0</v>
      </c>
      <c r="DA10">
        <v>0.12059862767745699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2.9800340901447699E-2</v>
      </c>
      <c r="DP10">
        <v>4.52547504882541E-2</v>
      </c>
      <c r="DQ10">
        <v>0</v>
      </c>
      <c r="DR10">
        <v>0</v>
      </c>
      <c r="DS10">
        <v>6.2199353799909901E-2</v>
      </c>
      <c r="DT10">
        <v>3.8567008112317697E-2</v>
      </c>
      <c r="DU10">
        <v>3.4150018432964301E-2</v>
      </c>
      <c r="DV10">
        <v>0</v>
      </c>
      <c r="DW10">
        <v>0</v>
      </c>
      <c r="DX10">
        <v>0</v>
      </c>
      <c r="DY10">
        <v>3.7709518216080103E-2</v>
      </c>
      <c r="DZ10">
        <v>0</v>
      </c>
      <c r="EA10">
        <v>0</v>
      </c>
      <c r="EB10">
        <v>6.6069557942316795E-2</v>
      </c>
      <c r="EC10">
        <v>0.17706896221756199</v>
      </c>
      <c r="ED10">
        <v>0</v>
      </c>
      <c r="EE10">
        <v>4.5138963266657901E-2</v>
      </c>
      <c r="EF10">
        <v>3.4028371606396497E-2</v>
      </c>
      <c r="EG10">
        <v>0</v>
      </c>
      <c r="EH10">
        <v>0</v>
      </c>
      <c r="EI10">
        <v>0</v>
      </c>
      <c r="EJ10">
        <v>3.53420798000319E-2</v>
      </c>
      <c r="EK10">
        <v>6.2729853073942896E-2</v>
      </c>
      <c r="EL10">
        <v>0</v>
      </c>
      <c r="EM10">
        <v>0</v>
      </c>
      <c r="EN10">
        <v>0</v>
      </c>
      <c r="EO10">
        <v>0</v>
      </c>
      <c r="EP10">
        <v>0.217498188461444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0.34416426085555002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9.8073724400401005E-2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9.8532264779634504E-2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4.68635835297051E-2</v>
      </c>
      <c r="GE10">
        <v>4.3103674853449701E-2</v>
      </c>
      <c r="GF10">
        <v>3.3917671658932398E-2</v>
      </c>
      <c r="GG10">
        <v>0.107233649127615</v>
      </c>
      <c r="GH10">
        <v>0</v>
      </c>
      <c r="GI10">
        <v>0</v>
      </c>
      <c r="GJ10">
        <v>2.7173668474000299E-2</v>
      </c>
      <c r="GK10">
        <v>3.4298147385176898E-2</v>
      </c>
    </row>
    <row r="11" spans="1:193" s="11" customFormat="1" ht="15.75" thickBot="1" x14ac:dyDescent="0.3">
      <c r="A11" s="11" t="s">
        <v>265</v>
      </c>
      <c r="B11" s="11" t="s">
        <v>580</v>
      </c>
      <c r="C11" s="11">
        <v>0.55345468949773502</v>
      </c>
      <c r="D11" s="11">
        <v>0.51524346472235005</v>
      </c>
      <c r="E11" s="11">
        <v>0.85553475908782795</v>
      </c>
      <c r="F11" s="11">
        <v>0.53362409171416303</v>
      </c>
      <c r="G11" s="11">
        <v>-0.40727243005471903</v>
      </c>
      <c r="H11" s="11">
        <v>1.3869171604817501</v>
      </c>
      <c r="I11" s="11">
        <v>0.48106923312789601</v>
      </c>
      <c r="J11" s="11">
        <v>0.47080117950992501</v>
      </c>
      <c r="K11" s="11">
        <v>0.52103415714238799</v>
      </c>
      <c r="L11" s="11">
        <v>0.52096410942052995</v>
      </c>
      <c r="M11" s="11">
        <v>0.31563048773719898</v>
      </c>
      <c r="N11" s="11">
        <v>0.45095476757910802</v>
      </c>
      <c r="O11" s="11">
        <v>0.50570822723687803</v>
      </c>
      <c r="P11" s="11">
        <v>0.95632421293613901</v>
      </c>
      <c r="Q11" s="11">
        <v>0.70737367349826397</v>
      </c>
      <c r="R11" s="11">
        <v>1.21982249251837</v>
      </c>
      <c r="S11" s="11">
        <v>0.86701022357997404</v>
      </c>
      <c r="T11" s="11">
        <v>1.01792025893925</v>
      </c>
      <c r="U11" s="11">
        <v>0.65099805043916203</v>
      </c>
      <c r="V11" s="11">
        <v>1.17424917539413</v>
      </c>
      <c r="W11" s="11">
        <v>0.68965465116683</v>
      </c>
      <c r="X11" s="11">
        <v>0.85780500657416403</v>
      </c>
      <c r="Y11" s="11">
        <v>0.36107550402870497</v>
      </c>
      <c r="Z11" s="11">
        <v>0.103776663670685</v>
      </c>
      <c r="AA11" s="11">
        <v>0.46773141757921</v>
      </c>
      <c r="AB11" s="11">
        <v>0.43455226698928701</v>
      </c>
      <c r="AC11" s="11">
        <v>0.43016630200189998</v>
      </c>
      <c r="AD11" s="11">
        <v>0.508138824400997</v>
      </c>
      <c r="AE11" s="11">
        <v>0.10142280150437</v>
      </c>
      <c r="AF11" s="11">
        <v>0.31111866427679802</v>
      </c>
      <c r="AG11" s="11">
        <v>0.31695807266581599</v>
      </c>
      <c r="AH11" s="11">
        <v>0.33251070146711897</v>
      </c>
      <c r="AI11" s="11">
        <v>0.48036723140394699</v>
      </c>
      <c r="AJ11" s="11">
        <v>0.37879949721078898</v>
      </c>
      <c r="AK11" s="11">
        <v>0.26139568699132898</v>
      </c>
      <c r="AL11" s="11">
        <v>0.52202017101655496</v>
      </c>
      <c r="AM11" s="11">
        <v>0.44596652187848101</v>
      </c>
      <c r="AN11" s="11">
        <v>0.29907987014261</v>
      </c>
      <c r="AO11" s="11">
        <v>0.23331537182120299</v>
      </c>
      <c r="AP11" s="11">
        <v>8.2972368532889196E-2</v>
      </c>
      <c r="AQ11" s="11">
        <v>0.268558890539916</v>
      </c>
      <c r="AR11" s="11">
        <v>0.37730217291666901</v>
      </c>
      <c r="AS11" s="11">
        <v>0.41079760808728699</v>
      </c>
      <c r="AT11" s="11">
        <v>0.183585434675887</v>
      </c>
      <c r="AU11" s="11">
        <v>0.20820315648093801</v>
      </c>
      <c r="AV11" s="11">
        <v>0.43895742068368199</v>
      </c>
      <c r="AW11" s="11">
        <v>0.34989124675767203</v>
      </c>
      <c r="AX11" s="11">
        <v>-3.2400265265959197E-2</v>
      </c>
      <c r="AY11" s="11">
        <v>-0.25309910927013102</v>
      </c>
      <c r="AZ11" s="11">
        <v>-0.236727115402174</v>
      </c>
      <c r="BA11" s="11">
        <v>-7.6566761789944898E-2</v>
      </c>
      <c r="BB11" s="11">
        <v>0.78872668540336599</v>
      </c>
      <c r="BC11" s="11">
        <v>-0.54450245064551295</v>
      </c>
      <c r="BD11" s="11">
        <v>-0.37970128347233401</v>
      </c>
      <c r="BE11" s="11">
        <v>-6.6251980875874902E-2</v>
      </c>
      <c r="BF11" s="11">
        <v>0.10836389315831101</v>
      </c>
      <c r="BG11" s="11">
        <v>0.102400139125294</v>
      </c>
      <c r="BH11" s="11">
        <v>0.26021866663190901</v>
      </c>
      <c r="BI11" s="11">
        <v>0.71264713264651602</v>
      </c>
      <c r="BJ11" s="11">
        <v>0.72153367128072698</v>
      </c>
      <c r="BK11" s="11">
        <v>-0.78287601573749599</v>
      </c>
      <c r="BL11" s="11">
        <v>-1.0969102203561001E-3</v>
      </c>
      <c r="BM11" s="11">
        <v>-0.18921696842695401</v>
      </c>
      <c r="BN11" s="11">
        <v>0.137301013007713</v>
      </c>
      <c r="BO11" s="11">
        <v>-0.50504146120293603</v>
      </c>
      <c r="BP11" s="11">
        <v>-1.03212649292193</v>
      </c>
      <c r="BQ11" s="11">
        <v>-2.1080682467157601E-2</v>
      </c>
      <c r="BR11" s="11">
        <v>0.145001355564217</v>
      </c>
      <c r="BS11" s="11">
        <v>0.15503990312872901</v>
      </c>
      <c r="BT11" s="11">
        <v>8.0534872060720894E-2</v>
      </c>
      <c r="BU11" s="11">
        <v>-0.231133934029534</v>
      </c>
      <c r="BV11" s="11">
        <v>0.35561008074033101</v>
      </c>
      <c r="BW11" s="11">
        <v>-0.317758435711891</v>
      </c>
      <c r="BX11" s="11">
        <v>-0.17383450223051999</v>
      </c>
      <c r="BY11" s="11">
        <v>2.60948355800175E-2</v>
      </c>
      <c r="BZ11" s="11">
        <v>-9.7339401090352703E-2</v>
      </c>
      <c r="CA11" s="11">
        <v>-8.9662308023718496E-2</v>
      </c>
      <c r="CB11" s="11">
        <v>-4.8051506320673697E-2</v>
      </c>
      <c r="CC11" s="11">
        <v>-0.17658072206035699</v>
      </c>
      <c r="CD11" s="11">
        <v>-6.9979969369108094E-2</v>
      </c>
      <c r="CE11" s="11">
        <v>0.33007440237077601</v>
      </c>
      <c r="CF11" s="11">
        <v>-0.700111506401773</v>
      </c>
      <c r="CG11" s="11">
        <v>0.35585372465057802</v>
      </c>
      <c r="CH11" s="11">
        <v>-4.3688102943635499E-3</v>
      </c>
      <c r="CI11" s="11">
        <v>-5.8434521802552798E-2</v>
      </c>
      <c r="CJ11" s="11">
        <v>-0.14628764330309199</v>
      </c>
      <c r="CK11" s="11">
        <v>9.8353742700598198E-2</v>
      </c>
      <c r="CL11" s="11">
        <v>-0.34809965159728201</v>
      </c>
      <c r="CM11" s="11">
        <v>-0.21345006242842299</v>
      </c>
      <c r="CN11" s="11">
        <v>-4.0601099934380498E-2</v>
      </c>
      <c r="CO11" s="11">
        <v>-0.42399461144478701</v>
      </c>
      <c r="CP11" s="11">
        <v>-0.309464332557563</v>
      </c>
      <c r="CQ11" s="11">
        <v>-1.9896845579792301E-2</v>
      </c>
      <c r="CR11" s="11">
        <v>-4.1594316080749899E-2</v>
      </c>
      <c r="CS11" s="11">
        <v>0.44401323391335901</v>
      </c>
      <c r="CT11" s="11">
        <v>0.111751054100429</v>
      </c>
      <c r="CU11" s="11">
        <v>0.12561105000473799</v>
      </c>
      <c r="CV11" s="11">
        <v>-3.9598879182868897E-2</v>
      </c>
      <c r="CW11" s="11">
        <v>-5.16119694504013E-2</v>
      </c>
      <c r="CX11" s="11">
        <v>-3.0262415812151E-2</v>
      </c>
      <c r="CY11" s="11">
        <v>-0.281084655577933</v>
      </c>
      <c r="CZ11" s="11">
        <v>-0.12721170067756901</v>
      </c>
      <c r="DA11" s="11">
        <v>0</v>
      </c>
      <c r="DB11" s="11">
        <v>-0.28970121906497198</v>
      </c>
      <c r="DC11" s="11">
        <v>-0.10631966572710699</v>
      </c>
      <c r="DD11" s="11">
        <v>0.18774950099037899</v>
      </c>
      <c r="DE11" s="11">
        <v>0.42321955621925</v>
      </c>
      <c r="DF11" s="11">
        <v>-0.205265909742569</v>
      </c>
      <c r="DG11" s="11">
        <v>3.7952162515211101E-2</v>
      </c>
      <c r="DH11" s="11">
        <v>-1.8322972479453699E-2</v>
      </c>
      <c r="DI11" s="11">
        <v>0.70088100015879795</v>
      </c>
      <c r="DJ11" s="11">
        <v>-0.29267103220186103</v>
      </c>
      <c r="DK11" s="11">
        <v>-0.11434266731463601</v>
      </c>
      <c r="DL11" s="11">
        <v>-0.98579462744676005</v>
      </c>
      <c r="DM11" s="11">
        <v>-0.67723094245100701</v>
      </c>
      <c r="DN11" s="11">
        <v>-0.25848079990038703</v>
      </c>
      <c r="DO11" s="11">
        <v>-0.70184160763015302</v>
      </c>
      <c r="DP11" s="11">
        <v>-0.50514903311190595</v>
      </c>
      <c r="DQ11" s="11">
        <v>-0.50965526038234998</v>
      </c>
      <c r="DR11" s="11">
        <v>0.27074200512308999</v>
      </c>
      <c r="DS11" s="11">
        <v>0.323276240153621</v>
      </c>
      <c r="DT11" s="11">
        <v>0.19585128277407099</v>
      </c>
      <c r="DU11" s="11">
        <v>0.18934669625831399</v>
      </c>
      <c r="DV11" s="11">
        <v>0.577170763202697</v>
      </c>
      <c r="DW11" s="11">
        <v>1.29148086929554</v>
      </c>
      <c r="DX11" s="11">
        <v>0.129562775938839</v>
      </c>
      <c r="DY11" s="11">
        <v>0.10271303988027999</v>
      </c>
      <c r="DZ11" s="11">
        <v>2.7647328774715901E-2</v>
      </c>
      <c r="EA11" s="11">
        <v>-0.277361964783847</v>
      </c>
      <c r="EB11" s="11">
        <v>-0.66264235274513705</v>
      </c>
      <c r="EC11" s="11">
        <v>-0.83762844017749405</v>
      </c>
      <c r="ED11" s="11">
        <v>1.34103873665226E-2</v>
      </c>
      <c r="EE11" s="11">
        <v>-0.15152441826494201</v>
      </c>
      <c r="EF11" s="11">
        <v>-0.21079702808456</v>
      </c>
      <c r="EG11" s="11">
        <v>-0.35228023174475998</v>
      </c>
      <c r="EH11" s="11">
        <v>0.12692250998284399</v>
      </c>
      <c r="EI11" s="11">
        <v>0.68798415144704195</v>
      </c>
      <c r="EJ11" s="11">
        <v>1.70862254656085</v>
      </c>
      <c r="EK11" s="11">
        <v>0.86412007102767896</v>
      </c>
      <c r="EL11" s="11">
        <v>0.49854198848884301</v>
      </c>
      <c r="EM11" s="11">
        <v>0.96871873626376703</v>
      </c>
      <c r="EN11" s="11">
        <v>6.39425180513844E-2</v>
      </c>
      <c r="EO11" s="11">
        <v>0.61138077023587001</v>
      </c>
      <c r="EP11" s="11">
        <v>-4.0363812874427897E-2</v>
      </c>
      <c r="EQ11" s="11">
        <v>-0.89980615770384598</v>
      </c>
      <c r="ER11" s="11">
        <v>-0.54241312877186298</v>
      </c>
      <c r="ES11" s="11">
        <v>-0.41244689005385798</v>
      </c>
      <c r="ET11" s="11">
        <v>-0.20816989594551599</v>
      </c>
      <c r="EU11" s="11">
        <v>-0.25520904750213003</v>
      </c>
      <c r="EV11" s="11">
        <v>-0.14159208644073401</v>
      </c>
      <c r="EW11" s="11">
        <v>-0.12677723841265301</v>
      </c>
      <c r="EX11" s="11">
        <v>-0.15437598383915199</v>
      </c>
      <c r="EY11" s="11">
        <v>-0.46880297063757698</v>
      </c>
      <c r="EZ11" s="11">
        <v>0.32562570052227102</v>
      </c>
      <c r="FA11" s="11">
        <v>-0.16563116748937801</v>
      </c>
      <c r="FB11" s="11">
        <v>3.0349257329652199E-2</v>
      </c>
      <c r="FC11" s="11">
        <v>0.10474691625994401</v>
      </c>
      <c r="FD11" s="11">
        <v>-1.17994104250743E-3</v>
      </c>
      <c r="FE11" s="11">
        <v>0.48837376004057098</v>
      </c>
      <c r="FF11" s="11">
        <v>-6.8589269262352995E-2</v>
      </c>
      <c r="FG11" s="11">
        <v>-0.489084796490316</v>
      </c>
      <c r="FH11" s="11">
        <v>-8.0479828292905307E-3</v>
      </c>
      <c r="FI11" s="146">
        <v>2.3295377109184001E-5</v>
      </c>
      <c r="FJ11" s="11">
        <v>-0.21946100662829501</v>
      </c>
      <c r="FK11" s="11">
        <v>-0.48089497918504198</v>
      </c>
      <c r="FL11" s="11">
        <v>-0.43312836791735698</v>
      </c>
      <c r="FM11" s="11">
        <v>-9.6188453808487798E-2</v>
      </c>
      <c r="FN11" s="11">
        <v>-0.31883301775713302</v>
      </c>
      <c r="FO11" s="11">
        <v>-0.19912238485714401</v>
      </c>
      <c r="FP11" s="11">
        <v>-9.9681139255209897E-2</v>
      </c>
      <c r="FQ11" s="11">
        <v>-7.8042342180732804E-2</v>
      </c>
      <c r="FR11" s="11">
        <v>-0.23381416585383299</v>
      </c>
      <c r="FS11" s="11">
        <v>-0.117184759670977</v>
      </c>
      <c r="FT11" s="11">
        <v>-0.25850026574874202</v>
      </c>
      <c r="FU11" s="11">
        <v>0.76368193293373499</v>
      </c>
      <c r="FV11" s="11">
        <v>-1.9373427884216099</v>
      </c>
      <c r="FW11" s="11">
        <v>-0.27824104354950602</v>
      </c>
      <c r="FX11" s="11">
        <v>-5.94819190080371E-2</v>
      </c>
      <c r="FY11" s="11">
        <v>-0.22315230699518099</v>
      </c>
      <c r="FZ11" s="11">
        <v>-0.33155611971998999</v>
      </c>
      <c r="GA11" s="11">
        <v>-1.2026671234075499E-2</v>
      </c>
      <c r="GB11" s="11">
        <v>4.8795275877363799E-2</v>
      </c>
      <c r="GC11" s="11">
        <v>-0.35525956244707302</v>
      </c>
      <c r="GD11" s="11">
        <v>-0.217611434438054</v>
      </c>
      <c r="GE11" s="11">
        <v>1.3166558318106701E-2</v>
      </c>
      <c r="GF11" s="11">
        <v>-0.26994334964474898</v>
      </c>
      <c r="GG11" s="11">
        <v>-5.6267864269273701E-2</v>
      </c>
      <c r="GH11" s="11">
        <v>-4.9959564421015103E-2</v>
      </c>
      <c r="GI11" s="11">
        <v>0.228644314721693</v>
      </c>
      <c r="GJ11" s="11">
        <v>-0.14385543584129701</v>
      </c>
      <c r="GK11" s="11">
        <v>-0.42037552561031799</v>
      </c>
    </row>
    <row r="12" spans="1:193" x14ac:dyDescent="0.25">
      <c r="A12" t="s">
        <v>266</v>
      </c>
      <c r="B12" t="s">
        <v>543</v>
      </c>
      <c r="C12">
        <v>-1.44926429223394</v>
      </c>
      <c r="D12">
        <v>-1.6543782846786299</v>
      </c>
      <c r="E12">
        <v>-1.21871844283658</v>
      </c>
      <c r="F12">
        <v>-1.4320625878870099</v>
      </c>
      <c r="G12">
        <v>-1.3990695747484401</v>
      </c>
      <c r="H12">
        <v>-1.62782587905329</v>
      </c>
      <c r="I12">
        <v>-1.58420336181188</v>
      </c>
      <c r="J12">
        <v>-1.81161490653835</v>
      </c>
      <c r="K12">
        <v>-1.4609870123909201</v>
      </c>
      <c r="L12">
        <v>-1.9560507435466099</v>
      </c>
      <c r="M12">
        <v>-1.4270299627985501</v>
      </c>
      <c r="N12">
        <v>-1.4953211376722999</v>
      </c>
      <c r="O12">
        <v>-1.3948575178472999</v>
      </c>
      <c r="P12">
        <v>-0.317048352072966</v>
      </c>
      <c r="Q12">
        <v>-0.22871395847166701</v>
      </c>
      <c r="R12">
        <v>-1.6291792556006</v>
      </c>
      <c r="S12">
        <v>-1.55704471301702</v>
      </c>
      <c r="T12">
        <v>-1.54149839084274</v>
      </c>
      <c r="U12">
        <v>-1.5797598088612299</v>
      </c>
      <c r="V12">
        <v>-1.7229566138485</v>
      </c>
      <c r="W12">
        <v>-1.5419663181957599</v>
      </c>
      <c r="X12">
        <v>-1.3597305324043301</v>
      </c>
      <c r="Y12">
        <v>-1.58773581884905</v>
      </c>
      <c r="Z12">
        <v>-1.12728003097053</v>
      </c>
      <c r="AA12">
        <v>-1.60231355129688</v>
      </c>
      <c r="AB12">
        <v>-1.7341133612586199</v>
      </c>
      <c r="AC12">
        <v>-1.3904579281254299</v>
      </c>
      <c r="AD12">
        <v>-1.2976798301792201</v>
      </c>
      <c r="AE12">
        <v>-1.5626087518323</v>
      </c>
      <c r="AF12">
        <v>-1.74249312083399</v>
      </c>
      <c r="AG12">
        <v>-1.54999672163297</v>
      </c>
      <c r="AH12">
        <v>-1.2810253035118</v>
      </c>
      <c r="AI12">
        <v>-1.35930266191266</v>
      </c>
      <c r="AJ12">
        <v>-1.31727063633491</v>
      </c>
      <c r="AK12">
        <v>-1.7736117588047999</v>
      </c>
      <c r="AL12">
        <v>-1.77344975052415</v>
      </c>
      <c r="AM12">
        <v>-1.64159011877664</v>
      </c>
      <c r="AN12">
        <v>-1.6176287500992901</v>
      </c>
      <c r="AO12">
        <v>-1.6969842357965499</v>
      </c>
      <c r="AP12">
        <v>-1.3549292336738401</v>
      </c>
      <c r="AQ12">
        <v>-1.41772975644671</v>
      </c>
      <c r="AR12">
        <v>-1.64115423703955</v>
      </c>
      <c r="AS12">
        <v>-1.4574761739687301</v>
      </c>
      <c r="AT12">
        <v>-1.5151473065354699</v>
      </c>
      <c r="AU12">
        <v>-1.7984485818659099</v>
      </c>
      <c r="AV12">
        <v>-1.5935776123066601</v>
      </c>
      <c r="AW12">
        <v>-1.78253708961428</v>
      </c>
      <c r="AX12">
        <v>-1.17458033746589E-2</v>
      </c>
      <c r="AY12">
        <v>0.83953436299460005</v>
      </c>
      <c r="AZ12">
        <v>1.2343954221981499</v>
      </c>
      <c r="BA12">
        <v>1.1857967395221001</v>
      </c>
      <c r="BB12">
        <v>0.235321991031197</v>
      </c>
      <c r="BC12">
        <v>1.3515548412966401</v>
      </c>
      <c r="BD12">
        <v>1.4094615299962401</v>
      </c>
      <c r="BE12">
        <v>-0.17148968012584601</v>
      </c>
      <c r="BF12">
        <v>0.83550840375365198</v>
      </c>
      <c r="BG12">
        <v>-0.37598696853447999</v>
      </c>
      <c r="BH12">
        <v>-5.5527838777463097E-2</v>
      </c>
      <c r="BI12">
        <v>-1.01518781940762</v>
      </c>
      <c r="BJ12">
        <v>0.22757758648229501</v>
      </c>
      <c r="BK12">
        <v>0.48716414807403202</v>
      </c>
      <c r="BL12">
        <v>-0.18885160612906299</v>
      </c>
      <c r="BM12">
        <v>0.98961503948583196</v>
      </c>
      <c r="BN12">
        <v>1.2316494100614399</v>
      </c>
      <c r="BO12">
        <v>1.13259221561987</v>
      </c>
      <c r="BP12">
        <v>1.67315761416298</v>
      </c>
      <c r="BQ12">
        <v>1.00367593084093</v>
      </c>
      <c r="BR12">
        <v>0.69395417413679705</v>
      </c>
      <c r="BS12">
        <v>1.2649787565384101</v>
      </c>
      <c r="BT12">
        <v>0.83035129993455703</v>
      </c>
      <c r="BU12">
        <v>0.37670144048362902</v>
      </c>
      <c r="BV12">
        <v>0.33516070797464198</v>
      </c>
      <c r="BW12">
        <v>0.78709702491997402</v>
      </c>
      <c r="BX12">
        <v>1.0063195985279001</v>
      </c>
      <c r="BY12">
        <v>4.2427313284795702E-2</v>
      </c>
      <c r="BZ12">
        <v>-0.52596464753555605</v>
      </c>
      <c r="CA12">
        <v>0.19017356769388399</v>
      </c>
      <c r="CB12">
        <v>1.2651408589173601</v>
      </c>
      <c r="CC12">
        <v>-0.13717531694759899</v>
      </c>
      <c r="CD12">
        <v>-0.103496321690579</v>
      </c>
      <c r="CE12">
        <v>0.24022988216275801</v>
      </c>
      <c r="CF12">
        <v>0.98475267660176302</v>
      </c>
      <c r="CG12">
        <v>0.766534063436482</v>
      </c>
      <c r="CH12">
        <v>0.17055157733880499</v>
      </c>
      <c r="CI12">
        <v>0.97927735090857604</v>
      </c>
      <c r="CJ12">
        <v>-0.172869772732508</v>
      </c>
      <c r="CK12">
        <v>0.45417909326922701</v>
      </c>
      <c r="CL12">
        <v>0.31637771433200501</v>
      </c>
      <c r="CM12">
        <v>0.62182474345298699</v>
      </c>
      <c r="CN12">
        <v>0.124121375182183</v>
      </c>
      <c r="CO12">
        <v>0.434826498434634</v>
      </c>
      <c r="CP12">
        <v>-0.128368366210004</v>
      </c>
      <c r="CQ12">
        <v>1.38744082188872</v>
      </c>
      <c r="CR12">
        <v>1.25450425554405</v>
      </c>
      <c r="CS12">
        <v>-8.8078669633536597E-2</v>
      </c>
      <c r="CT12">
        <v>0.147448060731144</v>
      </c>
      <c r="CU12">
        <v>0.50536673574358904</v>
      </c>
      <c r="CV12">
        <v>9.1096429131450496E-2</v>
      </c>
      <c r="CW12">
        <v>6.2980295152153504E-2</v>
      </c>
      <c r="CX12">
        <v>0.67954204323911704</v>
      </c>
      <c r="CY12">
        <v>0.37926780345288802</v>
      </c>
      <c r="CZ12">
        <v>6.9310457571549799E-2</v>
      </c>
      <c r="DA12">
        <v>0.85735504066989598</v>
      </c>
      <c r="DB12">
        <v>-8.1278181537686706E-2</v>
      </c>
      <c r="DC12">
        <v>-0.36698682313241798</v>
      </c>
      <c r="DD12">
        <v>0.144083344073691</v>
      </c>
      <c r="DE12">
        <v>0.35859599332304798</v>
      </c>
      <c r="DF12">
        <v>0.80609658005229801</v>
      </c>
      <c r="DG12">
        <v>-0.38734135981773099</v>
      </c>
      <c r="DH12">
        <v>-0.27899012988476501</v>
      </c>
      <c r="DI12">
        <v>0.64102000707547002</v>
      </c>
      <c r="DJ12">
        <v>0.89624760755103305</v>
      </c>
      <c r="DK12">
        <v>0.80472027969732596</v>
      </c>
      <c r="DL12">
        <v>-0.28984767923986998</v>
      </c>
      <c r="DM12">
        <v>4.1627101240613099E-2</v>
      </c>
      <c r="DN12">
        <v>2.1743276718409099</v>
      </c>
      <c r="DO12">
        <v>0.106169032160274</v>
      </c>
      <c r="DP12">
        <v>0</v>
      </c>
      <c r="DQ12">
        <v>0.36290637315926999</v>
      </c>
      <c r="DR12">
        <v>0.85317924947114898</v>
      </c>
      <c r="DS12">
        <v>1.3550598869220201</v>
      </c>
      <c r="DT12">
        <v>1.8061057681383099</v>
      </c>
      <c r="DU12">
        <v>0.95078673405048997</v>
      </c>
      <c r="DV12">
        <v>3.8937803524831303E-2</v>
      </c>
      <c r="DW12">
        <v>1.73720944109458</v>
      </c>
      <c r="DX12">
        <v>-0.26010012930652998</v>
      </c>
      <c r="DY12">
        <v>-0.191349901867996</v>
      </c>
      <c r="DZ12">
        <v>-0.31161374455496399</v>
      </c>
      <c r="EA12">
        <v>-0.62494774643932605</v>
      </c>
      <c r="EB12">
        <v>-1.2056635556891699</v>
      </c>
      <c r="EC12">
        <v>-1.0838608621057899</v>
      </c>
      <c r="ED12">
        <v>-1.1908629464689799E-2</v>
      </c>
      <c r="EE12">
        <v>-0.56374462977189199</v>
      </c>
      <c r="EF12">
        <v>-1.0250853842041401</v>
      </c>
      <c r="EG12">
        <v>-0.57617614765330905</v>
      </c>
      <c r="EH12">
        <v>-0.18384490740436499</v>
      </c>
      <c r="EI12">
        <v>0.340057724967883</v>
      </c>
      <c r="EJ12">
        <v>-0.100791317284912</v>
      </c>
      <c r="EK12">
        <v>-0.24240280933282199</v>
      </c>
      <c r="EL12">
        <v>0.33390545370396801</v>
      </c>
      <c r="EM12">
        <v>3.9865685591434099</v>
      </c>
      <c r="EN12">
        <v>-1.0580465249092099</v>
      </c>
      <c r="EO12">
        <v>-0.45917705639046202</v>
      </c>
      <c r="EP12">
        <v>-1.9001401413678301E-2</v>
      </c>
      <c r="EQ12">
        <v>-4.7825850803690201E-2</v>
      </c>
      <c r="ER12">
        <v>-0.17538030039361499</v>
      </c>
      <c r="ES12">
        <v>-4.2912892466843003E-2</v>
      </c>
      <c r="ET12">
        <v>0.55602538333981799</v>
      </c>
      <c r="EU12">
        <v>0.115852875193386</v>
      </c>
      <c r="EV12">
        <v>0.72854776354763096</v>
      </c>
      <c r="EW12">
        <v>0.50894873802296703</v>
      </c>
      <c r="EX12">
        <v>1.0993377892374001</v>
      </c>
      <c r="EY12">
        <v>0.85629854535124705</v>
      </c>
      <c r="EZ12">
        <v>0.63056480815959703</v>
      </c>
      <c r="FA12">
        <v>0.95012937862218305</v>
      </c>
      <c r="FB12">
        <v>0.84769473948226803</v>
      </c>
      <c r="FC12">
        <v>0.92973781185638904</v>
      </c>
      <c r="FD12">
        <v>0.82457474753448801</v>
      </c>
      <c r="FE12">
        <v>1.1306659047330201</v>
      </c>
      <c r="FF12">
        <v>0.792050710422461</v>
      </c>
      <c r="FG12">
        <v>0.27761708871346003</v>
      </c>
      <c r="FH12">
        <v>0.305594726909998</v>
      </c>
      <c r="FI12">
        <v>0.73155272601236798</v>
      </c>
      <c r="FJ12">
        <v>0.160247969062427</v>
      </c>
      <c r="FK12">
        <v>0.48179589537558198</v>
      </c>
      <c r="FL12">
        <v>-0.14677629782976401</v>
      </c>
      <c r="FM12">
        <v>-0.50059758045696001</v>
      </c>
      <c r="FN12">
        <v>-0.23004002888480801</v>
      </c>
      <c r="FO12">
        <v>0.49853156253408998</v>
      </c>
      <c r="FP12">
        <v>0.50085658899068497</v>
      </c>
      <c r="FQ12">
        <v>0.96695015850337196</v>
      </c>
      <c r="FR12">
        <v>0.530880833462541</v>
      </c>
      <c r="FS12">
        <v>0.65228336669978904</v>
      </c>
      <c r="FT12">
        <v>0.30772663148570101</v>
      </c>
      <c r="FU12">
        <v>0.876194946696501</v>
      </c>
      <c r="FV12">
        <v>0.53962569027377405</v>
      </c>
      <c r="FW12">
        <v>0.54015682367323903</v>
      </c>
      <c r="FX12">
        <v>-6.36424145394099E-2</v>
      </c>
      <c r="FY12">
        <v>0.221142132793196</v>
      </c>
      <c r="FZ12">
        <v>0.80943098988176099</v>
      </c>
      <c r="GA12">
        <v>-0.20496368094790601</v>
      </c>
      <c r="GB12">
        <v>0.136643730263279</v>
      </c>
      <c r="GC12">
        <v>-0.76528242501709598</v>
      </c>
      <c r="GD12">
        <v>-0.60360471143093697</v>
      </c>
      <c r="GE12">
        <v>-0.55942022348995502</v>
      </c>
      <c r="GF12">
        <v>-0.69266402894801904</v>
      </c>
      <c r="GG12">
        <v>-0.33734519506342697</v>
      </c>
      <c r="GH12">
        <v>0.31678108446033998</v>
      </c>
      <c r="GI12">
        <v>0.20368364435460401</v>
      </c>
      <c r="GJ12">
        <v>-0.522835787709234</v>
      </c>
      <c r="GK12">
        <v>-0.63871433631645202</v>
      </c>
    </row>
    <row r="13" spans="1:193" x14ac:dyDescent="0.25">
      <c r="A13" t="s">
        <v>266</v>
      </c>
      <c r="B13" t="s">
        <v>544</v>
      </c>
      <c r="C13">
        <v>6.6430652964408102E-2</v>
      </c>
      <c r="D13">
        <v>8.7291304291326199E-2</v>
      </c>
      <c r="E13">
        <v>0.40204203585673398</v>
      </c>
      <c r="F13">
        <v>0.185341474839473</v>
      </c>
      <c r="G13">
        <v>5.1183112209142498E-2</v>
      </c>
      <c r="H13">
        <v>0.18110697526470801</v>
      </c>
      <c r="I13">
        <v>0.20055342795908099</v>
      </c>
      <c r="J13">
        <v>0.13796741291502601</v>
      </c>
      <c r="K13">
        <v>0.14050507053809599</v>
      </c>
      <c r="L13">
        <v>8.4096995943652303E-2</v>
      </c>
      <c r="M13">
        <v>3.7728319832234201E-2</v>
      </c>
      <c r="N13">
        <v>4.0808801543856403E-2</v>
      </c>
      <c r="O13">
        <v>3.63329004736022E-2</v>
      </c>
      <c r="P13">
        <v>2.4843779961152699E-2</v>
      </c>
      <c r="Q13">
        <v>4.0430176015587203E-2</v>
      </c>
      <c r="R13">
        <v>5.7845648448422902E-2</v>
      </c>
      <c r="S13">
        <v>7.7764887951166303E-2</v>
      </c>
      <c r="T13">
        <v>4.9503848564515701E-2</v>
      </c>
      <c r="U13">
        <v>7.0356598291468203E-2</v>
      </c>
      <c r="V13">
        <v>6.4515752547813998E-2</v>
      </c>
      <c r="W13">
        <v>0.115346472458486</v>
      </c>
      <c r="X13">
        <v>0.128065869316908</v>
      </c>
      <c r="Y13">
        <v>7.7412139821226994E-2</v>
      </c>
      <c r="Z13">
        <v>0.21753013720894401</v>
      </c>
      <c r="AA13">
        <v>0.12651748940098401</v>
      </c>
      <c r="AB13">
        <v>2.2660838550967202E-2</v>
      </c>
      <c r="AC13">
        <v>2.4724317999489001E-2</v>
      </c>
      <c r="AD13">
        <v>2.8353075951583699E-2</v>
      </c>
      <c r="AE13">
        <v>0</v>
      </c>
      <c r="AF13">
        <v>8.1726509698302696E-2</v>
      </c>
      <c r="AG13">
        <v>5.8133131579493E-2</v>
      </c>
      <c r="AH13">
        <v>0.12996214989372601</v>
      </c>
      <c r="AI13">
        <v>4.1264975845091298E-2</v>
      </c>
      <c r="AJ13">
        <v>0.15078042218042301</v>
      </c>
      <c r="AK13">
        <v>0.11828590442430199</v>
      </c>
      <c r="AL13">
        <v>6.0936510869045703E-2</v>
      </c>
      <c r="AM13">
        <v>1.8977363243450601E-2</v>
      </c>
      <c r="AN13">
        <v>5.7079494666399097E-2</v>
      </c>
      <c r="AO13">
        <v>9.2778659321829202E-2</v>
      </c>
      <c r="AP13">
        <v>3.7890304177551501E-2</v>
      </c>
      <c r="AQ13">
        <v>8.2996540318925102E-2</v>
      </c>
      <c r="AR13">
        <v>1.2550884578222E-2</v>
      </c>
      <c r="AS13">
        <v>0.111003079503148</v>
      </c>
      <c r="AT13">
        <v>9.5180166384237694E-2</v>
      </c>
      <c r="AU13">
        <v>0.13046771418051401</v>
      </c>
      <c r="AV13">
        <v>7.4047710442499401E-2</v>
      </c>
      <c r="AW13">
        <v>8.7228597778119199E-2</v>
      </c>
      <c r="AX13">
        <v>5.8462100888118498E-2</v>
      </c>
      <c r="AY13">
        <v>0</v>
      </c>
      <c r="AZ13">
        <v>8.0748228013425502E-2</v>
      </c>
      <c r="BA13">
        <v>0.13062271125636599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2.92452980921519E-2</v>
      </c>
      <c r="BM13">
        <v>4.1878092573172598E-2</v>
      </c>
      <c r="BN13">
        <v>7.0039114209413694E-2</v>
      </c>
      <c r="BO13">
        <v>0</v>
      </c>
      <c r="BP13">
        <v>0</v>
      </c>
      <c r="BQ13">
        <v>6.23838890491165E-2</v>
      </c>
      <c r="BR13">
        <v>0</v>
      </c>
      <c r="BS13">
        <v>0.32333289408725802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0.14510145387811399</v>
      </c>
      <c r="CC13">
        <v>0.10194817497064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0.116595510071825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0.13631815425145499</v>
      </c>
      <c r="DK13">
        <v>0</v>
      </c>
      <c r="DL13">
        <v>3.2781321942906498E-2</v>
      </c>
      <c r="DM13">
        <v>0</v>
      </c>
      <c r="DN13">
        <v>5.9938022393993401E-2</v>
      </c>
      <c r="DO13">
        <v>0</v>
      </c>
      <c r="DP13">
        <v>0</v>
      </c>
      <c r="DQ13">
        <v>0</v>
      </c>
      <c r="DR13">
        <v>0</v>
      </c>
      <c r="DS13">
        <v>2.0973441257027901E-2</v>
      </c>
      <c r="DT13">
        <v>7.6328784199282199E-2</v>
      </c>
      <c r="DU13">
        <v>0</v>
      </c>
      <c r="DV13">
        <v>0.120348964274046</v>
      </c>
      <c r="DW13">
        <v>0</v>
      </c>
      <c r="DX13">
        <v>5.5358741697557903E-2</v>
      </c>
      <c r="DY13">
        <v>0</v>
      </c>
      <c r="DZ13">
        <v>5.1707392947373601E-2</v>
      </c>
      <c r="EA13">
        <v>0</v>
      </c>
      <c r="EB13">
        <v>0</v>
      </c>
      <c r="EC13">
        <v>0</v>
      </c>
      <c r="ED13">
        <v>7.8250047633345601E-2</v>
      </c>
      <c r="EE13">
        <v>2.27196778744157E-2</v>
      </c>
      <c r="EF13">
        <v>0.10005419531986399</v>
      </c>
      <c r="EG13">
        <v>4.9458404071411902E-2</v>
      </c>
      <c r="EH13">
        <v>0</v>
      </c>
      <c r="EI13">
        <v>0.37109387349900502</v>
      </c>
      <c r="EJ13">
        <v>0.43453195657855898</v>
      </c>
      <c r="EK13">
        <v>0.41936685457865602</v>
      </c>
      <c r="EL13">
        <v>0.20259230103188</v>
      </c>
      <c r="EM13">
        <v>0</v>
      </c>
      <c r="EN13">
        <v>0</v>
      </c>
      <c r="EO13">
        <v>0</v>
      </c>
      <c r="EP13">
        <v>5.71825164967932E-2</v>
      </c>
      <c r="EQ13">
        <v>0</v>
      </c>
      <c r="ER13">
        <v>0</v>
      </c>
      <c r="ES13">
        <v>0</v>
      </c>
      <c r="ET13">
        <v>0.114792503082369</v>
      </c>
      <c r="EU13">
        <v>0</v>
      </c>
      <c r="EV13">
        <v>0.185293047342346</v>
      </c>
      <c r="EW13">
        <v>0</v>
      </c>
      <c r="EX13">
        <v>0</v>
      </c>
      <c r="EY13">
        <v>0.105525177397956</v>
      </c>
      <c r="EZ13">
        <v>0.41820267108529802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0.21683323555662101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0.13571032525920201</v>
      </c>
      <c r="FN13">
        <v>0.119477987393557</v>
      </c>
      <c r="FO13">
        <v>0.138865985872659</v>
      </c>
      <c r="FP13">
        <v>0</v>
      </c>
      <c r="FQ13">
        <v>0.250967128053177</v>
      </c>
      <c r="FR13">
        <v>0.1012683621978</v>
      </c>
      <c r="FS13">
        <v>0.180724415361179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0.14328911189762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6.9834749220971798E-2</v>
      </c>
      <c r="GI13">
        <v>0</v>
      </c>
      <c r="GJ13">
        <v>0</v>
      </c>
      <c r="GK13">
        <v>6.7879457887163694E-2</v>
      </c>
    </row>
    <row r="14" spans="1:193" x14ac:dyDescent="0.25">
      <c r="A14" t="s">
        <v>266</v>
      </c>
      <c r="B14" t="s">
        <v>548</v>
      </c>
      <c r="C14">
        <v>7.6265890567361297E-4</v>
      </c>
      <c r="D14">
        <v>-0.10128725201724199</v>
      </c>
      <c r="E14">
        <v>4.2828029521083999E-2</v>
      </c>
      <c r="F14">
        <v>2.7802914076652599E-4</v>
      </c>
      <c r="G14">
        <v>4.2720372745430899E-3</v>
      </c>
      <c r="H14">
        <v>7.3122678549398402E-3</v>
      </c>
      <c r="I14">
        <v>-7.0835020243117303E-2</v>
      </c>
      <c r="J14">
        <v>0.263500843693035</v>
      </c>
      <c r="K14">
        <v>6.1248610286042102E-2</v>
      </c>
      <c r="L14">
        <v>1.9185716899501201E-2</v>
      </c>
      <c r="M14">
        <v>0.103231883918247</v>
      </c>
      <c r="N14">
        <v>1.0148715023879099E-2</v>
      </c>
      <c r="O14">
        <v>9.5656189364495603E-2</v>
      </c>
      <c r="P14">
        <v>-5.2398666430184E-3</v>
      </c>
      <c r="Q14">
        <v>-8.0697166112821399E-4</v>
      </c>
      <c r="R14">
        <v>0.282833800092749</v>
      </c>
      <c r="S14">
        <v>-4.2515752161419201E-2</v>
      </c>
      <c r="T14">
        <v>0.23798916427412101</v>
      </c>
      <c r="U14">
        <v>-5.2266059514098101E-2</v>
      </c>
      <c r="V14">
        <v>-9.4290843189670306E-3</v>
      </c>
      <c r="W14">
        <v>-1.72009438349317E-2</v>
      </c>
      <c r="X14">
        <v>-1.9705822057170799E-3</v>
      </c>
      <c r="Y14">
        <v>0.111823568881248</v>
      </c>
      <c r="Z14">
        <v>4.63254867844008E-2</v>
      </c>
      <c r="AA14">
        <v>-1.8936352929635001E-2</v>
      </c>
      <c r="AB14">
        <v>0.31394799165085702</v>
      </c>
      <c r="AC14">
        <v>0.14355554806684001</v>
      </c>
      <c r="AD14">
        <v>6.9604157156367197E-2</v>
      </c>
      <c r="AE14">
        <v>4.6758859510351398E-3</v>
      </c>
      <c r="AF14">
        <v>-6.3727332632316502E-2</v>
      </c>
      <c r="AG14">
        <v>2.35515729681707E-2</v>
      </c>
      <c r="AH14">
        <v>2.57666993250368E-2</v>
      </c>
      <c r="AI14">
        <v>8.8707346552103106E-2</v>
      </c>
      <c r="AJ14">
        <v>0.201415060825609</v>
      </c>
      <c r="AK14">
        <v>-2.71679379063175E-2</v>
      </c>
      <c r="AL14">
        <v>5.0547318021904097E-2</v>
      </c>
      <c r="AM14">
        <v>0.104524886534063</v>
      </c>
      <c r="AN14">
        <v>-5.2448066580853998E-3</v>
      </c>
      <c r="AO14">
        <v>3.3262862415313003E-2</v>
      </c>
      <c r="AP14">
        <v>7.8012126981197499E-2</v>
      </c>
      <c r="AQ14">
        <v>5.3204680863268398E-2</v>
      </c>
      <c r="AR14">
        <v>4.2780276440046699E-2</v>
      </c>
      <c r="AS14">
        <v>0.111782842702082</v>
      </c>
      <c r="AT14">
        <v>-3.9565244434302899E-2</v>
      </c>
      <c r="AU14">
        <v>7.7253732785480006E-2</v>
      </c>
      <c r="AV14">
        <v>-1.4316655268846701E-4</v>
      </c>
      <c r="AW14">
        <v>3.7139346023007599E-2</v>
      </c>
      <c r="AX14">
        <v>7.6654445844442004E-2</v>
      </c>
      <c r="AY14">
        <v>6.0512755942217E-2</v>
      </c>
      <c r="AZ14">
        <v>-6.4705614317193599E-2</v>
      </c>
      <c r="BA14">
        <v>-0.145453842330619</v>
      </c>
      <c r="BB14">
        <v>0.71590667021144305</v>
      </c>
      <c r="BC14">
        <v>-0.145453842330619</v>
      </c>
      <c r="BD14">
        <v>-0.145453842330619</v>
      </c>
      <c r="BE14">
        <v>9.3079184162835907E-2</v>
      </c>
      <c r="BF14">
        <v>-9.3701963833735205E-2</v>
      </c>
      <c r="BG14">
        <v>-0.145453842330619</v>
      </c>
      <c r="BH14">
        <v>-0.145453842330619</v>
      </c>
      <c r="BI14">
        <v>-0.145453842330619</v>
      </c>
      <c r="BJ14">
        <v>-0.145453842330619</v>
      </c>
      <c r="BK14">
        <v>-0.145453842330619</v>
      </c>
      <c r="BL14">
        <v>-3.1512994427209E-2</v>
      </c>
      <c r="BM14">
        <v>9.0955953804966502E-2</v>
      </c>
      <c r="BN14">
        <v>5.6172085996550797E-2</v>
      </c>
      <c r="BO14">
        <v>6.6612043453080194E-2</v>
      </c>
      <c r="BP14">
        <v>-0.145453842330619</v>
      </c>
      <c r="BQ14">
        <v>-2.3004479309308799E-2</v>
      </c>
      <c r="BR14">
        <v>-0.145453842330619</v>
      </c>
      <c r="BS14">
        <v>-0.145453842330619</v>
      </c>
      <c r="BT14">
        <v>2.6431573776968102E-3</v>
      </c>
      <c r="BU14">
        <v>6.5668722997894904E-2</v>
      </c>
      <c r="BV14">
        <v>5.8810799676218599E-2</v>
      </c>
      <c r="BW14">
        <v>7.3283151786155507E-2</v>
      </c>
      <c r="BX14">
        <v>-0.145453842330619</v>
      </c>
      <c r="BY14">
        <v>0.252685864304806</v>
      </c>
      <c r="BZ14">
        <v>-0.145453842330619</v>
      </c>
      <c r="CA14">
        <v>-0.145453842330619</v>
      </c>
      <c r="CB14">
        <v>4.5266326429120499E-2</v>
      </c>
      <c r="CC14">
        <v>-4.3505667359979197E-2</v>
      </c>
      <c r="CD14">
        <v>-0.145453842330619</v>
      </c>
      <c r="CE14">
        <v>1.6413148451439499E-2</v>
      </c>
      <c r="CF14">
        <v>-0.145453842330619</v>
      </c>
      <c r="CG14">
        <v>1.70240827295658E-2</v>
      </c>
      <c r="CH14">
        <v>-0.145453842330619</v>
      </c>
      <c r="CI14">
        <v>-8.7979522090357396E-3</v>
      </c>
      <c r="CJ14">
        <v>0.37418452226843402</v>
      </c>
      <c r="CK14">
        <v>-0.145453842330619</v>
      </c>
      <c r="CL14">
        <v>-1.5953320245889E-2</v>
      </c>
      <c r="CM14">
        <v>0.49038037385704097</v>
      </c>
      <c r="CN14">
        <v>-0.145453842330619</v>
      </c>
      <c r="CO14">
        <v>-0.145453842330619</v>
      </c>
      <c r="CP14">
        <v>-0.145453842330619</v>
      </c>
      <c r="CQ14">
        <v>-0.145453842330619</v>
      </c>
      <c r="CR14">
        <v>-0.145453842330619</v>
      </c>
      <c r="CS14">
        <v>-0.145453842330619</v>
      </c>
      <c r="CT14">
        <v>-0.145453842330619</v>
      </c>
      <c r="CU14">
        <v>0.22481290907572901</v>
      </c>
      <c r="CV14">
        <v>-2.8858332258794799E-2</v>
      </c>
      <c r="CW14">
        <v>0</v>
      </c>
      <c r="CX14">
        <v>1.2478765456910301E-2</v>
      </c>
      <c r="CY14">
        <v>0.162534628058457</v>
      </c>
      <c r="CZ14">
        <v>0.26068517472895197</v>
      </c>
      <c r="DA14">
        <v>0.19082935485262201</v>
      </c>
      <c r="DB14">
        <v>-0.145453842330619</v>
      </c>
      <c r="DC14">
        <v>-0.145453842330619</v>
      </c>
      <c r="DD14">
        <v>0.90597528456270204</v>
      </c>
      <c r="DE14">
        <v>0.30320102235666802</v>
      </c>
      <c r="DF14">
        <v>-0.145453842330619</v>
      </c>
      <c r="DG14">
        <v>-0.145453842330619</v>
      </c>
      <c r="DH14">
        <v>-0.145453842330619</v>
      </c>
      <c r="DI14">
        <v>-0.145453842330619</v>
      </c>
      <c r="DJ14">
        <v>-9.1356880791637705E-3</v>
      </c>
      <c r="DK14">
        <v>0.27146774705256799</v>
      </c>
      <c r="DL14">
        <v>-0.145453842330619</v>
      </c>
      <c r="DM14">
        <v>-0.145453842330619</v>
      </c>
      <c r="DN14">
        <v>2.928490244E-2</v>
      </c>
      <c r="DO14">
        <v>0.209493206460167</v>
      </c>
      <c r="DP14">
        <v>-2.9726548328566801E-2</v>
      </c>
      <c r="DQ14">
        <v>8.8565056659543701E-2</v>
      </c>
      <c r="DR14">
        <v>0.32045650104225598</v>
      </c>
      <c r="DS14">
        <v>-4.2949692853116998E-2</v>
      </c>
      <c r="DT14">
        <v>-5.0534477127750499E-2</v>
      </c>
      <c r="DU14">
        <v>-1.24889015610328E-2</v>
      </c>
      <c r="DV14">
        <v>0.46882370074435398</v>
      </c>
      <c r="DW14">
        <v>0.70404328677656303</v>
      </c>
      <c r="DX14">
        <v>-9.0095100633061295E-2</v>
      </c>
      <c r="DY14">
        <v>4.0550670982897101E-2</v>
      </c>
      <c r="DZ14">
        <v>0.17753021434588001</v>
      </c>
      <c r="EA14">
        <v>2.2021005369295601E-2</v>
      </c>
      <c r="EB14">
        <v>-4.6175235143276899E-2</v>
      </c>
      <c r="EC14">
        <v>-2.5443619917379499E-2</v>
      </c>
      <c r="ED14">
        <v>7.8943314448126994E-2</v>
      </c>
      <c r="EE14">
        <v>-5.6343789862887197E-2</v>
      </c>
      <c r="EF14">
        <v>-0.111425470724223</v>
      </c>
      <c r="EG14">
        <v>-4.7976703883016003E-2</v>
      </c>
      <c r="EH14">
        <v>-3.1918015976322003E-2</v>
      </c>
      <c r="EI14">
        <v>-4.4333047549889697E-2</v>
      </c>
      <c r="EJ14">
        <v>0.44426742832513499</v>
      </c>
      <c r="EK14">
        <v>0.28823889078978099</v>
      </c>
      <c r="EL14">
        <v>0.17881951651713199</v>
      </c>
      <c r="EM14">
        <v>0.213227759981367</v>
      </c>
      <c r="EN14">
        <v>2.8803212515402202E-2</v>
      </c>
      <c r="EO14">
        <v>2.37314044300217E-2</v>
      </c>
      <c r="EP14">
        <v>2.0347483762161701E-2</v>
      </c>
      <c r="EQ14">
        <v>-0.145453842330619</v>
      </c>
      <c r="ER14">
        <v>-0.145453842330619</v>
      </c>
      <c r="ES14">
        <v>-0.145453842330619</v>
      </c>
      <c r="ET14">
        <v>0.52381189507525805</v>
      </c>
      <c r="EU14">
        <v>4.7771000863678199E-2</v>
      </c>
      <c r="EV14">
        <v>0.12493743751476399</v>
      </c>
      <c r="EW14">
        <v>0.141971614792581</v>
      </c>
      <c r="EX14">
        <v>0.31314890354754799</v>
      </c>
      <c r="EY14">
        <v>5.8913264814367497E-2</v>
      </c>
      <c r="EZ14">
        <v>6.2674923729895103E-3</v>
      </c>
      <c r="FA14">
        <v>0.26723709517091399</v>
      </c>
      <c r="FB14">
        <v>-0.145453842330619</v>
      </c>
      <c r="FC14">
        <v>-0.145453842330619</v>
      </c>
      <c r="FD14">
        <v>0.297234573172585</v>
      </c>
      <c r="FE14">
        <v>-0.145453842330619</v>
      </c>
      <c r="FF14">
        <v>-3.3388820580063601E-2</v>
      </c>
      <c r="FG14">
        <v>-0.145453842330619</v>
      </c>
      <c r="FH14">
        <v>3.5806533462738599E-2</v>
      </c>
      <c r="FI14">
        <v>-1.54650205163644E-2</v>
      </c>
      <c r="FJ14">
        <v>0.247452844852033</v>
      </c>
      <c r="FK14">
        <v>0.14891994648771401</v>
      </c>
      <c r="FL14">
        <v>-1.9263023847610802E-2</v>
      </c>
      <c r="FM14">
        <v>0.11502897673821</v>
      </c>
      <c r="FN14">
        <v>-0.145453842330619</v>
      </c>
      <c r="FO14">
        <v>-0.145453842330619</v>
      </c>
      <c r="FP14">
        <v>-4.73801179302182E-2</v>
      </c>
      <c r="FQ14">
        <v>0.32171068028575001</v>
      </c>
      <c r="FR14">
        <v>-4.4185480132819803E-2</v>
      </c>
      <c r="FS14">
        <v>3.5270573030559402E-2</v>
      </c>
      <c r="FT14">
        <v>-0.145453842330619</v>
      </c>
      <c r="FU14">
        <v>-0.145453842330619</v>
      </c>
      <c r="FV14">
        <v>-0.145453842330619</v>
      </c>
      <c r="FW14">
        <v>-4.6921577550984798E-2</v>
      </c>
      <c r="FX14">
        <v>-0.145453842330619</v>
      </c>
      <c r="FY14">
        <v>-1.6971278911178399E-2</v>
      </c>
      <c r="FZ14">
        <v>0.12889763503452201</v>
      </c>
      <c r="GA14">
        <v>6.3060192368699003E-2</v>
      </c>
      <c r="GB14">
        <v>-3.3358646477157097E-2</v>
      </c>
      <c r="GC14">
        <v>-0.104047375946087</v>
      </c>
      <c r="GD14">
        <v>4.7976024260998902E-2</v>
      </c>
      <c r="GE14">
        <v>2.04640555031965E-2</v>
      </c>
      <c r="GF14">
        <v>-4.56805373798259E-2</v>
      </c>
      <c r="GG14">
        <v>6.2233059377250897E-2</v>
      </c>
      <c r="GH14">
        <v>-0.145453842330619</v>
      </c>
      <c r="GI14">
        <v>-0.145453842330619</v>
      </c>
      <c r="GJ14">
        <v>3.5776080393949299E-2</v>
      </c>
      <c r="GK14">
        <v>-1.2440364950136101E-2</v>
      </c>
    </row>
    <row r="15" spans="1:193" x14ac:dyDescent="0.25">
      <c r="A15" t="s">
        <v>266</v>
      </c>
      <c r="B15" t="s">
        <v>552</v>
      </c>
      <c r="C15">
        <v>-0.60138884313822005</v>
      </c>
      <c r="D15">
        <v>-0.71910510263627303</v>
      </c>
      <c r="E15">
        <v>-0.36654079809816398</v>
      </c>
      <c r="F15">
        <v>-0.884974025577002</v>
      </c>
      <c r="G15">
        <v>-0.99780427243530401</v>
      </c>
      <c r="H15">
        <v>-0.47544628592247101</v>
      </c>
      <c r="I15">
        <v>-0.34963698101171398</v>
      </c>
      <c r="J15">
        <v>-0.37272307919105302</v>
      </c>
      <c r="K15">
        <v>-0.41554852241680001</v>
      </c>
      <c r="L15">
        <v>-1.02195640820289</v>
      </c>
      <c r="M15">
        <v>-0.90595995698338205</v>
      </c>
      <c r="N15">
        <v>-1.1525983342772199</v>
      </c>
      <c r="O15">
        <v>-1.0790185818710001</v>
      </c>
      <c r="P15">
        <v>-0.152505271109244</v>
      </c>
      <c r="Q15">
        <v>-0.74083270886586405</v>
      </c>
      <c r="R15">
        <v>0.14300494409675699</v>
      </c>
      <c r="S15">
        <v>-0.55917004462157704</v>
      </c>
      <c r="T15">
        <v>-0.46540760034908202</v>
      </c>
      <c r="U15">
        <v>-0.246193224520802</v>
      </c>
      <c r="V15">
        <v>-0.34288832207248598</v>
      </c>
      <c r="W15">
        <v>-0.92964594223126296</v>
      </c>
      <c r="X15">
        <v>-0.56264217790748505</v>
      </c>
      <c r="Y15">
        <v>-0.80158560844581195</v>
      </c>
      <c r="Z15">
        <v>-1.17243957524736</v>
      </c>
      <c r="AA15">
        <v>-0.63327698449849801</v>
      </c>
      <c r="AB15">
        <v>-0.85976930023686304</v>
      </c>
      <c r="AC15">
        <v>-0.80497584276137701</v>
      </c>
      <c r="AD15">
        <v>-0.62885459376601305</v>
      </c>
      <c r="AE15">
        <v>-1.1695102708727401</v>
      </c>
      <c r="AF15">
        <v>-1.1437677493556</v>
      </c>
      <c r="AG15">
        <v>-0.68772096264438598</v>
      </c>
      <c r="AH15">
        <v>-0.72133364608317896</v>
      </c>
      <c r="AI15">
        <v>-1.19246819668662</v>
      </c>
      <c r="AJ15">
        <v>-0.55973140500368201</v>
      </c>
      <c r="AK15">
        <v>-1.1184503532079999</v>
      </c>
      <c r="AL15">
        <v>-1.54169985664468</v>
      </c>
      <c r="AM15">
        <v>-0.66815324192583003</v>
      </c>
      <c r="AN15">
        <v>-1.5334870002413401</v>
      </c>
      <c r="AO15">
        <v>-1.1079316148536</v>
      </c>
      <c r="AP15">
        <v>-1.0927787771211299</v>
      </c>
      <c r="AQ15">
        <v>-1.0906248635351099</v>
      </c>
      <c r="AR15">
        <v>-1.16514075099063</v>
      </c>
      <c r="AS15">
        <v>-0.84419634483224903</v>
      </c>
      <c r="AT15">
        <v>-1.2041418336635701</v>
      </c>
      <c r="AU15">
        <v>-1.12742988868123</v>
      </c>
      <c r="AV15">
        <v>-0.82666425613866901</v>
      </c>
      <c r="AW15">
        <v>-0.79151069923079498</v>
      </c>
      <c r="AX15">
        <v>-0.27755300556808798</v>
      </c>
      <c r="AY15">
        <v>0.40147229133533302</v>
      </c>
      <c r="AZ15">
        <v>0</v>
      </c>
      <c r="BA15">
        <v>0.117681428291252</v>
      </c>
      <c r="BB15">
        <v>-7.3060633405807499E-2</v>
      </c>
      <c r="BC15">
        <v>0.42157316555232799</v>
      </c>
      <c r="BD15">
        <v>-0.75640247212675105</v>
      </c>
      <c r="BE15">
        <v>0.24344027602291399</v>
      </c>
      <c r="BF15">
        <v>0.66954267692487601</v>
      </c>
      <c r="BG15">
        <v>1.0001611403536499</v>
      </c>
      <c r="BH15">
        <v>-0.123913255019029</v>
      </c>
      <c r="BI15">
        <v>0.68234359771300501</v>
      </c>
      <c r="BJ15">
        <v>-0.51174588256880904</v>
      </c>
      <c r="BK15">
        <v>-0.62830047086239804</v>
      </c>
      <c r="BL15">
        <v>0.75106162431412504</v>
      </c>
      <c r="BM15">
        <v>-0.30085366188525903</v>
      </c>
      <c r="BN15">
        <v>0.27746224035806</v>
      </c>
      <c r="BO15">
        <v>0.35036801950156599</v>
      </c>
      <c r="BP15">
        <v>0.94379188458931096</v>
      </c>
      <c r="BQ15">
        <v>0.484052465316546</v>
      </c>
      <c r="BR15">
        <v>0.76256708011210494</v>
      </c>
      <c r="BS15">
        <v>8.6907071641042805E-2</v>
      </c>
      <c r="BT15">
        <v>-0.157262626362553</v>
      </c>
      <c r="BU15">
        <v>0.77344623273461399</v>
      </c>
      <c r="BV15">
        <v>0.233274040387556</v>
      </c>
      <c r="BW15">
        <v>7.00461335866229E-2</v>
      </c>
      <c r="BX15">
        <v>-0.14116434261129701</v>
      </c>
      <c r="BY15">
        <v>-0.26595531115220999</v>
      </c>
      <c r="BZ15">
        <v>1.6298044060388499</v>
      </c>
      <c r="CA15">
        <v>-0.442956486297231</v>
      </c>
      <c r="CB15">
        <v>0.56354935268345896</v>
      </c>
      <c r="CC15">
        <v>-5.88158438903017E-2</v>
      </c>
      <c r="CD15">
        <v>7.9221424194918497E-2</v>
      </c>
      <c r="CE15">
        <v>-0.62218515667232799</v>
      </c>
      <c r="CF15">
        <v>-0.831112959174788</v>
      </c>
      <c r="CG15">
        <v>3.7309925317840699E-2</v>
      </c>
      <c r="CH15">
        <v>3.9022656423070498E-2</v>
      </c>
      <c r="CI15">
        <v>0.15006895968664899</v>
      </c>
      <c r="CJ15">
        <v>-7.0215701389716098E-2</v>
      </c>
      <c r="CK15">
        <v>-1.6703844289637199E-2</v>
      </c>
      <c r="CL15">
        <v>0.12882745299774201</v>
      </c>
      <c r="CM15">
        <v>0.50670172404173797</v>
      </c>
      <c r="CN15">
        <v>0.32873230031841499</v>
      </c>
      <c r="CO15">
        <v>0.24744236328584199</v>
      </c>
      <c r="CP15">
        <v>-8.7248772744928302E-2</v>
      </c>
      <c r="CQ15">
        <v>0.17778359115914899</v>
      </c>
      <c r="CR15">
        <v>-1.02886801584979</v>
      </c>
      <c r="CS15">
        <v>-0.523195108107536</v>
      </c>
      <c r="CT15">
        <v>9.2364489889919799E-2</v>
      </c>
      <c r="CU15">
        <v>3.61843010310312E-3</v>
      </c>
      <c r="CV15">
        <v>-0.121723207769509</v>
      </c>
      <c r="CW15">
        <v>0.54856841592452998</v>
      </c>
      <c r="CX15">
        <v>0.98205650033121294</v>
      </c>
      <c r="CY15">
        <v>-7.1370805636901596E-2</v>
      </c>
      <c r="CZ15">
        <v>0.64728719252501599</v>
      </c>
      <c r="DA15">
        <v>0.71539131091368202</v>
      </c>
      <c r="DB15">
        <v>-3.9542438524552699E-2</v>
      </c>
      <c r="DC15">
        <v>2.6641770219258499E-2</v>
      </c>
      <c r="DD15">
        <v>-0.38130028085193801</v>
      </c>
      <c r="DE15">
        <v>-1.27494494853102E-2</v>
      </c>
      <c r="DF15">
        <v>-9.7516679835012804E-2</v>
      </c>
      <c r="DG15">
        <v>-0.32364115972587398</v>
      </c>
      <c r="DH15">
        <v>-0.103735552226497</v>
      </c>
      <c r="DI15">
        <v>1.08223557581667</v>
      </c>
      <c r="DJ15">
        <v>-0.132355701745454</v>
      </c>
      <c r="DK15">
        <v>0.34900266476713698</v>
      </c>
      <c r="DL15">
        <v>-0.73842841503804302</v>
      </c>
      <c r="DM15">
        <v>-0.77167287624703296</v>
      </c>
      <c r="DN15">
        <v>0.34507907815829802</v>
      </c>
      <c r="DO15">
        <v>-0.42525869765009899</v>
      </c>
      <c r="DP15">
        <v>-0.85636403086103696</v>
      </c>
      <c r="DQ15">
        <v>-0.471012522694298</v>
      </c>
      <c r="DR15">
        <v>9.8221477794917203E-2</v>
      </c>
      <c r="DS15">
        <v>0.321799748908981</v>
      </c>
      <c r="DT15">
        <v>0.108441981172376</v>
      </c>
      <c r="DU15">
        <v>0.28239174772723102</v>
      </c>
      <c r="DV15">
        <v>0.65399951533434797</v>
      </c>
      <c r="DW15">
        <v>1.2528910042586601</v>
      </c>
      <c r="DX15">
        <v>0.45716598081793303</v>
      </c>
      <c r="DY15">
        <v>0.24122441488962501</v>
      </c>
      <c r="DZ15">
        <v>0.36242373677320799</v>
      </c>
      <c r="EA15">
        <v>0.134820630158273</v>
      </c>
      <c r="EB15">
        <v>-0.204951013095129</v>
      </c>
      <c r="EC15">
        <v>-0.13327741509088001</v>
      </c>
      <c r="ED15">
        <v>0.78755635047140304</v>
      </c>
      <c r="EE15">
        <v>0.38460843670184502</v>
      </c>
      <c r="EF15">
        <v>0.302392529417714</v>
      </c>
      <c r="EG15">
        <v>0.33183243108257199</v>
      </c>
      <c r="EH15">
        <v>0.45285582639253102</v>
      </c>
      <c r="EI15">
        <v>1.00281798092937</v>
      </c>
      <c r="EJ15">
        <v>1.54521170684718</v>
      </c>
      <c r="EK15">
        <v>0.93612042797708805</v>
      </c>
      <c r="EL15">
        <v>0.77187771731819599</v>
      </c>
      <c r="EM15">
        <v>1.31286380438922</v>
      </c>
      <c r="EN15">
        <v>1.22780329353748E-2</v>
      </c>
      <c r="EO15">
        <v>0.89685364964108505</v>
      </c>
      <c r="EP15">
        <v>0.79319107966189695</v>
      </c>
      <c r="EQ15">
        <v>0.60573362147315102</v>
      </c>
      <c r="ER15">
        <v>0.97481879829145301</v>
      </c>
      <c r="ES15">
        <v>0.88458325564583595</v>
      </c>
      <c r="ET15">
        <v>-7.3318027372637096E-2</v>
      </c>
      <c r="EU15">
        <v>-0.31790757853229901</v>
      </c>
      <c r="EV15">
        <v>0.19893230755684299</v>
      </c>
      <c r="EW15">
        <v>-0.13781078669803701</v>
      </c>
      <c r="EX15">
        <v>0.84154129142100997</v>
      </c>
      <c r="EY15">
        <v>0.43685961320641697</v>
      </c>
      <c r="EZ15">
        <v>0.46466390639599398</v>
      </c>
      <c r="FA15">
        <v>0.45128468182736198</v>
      </c>
      <c r="FB15">
        <v>0.24661685512905801</v>
      </c>
      <c r="FC15">
        <v>0.71228052069126602</v>
      </c>
      <c r="FD15">
        <v>0.69454094105314701</v>
      </c>
      <c r="FE15">
        <v>0.13315613425675099</v>
      </c>
      <c r="FF15">
        <v>0.85511215436216503</v>
      </c>
      <c r="FG15">
        <v>0.89257642342034405</v>
      </c>
      <c r="FH15">
        <v>0.772266265991431</v>
      </c>
      <c r="FI15">
        <v>0.42710585939933898</v>
      </c>
      <c r="FJ15">
        <v>0.47040379608805499</v>
      </c>
      <c r="FK15">
        <v>-0.51120465409809301</v>
      </c>
      <c r="FL15">
        <v>-0.62821154164449999</v>
      </c>
      <c r="FM15">
        <v>0.44679556465311798</v>
      </c>
      <c r="FN15">
        <v>-0.33775676750421402</v>
      </c>
      <c r="FO15">
        <v>-0.256742863020123</v>
      </c>
      <c r="FP15">
        <v>-8.1528316677472901E-2</v>
      </c>
      <c r="FQ15">
        <v>-0.18977054660298201</v>
      </c>
      <c r="FR15">
        <v>-0.72540678942453996</v>
      </c>
      <c r="FS15">
        <v>0.29757665069828498</v>
      </c>
      <c r="FT15">
        <v>0.26434826045594401</v>
      </c>
      <c r="FU15">
        <v>-0.67414412040278604</v>
      </c>
      <c r="FV15">
        <v>-0.35708431344743502</v>
      </c>
      <c r="FW15">
        <v>0.59356245944256403</v>
      </c>
      <c r="FX15">
        <v>-0.23263404037718</v>
      </c>
      <c r="FY15">
        <v>3.7287504467262998E-2</v>
      </c>
      <c r="FZ15">
        <v>0.713780540130866</v>
      </c>
      <c r="GA15">
        <v>0.40678465811315101</v>
      </c>
      <c r="GB15">
        <v>4.6419112295418397E-2</v>
      </c>
      <c r="GC15">
        <v>-6.6496779594574396E-2</v>
      </c>
      <c r="GD15">
        <v>0.45178782798992201</v>
      </c>
      <c r="GE15">
        <v>0.32738452172777899</v>
      </c>
      <c r="GF15">
        <v>0.18943515132161401</v>
      </c>
      <c r="GG15">
        <v>0.64754592455956395</v>
      </c>
      <c r="GH15">
        <v>0.37574768428782701</v>
      </c>
      <c r="GI15">
        <v>0.454898168636511</v>
      </c>
      <c r="GJ15">
        <v>0.21151266004962299</v>
      </c>
      <c r="GK15">
        <v>0.367721397240306</v>
      </c>
    </row>
    <row r="16" spans="1:193" x14ac:dyDescent="0.25">
      <c r="A16" t="s">
        <v>266</v>
      </c>
      <c r="B16" t="s">
        <v>553</v>
      </c>
      <c r="C16">
        <v>2.0344863922487098E-2</v>
      </c>
      <c r="D16">
        <v>0.130688559567953</v>
      </c>
      <c r="E16">
        <v>0.44122036236401702</v>
      </c>
      <c r="F16">
        <v>0.27223206885733597</v>
      </c>
      <c r="G16">
        <v>-0.11893085289758699</v>
      </c>
      <c r="H16">
        <v>0.30049219151489398</v>
      </c>
      <c r="I16">
        <v>0.22330225492811001</v>
      </c>
      <c r="J16">
        <v>3.4634340437704497E-2</v>
      </c>
      <c r="K16">
        <v>3.3760605673733499E-2</v>
      </c>
      <c r="L16">
        <v>-0.110437529919636</v>
      </c>
      <c r="M16">
        <v>-0.29000646696772497</v>
      </c>
      <c r="N16">
        <v>-0.28397829665067997</v>
      </c>
      <c r="O16">
        <v>-0.33719587476131702</v>
      </c>
      <c r="P16">
        <v>-0.31690246781130399</v>
      </c>
      <c r="Q16">
        <v>-0.28227885440818301</v>
      </c>
      <c r="R16">
        <v>-0.169633765209523</v>
      </c>
      <c r="S16">
        <v>-6.7204502855309295E-2</v>
      </c>
      <c r="T16">
        <v>-0.38020704768350899</v>
      </c>
      <c r="U16">
        <v>-7.8198899155360099E-3</v>
      </c>
      <c r="V16">
        <v>-0.103167603462045</v>
      </c>
      <c r="W16">
        <v>-0.125023294419528</v>
      </c>
      <c r="X16">
        <v>-0.200090886989998</v>
      </c>
      <c r="Y16">
        <v>-0.24711643550845</v>
      </c>
      <c r="Z16">
        <v>-0.19323587476248899</v>
      </c>
      <c r="AA16">
        <v>8.0113247055892803E-2</v>
      </c>
      <c r="AB16">
        <v>-0.33331506963774798</v>
      </c>
      <c r="AC16">
        <v>-0.230170835517572</v>
      </c>
      <c r="AD16">
        <v>-0.21056532187881999</v>
      </c>
      <c r="AE16">
        <v>-0.158172577507151</v>
      </c>
      <c r="AF16">
        <v>-0.36140935849947198</v>
      </c>
      <c r="AG16">
        <v>-0.28331956589471202</v>
      </c>
      <c r="AH16">
        <v>-0.18603956890641299</v>
      </c>
      <c r="AI16">
        <v>-0.13046079109519301</v>
      </c>
      <c r="AJ16">
        <v>-5.1684597425602198E-2</v>
      </c>
      <c r="AK16">
        <v>-9.8858671680589705E-2</v>
      </c>
      <c r="AL16">
        <v>0</v>
      </c>
      <c r="AM16">
        <v>-0.230151042051364</v>
      </c>
      <c r="AN16">
        <v>-0.237098194990331</v>
      </c>
      <c r="AO16">
        <v>-0.29311410680682698</v>
      </c>
      <c r="AP16">
        <v>-0.24304901064966999</v>
      </c>
      <c r="AQ16">
        <v>-0.36466984988467499</v>
      </c>
      <c r="AR16">
        <v>-0.21790365625042901</v>
      </c>
      <c r="AS16">
        <v>-9.1848274702259897E-2</v>
      </c>
      <c r="AT16">
        <v>4.49004311297974E-2</v>
      </c>
      <c r="AU16">
        <v>3.1851787487770303E-2</v>
      </c>
      <c r="AV16">
        <v>-0.101124425245528</v>
      </c>
      <c r="AW16">
        <v>-0.112899689647181</v>
      </c>
      <c r="AX16">
        <v>0.20086596993834499</v>
      </c>
      <c r="AY16">
        <v>4.3688823791453099E-2</v>
      </c>
      <c r="AZ16">
        <v>5.1873643240286503E-2</v>
      </c>
      <c r="BA16">
        <v>0.38926948864331801</v>
      </c>
      <c r="BB16">
        <v>0.28979271469978501</v>
      </c>
      <c r="BC16">
        <v>-0.57156779784227696</v>
      </c>
      <c r="BD16">
        <v>-0.57156779784227696</v>
      </c>
      <c r="BE16">
        <v>-7.68209957625961E-2</v>
      </c>
      <c r="BF16">
        <v>9.2966398725963406E-2</v>
      </c>
      <c r="BG16">
        <v>0.25476040876889899</v>
      </c>
      <c r="BH16">
        <v>0.380415782726504</v>
      </c>
      <c r="BI16">
        <v>1.42198651751658</v>
      </c>
      <c r="BJ16">
        <v>0.17940886635747899</v>
      </c>
      <c r="BK16">
        <v>-9.2483811520596496E-2</v>
      </c>
      <c r="BL16">
        <v>0.120871478643506</v>
      </c>
      <c r="BM16">
        <v>0.23617535112497301</v>
      </c>
      <c r="BN16">
        <v>0.118965306004942</v>
      </c>
      <c r="BO16">
        <v>-0.17195990504497199</v>
      </c>
      <c r="BP16">
        <v>0.33364849765740401</v>
      </c>
      <c r="BQ16">
        <v>5.4929576416294097E-2</v>
      </c>
      <c r="BR16">
        <v>1.15330274679258E-2</v>
      </c>
      <c r="BS16">
        <v>2.1994705802705E-2</v>
      </c>
      <c r="BT16">
        <v>0.24925477215679601</v>
      </c>
      <c r="BU16">
        <v>0.21846656540698001</v>
      </c>
      <c r="BV16">
        <v>-0.18579566066018999</v>
      </c>
      <c r="BW16">
        <v>1.2780247312349001E-2</v>
      </c>
      <c r="BX16">
        <v>0.32650645957037699</v>
      </c>
      <c r="BY16">
        <v>0.14681672467166201</v>
      </c>
      <c r="BZ16">
        <v>0.27218594699009702</v>
      </c>
      <c r="CA16">
        <v>0.629005379905614</v>
      </c>
      <c r="CB16">
        <v>0.33152310436509502</v>
      </c>
      <c r="CC16">
        <v>0.304932784342409</v>
      </c>
      <c r="CD16">
        <v>-0.16762599343555901</v>
      </c>
      <c r="CE16">
        <v>-6.8000264935120496E-3</v>
      </c>
      <c r="CF16">
        <v>0.37430864349265602</v>
      </c>
      <c r="CG16">
        <v>0.14341198511395201</v>
      </c>
      <c r="CH16">
        <v>0.208934258959981</v>
      </c>
      <c r="CI16">
        <v>-0.19381298459903101</v>
      </c>
      <c r="CJ16">
        <v>0.112595836823533</v>
      </c>
      <c r="CK16">
        <v>0.22278943525163999</v>
      </c>
      <c r="CL16">
        <v>0.21214758231453201</v>
      </c>
      <c r="CM16">
        <v>-0.57156779784227696</v>
      </c>
      <c r="CN16">
        <v>3.3834115118308E-2</v>
      </c>
      <c r="CO16">
        <v>-0.57156779784227696</v>
      </c>
      <c r="CP16">
        <v>-0.57156779784227696</v>
      </c>
      <c r="CQ16">
        <v>0.34855955709801201</v>
      </c>
      <c r="CR16">
        <v>-0.57156779784227696</v>
      </c>
      <c r="CS16">
        <v>-0.57156779784227696</v>
      </c>
      <c r="CT16">
        <v>-0.57156779784227696</v>
      </c>
      <c r="CU16">
        <v>0.42087873908865198</v>
      </c>
      <c r="CV16">
        <v>-6.1836730100418999E-2</v>
      </c>
      <c r="CW16">
        <v>0.33923695098681</v>
      </c>
      <c r="CX16">
        <v>0.74831088443641702</v>
      </c>
      <c r="CY16">
        <v>0.18282291359137201</v>
      </c>
      <c r="CZ16">
        <v>0.28192251020431902</v>
      </c>
      <c r="DA16">
        <v>-0.137935116706631</v>
      </c>
      <c r="DB16">
        <v>-0.57156779784227696</v>
      </c>
      <c r="DC16">
        <v>-0.57156779784227696</v>
      </c>
      <c r="DD16">
        <v>-0.57156779784227696</v>
      </c>
      <c r="DE16">
        <v>-0.57156779784227696</v>
      </c>
      <c r="DF16">
        <v>-0.57156779784227696</v>
      </c>
      <c r="DG16">
        <v>-0.57156779784227696</v>
      </c>
      <c r="DH16">
        <v>-0.57156779784227696</v>
      </c>
      <c r="DI16">
        <v>-0.57156779784227696</v>
      </c>
      <c r="DJ16">
        <v>0.28013110425982402</v>
      </c>
      <c r="DK16">
        <v>0.124340124197866</v>
      </c>
      <c r="DL16">
        <v>-0.36580451668375702</v>
      </c>
      <c r="DM16">
        <v>-0.126210265673417</v>
      </c>
      <c r="DN16">
        <v>-0.369105086317978</v>
      </c>
      <c r="DO16">
        <v>-0.51243725744871205</v>
      </c>
      <c r="DP16">
        <v>-0.40449984718333998</v>
      </c>
      <c r="DQ16">
        <v>-0.46999303239885498</v>
      </c>
      <c r="DR16">
        <v>-0.27597310200940101</v>
      </c>
      <c r="DS16">
        <v>-0.29795315799647798</v>
      </c>
      <c r="DT16">
        <v>-0.35154059928459203</v>
      </c>
      <c r="DU16">
        <v>-0.37552098063523698</v>
      </c>
      <c r="DV16">
        <v>0.96987833018164904</v>
      </c>
      <c r="DW16">
        <v>2.3777843172759101</v>
      </c>
      <c r="DX16">
        <v>-0.17503560797491199</v>
      </c>
      <c r="DY16">
        <v>-0.21136924547334099</v>
      </c>
      <c r="DZ16" s="10">
        <v>1.2783695745523799E-5</v>
      </c>
      <c r="EA16">
        <v>-1.24723147685888E-2</v>
      </c>
      <c r="EB16">
        <v>-0.221307134931921</v>
      </c>
      <c r="EC16">
        <v>-0.25938936395107498</v>
      </c>
      <c r="ED16">
        <v>-0.38251460159341</v>
      </c>
      <c r="EE16">
        <v>-0.19943461718973299</v>
      </c>
      <c r="EF16">
        <v>-0.28780014241657997</v>
      </c>
      <c r="EG16">
        <v>-0.282393073675128</v>
      </c>
      <c r="EH16">
        <v>0.167781093263801</v>
      </c>
      <c r="EI16">
        <v>0.93342597116176496</v>
      </c>
      <c r="EJ16">
        <v>2.0084698518439201</v>
      </c>
      <c r="EK16">
        <v>1.6996491917384999</v>
      </c>
      <c r="EL16">
        <v>0.66858722176848395</v>
      </c>
      <c r="EM16">
        <v>2.03166888057345</v>
      </c>
      <c r="EN16">
        <v>6.7101603979329797E-3</v>
      </c>
      <c r="EO16">
        <v>-0.10819209749958</v>
      </c>
      <c r="EP16">
        <v>-2.4546916997702201E-2</v>
      </c>
      <c r="EQ16">
        <v>0.21175478211878199</v>
      </c>
      <c r="ER16">
        <v>0.386180111855561</v>
      </c>
      <c r="ES16">
        <v>4.4215744124543399E-3</v>
      </c>
      <c r="ET16">
        <v>0.38360279242696799</v>
      </c>
      <c r="EU16">
        <v>9.0366846078397206E-2</v>
      </c>
      <c r="EV16">
        <v>0.22968720793427799</v>
      </c>
      <c r="EW16">
        <v>0.14129795733143299</v>
      </c>
      <c r="EX16">
        <v>0.161966702135112</v>
      </c>
      <c r="EY16">
        <v>5.1236223442732903E-2</v>
      </c>
      <c r="EZ16">
        <v>0.62212368203786395</v>
      </c>
      <c r="FA16">
        <v>1.39860070829456E-2</v>
      </c>
      <c r="FB16">
        <v>0.28565279298711999</v>
      </c>
      <c r="FC16">
        <v>0.53184948907489604</v>
      </c>
      <c r="FD16">
        <v>0.68004527259972203</v>
      </c>
      <c r="FE16">
        <v>-0.57156779784227696</v>
      </c>
      <c r="FF16">
        <v>0.27700663206499498</v>
      </c>
      <c r="FG16">
        <v>0.49758337684469001</v>
      </c>
      <c r="FH16">
        <v>0.29922974163085703</v>
      </c>
      <c r="FI16">
        <v>0.21973715599489799</v>
      </c>
      <c r="FJ16">
        <v>0.31428260166445599</v>
      </c>
      <c r="FK16">
        <v>4.4572143558471701E-2</v>
      </c>
      <c r="FL16">
        <v>0.244603158285364</v>
      </c>
      <c r="FM16">
        <v>0.24695705931478701</v>
      </c>
      <c r="FN16">
        <v>-0.34124528193050202</v>
      </c>
      <c r="FO16">
        <v>0.26298115248422799</v>
      </c>
      <c r="FP16">
        <v>8.0262674182596194E-2</v>
      </c>
      <c r="FQ16">
        <v>8.57846577830845E-2</v>
      </c>
      <c r="FR16">
        <v>0.32541459472700701</v>
      </c>
      <c r="FS16">
        <v>0.174986109767718</v>
      </c>
      <c r="FT16">
        <v>-0.332824947818738</v>
      </c>
      <c r="FU16">
        <v>0.58941595621009202</v>
      </c>
      <c r="FV16">
        <v>-0.57156779784227696</v>
      </c>
      <c r="FW16">
        <v>0.14842477819109301</v>
      </c>
      <c r="FX16">
        <v>0.41990842343187301</v>
      </c>
      <c r="FY16">
        <v>-0.21450100406644301</v>
      </c>
      <c r="FZ16">
        <v>0.28236668827949302</v>
      </c>
      <c r="GA16">
        <v>0.54550852175155295</v>
      </c>
      <c r="GB16">
        <v>8.3471241090243301E-2</v>
      </c>
      <c r="GC16">
        <v>-0.13338611597362099</v>
      </c>
      <c r="GD16">
        <v>-9.1340279135245603E-2</v>
      </c>
      <c r="GE16">
        <v>-0.366692080041501</v>
      </c>
      <c r="GF16">
        <v>-0.23116943989636901</v>
      </c>
      <c r="GG16">
        <v>-0.13723046289695501</v>
      </c>
      <c r="GH16">
        <v>-0.13844575442090801</v>
      </c>
      <c r="GI16">
        <v>-9.0129554483020694E-2</v>
      </c>
      <c r="GJ16">
        <v>-0.120087991111682</v>
      </c>
      <c r="GK16">
        <v>-8.6897943748785594E-2</v>
      </c>
    </row>
    <row r="17" spans="1:193" x14ac:dyDescent="0.25">
      <c r="A17" t="s">
        <v>266</v>
      </c>
      <c r="B17" t="s">
        <v>554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4.7162374936033702E-2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1.6094188376503601E-2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2.21829695567047E-2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4.1878092573172598E-2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0.101120794780729</v>
      </c>
      <c r="EJ17">
        <v>0.13682040190794201</v>
      </c>
      <c r="EK17">
        <v>0.181185125148974</v>
      </c>
      <c r="EL17">
        <v>7.0531354411662098E-2</v>
      </c>
      <c r="EM17">
        <v>0.24779585351222999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0.11206502175055599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</row>
    <row r="18" spans="1:193" x14ac:dyDescent="0.25">
      <c r="A18" t="s">
        <v>266</v>
      </c>
      <c r="B18" t="s">
        <v>555</v>
      </c>
      <c r="C18">
        <v>1.6836449079044299E-2</v>
      </c>
      <c r="D18">
        <v>1.48414888640025E-2</v>
      </c>
      <c r="E18">
        <v>0</v>
      </c>
      <c r="F18">
        <v>2.1542174429558601E-2</v>
      </c>
      <c r="G18">
        <v>2.5759004094573001E-2</v>
      </c>
      <c r="H18">
        <v>0</v>
      </c>
      <c r="I18">
        <v>2.1144664561801502E-2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2.87346273427833E-2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0.49370107595631701</v>
      </c>
      <c r="BJ18">
        <v>0</v>
      </c>
      <c r="BK18">
        <v>0</v>
      </c>
      <c r="BL18">
        <v>5.7971250670252703E-2</v>
      </c>
      <c r="BM18">
        <v>0</v>
      </c>
      <c r="BN18">
        <v>7.0039114209413694E-2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5.08886906167446E-2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9.8165572557871603E-2</v>
      </c>
      <c r="CC18">
        <v>5.17804888990799E-2</v>
      </c>
      <c r="CD18">
        <v>0</v>
      </c>
      <c r="CE18">
        <v>0.16186699078205899</v>
      </c>
      <c r="CF18">
        <v>0</v>
      </c>
      <c r="CG18">
        <v>0</v>
      </c>
      <c r="CH18">
        <v>0</v>
      </c>
      <c r="CI18">
        <v>0</v>
      </c>
      <c r="CJ18">
        <v>0.16377219223488501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0.10980523078397</v>
      </c>
      <c r="CZ18">
        <v>7.52499962543247E-2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2.27196778744157E-2</v>
      </c>
      <c r="EF18">
        <v>0</v>
      </c>
      <c r="EG18">
        <v>0</v>
      </c>
      <c r="EH18">
        <v>0</v>
      </c>
      <c r="EI18">
        <v>3.4425249266678101E-2</v>
      </c>
      <c r="EJ18">
        <v>3.53420798000319E-2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0.86922522652612699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9.8532264779634504E-2</v>
      </c>
      <c r="FX18">
        <v>0</v>
      </c>
      <c r="FY18">
        <v>0</v>
      </c>
      <c r="FZ18">
        <v>0.14328911189762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</row>
    <row r="19" spans="1:193" x14ac:dyDescent="0.25">
      <c r="A19" t="s">
        <v>266</v>
      </c>
      <c r="B19" t="s">
        <v>560</v>
      </c>
      <c r="C19">
        <v>-3.0739132691909699E-2</v>
      </c>
      <c r="D19" s="10">
        <v>-7.2179965178803106E-5</v>
      </c>
      <c r="E19">
        <v>4.6356636710253502E-2</v>
      </c>
      <c r="F19">
        <v>-2.4241684687244601E-2</v>
      </c>
      <c r="G19">
        <v>-5.3218106167711901E-2</v>
      </c>
      <c r="H19">
        <v>2.32655881008288E-2</v>
      </c>
      <c r="I19">
        <v>-4.6449527926525902E-2</v>
      </c>
      <c r="J19">
        <v>-3.6371141076082601E-2</v>
      </c>
      <c r="K19">
        <v>-2.30636517765264E-2</v>
      </c>
      <c r="L19">
        <v>-4.54035261410781E-2</v>
      </c>
      <c r="M19">
        <v>-9.1772202252495896E-2</v>
      </c>
      <c r="N19">
        <v>-7.7431370152873699E-2</v>
      </c>
      <c r="O19">
        <v>2.8870459459015899E-2</v>
      </c>
      <c r="P19">
        <v>-5.57879070362194E-2</v>
      </c>
      <c r="Q19">
        <v>2.7827225598325799E-2</v>
      </c>
      <c r="R19">
        <v>3.8847822070979997E-2</v>
      </c>
      <c r="S19">
        <v>-5.1735634133563899E-2</v>
      </c>
      <c r="T19">
        <v>2.4717562967171799E-2</v>
      </c>
      <c r="U19">
        <v>-8.2279494954818094E-2</v>
      </c>
      <c r="V19">
        <v>1.287564185215E-2</v>
      </c>
      <c r="W19">
        <v>-6.4273627365129496E-2</v>
      </c>
      <c r="X19">
        <v>5.95051598317866E-2</v>
      </c>
      <c r="Y19">
        <v>-3.3257887086424E-2</v>
      </c>
      <c r="Z19">
        <v>-4.4696864390843902E-2</v>
      </c>
      <c r="AA19">
        <v>-0.12950052208473001</v>
      </c>
      <c r="AB19">
        <v>-6.2261227154311302E-2</v>
      </c>
      <c r="AC19">
        <v>-0.10477620408524101</v>
      </c>
      <c r="AD19">
        <v>-1.87234465642672E-2</v>
      </c>
      <c r="AE19">
        <v>2.06292061969243E-2</v>
      </c>
      <c r="AF19">
        <v>-0.101838428549322</v>
      </c>
      <c r="AG19">
        <v>-4.2998892891629802E-2</v>
      </c>
      <c r="AH19">
        <v>4.1720019570925797E-2</v>
      </c>
      <c r="AI19">
        <v>-8.8235546239638807E-2</v>
      </c>
      <c r="AJ19">
        <v>-6.7626976592563504E-2</v>
      </c>
      <c r="AK19">
        <v>-4.0090438374636599E-2</v>
      </c>
      <c r="AL19">
        <v>-6.8564011215684506E-2</v>
      </c>
      <c r="AM19">
        <v>-1.8376095310621898E-2</v>
      </c>
      <c r="AN19">
        <v>-9.7446790792299495E-2</v>
      </c>
      <c r="AO19">
        <v>1.79100026086698E-2</v>
      </c>
      <c r="AP19">
        <v>-0.10011935149692</v>
      </c>
      <c r="AQ19">
        <v>-6.1372818176785499E-2</v>
      </c>
      <c r="AR19">
        <v>-7.9706967664678094E-2</v>
      </c>
      <c r="AS19">
        <v>3.0154219268985001E-3</v>
      </c>
      <c r="AT19">
        <v>-4.9519001955175501E-2</v>
      </c>
      <c r="AU19">
        <v>-3.08062982785757E-2</v>
      </c>
      <c r="AV19">
        <v>-5.5452811642231002E-2</v>
      </c>
      <c r="AW19">
        <v>2.06518098322865E-2</v>
      </c>
      <c r="AX19">
        <v>-1.46282736370027E-2</v>
      </c>
      <c r="AY19">
        <v>8.1752492711833803E-3</v>
      </c>
      <c r="AZ19">
        <v>2.8146342972776101E-2</v>
      </c>
      <c r="BA19">
        <v>1.12218917163571E-3</v>
      </c>
      <c r="BB19">
        <v>-0.12950052208473001</v>
      </c>
      <c r="BC19">
        <v>-0.12950052208473001</v>
      </c>
      <c r="BD19">
        <v>-0.12950052208473001</v>
      </c>
      <c r="BE19">
        <v>-0.12950052208473001</v>
      </c>
      <c r="BF19">
        <v>6.8259120149288297E-2</v>
      </c>
      <c r="BG19">
        <v>-0.12950052208473001</v>
      </c>
      <c r="BH19">
        <v>-3.9930950069173202E-2</v>
      </c>
      <c r="BI19">
        <v>-0.12950052208473001</v>
      </c>
      <c r="BJ19">
        <v>-0.12950052208473001</v>
      </c>
      <c r="BK19">
        <v>0.34958346423695003</v>
      </c>
      <c r="BL19">
        <v>0.16648776784125999</v>
      </c>
      <c r="BM19">
        <v>-6.99181880717632E-3</v>
      </c>
      <c r="BN19">
        <v>7.2125406242439599E-2</v>
      </c>
      <c r="BO19">
        <v>-0.12950052208473001</v>
      </c>
      <c r="BP19">
        <v>0.77571577341495102</v>
      </c>
      <c r="BQ19">
        <v>5.08715120914962E-2</v>
      </c>
      <c r="BR19">
        <v>-0.12950052208473001</v>
      </c>
      <c r="BS19">
        <v>-0.12950052208473001</v>
      </c>
      <c r="BT19">
        <v>6.5102234398459899E-2</v>
      </c>
      <c r="BU19">
        <v>8.1622043243783901E-2</v>
      </c>
      <c r="BV19">
        <v>-0.12950052208473001</v>
      </c>
      <c r="BW19">
        <v>8.9236472032044503E-2</v>
      </c>
      <c r="BX19">
        <v>-0.12950052208473001</v>
      </c>
      <c r="BY19">
        <v>-0.12950052208473001</v>
      </c>
      <c r="BZ19">
        <v>-0.12950052208473001</v>
      </c>
      <c r="CA19">
        <v>-0.12950052208473001</v>
      </c>
      <c r="CB19">
        <v>0.105597475689785</v>
      </c>
      <c r="CC19">
        <v>6.8346495038286506E-2</v>
      </c>
      <c r="CD19">
        <v>0.44239263066114098</v>
      </c>
      <c r="CE19">
        <v>-0.12950052208473001</v>
      </c>
      <c r="CF19">
        <v>-0.12950052208473001</v>
      </c>
      <c r="CG19">
        <v>-0.12950052208473001</v>
      </c>
      <c r="CH19">
        <v>0.136938579527808</v>
      </c>
      <c r="CI19">
        <v>7.15536803685331E-3</v>
      </c>
      <c r="CJ19">
        <v>-0.12950052208473001</v>
      </c>
      <c r="CK19">
        <v>-0.12950052208473001</v>
      </c>
      <c r="CL19">
        <v>0</v>
      </c>
      <c r="CM19">
        <v>-0.12950052208473001</v>
      </c>
      <c r="CN19">
        <v>0.47590139087585498</v>
      </c>
      <c r="CO19">
        <v>-0.12950052208473001</v>
      </c>
      <c r="CP19">
        <v>-0.12950052208473001</v>
      </c>
      <c r="CQ19">
        <v>-0.12950052208473001</v>
      </c>
      <c r="CR19">
        <v>-0.12950052208473001</v>
      </c>
      <c r="CS19">
        <v>-0.12950052208473001</v>
      </c>
      <c r="CT19">
        <v>-0.12950052208473001</v>
      </c>
      <c r="CU19">
        <v>4.2319623185162504E-3</v>
      </c>
      <c r="CV19">
        <v>-1.29050120129057E-2</v>
      </c>
      <c r="CW19">
        <v>0.14861741789866201</v>
      </c>
      <c r="CX19">
        <v>2.84320857027992E-2</v>
      </c>
      <c r="CY19">
        <v>-1.96952913007599E-2</v>
      </c>
      <c r="CZ19">
        <v>1.7602600585385798E-2</v>
      </c>
      <c r="DA19">
        <v>-8.9018944072734394E-3</v>
      </c>
      <c r="DB19">
        <v>-0.12950052208473001</v>
      </c>
      <c r="DC19">
        <v>-0.12950052208473001</v>
      </c>
      <c r="DD19">
        <v>-0.12950052208473001</v>
      </c>
      <c r="DE19">
        <v>-0.12950052208473001</v>
      </c>
      <c r="DF19">
        <v>-0.12950052208473001</v>
      </c>
      <c r="DG19">
        <v>-0.12950052208473001</v>
      </c>
      <c r="DH19">
        <v>-0.12950052208473001</v>
      </c>
      <c r="DI19">
        <v>-0.12950052208473001</v>
      </c>
      <c r="DJ19">
        <v>6.8176321667252999E-3</v>
      </c>
      <c r="DK19">
        <v>0.16042412006791101</v>
      </c>
      <c r="DL19">
        <v>2.88032452163423E-2</v>
      </c>
      <c r="DM19">
        <v>-0.12950052208473001</v>
      </c>
      <c r="DN19">
        <v>1.7136814812371899E-2</v>
      </c>
      <c r="DO19">
        <v>1.4962083835427501E-2</v>
      </c>
      <c r="DP19">
        <v>-2.4041678037017299E-2</v>
      </c>
      <c r="DQ19">
        <v>-5.2879015194529297E-2</v>
      </c>
      <c r="DR19">
        <v>0.41523842113888498</v>
      </c>
      <c r="DS19">
        <v>3.1831550574232002E-2</v>
      </c>
      <c r="DT19">
        <v>2.0081548130125498E-2</v>
      </c>
      <c r="DU19">
        <v>3.52703320007524E-2</v>
      </c>
      <c r="DV19">
        <v>0.30505801506794999</v>
      </c>
      <c r="DW19">
        <v>0.60575644175135801</v>
      </c>
      <c r="DX19">
        <v>0.12967909441144701</v>
      </c>
      <c r="DY19">
        <v>0.41553362606141397</v>
      </c>
      <c r="DZ19">
        <v>2.0975294772518499E-2</v>
      </c>
      <c r="EA19">
        <v>-4.3541378796821503E-2</v>
      </c>
      <c r="EB19">
        <v>2.5094602864030502E-4</v>
      </c>
      <c r="EC19">
        <v>1.9269778802077801E-2</v>
      </c>
      <c r="ED19">
        <v>0.19664143467629699</v>
      </c>
      <c r="EE19">
        <v>2.4766927377313499E-3</v>
      </c>
      <c r="EF19">
        <v>-9.5472150478334003E-2</v>
      </c>
      <c r="EG19">
        <v>0.369516628264215</v>
      </c>
      <c r="EH19">
        <v>0.37078867040219798</v>
      </c>
      <c r="EI19">
        <v>0.54364004274891198</v>
      </c>
      <c r="EJ19">
        <v>1.03691678255652</v>
      </c>
      <c r="EK19">
        <v>0.85793727980060497</v>
      </c>
      <c r="EL19">
        <v>0.60452255543989097</v>
      </c>
      <c r="EM19">
        <v>0.84771651761026601</v>
      </c>
      <c r="EN19">
        <v>1.12689082425983E-2</v>
      </c>
      <c r="EO19">
        <v>0.31509395803030199</v>
      </c>
      <c r="EP19">
        <v>0.35010734072628202</v>
      </c>
      <c r="EQ19">
        <v>0.25786568582413499</v>
      </c>
      <c r="ER19">
        <v>0.19686376436957601</v>
      </c>
      <c r="ES19">
        <v>-0.12950052208473001</v>
      </c>
      <c r="ET19">
        <v>0.19236980253071601</v>
      </c>
      <c r="EU19">
        <v>0.152083243751542</v>
      </c>
      <c r="EV19">
        <v>0.29858316302948801</v>
      </c>
      <c r="EW19">
        <v>0.47378296357111799</v>
      </c>
      <c r="EX19">
        <v>-1.9330643233991199E-3</v>
      </c>
      <c r="EY19">
        <v>7.4866585060256396E-2</v>
      </c>
      <c r="EZ19">
        <v>-0.12950052208473001</v>
      </c>
      <c r="FA19">
        <v>0.28319041541680301</v>
      </c>
      <c r="FB19">
        <v>0.35424737891462599</v>
      </c>
      <c r="FC19">
        <v>-0.12950052208473001</v>
      </c>
      <c r="FD19">
        <v>0.17852709729691699</v>
      </c>
      <c r="FE19">
        <v>-0.12950052208473001</v>
      </c>
      <c r="FF19">
        <v>0.278565068416817</v>
      </c>
      <c r="FG19">
        <v>-0.12950052208473001</v>
      </c>
      <c r="FH19">
        <v>0.21466373877082001</v>
      </c>
      <c r="FI19">
        <v>0.120470475213706</v>
      </c>
      <c r="FJ19">
        <v>0.14317291144888999</v>
      </c>
      <c r="FK19">
        <v>0.164873266733603</v>
      </c>
      <c r="FL19">
        <v>-3.3097036017219902E-3</v>
      </c>
      <c r="FM19">
        <v>0.13098229698409899</v>
      </c>
      <c r="FN19">
        <v>-1.0022534691173099E-2</v>
      </c>
      <c r="FO19">
        <v>0.25469299800512801</v>
      </c>
      <c r="FP19">
        <v>6.0778953186918297E-2</v>
      </c>
      <c r="FQ19">
        <v>4.2227251555439098E-2</v>
      </c>
      <c r="FR19">
        <v>0.15631935875754699</v>
      </c>
      <c r="FS19">
        <v>-0.12950052208473001</v>
      </c>
      <c r="FT19">
        <v>-0.12950052208473001</v>
      </c>
      <c r="FU19">
        <v>-0.12950052208473001</v>
      </c>
      <c r="FV19">
        <v>-0.12950052208473001</v>
      </c>
      <c r="FW19">
        <v>-3.0968257305095701E-2</v>
      </c>
      <c r="FX19">
        <v>0.45900499807671202</v>
      </c>
      <c r="FY19">
        <v>-1.0179586652894501E-3</v>
      </c>
      <c r="FZ19">
        <v>-0.12950052208473001</v>
      </c>
      <c r="GA19">
        <v>3.7993034779026803E-2</v>
      </c>
      <c r="GB19">
        <v>8.71369552945645E-2</v>
      </c>
      <c r="GC19">
        <v>6.7622983675275597E-2</v>
      </c>
      <c r="GD19">
        <v>5.1355420846869698E-2</v>
      </c>
      <c r="GE19">
        <v>0.15061126917641199</v>
      </c>
      <c r="GF19">
        <v>0.17070811138040101</v>
      </c>
      <c r="GG19">
        <v>0.17270313930452999</v>
      </c>
      <c r="GH19">
        <v>0.13261263463845899</v>
      </c>
      <c r="GI19">
        <v>0.12925464427012201</v>
      </c>
      <c r="GJ19">
        <v>0.27991059031132198</v>
      </c>
      <c r="GK19">
        <v>9.6551420502687293E-2</v>
      </c>
    </row>
    <row r="20" spans="1:193" x14ac:dyDescent="0.25">
      <c r="A20" t="s">
        <v>266</v>
      </c>
      <c r="B20" t="s">
        <v>564</v>
      </c>
      <c r="C20">
        <v>2.3122553802784598</v>
      </c>
      <c r="D20">
        <v>1.6723670936011099</v>
      </c>
      <c r="E20">
        <v>2.0502033551866998</v>
      </c>
      <c r="F20">
        <v>1.9331610213652</v>
      </c>
      <c r="G20">
        <v>1.60591366314359</v>
      </c>
      <c r="H20">
        <v>2.1214384506989301</v>
      </c>
      <c r="I20">
        <v>2.5389127080593701</v>
      </c>
      <c r="J20">
        <v>2.2043562403353798</v>
      </c>
      <c r="K20">
        <v>2.1128042345387898</v>
      </c>
      <c r="L20">
        <v>1.90366159793756</v>
      </c>
      <c r="M20">
        <v>2.2121727590245599</v>
      </c>
      <c r="N20">
        <v>1.8660104663405801</v>
      </c>
      <c r="O20">
        <v>2.43920860648169</v>
      </c>
      <c r="P20">
        <v>2.6642220143814699</v>
      </c>
      <c r="Q20">
        <v>1.8589944848569699</v>
      </c>
      <c r="R20">
        <v>2.6381817128893998</v>
      </c>
      <c r="S20">
        <v>2.3153785112547101</v>
      </c>
      <c r="T20">
        <v>2.5514988368312901</v>
      </c>
      <c r="U20">
        <v>2.47516388390348</v>
      </c>
      <c r="V20">
        <v>2.22446398278487</v>
      </c>
      <c r="W20">
        <v>2.07693012833206</v>
      </c>
      <c r="X20">
        <v>2.2796885597940202</v>
      </c>
      <c r="Y20">
        <v>2.43396618990336</v>
      </c>
      <c r="Z20">
        <v>1.62526201117475</v>
      </c>
      <c r="AA20">
        <v>2.4924574466043801</v>
      </c>
      <c r="AB20">
        <v>2.4069505671283502</v>
      </c>
      <c r="AC20">
        <v>2.4230574990366698</v>
      </c>
      <c r="AD20">
        <v>2.2702566709657499</v>
      </c>
      <c r="AE20">
        <v>1.1307752775497899</v>
      </c>
      <c r="AF20">
        <v>2.0210791171976701</v>
      </c>
      <c r="AG20">
        <v>2.47209914815127</v>
      </c>
      <c r="AH20">
        <v>2.1149766932290102</v>
      </c>
      <c r="AI20">
        <v>2.4025851796387299</v>
      </c>
      <c r="AJ20">
        <v>2.35694953966386</v>
      </c>
      <c r="AK20">
        <v>1.59950968194597</v>
      </c>
      <c r="AL20">
        <v>2.4076526375665601</v>
      </c>
      <c r="AM20">
        <v>2.02370563782724</v>
      </c>
      <c r="AN20">
        <v>1.7238775772336099</v>
      </c>
      <c r="AO20">
        <v>1.85951249758405</v>
      </c>
      <c r="AP20">
        <v>1.8838765205403301</v>
      </c>
      <c r="AQ20">
        <v>2.0749932981156398</v>
      </c>
      <c r="AR20">
        <v>2.3099322938678899</v>
      </c>
      <c r="AS20">
        <v>1.75238560522918</v>
      </c>
      <c r="AT20">
        <v>1.6379383008835799</v>
      </c>
      <c r="AU20">
        <v>1.5287510618512401</v>
      </c>
      <c r="AV20">
        <v>2.1669617417233402</v>
      </c>
      <c r="AW20">
        <v>1.9521819127478699</v>
      </c>
      <c r="AX20">
        <v>7.1733988039371904E-3</v>
      </c>
      <c r="AY20">
        <v>-1.5901673732729899E-2</v>
      </c>
      <c r="AZ20">
        <v>2.48660677962112E-2</v>
      </c>
      <c r="BA20">
        <v>-9.2340363212866802E-2</v>
      </c>
      <c r="BB20">
        <v>-0.343830876513677</v>
      </c>
      <c r="BC20">
        <v>-0.343830876513677</v>
      </c>
      <c r="BD20">
        <v>0.83124717893633304</v>
      </c>
      <c r="BE20">
        <v>-5.0764128701001103E-2</v>
      </c>
      <c r="BF20">
        <v>-1.2060456199692199E-2</v>
      </c>
      <c r="BG20">
        <v>-0.343830876513677</v>
      </c>
      <c r="BH20">
        <v>-0.169411364524716</v>
      </c>
      <c r="BI20">
        <v>0.52901057316290701</v>
      </c>
      <c r="BJ20">
        <v>0.72731038089343303</v>
      </c>
      <c r="BK20">
        <v>0.506048788264717</v>
      </c>
      <c r="BL20">
        <v>6.7765224983378696E-4</v>
      </c>
      <c r="BM20">
        <v>0.13115167091968599</v>
      </c>
      <c r="BN20">
        <v>-8.0195915514801305E-2</v>
      </c>
      <c r="BO20">
        <v>-0.13176499072997799</v>
      </c>
      <c r="BP20">
        <v>-0.343830876513677</v>
      </c>
      <c r="BQ20">
        <v>-0.10752256891416601</v>
      </c>
      <c r="BR20">
        <v>-0.343830876513677</v>
      </c>
      <c r="BS20">
        <v>-0.343830876513677</v>
      </c>
      <c r="BT20">
        <v>-0.14922812003048699</v>
      </c>
      <c r="BU20">
        <v>0.140230325155841</v>
      </c>
      <c r="BV20">
        <v>4.19412606684091E-2</v>
      </c>
      <c r="BW20">
        <v>-0.125093882396903</v>
      </c>
      <c r="BX20">
        <v>-0.343830876513677</v>
      </c>
      <c r="BY20">
        <v>5.4308830121747399E-2</v>
      </c>
      <c r="BZ20">
        <v>-0.343830876513677</v>
      </c>
      <c r="CA20">
        <v>-0.343830876513677</v>
      </c>
      <c r="CB20">
        <v>7.11254071008576E-4</v>
      </c>
      <c r="CC20">
        <v>-0.24188270154303801</v>
      </c>
      <c r="CD20">
        <v>6.0110927893040497E-2</v>
      </c>
      <c r="CE20">
        <v>-0.343830876513677</v>
      </c>
      <c r="CF20">
        <v>0.134103774560413</v>
      </c>
      <c r="CG20">
        <v>-0.18135295145349201</v>
      </c>
      <c r="CH20">
        <v>-7.7391774901139507E-2</v>
      </c>
      <c r="CI20">
        <v>-0.207174986392094</v>
      </c>
      <c r="CJ20">
        <v>0.22592175723951399</v>
      </c>
      <c r="CK20">
        <v>0.15879087868012201</v>
      </c>
      <c r="CL20">
        <v>0.118602531922622</v>
      </c>
      <c r="CM20">
        <v>0.29200333967398301</v>
      </c>
      <c r="CN20">
        <v>-0.343830876513677</v>
      </c>
      <c r="CO20">
        <v>0.19391003781875299</v>
      </c>
      <c r="CP20">
        <v>-0.343830876513677</v>
      </c>
      <c r="CQ20">
        <v>-0.343830876513677</v>
      </c>
      <c r="CR20">
        <v>-0.343830876513677</v>
      </c>
      <c r="CS20">
        <v>-0.343830876513677</v>
      </c>
      <c r="CT20">
        <v>0.53464953037103902</v>
      </c>
      <c r="CU20">
        <v>-0.21009839211043099</v>
      </c>
      <c r="CV20">
        <v>0.16590019122818001</v>
      </c>
      <c r="CW20">
        <v>5.6272149164077301E-2</v>
      </c>
      <c r="CX20">
        <v>8.7743473845559902E-2</v>
      </c>
      <c r="CY20">
        <v>-0.13168604239872</v>
      </c>
      <c r="CZ20">
        <v>1.3337424609629501E-3</v>
      </c>
      <c r="DA20">
        <v>-7.54767933043669E-3</v>
      </c>
      <c r="DB20">
        <v>8.1439756810076105E-2</v>
      </c>
      <c r="DC20">
        <v>-0.343830876513677</v>
      </c>
      <c r="DD20">
        <v>0.70759825037964397</v>
      </c>
      <c r="DE20">
        <v>-0.343830876513677</v>
      </c>
      <c r="DF20">
        <v>-0.343830876513677</v>
      </c>
      <c r="DG20">
        <v>-0.343830876513677</v>
      </c>
      <c r="DH20">
        <v>-0.343830876513677</v>
      </c>
      <c r="DI20">
        <v>-0.343830876513677</v>
      </c>
      <c r="DJ20">
        <v>0.19997788013147999</v>
      </c>
      <c r="DK20">
        <v>0.13294557564048801</v>
      </c>
      <c r="DL20">
        <v>-0.31104955457077099</v>
      </c>
      <c r="DM20">
        <v>2.1569437828040699E-2</v>
      </c>
      <c r="DN20">
        <v>3.2579057593699501E-2</v>
      </c>
      <c r="DO20">
        <v>1.5348443189667599E-2</v>
      </c>
      <c r="DP20">
        <v>-4.5891956731031101E-2</v>
      </c>
      <c r="DQ20">
        <v>-0.18609439682440801</v>
      </c>
      <c r="DR20">
        <v>-4.8236180680801599E-2</v>
      </c>
      <c r="DS20">
        <v>3.8588439870770701E-2</v>
      </c>
      <c r="DT20">
        <v>0.11904002185120301</v>
      </c>
      <c r="DU20">
        <v>2.97855801975726E-2</v>
      </c>
      <c r="DV20">
        <v>-0.11168923805403599</v>
      </c>
      <c r="DW20">
        <v>0.26870873981541099</v>
      </c>
      <c r="DX20">
        <v>-8.4651260017500396E-2</v>
      </c>
      <c r="DY20">
        <v>-0.1298750725617</v>
      </c>
      <c r="DZ20">
        <v>-0.21749725613931101</v>
      </c>
      <c r="EA20">
        <v>-0.343830876513677</v>
      </c>
      <c r="EB20">
        <v>-0.201612973370042</v>
      </c>
      <c r="EC20">
        <v>-0.19506057562686999</v>
      </c>
      <c r="ED20">
        <v>1.4495650242667901E-3</v>
      </c>
      <c r="EE20">
        <v>-5.0313242999098402E-2</v>
      </c>
      <c r="EF20">
        <v>-7.2144772803796206E-2</v>
      </c>
      <c r="EG20">
        <v>-4.4511083000699702E-3</v>
      </c>
      <c r="EH20">
        <v>-0.343830876513677</v>
      </c>
      <c r="EI20">
        <v>-0.27570927443494803</v>
      </c>
      <c r="EJ20">
        <v>-0.14282452805523499</v>
      </c>
      <c r="EK20">
        <v>0</v>
      </c>
      <c r="EL20">
        <v>-0.141238575481798</v>
      </c>
      <c r="EM20">
        <v>-0.343830876513677</v>
      </c>
      <c r="EN20">
        <v>-0.13671132249494</v>
      </c>
      <c r="EO20">
        <v>-0.22913381271656499</v>
      </c>
      <c r="EP20">
        <v>-4.7610305861550503E-2</v>
      </c>
      <c r="EQ20">
        <v>-0.343830876513677</v>
      </c>
      <c r="ER20">
        <v>0.25506565180749202</v>
      </c>
      <c r="ES20">
        <v>-0.343830876513677</v>
      </c>
      <c r="ET20">
        <v>-0.343830876513677</v>
      </c>
      <c r="EU20">
        <v>2.1427489192620299E-2</v>
      </c>
      <c r="EV20">
        <v>-0.158537829171332</v>
      </c>
      <c r="EW20">
        <v>-0.241979510536002</v>
      </c>
      <c r="EX20">
        <v>-0.216263418752346</v>
      </c>
      <c r="EY20">
        <v>-4.6479013305686698E-2</v>
      </c>
      <c r="EZ20">
        <v>-0.19210954181006901</v>
      </c>
      <c r="FA20">
        <v>-0.12435816190030601</v>
      </c>
      <c r="FB20">
        <v>0.139917024485679</v>
      </c>
      <c r="FC20">
        <v>-0.343830876513677</v>
      </c>
      <c r="FD20">
        <v>-0.18251336780316399</v>
      </c>
      <c r="FE20">
        <v>-0.343830876513677</v>
      </c>
      <c r="FF20">
        <v>2.63451158658791E-2</v>
      </c>
      <c r="FG20">
        <v>-0.343830876513677</v>
      </c>
      <c r="FH20">
        <v>0.14842728834479099</v>
      </c>
      <c r="FI20">
        <v>0.121708416521474</v>
      </c>
      <c r="FJ20">
        <v>-0.343830876513677</v>
      </c>
      <c r="FK20">
        <v>3.7407639566661002E-2</v>
      </c>
      <c r="FL20">
        <v>-0.101030865097867</v>
      </c>
      <c r="FM20">
        <v>-0.343830876513677</v>
      </c>
      <c r="FN20">
        <v>-0.343830876513677</v>
      </c>
      <c r="FO20">
        <v>-0.343830876513677</v>
      </c>
      <c r="FP20">
        <v>-6.6530157726567202E-2</v>
      </c>
      <c r="FQ20">
        <v>-0.172103102873508</v>
      </c>
      <c r="FR20">
        <v>2.6641739874153601E-2</v>
      </c>
      <c r="FS20">
        <v>-0.16310646115249899</v>
      </c>
      <c r="FT20">
        <v>-0.105088026490139</v>
      </c>
      <c r="FU20">
        <v>-0.343830876513677</v>
      </c>
      <c r="FV20">
        <v>-0.343830876513677</v>
      </c>
      <c r="FW20">
        <v>1.7441442049905598E-2</v>
      </c>
      <c r="FX20">
        <v>-0.343830876513677</v>
      </c>
      <c r="FY20">
        <v>-0.343830876513677</v>
      </c>
      <c r="FZ20">
        <v>-6.9479399148536097E-2</v>
      </c>
      <c r="GA20">
        <v>-0.13531684181435899</v>
      </c>
      <c r="GB20">
        <v>-0.23173568066021499</v>
      </c>
      <c r="GC20">
        <v>2.90170140614491E-2</v>
      </c>
      <c r="GD20">
        <v>-6.3059761623237995E-2</v>
      </c>
      <c r="GE20">
        <v>-0.15501127729133601</v>
      </c>
      <c r="GF20">
        <v>-3.1737765363692202E-2</v>
      </c>
      <c r="GG20">
        <v>9.0506458431644399E-2</v>
      </c>
      <c r="GH20">
        <v>-0.20720110662576599</v>
      </c>
      <c r="GI20">
        <v>-0.25280825642235599</v>
      </c>
      <c r="GJ20">
        <v>2.2412831936448701E-2</v>
      </c>
      <c r="GK20">
        <v>-4.4109642146187997E-2</v>
      </c>
    </row>
    <row r="21" spans="1:193" x14ac:dyDescent="0.25">
      <c r="A21" t="s">
        <v>266</v>
      </c>
      <c r="B21" t="s">
        <v>565</v>
      </c>
      <c r="C21">
        <v>0.30700669169531403</v>
      </c>
      <c r="D21">
        <v>0.72547835650633896</v>
      </c>
      <c r="E21">
        <v>0.247783511081103</v>
      </c>
      <c r="F21">
        <v>0.49091143657581399</v>
      </c>
      <c r="G21">
        <v>-6.8230834295043896E-2</v>
      </c>
      <c r="H21">
        <v>-0.442001727568403</v>
      </c>
      <c r="I21">
        <v>-0.14777494066705801</v>
      </c>
      <c r="J21">
        <v>-0.23927840942013501</v>
      </c>
      <c r="K21">
        <v>0.16178653582503999</v>
      </c>
      <c r="L21">
        <v>-0.71596456991773905</v>
      </c>
      <c r="M21">
        <v>-1.1728906095134699</v>
      </c>
      <c r="N21">
        <v>-1.4697425407328899</v>
      </c>
      <c r="O21">
        <v>-1.9533098172776699</v>
      </c>
      <c r="P21">
        <v>-2.1430640483298502</v>
      </c>
      <c r="Q21">
        <v>-1.1272603916977</v>
      </c>
      <c r="R21">
        <v>-1.6033053713901699</v>
      </c>
      <c r="S21">
        <v>-0.93122022664970705</v>
      </c>
      <c r="T21">
        <v>-2.1574200891039998</v>
      </c>
      <c r="U21">
        <v>-0.53319709866891496</v>
      </c>
      <c r="V21">
        <v>-0.86439696586085502</v>
      </c>
      <c r="W21">
        <v>-0.152165925318792</v>
      </c>
      <c r="X21">
        <v>-0.58491566033792097</v>
      </c>
      <c r="Y21">
        <v>-0.93379650509122802</v>
      </c>
      <c r="Z21">
        <v>-1.0437470198932199</v>
      </c>
      <c r="AA21">
        <v>-0.90017773716332705</v>
      </c>
      <c r="AB21">
        <v>-2.3236593329650899</v>
      </c>
      <c r="AC21">
        <v>-1.7970079759668001</v>
      </c>
      <c r="AD21">
        <v>-1.2133949631643499</v>
      </c>
      <c r="AE21">
        <v>-0.94861822704095899</v>
      </c>
      <c r="AF21">
        <v>-1.1023573083662099</v>
      </c>
      <c r="AG21">
        <v>-1.3287340650747601</v>
      </c>
      <c r="AH21">
        <v>-1.07071236210541</v>
      </c>
      <c r="AI21">
        <v>-1.0222197250717999</v>
      </c>
      <c r="AJ21">
        <v>-1.0177428122574399</v>
      </c>
      <c r="AK21">
        <v>-0.775138305738307</v>
      </c>
      <c r="AL21">
        <v>-0.853416646257523</v>
      </c>
      <c r="AM21">
        <v>-0.60501844325266096</v>
      </c>
      <c r="AN21">
        <v>-0.76139318582276505</v>
      </c>
      <c r="AO21">
        <v>-1.10744488918469</v>
      </c>
      <c r="AP21">
        <v>-0.74506595378093898</v>
      </c>
      <c r="AQ21">
        <v>-1.4699998917242101</v>
      </c>
      <c r="AR21">
        <v>-1.2773967390876499</v>
      </c>
      <c r="AS21">
        <v>-4.8163870525456301E-2</v>
      </c>
      <c r="AT21">
        <v>-0.53945953852836204</v>
      </c>
      <c r="AU21">
        <v>-0.40929657183026502</v>
      </c>
      <c r="AV21">
        <v>-0.221178113546627</v>
      </c>
      <c r="AW21">
        <v>-0.40301958654905801</v>
      </c>
      <c r="AX21">
        <v>0.20499907936070999</v>
      </c>
      <c r="AY21">
        <v>0.57978787924560604</v>
      </c>
      <c r="AZ21">
        <v>0.431819360302577</v>
      </c>
      <c r="BA21">
        <v>0.49469344297169998</v>
      </c>
      <c r="BB21">
        <v>0.53146774516007</v>
      </c>
      <c r="BC21">
        <v>0.54500593048101198</v>
      </c>
      <c r="BD21">
        <v>0.21739000377272399</v>
      </c>
      <c r="BE21">
        <v>0.33144916832795901</v>
      </c>
      <c r="BF21">
        <v>0.394216131122546</v>
      </c>
      <c r="BG21">
        <v>0.31405603741561999</v>
      </c>
      <c r="BH21">
        <v>0.47695308158128102</v>
      </c>
      <c r="BI21">
        <v>0.43601714221823401</v>
      </c>
      <c r="BJ21">
        <v>0.78030313211788604</v>
      </c>
      <c r="BK21">
        <v>0.513994396191227</v>
      </c>
      <c r="BL21">
        <v>0.52803611983942</v>
      </c>
      <c r="BM21">
        <v>0.60931278601472605</v>
      </c>
      <c r="BN21">
        <v>0.61931103112201802</v>
      </c>
      <c r="BO21">
        <v>0.52388092062191605</v>
      </c>
      <c r="BP21">
        <v>0.26861638824026302</v>
      </c>
      <c r="BQ21">
        <v>0.51907860640711101</v>
      </c>
      <c r="BR21">
        <v>0.63992591791044395</v>
      </c>
      <c r="BS21">
        <v>0.59542097612511602</v>
      </c>
      <c r="BT21">
        <v>0.38946548217571603</v>
      </c>
      <c r="BU21">
        <v>0.46581226135884202</v>
      </c>
      <c r="BV21">
        <v>0.53303038108815604</v>
      </c>
      <c r="BW21">
        <v>0.55595820705480403</v>
      </c>
      <c r="BX21">
        <v>0.122271112195305</v>
      </c>
      <c r="BY21">
        <v>7.3892895110434106E-2</v>
      </c>
      <c r="BZ21">
        <v>0.52556928581427498</v>
      </c>
      <c r="CA21">
        <v>7.42675862729886E-2</v>
      </c>
      <c r="CB21">
        <v>0.42711193315504697</v>
      </c>
      <c r="CC21">
        <v>0.47922471783305498</v>
      </c>
      <c r="CD21">
        <v>0.167451132923673</v>
      </c>
      <c r="CE21">
        <v>-0.16272278648708299</v>
      </c>
      <c r="CF21">
        <v>0.62137879431194798</v>
      </c>
      <c r="CG21">
        <v>0.34464978040392802</v>
      </c>
      <c r="CH21">
        <v>-0.17738403811273001</v>
      </c>
      <c r="CI21">
        <v>-0.25583851732789997</v>
      </c>
      <c r="CJ21">
        <v>0.67848325721550196</v>
      </c>
      <c r="CK21">
        <v>0.31647139207618602</v>
      </c>
      <c r="CL21">
        <v>0.866310453303484</v>
      </c>
      <c r="CM21">
        <v>0.39701132025268698</v>
      </c>
      <c r="CN21">
        <v>1.04053019945637</v>
      </c>
      <c r="CO21">
        <v>0.663336649967467</v>
      </c>
      <c r="CP21">
        <v>0.39760768767784699</v>
      </c>
      <c r="CQ21">
        <v>0.50571214632622796</v>
      </c>
      <c r="CR21">
        <v>0.60705659066718098</v>
      </c>
      <c r="CS21">
        <v>0.79413850809226505</v>
      </c>
      <c r="CT21">
        <v>0.58888241170458999</v>
      </c>
      <c r="CU21">
        <v>0.87685291798518195</v>
      </c>
      <c r="CV21">
        <v>0.58398524040946997</v>
      </c>
      <c r="CW21">
        <v>0.71456782529580398</v>
      </c>
      <c r="CX21">
        <v>0.32291804544129499</v>
      </c>
      <c r="CY21">
        <v>0.32368981214685599</v>
      </c>
      <c r="CZ21">
        <v>0.54661475921120894</v>
      </c>
      <c r="DA21">
        <v>0.19800066150860601</v>
      </c>
      <c r="DB21">
        <v>0.376701178067186</v>
      </c>
      <c r="DC21">
        <v>0.347669140037841</v>
      </c>
      <c r="DD21">
        <v>0.67982958552929895</v>
      </c>
      <c r="DE21">
        <v>0.92139257752145698</v>
      </c>
      <c r="DF21">
        <v>0.20693679323337999</v>
      </c>
      <c r="DG21">
        <v>1.1654341758187499E-2</v>
      </c>
      <c r="DH21">
        <v>0.74424007899163103</v>
      </c>
      <c r="DI21">
        <v>3.35868960057919E-2</v>
      </c>
      <c r="DJ21">
        <v>0.76171803818177297</v>
      </c>
      <c r="DK21">
        <v>-0.48230540176651898</v>
      </c>
      <c r="DL21">
        <v>-1.79160122354625</v>
      </c>
      <c r="DM21">
        <v>-1.1554564135918</v>
      </c>
      <c r="DN21">
        <v>-2.3528468448959599</v>
      </c>
      <c r="DO21">
        <v>-1.99674007852591</v>
      </c>
      <c r="DP21">
        <v>-2.6510360226068501</v>
      </c>
      <c r="DQ21">
        <v>-2.8464721590198101</v>
      </c>
      <c r="DR21">
        <v>-0.89491175986165705</v>
      </c>
      <c r="DS21">
        <v>-1.8307375680401099</v>
      </c>
      <c r="DT21">
        <v>-2.0937201805655499</v>
      </c>
      <c r="DU21">
        <v>-1.9362653947292101</v>
      </c>
      <c r="DV21">
        <v>0.17281773396140701</v>
      </c>
      <c r="DW21">
        <v>-0.39379143769277197</v>
      </c>
      <c r="DX21">
        <v>0.36927294674323002</v>
      </c>
      <c r="DY21">
        <v>-0.122287570684196</v>
      </c>
      <c r="DZ21">
        <v>0.47203218363402</v>
      </c>
      <c r="EA21">
        <v>0.675775750808708</v>
      </c>
      <c r="EB21">
        <v>1.2230454324370099</v>
      </c>
      <c r="EC21">
        <v>1.6238794083447201</v>
      </c>
      <c r="ED21">
        <v>-0.96812501958375097</v>
      </c>
      <c r="EE21">
        <v>0.90555516899702104</v>
      </c>
      <c r="EF21">
        <v>0.765422736871752</v>
      </c>
      <c r="EG21">
        <v>0.51934652049667795</v>
      </c>
      <c r="EH21">
        <v>-0.269631862252115</v>
      </c>
      <c r="EI21">
        <v>-9.0475224356435305E-2</v>
      </c>
      <c r="EJ21">
        <v>-0.69195754128179199</v>
      </c>
      <c r="EK21">
        <v>-0.88603495248564101</v>
      </c>
      <c r="EL21">
        <v>-0.45770642920902899</v>
      </c>
      <c r="EM21">
        <v>-0.91048174020792505</v>
      </c>
      <c r="EN21">
        <v>-1.48041023758454</v>
      </c>
      <c r="EO21">
        <v>-1.4648148164206301</v>
      </c>
      <c r="EP21">
        <v>8.5715713920260103E-2</v>
      </c>
      <c r="EQ21">
        <v>0.22212918069755</v>
      </c>
      <c r="ER21">
        <v>8.2477077287854597E-2</v>
      </c>
      <c r="ES21">
        <v>-4.4000111158266103E-2</v>
      </c>
      <c r="ET21">
        <v>0</v>
      </c>
      <c r="EU21">
        <v>8.1087261740720895E-2</v>
      </c>
      <c r="EV21">
        <v>-9.2530522677848906E-2</v>
      </c>
      <c r="EW21">
        <v>-6.7405052459464697E-3</v>
      </c>
      <c r="EX21">
        <v>-3.8809568494909401E-2</v>
      </c>
      <c r="EY21">
        <v>4.7721065538780798E-2</v>
      </c>
      <c r="EZ21">
        <v>-2.29720233611919E-2</v>
      </c>
      <c r="FA21">
        <v>-0.114987217451635</v>
      </c>
      <c r="FB21">
        <v>-0.99001584057209202</v>
      </c>
      <c r="FC21">
        <v>-0.210767161539926</v>
      </c>
      <c r="FD21">
        <v>7.8749728571023206E-2</v>
      </c>
      <c r="FE21">
        <v>0.12959071028507599</v>
      </c>
      <c r="FF21">
        <v>-0.159201831352238</v>
      </c>
      <c r="FG21">
        <v>-3.6151958068892001E-2</v>
      </c>
      <c r="FH21">
        <v>-0.39214617678636998</v>
      </c>
      <c r="FI21">
        <v>5.8374934799446297E-2</v>
      </c>
      <c r="FJ21">
        <v>-6.0682879273508399E-2</v>
      </c>
      <c r="FK21">
        <v>0.17713682894157001</v>
      </c>
      <c r="FL21">
        <v>-0.33543752484970701</v>
      </c>
      <c r="FM21">
        <v>0.23206244799072001</v>
      </c>
      <c r="FN21">
        <v>2.8759901118781999E-2</v>
      </c>
      <c r="FO21">
        <v>-0.33923456669249102</v>
      </c>
      <c r="FP21">
        <v>-0.24734990166307</v>
      </c>
      <c r="FQ21">
        <v>6.5180666969413298E-2</v>
      </c>
      <c r="FR21">
        <v>0.41242654684503099</v>
      </c>
      <c r="FS21">
        <v>4.2459742367164897E-2</v>
      </c>
      <c r="FT21">
        <v>0.37832241072379102</v>
      </c>
      <c r="FU21">
        <v>-0.65057226197832996</v>
      </c>
      <c r="FV21">
        <v>0.47029003439669698</v>
      </c>
      <c r="FW21">
        <v>0.12823636047051601</v>
      </c>
      <c r="FX21">
        <v>0.198326223538413</v>
      </c>
      <c r="FY21">
        <v>-1.2886623753739299</v>
      </c>
      <c r="FZ21">
        <v>-1.0940709723455999</v>
      </c>
      <c r="GA21">
        <v>-0.11407113042481901</v>
      </c>
      <c r="GB21">
        <v>0.201486823155831</v>
      </c>
      <c r="GC21">
        <v>-0.63988268890046196</v>
      </c>
      <c r="GD21">
        <v>-0.110020579023293</v>
      </c>
      <c r="GE21">
        <v>-0.90515779371079197</v>
      </c>
      <c r="GF21">
        <v>-4.4993347825191002E-2</v>
      </c>
      <c r="GG21">
        <v>-0.1140963386186</v>
      </c>
      <c r="GH21">
        <v>-0.36054079848555398</v>
      </c>
      <c r="GI21">
        <v>-0.332400188696096</v>
      </c>
      <c r="GJ21">
        <v>-1.0880050175171501</v>
      </c>
      <c r="GK21">
        <v>-1.29952734512279</v>
      </c>
    </row>
    <row r="22" spans="1:193" x14ac:dyDescent="0.25">
      <c r="A22" t="s">
        <v>266</v>
      </c>
      <c r="B22" t="s">
        <v>568</v>
      </c>
      <c r="C22">
        <v>-0.25814538733270698</v>
      </c>
      <c r="D22">
        <v>-0.15587959154245801</v>
      </c>
      <c r="E22">
        <v>-0.220116361816518</v>
      </c>
      <c r="F22">
        <v>-0.26141278714245098</v>
      </c>
      <c r="G22">
        <v>-0.243752036787346</v>
      </c>
      <c r="H22">
        <v>0.36381827359395402</v>
      </c>
      <c r="I22">
        <v>-3.1898716275875198E-2</v>
      </c>
      <c r="J22">
        <v>-0.13379965783561101</v>
      </c>
      <c r="K22">
        <v>-0.24164656340735399</v>
      </c>
      <c r="L22">
        <v>-0.46855428492020601</v>
      </c>
      <c r="M22">
        <v>-0.41799027378093501</v>
      </c>
      <c r="N22">
        <v>-0.372160355570954</v>
      </c>
      <c r="O22">
        <v>-0.42476573508496901</v>
      </c>
      <c r="P22">
        <v>-0.32148475187569397</v>
      </c>
      <c r="Q22">
        <v>-0.25918633603332902</v>
      </c>
      <c r="R22">
        <v>-5.2341094777900103E-2</v>
      </c>
      <c r="S22">
        <v>4.9455973645229398E-2</v>
      </c>
      <c r="T22">
        <v>-0.108721444265044</v>
      </c>
      <c r="U22">
        <v>-7.9680521352886502E-2</v>
      </c>
      <c r="V22">
        <v>-0.21106302351214301</v>
      </c>
      <c r="W22">
        <v>-0.39696926087735301</v>
      </c>
      <c r="X22">
        <v>-9.6686264943485797E-2</v>
      </c>
      <c r="Y22">
        <v>-0.393108309534414</v>
      </c>
      <c r="Z22">
        <v>-0.34059528437315501</v>
      </c>
      <c r="AA22">
        <v>-0.26242249967564801</v>
      </c>
      <c r="AB22">
        <v>-0.36053362941003497</v>
      </c>
      <c r="AC22">
        <v>-0.40449521931277799</v>
      </c>
      <c r="AD22">
        <v>-0.29170092244880702</v>
      </c>
      <c r="AE22">
        <v>-0.38958193075514702</v>
      </c>
      <c r="AF22">
        <v>-0.21241978078514001</v>
      </c>
      <c r="AG22">
        <v>-0.38529023048901001</v>
      </c>
      <c r="AH22">
        <v>-4.2553217061033703E-2</v>
      </c>
      <c r="AI22">
        <v>-0.306957798292466</v>
      </c>
      <c r="AJ22">
        <v>-0.23950081385405</v>
      </c>
      <c r="AK22">
        <v>-0.32422054009038997</v>
      </c>
      <c r="AL22">
        <v>-0.37149380346121502</v>
      </c>
      <c r="AM22">
        <v>-0.49376022536026798</v>
      </c>
      <c r="AN22">
        <v>-0.53859769577325201</v>
      </c>
      <c r="AO22">
        <v>-0.34861637535949103</v>
      </c>
      <c r="AP22">
        <v>-0.36295357480610502</v>
      </c>
      <c r="AQ22">
        <v>-0.48743153047830201</v>
      </c>
      <c r="AR22">
        <v>-0.42663726359219301</v>
      </c>
      <c r="AS22">
        <v>-0.25798093963395002</v>
      </c>
      <c r="AT22">
        <v>-0.37898806900978799</v>
      </c>
      <c r="AU22">
        <v>-0.22229047155871301</v>
      </c>
      <c r="AV22">
        <v>-0.20612759095743199</v>
      </c>
      <c r="AW22">
        <v>-0.38246909561367298</v>
      </c>
      <c r="AX22">
        <v>0</v>
      </c>
      <c r="AY22">
        <v>-9.9623877563849106E-2</v>
      </c>
      <c r="AZ22">
        <v>-1.9411014093138199E-2</v>
      </c>
      <c r="BA22">
        <v>-0.16380403792613599</v>
      </c>
      <c r="BB22">
        <v>-0.63319384415032598</v>
      </c>
      <c r="BC22">
        <v>0.75964649362577397</v>
      </c>
      <c r="BD22">
        <v>-0.63319384415032598</v>
      </c>
      <c r="BE22">
        <v>-9.1635323968824497E-2</v>
      </c>
      <c r="BF22">
        <v>-0.13813629461628801</v>
      </c>
      <c r="BG22">
        <v>0.19313436246085</v>
      </c>
      <c r="BH22">
        <v>0.15530492604179699</v>
      </c>
      <c r="BI22">
        <v>-0.13949276819400899</v>
      </c>
      <c r="BJ22">
        <v>0.11778282004943</v>
      </c>
      <c r="BK22">
        <v>-0.63319384415032598</v>
      </c>
      <c r="BL22">
        <v>0.24364166993352901</v>
      </c>
      <c r="BM22">
        <v>-3.0795740564083698E-2</v>
      </c>
      <c r="BN22">
        <v>9.5424825078300503E-3</v>
      </c>
      <c r="BO22">
        <v>-6.5211334346969602E-2</v>
      </c>
      <c r="BP22">
        <v>0.27202245134935499</v>
      </c>
      <c r="BQ22">
        <v>7.8192005383202604E-2</v>
      </c>
      <c r="BR22">
        <v>-0.63319384415032598</v>
      </c>
      <c r="BS22">
        <v>-0.63319384415032598</v>
      </c>
      <c r="BT22">
        <v>0.104014116836204</v>
      </c>
      <c r="BU22">
        <v>1.07492960405571E-2</v>
      </c>
      <c r="BV22">
        <v>6.5210234766371195E-2</v>
      </c>
      <c r="BW22">
        <v>-0.41445685003355098</v>
      </c>
      <c r="BX22">
        <v>-0.63319384415032598</v>
      </c>
      <c r="BY22">
        <v>8.5190678363611896E-2</v>
      </c>
      <c r="BZ22">
        <v>-0.63319384415032598</v>
      </c>
      <c r="CA22">
        <v>0.215281788544537</v>
      </c>
      <c r="CB22">
        <v>0.18671836966389499</v>
      </c>
      <c r="CC22">
        <v>1.6748845926048399E-2</v>
      </c>
      <c r="CD22">
        <v>0.35509260452073999</v>
      </c>
      <c r="CE22">
        <v>4.5514704490163899E-2</v>
      </c>
      <c r="CF22">
        <v>-0.15525919307623501</v>
      </c>
      <c r="CG22">
        <v>-6.7110954358627101E-2</v>
      </c>
      <c r="CH22">
        <v>0.232377280016692</v>
      </c>
      <c r="CI22">
        <v>0.136004516922243</v>
      </c>
      <c r="CJ22">
        <v>0.11414805006300099</v>
      </c>
      <c r="CK22">
        <v>-0.241547695612401</v>
      </c>
      <c r="CL22">
        <v>-0.27384648761362002</v>
      </c>
      <c r="CM22">
        <v>2.6403720373342002E-3</v>
      </c>
      <c r="CN22">
        <v>0.74460141016223202</v>
      </c>
      <c r="CO22">
        <v>0.49368027881884202</v>
      </c>
      <c r="CP22">
        <v>-0.63319384415032598</v>
      </c>
      <c r="CQ22">
        <v>0.86133310518495598</v>
      </c>
      <c r="CR22">
        <v>0.58570088822517197</v>
      </c>
      <c r="CS22">
        <v>0.74996644218381003</v>
      </c>
      <c r="CT22">
        <v>0.80244105308003</v>
      </c>
      <c r="CU22">
        <v>-0.15714405015789501</v>
      </c>
      <c r="CV22">
        <v>0.50775292060595001</v>
      </c>
      <c r="CW22">
        <v>8.3431149594743501E-2</v>
      </c>
      <c r="CX22">
        <v>-0.20161949379108901</v>
      </c>
      <c r="CY22">
        <v>8.0092626800716896E-2</v>
      </c>
      <c r="CZ22">
        <v>-0.13485012317533099</v>
      </c>
      <c r="DA22">
        <v>0.13770600713102901</v>
      </c>
      <c r="DB22">
        <v>0.53820219892223398</v>
      </c>
      <c r="DC22">
        <v>1.19782927854418</v>
      </c>
      <c r="DD22">
        <v>-0.63319384415032598</v>
      </c>
      <c r="DE22">
        <v>-0.18453897946303899</v>
      </c>
      <c r="DF22">
        <v>-0.63319384415032598</v>
      </c>
      <c r="DG22">
        <v>-0.63319384415032598</v>
      </c>
      <c r="DH22">
        <v>0.60177346516694497</v>
      </c>
      <c r="DI22">
        <v>-0.63319384415032598</v>
      </c>
      <c r="DJ22">
        <v>-0.148888922675978</v>
      </c>
      <c r="DK22">
        <v>-0.156417391996161</v>
      </c>
      <c r="DL22">
        <v>-0.38605949053789101</v>
      </c>
      <c r="DM22">
        <v>-0.22055737695717301</v>
      </c>
      <c r="DN22">
        <v>-0.167700405685659</v>
      </c>
      <c r="DO22">
        <v>-0.14367009257223401</v>
      </c>
      <c r="DP22">
        <v>-0.44325565151865198</v>
      </c>
      <c r="DQ22">
        <v>-0.43946189180199302</v>
      </c>
      <c r="DR22">
        <v>0.55178083411328605</v>
      </c>
      <c r="DS22">
        <v>0.35100258644209997</v>
      </c>
      <c r="DT22">
        <v>0.27610974536167898</v>
      </c>
      <c r="DU22">
        <v>2.3531471154563002E-3</v>
      </c>
      <c r="DV22">
        <v>0.62028126979143805</v>
      </c>
      <c r="DW22">
        <v>-0.45666521938814297</v>
      </c>
      <c r="DX22">
        <v>0.37759719318917701</v>
      </c>
      <c r="DY22">
        <v>0.632100932091475</v>
      </c>
      <c r="DZ22">
        <v>0.49583512117126499</v>
      </c>
      <c r="EA22">
        <v>0.51741200578327495</v>
      </c>
      <c r="EB22">
        <v>3.3638349401554503E-2</v>
      </c>
      <c r="EC22">
        <v>0.36329809125141599</v>
      </c>
      <c r="ED22">
        <v>0.25794017866737501</v>
      </c>
      <c r="EE22">
        <v>0.43020933341142598</v>
      </c>
      <c r="EF22">
        <v>0.37074456097271202</v>
      </c>
      <c r="EG22">
        <v>0.35426287979908799</v>
      </c>
      <c r="EH22">
        <v>0.96780032532208005</v>
      </c>
      <c r="EI22">
        <v>0.247238304990404</v>
      </c>
      <c r="EJ22">
        <v>0.62789495807977902</v>
      </c>
      <c r="EK22">
        <v>0.32198616846335099</v>
      </c>
      <c r="EL22">
        <v>0.188629512775258</v>
      </c>
      <c r="EM22">
        <v>0.62792070534751598</v>
      </c>
      <c r="EN22">
        <v>0.25088166794079397</v>
      </c>
      <c r="EO22">
        <v>0.773721681614843</v>
      </c>
      <c r="EP22">
        <v>0.49466211865109999</v>
      </c>
      <c r="EQ22">
        <v>1.04105601904201</v>
      </c>
      <c r="ER22">
        <v>-3.4297315829157002E-2</v>
      </c>
      <c r="ES22">
        <v>0.37134714348921899</v>
      </c>
      <c r="ET22">
        <v>-4.3985539004065898E-2</v>
      </c>
      <c r="EU22">
        <v>0.23042139383499599</v>
      </c>
      <c r="EV22">
        <v>0.250569999250149</v>
      </c>
      <c r="EW22">
        <v>-0.134563810538987</v>
      </c>
      <c r="EX22">
        <v>-0.17459109827215899</v>
      </c>
      <c r="EY22">
        <v>0.437485898999732</v>
      </c>
      <c r="EZ22">
        <v>0.480506339958643</v>
      </c>
      <c r="FA22">
        <v>0.25233644199794297</v>
      </c>
      <c r="FB22">
        <v>0.40967190714449703</v>
      </c>
      <c r="FC22">
        <v>0.47022344276684702</v>
      </c>
      <c r="FD22">
        <v>0.35707098282880201</v>
      </c>
      <c r="FE22">
        <v>0.23603138237579999</v>
      </c>
      <c r="FF22">
        <v>-0.41636060859370599</v>
      </c>
      <c r="FG22">
        <v>-0.197249881192639</v>
      </c>
      <c r="FH22">
        <v>0.30249622342076299</v>
      </c>
      <c r="FI22">
        <v>2.21422491758319E-2</v>
      </c>
      <c r="FJ22">
        <v>0.668474251766081</v>
      </c>
      <c r="FK22">
        <v>5.4051340828028802E-2</v>
      </c>
      <c r="FL22">
        <v>0.28958086371178698</v>
      </c>
      <c r="FM22">
        <v>0.18533101300673799</v>
      </c>
      <c r="FN22">
        <v>0.27928351926558798</v>
      </c>
      <c r="FO22">
        <v>-0.139351566445652</v>
      </c>
      <c r="FP22">
        <v>0.37571207661292699</v>
      </c>
      <c r="FQ22">
        <v>0.194155390764022</v>
      </c>
      <c r="FR22">
        <v>0.103194137787852</v>
      </c>
      <c r="FS22">
        <v>-1.01654288002265E-2</v>
      </c>
      <c r="FT22">
        <v>0.15840743786293199</v>
      </c>
      <c r="FU22">
        <v>0.527789909902042</v>
      </c>
      <c r="FV22">
        <v>0.95892272366624698</v>
      </c>
      <c r="FW22">
        <v>0.244713029658221</v>
      </c>
      <c r="FX22">
        <v>0.75506783442181802</v>
      </c>
      <c r="FY22">
        <v>0.40270130892297901</v>
      </c>
      <c r="FZ22">
        <v>0.25639038731028602</v>
      </c>
      <c r="GA22">
        <v>0.14221905443280999</v>
      </c>
      <c r="GB22">
        <v>0.31334150444484199</v>
      </c>
      <c r="GC22">
        <v>0.14007598843976199</v>
      </c>
      <c r="GD22">
        <v>0.14306521354888199</v>
      </c>
      <c r="GE22">
        <v>0.43144140032432698</v>
      </c>
      <c r="GF22">
        <v>0.34613749456135301</v>
      </c>
      <c r="GG22">
        <v>-0.116383246156534</v>
      </c>
      <c r="GH22">
        <v>-0.14699974554055301</v>
      </c>
      <c r="GI22">
        <v>-1.86358886898189E-2</v>
      </c>
      <c r="GJ22">
        <v>8.9394703831768105E-2</v>
      </c>
      <c r="GK22">
        <v>-9.0479907848476301E-2</v>
      </c>
    </row>
    <row r="23" spans="1:193" s="11" customFormat="1" ht="15.75" thickBot="1" x14ac:dyDescent="0.3">
      <c r="A23" s="11" t="s">
        <v>266</v>
      </c>
      <c r="B23" s="11" t="s">
        <v>577</v>
      </c>
      <c r="C23" s="11">
        <v>1.6611068623602999E-2</v>
      </c>
      <c r="D23" s="11">
        <v>-1.8338853369164802E-2</v>
      </c>
      <c r="E23" s="11">
        <v>-4.8996466686930903E-2</v>
      </c>
      <c r="F23" s="11">
        <v>9.0913190735109298E-2</v>
      </c>
      <c r="G23" s="11">
        <v>3.5803631173483598E-2</v>
      </c>
      <c r="H23" s="11">
        <v>0.13397973746681999</v>
      </c>
      <c r="I23" s="11">
        <v>0.17882240246484299</v>
      </c>
      <c r="J23" s="11">
        <v>0.310879414196988</v>
      </c>
      <c r="K23" s="11">
        <v>0.143517585023582</v>
      </c>
      <c r="L23" s="11">
        <v>5.0717310798441599E-2</v>
      </c>
      <c r="M23" s="11">
        <v>-0.113922248431679</v>
      </c>
      <c r="N23" s="11">
        <v>-3.4873767474783199E-2</v>
      </c>
      <c r="O23" s="11">
        <v>-4.1930729869452101E-2</v>
      </c>
      <c r="P23" s="11">
        <v>7.6169031454386199E-3</v>
      </c>
      <c r="Q23" s="11">
        <v>-7.3492072416091694E-2</v>
      </c>
      <c r="R23" s="11">
        <v>0</v>
      </c>
      <c r="S23" s="11">
        <v>0.100055414641759</v>
      </c>
      <c r="T23" s="11">
        <v>-1.60650664999645E-2</v>
      </c>
      <c r="U23" s="11">
        <v>6.7714851691583894E-2</v>
      </c>
      <c r="V23" s="11">
        <v>1.5731411383261801E-2</v>
      </c>
      <c r="W23" s="11">
        <v>0.134417421842603</v>
      </c>
      <c r="X23" s="11">
        <v>-4.8804812990552601E-2</v>
      </c>
      <c r="Y23" s="11">
        <v>1.9388480744351001E-2</v>
      </c>
      <c r="Z23" s="11">
        <v>2.5190547015287099E-2</v>
      </c>
      <c r="AA23" s="11">
        <v>1.2595240969305199E-2</v>
      </c>
      <c r="AB23" s="11">
        <v>-1.38742713003415E-2</v>
      </c>
      <c r="AC23" s="11">
        <v>-1.70007002512454E-2</v>
      </c>
      <c r="AD23" s="11">
        <v>2.3500278518402001E-2</v>
      </c>
      <c r="AE23" s="11">
        <v>-0.113922248431679</v>
      </c>
      <c r="AF23" s="11">
        <v>4.5955375067968901E-2</v>
      </c>
      <c r="AG23" s="11">
        <v>-5.5789116852186002E-2</v>
      </c>
      <c r="AH23" s="11">
        <v>1.6039901462046698E-2</v>
      </c>
      <c r="AI23" s="11">
        <v>7.0542866936582202E-3</v>
      </c>
      <c r="AJ23" s="11">
        <v>-5.2048702939512199E-2</v>
      </c>
      <c r="AK23" s="11">
        <v>-2.4512164721585201E-2</v>
      </c>
      <c r="AL23" s="11">
        <v>-3.3100023105480998E-2</v>
      </c>
      <c r="AM23" s="11">
        <v>-5.7550485991477197E-2</v>
      </c>
      <c r="AN23" s="11">
        <v>-9.7828060055175303E-2</v>
      </c>
      <c r="AO23" s="11">
        <v>-3.0656089556583999E-2</v>
      </c>
      <c r="AP23" s="11">
        <v>-2.7090582741069801E-2</v>
      </c>
      <c r="AQ23" s="11">
        <v>-5.3265038612955201E-2</v>
      </c>
      <c r="AR23" s="11">
        <v>-0.10137136385345701</v>
      </c>
      <c r="AS23" s="11">
        <v>-9.1243021382106604E-2</v>
      </c>
      <c r="AT23" s="11">
        <v>-6.0216311445850997E-2</v>
      </c>
      <c r="AU23" s="11">
        <v>0.13856729612764901</v>
      </c>
      <c r="AV23" s="11">
        <v>-6.4235363559518796E-2</v>
      </c>
      <c r="AW23" s="11">
        <v>5.6760500029593798E-2</v>
      </c>
      <c r="AX23" s="11">
        <v>-5.5460147543560399E-2</v>
      </c>
      <c r="AY23" s="11">
        <v>-2.0852544746320499E-2</v>
      </c>
      <c r="AZ23" s="11">
        <v>4.3724616625827703E-2</v>
      </c>
      <c r="BA23" s="11">
        <v>0.204333772400001</v>
      </c>
      <c r="BB23" s="11">
        <v>-0.113922248431679</v>
      </c>
      <c r="BC23" s="11">
        <v>0.71615320177947805</v>
      </c>
      <c r="BD23" s="11">
        <v>1.06115580701833</v>
      </c>
      <c r="BE23" s="11">
        <v>9.7396756468780595E-3</v>
      </c>
      <c r="BF23" s="11">
        <v>8.3837393802339802E-2</v>
      </c>
      <c r="BG23" s="11">
        <v>-0.113922248431679</v>
      </c>
      <c r="BH23" s="11">
        <v>0.14112552546248799</v>
      </c>
      <c r="BI23" s="11">
        <v>-0.113922248431679</v>
      </c>
      <c r="BJ23" s="11">
        <v>-0.113922248431679</v>
      </c>
      <c r="BK23" s="11">
        <v>0.365161737890001</v>
      </c>
      <c r="BL23" s="11">
        <v>0.15726163996591599</v>
      </c>
      <c r="BM23" s="11">
        <v>0.15875538413548401</v>
      </c>
      <c r="BN23" s="11">
        <v>-4.3883134222265002E-2</v>
      </c>
      <c r="BO23" s="11">
        <v>-0.113922248431679</v>
      </c>
      <c r="BP23" s="11">
        <v>-0.113922248431679</v>
      </c>
      <c r="BQ23" s="11">
        <v>0.122386059167833</v>
      </c>
      <c r="BR23" s="11">
        <v>0.46917857687852399</v>
      </c>
      <c r="BS23" s="11">
        <v>-0.113922248431679</v>
      </c>
      <c r="BT23" s="11">
        <v>8.0680508051511404E-2</v>
      </c>
      <c r="BU23" s="11">
        <v>9.7200316896835198E-2</v>
      </c>
      <c r="BV23" s="11">
        <v>-0.113922248431679</v>
      </c>
      <c r="BW23" s="11">
        <v>-0.113922248431679</v>
      </c>
      <c r="BX23" s="11">
        <v>-0.113922248431679</v>
      </c>
      <c r="BY23" s="11">
        <v>-0.113922248431679</v>
      </c>
      <c r="BZ23" s="11">
        <v>-0.113922248431679</v>
      </c>
      <c r="CA23" s="11">
        <v>-0.113922248431679</v>
      </c>
      <c r="CB23" s="11">
        <v>-1.5756675873807299E-2</v>
      </c>
      <c r="CC23" s="11">
        <v>-1.19740734610389E-2</v>
      </c>
      <c r="CD23" s="11">
        <v>0.101400212295574</v>
      </c>
      <c r="CE23" s="11">
        <v>0.327884705019588</v>
      </c>
      <c r="CF23" s="11">
        <v>0.220792682992351</v>
      </c>
      <c r="CG23" s="11">
        <v>-0.113922248431679</v>
      </c>
      <c r="CH23" s="11">
        <v>0.152516853180859</v>
      </c>
      <c r="CI23" s="11">
        <v>2.2733641689904601E-2</v>
      </c>
      <c r="CJ23" s="11">
        <v>0.33216894805237102</v>
      </c>
      <c r="CK23" s="11">
        <v>2.8162527696419699E-2</v>
      </c>
      <c r="CL23" s="11">
        <v>-0.113922248431679</v>
      </c>
      <c r="CM23" s="11">
        <v>-0.113922248431679</v>
      </c>
      <c r="CN23" s="11">
        <v>-0.113922248431679</v>
      </c>
      <c r="CO23" s="11">
        <v>-0.113922248431679</v>
      </c>
      <c r="CP23" s="11">
        <v>-0.113922248431679</v>
      </c>
      <c r="CQ23" s="11">
        <v>-0.113922248431679</v>
      </c>
      <c r="CR23" s="11">
        <v>0.40757740841615597</v>
      </c>
      <c r="CS23" s="11">
        <v>0.72771165686709305</v>
      </c>
      <c r="CT23" s="11">
        <v>-0.113922248431679</v>
      </c>
      <c r="CU23" s="11">
        <v>0.142676061499693</v>
      </c>
      <c r="CV23" s="11">
        <v>-0.113922248431679</v>
      </c>
      <c r="CW23" s="11">
        <v>-0.113922248431679</v>
      </c>
      <c r="CX23" s="11">
        <v>4.4010359355850799E-2</v>
      </c>
      <c r="CY23" s="11">
        <v>-0.113922248431679</v>
      </c>
      <c r="CZ23" s="11">
        <v>-3.8672252177353997E-2</v>
      </c>
      <c r="DA23" s="11">
        <v>0.22236094875156201</v>
      </c>
      <c r="DB23" s="11">
        <v>-0.113922248431679</v>
      </c>
      <c r="DC23" s="11">
        <v>-0.113922248431679</v>
      </c>
      <c r="DD23" s="11">
        <v>-0.113922248431679</v>
      </c>
      <c r="DE23" s="11">
        <v>-0.113922248431679</v>
      </c>
      <c r="DF23" s="11">
        <v>-0.113922248431679</v>
      </c>
      <c r="DG23" s="11">
        <v>-0.113922248431679</v>
      </c>
      <c r="DH23" s="11">
        <v>-0.113922248431679</v>
      </c>
      <c r="DI23" s="11">
        <v>-0.113922248431679</v>
      </c>
      <c r="DJ23" s="11">
        <v>0.147443513004892</v>
      </c>
      <c r="DK23" s="11">
        <v>-3.6210083534091199E-2</v>
      </c>
      <c r="DL23" s="11">
        <v>0.104070807647929</v>
      </c>
      <c r="DM23" s="11">
        <v>-0.113922248431679</v>
      </c>
      <c r="DN23" s="11">
        <v>-2.4671563736471499E-2</v>
      </c>
      <c r="DO23" s="11">
        <v>-5.4791708038114499E-2</v>
      </c>
      <c r="DP23" s="11">
        <v>-8.3651649248600607E-2</v>
      </c>
      <c r="DQ23" s="11">
        <v>-4.2514806007188898E-2</v>
      </c>
      <c r="DR23" s="11">
        <v>-9.1031476129606898E-3</v>
      </c>
      <c r="DS23" s="11">
        <v>-5.1722894631768802E-2</v>
      </c>
      <c r="DT23" s="11">
        <v>1.0079800655673999E-2</v>
      </c>
      <c r="DU23" s="11">
        <v>-0.113922248431679</v>
      </c>
      <c r="DV23" s="11">
        <v>0.118219390027962</v>
      </c>
      <c r="DW23" s="11">
        <v>0.62133471540440899</v>
      </c>
      <c r="DX23" s="11">
        <v>0.19236637877648399</v>
      </c>
      <c r="DY23" s="11">
        <v>0.484743430504607</v>
      </c>
      <c r="DZ23" s="11">
        <v>0.19637407028117501</v>
      </c>
      <c r="EA23" s="11">
        <v>-2.7963105143770099E-2</v>
      </c>
      <c r="EB23" s="11">
        <v>-3.4931504832905601E-2</v>
      </c>
      <c r="EC23" s="11">
        <v>-9.8460904998774204E-2</v>
      </c>
      <c r="ED23" s="11">
        <v>3.9016865395504703E-2</v>
      </c>
      <c r="EE23" s="11">
        <v>5.9877047693903097E-2</v>
      </c>
      <c r="EF23" s="11">
        <v>0.110813862779277</v>
      </c>
      <c r="EG23" s="11">
        <v>-6.4463844360266906E-2</v>
      </c>
      <c r="EH23" s="11">
        <v>0.204721467445654</v>
      </c>
      <c r="EI23" s="11">
        <v>0.17209508936519499</v>
      </c>
      <c r="EJ23" s="11">
        <v>0.37401828558565797</v>
      </c>
      <c r="EK23" s="11">
        <v>0.203921934082444</v>
      </c>
      <c r="EL23" s="11">
        <v>0.26780160426910599</v>
      </c>
      <c r="EM23" s="11">
        <v>0.34855056092328401</v>
      </c>
      <c r="EN23" s="11">
        <v>-7.2925665804794799E-3</v>
      </c>
      <c r="EO23" s="11">
        <v>-5.5573109283295299E-2</v>
      </c>
      <c r="EP23" s="11">
        <v>0.103575940029765</v>
      </c>
      <c r="EQ23" s="11">
        <v>-0.113922248431679</v>
      </c>
      <c r="ER23" s="11">
        <v>-0.113922248431679</v>
      </c>
      <c r="ES23" s="11">
        <v>0.46206712382305198</v>
      </c>
      <c r="ET23" s="11">
        <v>8.7025465069044195E-4</v>
      </c>
      <c r="EU23" s="11">
        <v>-0.113922248431679</v>
      </c>
      <c r="EV23" s="11">
        <v>0.156469031413704</v>
      </c>
      <c r="EW23" s="11">
        <v>-0.113922248431679</v>
      </c>
      <c r="EX23" s="11">
        <v>1.3645209329652399E-2</v>
      </c>
      <c r="EY23" s="11">
        <v>9.0444858713307805E-2</v>
      </c>
      <c r="EZ23" s="11">
        <v>3.7799086271929898E-2</v>
      </c>
      <c r="FA23" s="11">
        <v>-0.113922248431679</v>
      </c>
      <c r="FB23" s="11">
        <v>-0.113922248431679</v>
      </c>
      <c r="FC23" s="11">
        <v>-0.113922248431679</v>
      </c>
      <c r="FD23" s="11">
        <v>-0.113922248431679</v>
      </c>
      <c r="FE23" s="11">
        <v>-0.113922248431679</v>
      </c>
      <c r="FF23" s="11">
        <v>0.102910987124942</v>
      </c>
      <c r="FG23" s="11">
        <v>-0.113922248431679</v>
      </c>
      <c r="FH23" s="11">
        <v>-0.113922248431679</v>
      </c>
      <c r="FI23" s="11">
        <v>0.136048748866758</v>
      </c>
      <c r="FJ23" s="11">
        <v>0.27898443875097301</v>
      </c>
      <c r="FK23" s="11">
        <v>0.18045154038665501</v>
      </c>
      <c r="FL23" s="11">
        <v>0.12887776298413101</v>
      </c>
      <c r="FM23" s="11">
        <v>0.14656057063715</v>
      </c>
      <c r="FN23" s="11">
        <v>0.11640026748009601</v>
      </c>
      <c r="FO23" s="11">
        <v>2.4943737440979701E-2</v>
      </c>
      <c r="FP23" s="11">
        <v>7.6357226839969594E-2</v>
      </c>
      <c r="FQ23" s="11">
        <v>0.21246209773154401</v>
      </c>
      <c r="FR23" s="11">
        <v>8.2369999409623695E-2</v>
      </c>
      <c r="FS23" s="11">
        <v>0.228574662794818</v>
      </c>
      <c r="FT23" s="11">
        <v>-0.113922248431679</v>
      </c>
      <c r="FU23" s="11">
        <v>1.04706150562069</v>
      </c>
      <c r="FV23" s="11">
        <v>-0.113922248431679</v>
      </c>
      <c r="FW23" s="11">
        <v>-1.5389983652044401E-2</v>
      </c>
      <c r="FX23" s="11">
        <v>0.10763555737177501</v>
      </c>
      <c r="FY23" s="11">
        <v>-0.113922248431679</v>
      </c>
      <c r="FZ23" s="11">
        <v>2.93668634659409E-2</v>
      </c>
      <c r="GA23" s="11">
        <v>-0.113922248431679</v>
      </c>
      <c r="GB23" s="11">
        <v>0.29290591243383401</v>
      </c>
      <c r="GC23" s="11">
        <v>7.2225523259171797E-3</v>
      </c>
      <c r="GD23" s="11">
        <v>4.5245941639976799E-2</v>
      </c>
      <c r="GE23" s="11">
        <v>0.40540983940599301</v>
      </c>
      <c r="GF23" s="11">
        <v>8.0080397586538704E-2</v>
      </c>
      <c r="GG23" s="11">
        <v>9.3764653276191101E-2</v>
      </c>
      <c r="GH23" s="11">
        <v>-0.113922248431679</v>
      </c>
      <c r="GI23" s="11">
        <v>6.31742914586573E-2</v>
      </c>
      <c r="GJ23" s="11">
        <v>0.27404633887038199</v>
      </c>
      <c r="GK23" s="11">
        <v>-1.31473490048006E-2</v>
      </c>
    </row>
    <row r="24" spans="1:193" x14ac:dyDescent="0.25">
      <c r="A24" t="s">
        <v>267</v>
      </c>
      <c r="B24" t="s">
        <v>545</v>
      </c>
      <c r="C24">
        <v>6.6430652964408102E-2</v>
      </c>
      <c r="D24">
        <v>4.4166590313377503E-2</v>
      </c>
      <c r="E24">
        <v>0.217883551730984</v>
      </c>
      <c r="F24">
        <v>6.3878163444231695E-2</v>
      </c>
      <c r="G24">
        <v>2.5759004094573001E-2</v>
      </c>
      <c r="H24">
        <v>5.2377762498818002E-2</v>
      </c>
      <c r="I24">
        <v>8.3050994158204397E-2</v>
      </c>
      <c r="J24">
        <v>0.13796741291502601</v>
      </c>
      <c r="K24">
        <v>7.1684280749542195E-2</v>
      </c>
      <c r="L24">
        <v>2.8449815464716199E-2</v>
      </c>
      <c r="M24">
        <v>3.7728319832234201E-2</v>
      </c>
      <c r="N24">
        <v>5.67271943833665E-2</v>
      </c>
      <c r="O24">
        <v>1.82525914023739E-2</v>
      </c>
      <c r="P24">
        <v>3.7161891530735597E-2</v>
      </c>
      <c r="Q24">
        <v>0</v>
      </c>
      <c r="R24">
        <v>3.87665422973388E-2</v>
      </c>
      <c r="S24">
        <v>7.7764887951166303E-2</v>
      </c>
      <c r="T24">
        <v>3.3133686493787097E-2</v>
      </c>
      <c r="U24">
        <v>4.7221027129912302E-2</v>
      </c>
      <c r="V24">
        <v>3.2516396278534303E-2</v>
      </c>
      <c r="W24">
        <v>3.2899552957847598E-2</v>
      </c>
      <c r="X24">
        <v>6.5117435441126206E-2</v>
      </c>
      <c r="Y24">
        <v>0</v>
      </c>
      <c r="Z24">
        <v>0</v>
      </c>
      <c r="AA24">
        <v>0</v>
      </c>
      <c r="AB24">
        <v>0</v>
      </c>
      <c r="AC24">
        <v>1.24047991267231E-2</v>
      </c>
      <c r="AD24">
        <v>5.6256724378402498E-2</v>
      </c>
      <c r="AE24">
        <v>5.1475396946919202E-2</v>
      </c>
      <c r="AF24">
        <v>2.7662093535407901E-2</v>
      </c>
      <c r="AG24">
        <v>0</v>
      </c>
      <c r="AH24">
        <v>8.7709753262333295E-2</v>
      </c>
      <c r="AI24">
        <v>0</v>
      </c>
      <c r="AJ24">
        <v>6.1873545492166802E-2</v>
      </c>
      <c r="AK24">
        <v>3.0284202873349202E-2</v>
      </c>
      <c r="AL24">
        <v>2.0530696290951399E-2</v>
      </c>
      <c r="AM24">
        <v>3.7766528846896102E-2</v>
      </c>
      <c r="AN24">
        <v>4.78812180610741E-2</v>
      </c>
      <c r="AO24">
        <v>0</v>
      </c>
      <c r="AP24">
        <v>2.9381170587810101E-2</v>
      </c>
      <c r="AQ24">
        <v>3.0529938953455901E-2</v>
      </c>
      <c r="AR24">
        <v>1.2550884578222E-2</v>
      </c>
      <c r="AS24">
        <v>6.7307351187013198E-2</v>
      </c>
      <c r="AT24">
        <v>5.3705936985827998E-2</v>
      </c>
      <c r="AU24">
        <v>3.34832021244501E-2</v>
      </c>
      <c r="AV24">
        <v>9.8099388508945395E-2</v>
      </c>
      <c r="AW24">
        <v>2.21829695567047E-2</v>
      </c>
      <c r="AX24">
        <v>0</v>
      </c>
      <c r="AY24">
        <v>4.7203796963501701E-2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2.92452980921519E-2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4.9828996237435703E-2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3.9592720069146797E-2</v>
      </c>
      <c r="EE24">
        <v>0</v>
      </c>
      <c r="EF24">
        <v>0</v>
      </c>
      <c r="EG24">
        <v>0</v>
      </c>
      <c r="EH24">
        <v>0</v>
      </c>
      <c r="EI24">
        <v>6.8121602078729498E-2</v>
      </c>
      <c r="EJ24">
        <v>0.322051257649758</v>
      </c>
      <c r="EK24">
        <v>0.343830876513678</v>
      </c>
      <c r="EL24">
        <v>0.26462369068435698</v>
      </c>
      <c r="EM24">
        <v>0</v>
      </c>
      <c r="EN24">
        <v>0</v>
      </c>
      <c r="EO24">
        <v>0</v>
      </c>
      <c r="EP24">
        <v>5.71825164967932E-2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0.18126037579335799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4.68635835297051E-2</v>
      </c>
      <c r="GE24">
        <v>0</v>
      </c>
      <c r="GF24">
        <v>3.3917671658932398E-2</v>
      </c>
      <c r="GG24">
        <v>0</v>
      </c>
      <c r="GH24">
        <v>0</v>
      </c>
      <c r="GI24">
        <v>0</v>
      </c>
      <c r="GJ24">
        <v>0</v>
      </c>
      <c r="GK24">
        <v>0</v>
      </c>
    </row>
    <row r="25" spans="1:193" x14ac:dyDescent="0.25">
      <c r="A25" t="s">
        <v>267</v>
      </c>
      <c r="B25" t="s">
        <v>546</v>
      </c>
      <c r="C25">
        <v>0</v>
      </c>
      <c r="D25">
        <v>0</v>
      </c>
      <c r="E25">
        <v>0</v>
      </c>
      <c r="F25">
        <v>0</v>
      </c>
      <c r="G25">
        <v>0</v>
      </c>
      <c r="H25">
        <v>5.2377762498818002E-2</v>
      </c>
      <c r="I25">
        <v>2.1144664561801502E-2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1.24568106778423E-2</v>
      </c>
      <c r="Q25">
        <v>0</v>
      </c>
      <c r="R25">
        <v>0</v>
      </c>
      <c r="S25">
        <v>0</v>
      </c>
      <c r="T25">
        <v>1.66332546995418E-2</v>
      </c>
      <c r="U25">
        <v>0</v>
      </c>
      <c r="V25">
        <v>0</v>
      </c>
      <c r="W25">
        <v>0</v>
      </c>
      <c r="X25">
        <v>0</v>
      </c>
      <c r="Y25">
        <v>3.9134303613742698E-2</v>
      </c>
      <c r="Z25">
        <v>2.87346273427833E-2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2.7662093535407901E-2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1.8977363243450601E-2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2.50075707905099E-2</v>
      </c>
      <c r="AW25">
        <v>0</v>
      </c>
      <c r="AX25">
        <v>0</v>
      </c>
      <c r="AY25">
        <v>0</v>
      </c>
      <c r="AZ25">
        <v>8.0748228013425502E-2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2.92452980921519E-2</v>
      </c>
      <c r="BM25">
        <v>0</v>
      </c>
      <c r="BN25">
        <v>7.0039114209413694E-2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0.15793260778752899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1.29601289059482E-2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0.17652862476218301</v>
      </c>
      <c r="DX25">
        <v>0</v>
      </c>
      <c r="DY25">
        <v>3.7709518216080103E-2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6.8121602078729498E-2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0.112095195853462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</row>
    <row r="26" spans="1:193" x14ac:dyDescent="0.25">
      <c r="A26" t="s">
        <v>267</v>
      </c>
      <c r="B26" t="s">
        <v>549</v>
      </c>
      <c r="C26">
        <v>1.6836449079044299E-2</v>
      </c>
      <c r="D26">
        <v>0</v>
      </c>
      <c r="E26">
        <v>0</v>
      </c>
      <c r="F26">
        <v>2.1542174429558601E-2</v>
      </c>
      <c r="G26">
        <v>0</v>
      </c>
      <c r="H26">
        <v>0</v>
      </c>
      <c r="I26">
        <v>2.1144664561801502E-2</v>
      </c>
      <c r="J26">
        <v>9.3129381008647802E-2</v>
      </c>
      <c r="K26">
        <v>7.1684280749542195E-2</v>
      </c>
      <c r="L26">
        <v>0</v>
      </c>
      <c r="M26">
        <v>0</v>
      </c>
      <c r="N26">
        <v>0</v>
      </c>
      <c r="O26">
        <v>0</v>
      </c>
      <c r="P26">
        <v>0</v>
      </c>
      <c r="Q26">
        <v>1.3562747761370101E-2</v>
      </c>
      <c r="R26">
        <v>1.9486282921985499E-2</v>
      </c>
      <c r="S26">
        <v>0</v>
      </c>
      <c r="T26">
        <v>0</v>
      </c>
      <c r="U26">
        <v>2.3771990888759802E-2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1.24047991267231E-2</v>
      </c>
      <c r="AD26">
        <v>0</v>
      </c>
      <c r="AE26">
        <v>0</v>
      </c>
      <c r="AF26">
        <v>2.7662093535407901E-2</v>
      </c>
      <c r="AG26">
        <v>0</v>
      </c>
      <c r="AH26">
        <v>0</v>
      </c>
      <c r="AI26">
        <v>0</v>
      </c>
      <c r="AJ26">
        <v>0</v>
      </c>
      <c r="AK26">
        <v>6.0081719299942403E-2</v>
      </c>
      <c r="AL26">
        <v>2.0530696290951399E-2</v>
      </c>
      <c r="AM26">
        <v>0</v>
      </c>
      <c r="AN26">
        <v>0</v>
      </c>
      <c r="AO26">
        <v>1.69423364446128E-2</v>
      </c>
      <c r="AP26">
        <v>0</v>
      </c>
      <c r="AQ26">
        <v>1.5316171635693101E-2</v>
      </c>
      <c r="AR26">
        <v>1.2550884578222E-2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0.13631815425145499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3.1676861374211503E-2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0.105525177397956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8.8239537497251302E-2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2.3578412033436299E-2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</row>
    <row r="27" spans="1:193" x14ac:dyDescent="0.25">
      <c r="A27" t="s">
        <v>267</v>
      </c>
      <c r="B27" t="s">
        <v>550</v>
      </c>
      <c r="C27">
        <v>1.6836449079044299E-2</v>
      </c>
      <c r="D27">
        <v>1.48414888640025E-2</v>
      </c>
      <c r="E27">
        <v>6.4925781744748001E-2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2.8449815464716199E-2</v>
      </c>
      <c r="M27">
        <v>0</v>
      </c>
      <c r="N27">
        <v>1.14537120131124E-2</v>
      </c>
      <c r="O27">
        <v>0</v>
      </c>
      <c r="P27">
        <v>0</v>
      </c>
      <c r="Q27">
        <v>0</v>
      </c>
      <c r="R27">
        <v>1.9486282921985499E-2</v>
      </c>
      <c r="S27">
        <v>0</v>
      </c>
      <c r="T27">
        <v>0</v>
      </c>
      <c r="U27">
        <v>0</v>
      </c>
      <c r="V27">
        <v>1.6324077483683801E-2</v>
      </c>
      <c r="W27">
        <v>3.2899552957847598E-2</v>
      </c>
      <c r="X27">
        <v>0</v>
      </c>
      <c r="Y27">
        <v>0</v>
      </c>
      <c r="Z27">
        <v>0</v>
      </c>
      <c r="AA27">
        <v>0</v>
      </c>
      <c r="AB27">
        <v>1.1362078835236201E-2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4.4408767498340503E-2</v>
      </c>
      <c r="AI27">
        <v>4.1264975845091298E-2</v>
      </c>
      <c r="AJ27">
        <v>0</v>
      </c>
      <c r="AK27">
        <v>3.0284202873349202E-2</v>
      </c>
      <c r="AL27">
        <v>0</v>
      </c>
      <c r="AM27">
        <v>1.8977363243450601E-2</v>
      </c>
      <c r="AN27">
        <v>1.6094188376503601E-2</v>
      </c>
      <c r="AO27">
        <v>0</v>
      </c>
      <c r="AP27">
        <v>1.4746865652497601E-2</v>
      </c>
      <c r="AQ27">
        <v>7.6709973665081499E-3</v>
      </c>
      <c r="AR27">
        <v>0</v>
      </c>
      <c r="AS27">
        <v>2.26792270495721E-2</v>
      </c>
      <c r="AT27">
        <v>0</v>
      </c>
      <c r="AU27">
        <v>0</v>
      </c>
      <c r="AV27">
        <v>0</v>
      </c>
      <c r="AW27">
        <v>2.21829695567047E-2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0.10980523078397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0.10481910081871799</v>
      </c>
      <c r="DS27">
        <v>0</v>
      </c>
      <c r="DT27">
        <v>1.9386572472213998E-2</v>
      </c>
      <c r="DU27">
        <v>0</v>
      </c>
      <c r="DV27">
        <v>0</v>
      </c>
      <c r="DW27">
        <v>0.33536511847442102</v>
      </c>
      <c r="DX27">
        <v>0</v>
      </c>
      <c r="DY27">
        <v>0</v>
      </c>
      <c r="DZ27">
        <v>2.6058106576385701E-2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6.8121602078729498E-2</v>
      </c>
      <c r="EJ27">
        <v>0.23214594102994701</v>
      </c>
      <c r="EK27">
        <v>0.123063479241139</v>
      </c>
      <c r="EL27">
        <v>0.137972938016136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0.18126037579335799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0.26633420828191701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0.128482563419441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2.7173668474000299E-2</v>
      </c>
      <c r="GK27">
        <v>0</v>
      </c>
    </row>
    <row r="28" spans="1:193" x14ac:dyDescent="0.25">
      <c r="A28" t="s">
        <v>267</v>
      </c>
      <c r="B28" t="s">
        <v>556</v>
      </c>
      <c r="C28">
        <v>1.6836449079044299E-2</v>
      </c>
      <c r="D28">
        <v>0</v>
      </c>
      <c r="E28">
        <v>3.2751568024049903E-2</v>
      </c>
      <c r="F28">
        <v>2.1542174429558601E-2</v>
      </c>
      <c r="G28">
        <v>0</v>
      </c>
      <c r="H28">
        <v>0</v>
      </c>
      <c r="I28">
        <v>0</v>
      </c>
      <c r="J28">
        <v>4.7162374936033702E-2</v>
      </c>
      <c r="K28">
        <v>3.62163539102833E-2</v>
      </c>
      <c r="L28">
        <v>0</v>
      </c>
      <c r="M28">
        <v>0.110850910162264</v>
      </c>
      <c r="N28">
        <v>1.14537120131124E-2</v>
      </c>
      <c r="O28">
        <v>3.63329004736022E-2</v>
      </c>
      <c r="P28">
        <v>1.24568106778423E-2</v>
      </c>
      <c r="Q28">
        <v>2.7039023881163401E-2</v>
      </c>
      <c r="R28">
        <v>0</v>
      </c>
      <c r="S28">
        <v>0</v>
      </c>
      <c r="T28">
        <v>1.66332546995418E-2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3.2504203008244199E-2</v>
      </c>
      <c r="AB28">
        <v>0</v>
      </c>
      <c r="AC28">
        <v>0</v>
      </c>
      <c r="AD28">
        <v>2.8353075951583699E-2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3.7766528846896102E-2</v>
      </c>
      <c r="AN28">
        <v>1.6094188376503601E-2</v>
      </c>
      <c r="AO28">
        <v>0</v>
      </c>
      <c r="AP28">
        <v>1.4746865652497601E-2</v>
      </c>
      <c r="AQ28">
        <v>7.6709973665081499E-3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0.47908398632167998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5.17804888990799E-2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0.52149965684783395</v>
      </c>
      <c r="CS28">
        <v>0</v>
      </c>
      <c r="CT28">
        <v>0</v>
      </c>
      <c r="CU28">
        <v>0.133732484403246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6.4980136518028406E-2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3.8567008112317697E-2</v>
      </c>
      <c r="DU28">
        <v>0</v>
      </c>
      <c r="DV28">
        <v>0</v>
      </c>
      <c r="DW28">
        <v>0.33536511847442102</v>
      </c>
      <c r="DX28">
        <v>0</v>
      </c>
      <c r="DY28">
        <v>0</v>
      </c>
      <c r="DZ28">
        <v>2.6058106576385701E-2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0.30295969408715701</v>
      </c>
      <c r="EJ28">
        <v>0.47700233188626301</v>
      </c>
      <c r="EK28">
        <v>0.26457356795995801</v>
      </c>
      <c r="EL28">
        <v>0.26462369068435698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0.129988821814255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9.8073724400401005E-2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1.1627718425242</v>
      </c>
      <c r="FW28">
        <v>0</v>
      </c>
      <c r="FX28">
        <v>0</v>
      </c>
      <c r="FY28">
        <v>0.128482563419441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5.4524040860995202E-2</v>
      </c>
      <c r="GH28">
        <v>0</v>
      </c>
      <c r="GI28">
        <v>0</v>
      </c>
      <c r="GJ28">
        <v>0</v>
      </c>
      <c r="GK28">
        <v>1.72406952739305E-2</v>
      </c>
    </row>
    <row r="29" spans="1:193" x14ac:dyDescent="0.25">
      <c r="A29" t="s">
        <v>267</v>
      </c>
      <c r="B29" t="s">
        <v>557</v>
      </c>
      <c r="C29">
        <v>0</v>
      </c>
      <c r="D29">
        <v>0</v>
      </c>
      <c r="E29">
        <v>0</v>
      </c>
      <c r="F29">
        <v>2.1542174429558601E-2</v>
      </c>
      <c r="G29">
        <v>0</v>
      </c>
      <c r="H29">
        <v>0</v>
      </c>
      <c r="I29">
        <v>4.2030208115209002E-2</v>
      </c>
      <c r="J29">
        <v>4.7162374936033702E-2</v>
      </c>
      <c r="K29">
        <v>3.62163539102833E-2</v>
      </c>
      <c r="L29">
        <v>0</v>
      </c>
      <c r="M29">
        <v>0</v>
      </c>
      <c r="N29">
        <v>2.2852603033352199E-2</v>
      </c>
      <c r="O29">
        <v>1.82525914023739E-2</v>
      </c>
      <c r="P29">
        <v>1.24568106778423E-2</v>
      </c>
      <c r="Q29">
        <v>1.3562747761370101E-2</v>
      </c>
      <c r="R29">
        <v>0</v>
      </c>
      <c r="S29">
        <v>7.7764887951166303E-2</v>
      </c>
      <c r="T29">
        <v>3.3133686493787097E-2</v>
      </c>
      <c r="U29">
        <v>0</v>
      </c>
      <c r="V29">
        <v>3.2516396278534303E-2</v>
      </c>
      <c r="W29">
        <v>9.7004331955584E-2</v>
      </c>
      <c r="X29">
        <v>3.2840606227700901E-2</v>
      </c>
      <c r="Y29">
        <v>1.9676854801553401E-2</v>
      </c>
      <c r="Z29">
        <v>2.87346273427833E-2</v>
      </c>
      <c r="AA29">
        <v>3.2504203008244199E-2</v>
      </c>
      <c r="AB29">
        <v>2.2660838550967202E-2</v>
      </c>
      <c r="AC29">
        <v>1.24047991267231E-2</v>
      </c>
      <c r="AD29">
        <v>0</v>
      </c>
      <c r="AE29">
        <v>0</v>
      </c>
      <c r="AF29">
        <v>0</v>
      </c>
      <c r="AG29">
        <v>5.8133131579493E-2</v>
      </c>
      <c r="AH29">
        <v>0</v>
      </c>
      <c r="AI29">
        <v>0</v>
      </c>
      <c r="AJ29">
        <v>0</v>
      </c>
      <c r="AK29">
        <v>3.0284202873349202E-2</v>
      </c>
      <c r="AL29">
        <v>4.0841068115795499E-2</v>
      </c>
      <c r="AM29">
        <v>0</v>
      </c>
      <c r="AN29">
        <v>0</v>
      </c>
      <c r="AO29">
        <v>0</v>
      </c>
      <c r="AP29">
        <v>0</v>
      </c>
      <c r="AQ29">
        <v>3.0529938953455901E-2</v>
      </c>
      <c r="AR29">
        <v>0</v>
      </c>
      <c r="AS29">
        <v>2.26792270495721E-2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4.7203796963501701E-2</v>
      </c>
      <c r="AZ29">
        <v>0.157646865057506</v>
      </c>
      <c r="BA29">
        <v>0.13062271125636599</v>
      </c>
      <c r="BB29">
        <v>0</v>
      </c>
      <c r="BC29">
        <v>0</v>
      </c>
      <c r="BD29">
        <v>0</v>
      </c>
      <c r="BE29">
        <v>0.21535347173536201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0.47908398632167998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6.23838890491165E-2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0.411592216320187</v>
      </c>
      <c r="BX29">
        <v>0</v>
      </c>
      <c r="BY29">
        <v>0</v>
      </c>
      <c r="BZ29">
        <v>0</v>
      </c>
      <c r="CA29">
        <v>0</v>
      </c>
      <c r="CB29">
        <v>9.8165572557871603E-2</v>
      </c>
      <c r="CC29">
        <v>5.17804888990799E-2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0.16377219223488501</v>
      </c>
      <c r="CK29">
        <v>0</v>
      </c>
      <c r="CL29">
        <v>0.12950052208473001</v>
      </c>
      <c r="CM29">
        <v>0</v>
      </c>
      <c r="CN29">
        <v>0</v>
      </c>
      <c r="CO29">
        <v>0.53774091433243099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0.133732484403246</v>
      </c>
      <c r="CV29">
        <v>0.116595510071825</v>
      </c>
      <c r="CW29">
        <v>0</v>
      </c>
      <c r="CX29">
        <v>0</v>
      </c>
      <c r="CY29">
        <v>0.10980523078397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0.114876277458085</v>
      </c>
      <c r="DM29">
        <v>0.59467103825119505</v>
      </c>
      <c r="DN29">
        <v>3.0192989900508001E-2</v>
      </c>
      <c r="DO29">
        <v>8.8007256861556707E-2</v>
      </c>
      <c r="DP29">
        <v>0.118730422507949</v>
      </c>
      <c r="DQ29">
        <v>5.1380350524475503E-2</v>
      </c>
      <c r="DR29">
        <v>0</v>
      </c>
      <c r="DS29">
        <v>0.16133207265896199</v>
      </c>
      <c r="DT29">
        <v>0.41671878920686001</v>
      </c>
      <c r="DU29">
        <v>0.10060797873124799</v>
      </c>
      <c r="DV29">
        <v>0</v>
      </c>
      <c r="DW29">
        <v>0</v>
      </c>
      <c r="DX29">
        <v>0</v>
      </c>
      <c r="DY29">
        <v>0.29802205903943702</v>
      </c>
      <c r="DZ29">
        <v>0</v>
      </c>
      <c r="EA29">
        <v>0</v>
      </c>
      <c r="EB29">
        <v>0</v>
      </c>
      <c r="EC29">
        <v>1.5461343432904701E-2</v>
      </c>
      <c r="ED29">
        <v>3.9592720069146797E-2</v>
      </c>
      <c r="EE29">
        <v>0.131977214822462</v>
      </c>
      <c r="EF29">
        <v>0</v>
      </c>
      <c r="EG29">
        <v>0.144143237364243</v>
      </c>
      <c r="EH29">
        <v>0.21941488393407699</v>
      </c>
      <c r="EI29">
        <v>6.8121602078729498E-2</v>
      </c>
      <c r="EJ29">
        <v>0</v>
      </c>
      <c r="EK29">
        <v>3.1676861374211503E-2</v>
      </c>
      <c r="EL29">
        <v>0.137972938016136</v>
      </c>
      <c r="EM29">
        <v>0.128701524184553</v>
      </c>
      <c r="EN29">
        <v>3.6276749519703402E-2</v>
      </c>
      <c r="EO29">
        <v>5.8349139148383501E-2</v>
      </c>
      <c r="EP29">
        <v>0</v>
      </c>
      <c r="EQ29">
        <v>0.20509275512044101</v>
      </c>
      <c r="ER29">
        <v>0</v>
      </c>
      <c r="ES29">
        <v>0</v>
      </c>
      <c r="ET29">
        <v>0.114792503082369</v>
      </c>
      <c r="EU29">
        <v>0.193224843194297</v>
      </c>
      <c r="EV29">
        <v>0</v>
      </c>
      <c r="EW29">
        <v>0.2874254571232</v>
      </c>
      <c r="EX29">
        <v>0</v>
      </c>
      <c r="EY29">
        <v>0.29735186320799101</v>
      </c>
      <c r="EZ29">
        <v>0</v>
      </c>
      <c r="FA29">
        <v>0.21947271461337201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0.129988821814255</v>
      </c>
      <c r="FJ29">
        <v>0.14234846729015499</v>
      </c>
      <c r="FK29">
        <v>0.104503362544778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0.114713755679761</v>
      </c>
      <c r="FY29">
        <v>0</v>
      </c>
      <c r="FZ29">
        <v>0.14328911189762</v>
      </c>
      <c r="GA29">
        <v>0.107770326526518</v>
      </c>
      <c r="GB29">
        <v>0.112095195853462</v>
      </c>
      <c r="GC29">
        <v>4.1406466384531798E-2</v>
      </c>
      <c r="GD29">
        <v>4.68635835297051E-2</v>
      </c>
      <c r="GE29">
        <v>0</v>
      </c>
      <c r="GF29">
        <v>0</v>
      </c>
      <c r="GG29">
        <v>0.107233649127615</v>
      </c>
      <c r="GH29">
        <v>0</v>
      </c>
      <c r="GI29">
        <v>0</v>
      </c>
      <c r="GJ29">
        <v>0</v>
      </c>
      <c r="GK29">
        <v>5.1176423729122303E-2</v>
      </c>
    </row>
    <row r="30" spans="1:193" x14ac:dyDescent="0.25">
      <c r="A30" t="s">
        <v>267</v>
      </c>
      <c r="B30" t="s">
        <v>558</v>
      </c>
      <c r="C30">
        <v>1.8013161379395001E-2</v>
      </c>
      <c r="D30">
        <v>-8.0748228013425696E-2</v>
      </c>
      <c r="E30">
        <v>1.5796993546876501E-2</v>
      </c>
      <c r="F30">
        <v>2.4510609384059901E-2</v>
      </c>
      <c r="G30">
        <v>-8.0748228013425696E-2</v>
      </c>
      <c r="H30">
        <v>2.2521052791601801E-2</v>
      </c>
      <c r="I30">
        <v>-1.8084765342368699E-2</v>
      </c>
      <c r="J30">
        <v>1.23811529952221E-2</v>
      </c>
      <c r="K30">
        <v>-8.0748228013425696E-2</v>
      </c>
      <c r="L30">
        <v>3.3487679302267098E-3</v>
      </c>
      <c r="M30">
        <v>-4.3019908181191398E-2</v>
      </c>
      <c r="N30">
        <v>-4.6550864201701903E-2</v>
      </c>
      <c r="O30">
        <v>-2.65035591152788E-2</v>
      </c>
      <c r="P30">
        <v>-3.1336119281846403E-2</v>
      </c>
      <c r="Q30">
        <v>2.5405905825225499E-2</v>
      </c>
      <c r="R30">
        <v>-4.1981685716086903E-2</v>
      </c>
      <c r="S30">
        <v>-5.44400777518717E-2</v>
      </c>
      <c r="T30">
        <v>-4.7614541519638599E-2</v>
      </c>
      <c r="U30">
        <v>5.7223160913538899E-2</v>
      </c>
      <c r="V30">
        <v>-3.21687552478944E-2</v>
      </c>
      <c r="W30">
        <v>1.6256103942158401E-2</v>
      </c>
      <c r="X30">
        <v>3.0307886179684702E-4</v>
      </c>
      <c r="Y30">
        <v>1.54944069848807E-2</v>
      </c>
      <c r="Z30">
        <v>4.0554296804606897E-3</v>
      </c>
      <c r="AA30">
        <v>-4.82440250051814E-2</v>
      </c>
      <c r="AB30">
        <v>-3.5676473050110999E-2</v>
      </c>
      <c r="AC30">
        <v>-5.6023910013936702E-2</v>
      </c>
      <c r="AD30">
        <v>-2.4491503635023198E-2</v>
      </c>
      <c r="AE30">
        <v>-8.0748228013425696E-2</v>
      </c>
      <c r="AF30">
        <v>9.7828168487703107E-4</v>
      </c>
      <c r="AG30">
        <v>-5.14433201004992E-2</v>
      </c>
      <c r="AH30">
        <v>-8.0748228013425696E-2</v>
      </c>
      <c r="AI30">
        <v>7.8766527273268105E-2</v>
      </c>
      <c r="AJ30">
        <v>1.12617290035437E-2</v>
      </c>
      <c r="AK30">
        <v>8.6618556966679902E-3</v>
      </c>
      <c r="AL30">
        <v>-1.9811717144379799E-2</v>
      </c>
      <c r="AM30">
        <v>1.22985617083145E-2</v>
      </c>
      <c r="AN30">
        <v>1.38479203636488E-2</v>
      </c>
      <c r="AO30">
        <v>-3.0360681588694E-2</v>
      </c>
      <c r="AP30">
        <v>6.0834376771836396E-3</v>
      </c>
      <c r="AQ30">
        <v>-8.2939655143318095E-4</v>
      </c>
      <c r="AR30">
        <v>-4.3301524604725097E-2</v>
      </c>
      <c r="AS30">
        <v>-3.5635346350804599E-2</v>
      </c>
      <c r="AT30">
        <v>-7.6670788387085502E-4</v>
      </c>
      <c r="AU30">
        <v>1.7945995792729E-2</v>
      </c>
      <c r="AV30">
        <v>-5.5740657222915602E-2</v>
      </c>
      <c r="AW30">
        <v>6.48036976469337E-3</v>
      </c>
      <c r="AX30">
        <v>-2.2286127125307299E-2</v>
      </c>
      <c r="AY30">
        <v>-3.3544431049924099E-2</v>
      </c>
      <c r="AZ30">
        <v>0</v>
      </c>
      <c r="BA30">
        <v>4.9874483242940297E-2</v>
      </c>
      <c r="BB30">
        <v>0.78061228452863596</v>
      </c>
      <c r="BC30">
        <v>-8.0748228013425696E-2</v>
      </c>
      <c r="BD30">
        <v>-8.0748228013425696E-2</v>
      </c>
      <c r="BE30">
        <v>-1.77299845492483E-2</v>
      </c>
      <c r="BF30">
        <v>-8.0748228013425696E-2</v>
      </c>
      <c r="BG30">
        <v>-8.0748228013425696E-2</v>
      </c>
      <c r="BH30">
        <v>9.3671283975536299E-2</v>
      </c>
      <c r="BI30">
        <v>-8.0748228013425696E-2</v>
      </c>
      <c r="BJ30">
        <v>-8.0748228013425696E-2</v>
      </c>
      <c r="BK30">
        <v>-8.0748228013425696E-2</v>
      </c>
      <c r="BL30">
        <v>3.3192619889984398E-2</v>
      </c>
      <c r="BM30">
        <v>4.1760475264128301E-2</v>
      </c>
      <c r="BN30">
        <v>0.12087770031374399</v>
      </c>
      <c r="BO30">
        <v>-8.0748228013425696E-2</v>
      </c>
      <c r="BP30">
        <v>-8.0748228013425696E-2</v>
      </c>
      <c r="BQ30">
        <v>9.9623806162800602E-2</v>
      </c>
      <c r="BR30">
        <v>-8.0748228013425696E-2</v>
      </c>
      <c r="BS30">
        <v>0.242584666073832</v>
      </c>
      <c r="BT30">
        <v>-2.9859537396680898E-2</v>
      </c>
      <c r="BU30">
        <v>2.8256493952851802E-2</v>
      </c>
      <c r="BV30">
        <v>-8.0748228013425696E-2</v>
      </c>
      <c r="BW30">
        <v>0.13798876610334901</v>
      </c>
      <c r="BX30">
        <v>-8.0748228013425696E-2</v>
      </c>
      <c r="BY30">
        <v>-8.0748228013425696E-2</v>
      </c>
      <c r="BZ30">
        <v>-8.0748228013425696E-2</v>
      </c>
      <c r="CA30">
        <v>-8.0748228013425696E-2</v>
      </c>
      <c r="CB30">
        <v>1.7417344544446E-2</v>
      </c>
      <c r="CC30">
        <v>2.1199946957214399E-2</v>
      </c>
      <c r="CD30">
        <v>-8.0748228013425696E-2</v>
      </c>
      <c r="CE30">
        <v>8.1118762768633196E-2</v>
      </c>
      <c r="CF30">
        <v>-8.0748228013425696E-2</v>
      </c>
      <c r="CG30">
        <v>8.1729697046759503E-2</v>
      </c>
      <c r="CH30">
        <v>-8.0748228013425696E-2</v>
      </c>
      <c r="CI30">
        <v>-8.0748228013425696E-2</v>
      </c>
      <c r="CJ30">
        <v>-8.0748228013425696E-2</v>
      </c>
      <c r="CK30">
        <v>6.1336548114672901E-2</v>
      </c>
      <c r="CL30">
        <v>0.16802490604422099</v>
      </c>
      <c r="CM30">
        <v>-8.0748228013425696E-2</v>
      </c>
      <c r="CN30">
        <v>-8.0748228013425696E-2</v>
      </c>
      <c r="CO30">
        <v>-8.0748228013425696E-2</v>
      </c>
      <c r="CP30">
        <v>-8.0748228013425696E-2</v>
      </c>
      <c r="CQ30">
        <v>-8.0748228013425696E-2</v>
      </c>
      <c r="CR30">
        <v>-8.0748228013425696E-2</v>
      </c>
      <c r="CS30">
        <v>0.76088567728534595</v>
      </c>
      <c r="CT30">
        <v>-8.0748228013425696E-2</v>
      </c>
      <c r="CU30">
        <v>-8.0748228013425696E-2</v>
      </c>
      <c r="CV30">
        <v>3.5847282058399002E-2</v>
      </c>
      <c r="CW30">
        <v>-8.0748228013425696E-2</v>
      </c>
      <c r="CX30">
        <v>7.7184379774103806E-2</v>
      </c>
      <c r="CY30">
        <v>0.131396606101532</v>
      </c>
      <c r="CZ30">
        <v>-8.0748228013425696E-2</v>
      </c>
      <c r="DA30">
        <v>0.15152626560451701</v>
      </c>
      <c r="DB30">
        <v>-8.0748228013425696E-2</v>
      </c>
      <c r="DC30">
        <v>-8.0748228013425696E-2</v>
      </c>
      <c r="DD30">
        <v>-8.0748228013425696E-2</v>
      </c>
      <c r="DE30">
        <v>0.36790663667386198</v>
      </c>
      <c r="DF30">
        <v>1.01408481621944</v>
      </c>
      <c r="DG30">
        <v>-8.0748228013425696E-2</v>
      </c>
      <c r="DH30">
        <v>-8.0748228013425696E-2</v>
      </c>
      <c r="DI30">
        <v>-8.0748228013425696E-2</v>
      </c>
      <c r="DJ30">
        <v>-8.0748228013425696E-2</v>
      </c>
      <c r="DK30">
        <v>-8.0748228013425696E-2</v>
      </c>
      <c r="DL30">
        <v>-1.5768091495397301E-2</v>
      </c>
      <c r="DM30">
        <v>-8.0748228013425696E-2</v>
      </c>
      <c r="DN30">
        <v>3.7397543298336999E-2</v>
      </c>
      <c r="DO30">
        <v>-5.0947887111978001E-2</v>
      </c>
      <c r="DP30">
        <v>-5.8007167542566102E-2</v>
      </c>
      <c r="DQ30">
        <v>8.3853787251482303E-3</v>
      </c>
      <c r="DR30">
        <v>0.12233467478669301</v>
      </c>
      <c r="DS30">
        <v>1.7157635061224501E-3</v>
      </c>
      <c r="DT30">
        <v>-2.3202049776264999E-2</v>
      </c>
      <c r="DU30">
        <v>0.11529858919361401</v>
      </c>
      <c r="DV30">
        <v>3.9600736260620703E-2</v>
      </c>
      <c r="DW30">
        <v>-8.0748228013425696E-2</v>
      </c>
      <c r="DX30">
        <v>-2.5389486315867599E-2</v>
      </c>
      <c r="DY30">
        <v>9.9474001822750499E-2</v>
      </c>
      <c r="DZ30">
        <v>6.9727588843823102E-2</v>
      </c>
      <c r="EA30">
        <v>-8.0748228013425696E-2</v>
      </c>
      <c r="EB30">
        <v>-1.46786700711089E-2</v>
      </c>
      <c r="EC30">
        <v>3.92619943998141E-2</v>
      </c>
      <c r="ED30">
        <v>0.14364892876532101</v>
      </c>
      <c r="EE30">
        <v>-8.0748228013425696E-2</v>
      </c>
      <c r="EF30">
        <v>1.9305967306438701E-2</v>
      </c>
      <c r="EG30">
        <v>-3.1289823942013698E-2</v>
      </c>
      <c r="EH30">
        <v>0.197462815207116</v>
      </c>
      <c r="EI30">
        <v>0.42297414810651002</v>
      </c>
      <c r="EJ30">
        <v>0.56162182309130404</v>
      </c>
      <c r="EK30">
        <v>0.49302585356823098</v>
      </c>
      <c r="EL30">
        <v>0.74107512891215799</v>
      </c>
      <c r="EM30">
        <v>0.27793337429856002</v>
      </c>
      <c r="EN30">
        <v>-8.9391989571562004E-3</v>
      </c>
      <c r="EO30">
        <v>3.3948835783687202E-2</v>
      </c>
      <c r="EP30">
        <v>8.5053098079355502E-2</v>
      </c>
      <c r="EQ30">
        <v>-8.0748228013425696E-2</v>
      </c>
      <c r="ER30">
        <v>0.24561605844088</v>
      </c>
      <c r="ES30">
        <v>-8.0748228013425696E-2</v>
      </c>
      <c r="ET30">
        <v>0.20033011690786401</v>
      </c>
      <c r="EU30">
        <v>0.20083553782284599</v>
      </c>
      <c r="EV30">
        <v>0.42073958317278498</v>
      </c>
      <c r="EW30">
        <v>0.20667722910977401</v>
      </c>
      <c r="EX30">
        <v>0.27488770480885499</v>
      </c>
      <c r="EY30">
        <v>0.123618879131561</v>
      </c>
      <c r="EZ30">
        <v>0.209649214856829</v>
      </c>
      <c r="FA30">
        <v>-8.0748228013425696E-2</v>
      </c>
      <c r="FB30">
        <v>-8.0748228013425696E-2</v>
      </c>
      <c r="FC30">
        <v>-8.0748228013425696E-2</v>
      </c>
      <c r="FD30">
        <v>8.0569280697088103E-2</v>
      </c>
      <c r="FE30">
        <v>-8.0748228013425696E-2</v>
      </c>
      <c r="FF30">
        <v>3.1316793737130103E-2</v>
      </c>
      <c r="FG30">
        <v>-8.0748228013425696E-2</v>
      </c>
      <c r="FH30">
        <v>-8.0748228013425696E-2</v>
      </c>
      <c r="FI30">
        <v>4.9240593800829201E-2</v>
      </c>
      <c r="FJ30">
        <v>6.1600239276729099E-2</v>
      </c>
      <c r="FK30">
        <v>-8.0748228013425696E-2</v>
      </c>
      <c r="FL30">
        <v>-8.0748228013425696E-2</v>
      </c>
      <c r="FM30">
        <v>0.24834095992914201</v>
      </c>
      <c r="FN30">
        <v>0.14957428789834901</v>
      </c>
      <c r="FO30">
        <v>5.8117757859232899E-2</v>
      </c>
      <c r="FP30">
        <v>0.196552490773685</v>
      </c>
      <c r="FQ30">
        <v>-8.0748228013425696E-2</v>
      </c>
      <c r="FR30">
        <v>2.05201341843738E-2</v>
      </c>
      <c r="FS30">
        <v>9.9976187347753098E-2</v>
      </c>
      <c r="FT30">
        <v>-8.0748228013425696E-2</v>
      </c>
      <c r="FU30">
        <v>-8.0748228013425696E-2</v>
      </c>
      <c r="FV30">
        <v>-8.0748228013425696E-2</v>
      </c>
      <c r="FW30">
        <v>0.110397931045948</v>
      </c>
      <c r="FX30">
        <v>0.33488151870952099</v>
      </c>
      <c r="FY30">
        <v>0.37905716024203301</v>
      </c>
      <c r="FZ30">
        <v>6.2540883884194098E-2</v>
      </c>
      <c r="GA30">
        <v>2.7022098513092199E-2</v>
      </c>
      <c r="GB30">
        <v>0.13588924936586899</v>
      </c>
      <c r="GC30">
        <v>1.02184659218205E-3</v>
      </c>
      <c r="GD30">
        <v>0.13398869102000899</v>
      </c>
      <c r="GE30">
        <v>0.35988030511795799</v>
      </c>
      <c r="GF30">
        <v>-1.35821244333526E-2</v>
      </c>
      <c r="GG30">
        <v>0.22145543337583501</v>
      </c>
      <c r="GH30">
        <v>0.18136492870976301</v>
      </c>
      <c r="GI30">
        <v>0.178006938341427</v>
      </c>
      <c r="GJ30">
        <v>0.52126221925586003</v>
      </c>
      <c r="GK30">
        <v>0.218973006354064</v>
      </c>
    </row>
    <row r="31" spans="1:193" x14ac:dyDescent="0.25">
      <c r="A31" t="s">
        <v>267</v>
      </c>
      <c r="B31" t="s">
        <v>559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1.82525914023739E-2</v>
      </c>
      <c r="P31">
        <v>1.24568106778423E-2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5.1751878496884E-2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4.9828996237435703E-2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5.5358741697557903E-2</v>
      </c>
      <c r="DY31">
        <v>3.7709518216080103E-2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6.8121602078729498E-2</v>
      </c>
      <c r="EJ31">
        <v>6.9903128189084507E-2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0.107233649127615</v>
      </c>
      <c r="GH31">
        <v>0</v>
      </c>
      <c r="GI31">
        <v>0</v>
      </c>
      <c r="GJ31">
        <v>0</v>
      </c>
      <c r="GK31">
        <v>0</v>
      </c>
    </row>
    <row r="32" spans="1:193" x14ac:dyDescent="0.25">
      <c r="A32" t="s">
        <v>267</v>
      </c>
      <c r="B32" t="s">
        <v>561</v>
      </c>
      <c r="C32">
        <v>5.0048650314617499E-2</v>
      </c>
      <c r="D32">
        <v>1.48414888640025E-2</v>
      </c>
      <c r="E32">
        <v>3.2751568024049903E-2</v>
      </c>
      <c r="F32">
        <v>4.2832708251554101E-2</v>
      </c>
      <c r="G32">
        <v>5.1183112209142498E-2</v>
      </c>
      <c r="H32">
        <v>0.10326928080502699</v>
      </c>
      <c r="I32">
        <v>4.2030208115209002E-2</v>
      </c>
      <c r="J32">
        <v>9.3129381008647802E-2</v>
      </c>
      <c r="K32">
        <v>3.62163539102833E-2</v>
      </c>
      <c r="L32">
        <v>0</v>
      </c>
      <c r="M32">
        <v>3.7728319832234201E-2</v>
      </c>
      <c r="N32">
        <v>6.7913583335800706E-2</v>
      </c>
      <c r="O32">
        <v>3.63329004736022E-2</v>
      </c>
      <c r="P32">
        <v>2.4843779961152699E-2</v>
      </c>
      <c r="Q32">
        <v>2.7039023881163401E-2</v>
      </c>
      <c r="R32">
        <v>5.7845648448422902E-2</v>
      </c>
      <c r="S32">
        <v>0.127756630663107</v>
      </c>
      <c r="T32">
        <v>0.129485070823391</v>
      </c>
      <c r="U32">
        <v>7.0356598291468203E-2</v>
      </c>
      <c r="V32">
        <v>3.2516396278534303E-2</v>
      </c>
      <c r="W32">
        <v>9.7004331955584E-2</v>
      </c>
      <c r="X32">
        <v>8.1051306875222204E-2</v>
      </c>
      <c r="Y32">
        <v>9.6242634998306403E-2</v>
      </c>
      <c r="Z32">
        <v>2.87346273427833E-2</v>
      </c>
      <c r="AA32">
        <v>6.4409566161896303E-2</v>
      </c>
      <c r="AB32">
        <v>7.8233775171364206E-2</v>
      </c>
      <c r="AC32">
        <v>6.1184086001809697E-2</v>
      </c>
      <c r="AD32">
        <v>0.137422526950081</v>
      </c>
      <c r="AE32">
        <v>0</v>
      </c>
      <c r="AF32">
        <v>5.4899502596016697E-2</v>
      </c>
      <c r="AG32">
        <v>5.8133131579493E-2</v>
      </c>
      <c r="AH32">
        <v>0.21153537075916101</v>
      </c>
      <c r="AI32">
        <v>0.15951475528669401</v>
      </c>
      <c r="AJ32">
        <v>6.1873545492166802E-2</v>
      </c>
      <c r="AK32">
        <v>0</v>
      </c>
      <c r="AL32">
        <v>0</v>
      </c>
      <c r="AM32">
        <v>9.30467897217402E-2</v>
      </c>
      <c r="AN32">
        <v>0</v>
      </c>
      <c r="AO32">
        <v>3.37371957430605E-2</v>
      </c>
      <c r="AP32">
        <v>2.9381170587810101E-2</v>
      </c>
      <c r="AQ32">
        <v>3.8098969030835199E-2</v>
      </c>
      <c r="AR32">
        <v>8.6440967403158805E-2</v>
      </c>
      <c r="AS32">
        <v>6.7307351187013198E-2</v>
      </c>
      <c r="AT32">
        <v>6.9121583905395204E-2</v>
      </c>
      <c r="AU32">
        <v>6.6373437442660901E-2</v>
      </c>
      <c r="AV32">
        <v>4.9686884872160199E-2</v>
      </c>
      <c r="AW32">
        <v>4.4110961378420299E-2</v>
      </c>
      <c r="AX32">
        <v>5.8462100888118498E-2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6.23838890491165E-2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0.12059862767745699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5.91305403935646E-2</v>
      </c>
      <c r="DP32">
        <v>3.02705991830781E-2</v>
      </c>
      <c r="DQ32">
        <v>5.1380350524475503E-2</v>
      </c>
      <c r="DR32">
        <v>0.10481910081871799</v>
      </c>
      <c r="DS32">
        <v>0.102504149477502</v>
      </c>
      <c r="DT32">
        <v>5.7546178237160697E-2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2.6058106576385701E-2</v>
      </c>
      <c r="EA32">
        <v>8.5959143287908601E-2</v>
      </c>
      <c r="EB32">
        <v>0</v>
      </c>
      <c r="EC32">
        <v>1.5461343432904701E-2</v>
      </c>
      <c r="ED32">
        <v>3.9592720069146797E-2</v>
      </c>
      <c r="EE32">
        <v>6.7266369159671505E-2</v>
      </c>
      <c r="EF32">
        <v>0</v>
      </c>
      <c r="EG32">
        <v>2.4914925889487499E-2</v>
      </c>
      <c r="EH32">
        <v>0</v>
      </c>
      <c r="EI32">
        <v>0</v>
      </c>
      <c r="EJ32">
        <v>0</v>
      </c>
      <c r="EK32">
        <v>0</v>
      </c>
      <c r="EL32">
        <v>7.0531354411662098E-2</v>
      </c>
      <c r="EM32">
        <v>0</v>
      </c>
      <c r="EN32">
        <v>0</v>
      </c>
      <c r="EO32">
        <v>0</v>
      </c>
      <c r="EP32">
        <v>5.71825164967932E-2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9.5366753556209299E-2</v>
      </c>
      <c r="EW32">
        <v>0.10185136597767599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0.249970997298437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9.8073724400401005E-2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0.14328911189762</v>
      </c>
      <c r="GA32">
        <v>0</v>
      </c>
      <c r="GB32">
        <v>0</v>
      </c>
      <c r="GC32">
        <v>0</v>
      </c>
      <c r="GD32">
        <v>6.9863769938866796E-2</v>
      </c>
      <c r="GE32">
        <v>8.5085221692453999E-2</v>
      </c>
      <c r="GF32">
        <v>3.3917671658932398E-2</v>
      </c>
      <c r="GG32">
        <v>0</v>
      </c>
      <c r="GH32">
        <v>6.9834749220971798E-2</v>
      </c>
      <c r="GI32">
        <v>0</v>
      </c>
      <c r="GJ32">
        <v>0</v>
      </c>
      <c r="GK32">
        <v>1.72406952739305E-2</v>
      </c>
    </row>
    <row r="33" spans="1:193" x14ac:dyDescent="0.25">
      <c r="A33" t="s">
        <v>267</v>
      </c>
      <c r="B33" t="s">
        <v>563</v>
      </c>
      <c r="C33">
        <v>8.2667267350797796E-2</v>
      </c>
      <c r="D33">
        <v>0.101444171129768</v>
      </c>
      <c r="E33">
        <v>3.2751568024049903E-2</v>
      </c>
      <c r="F33">
        <v>0.105258837397486</v>
      </c>
      <c r="G33">
        <v>2.5759004094573001E-2</v>
      </c>
      <c r="H33">
        <v>0</v>
      </c>
      <c r="I33">
        <v>2.1144664561801502E-2</v>
      </c>
      <c r="J33">
        <v>0.29031955292912198</v>
      </c>
      <c r="K33">
        <v>0.17391786850336499</v>
      </c>
      <c r="L33">
        <v>5.6477410279750298E-2</v>
      </c>
      <c r="M33">
        <v>3.7728319832234201E-2</v>
      </c>
      <c r="N33">
        <v>0</v>
      </c>
      <c r="O33">
        <v>5.4244668898146699E-2</v>
      </c>
      <c r="P33">
        <v>0.121539151577118</v>
      </c>
      <c r="Q33">
        <v>1.3562747761370101E-2</v>
      </c>
      <c r="R33">
        <v>0.113922248431679</v>
      </c>
      <c r="S33">
        <v>5.2225577331798299E-2</v>
      </c>
      <c r="T33">
        <v>3.3133686493787097E-2</v>
      </c>
      <c r="U33">
        <v>0</v>
      </c>
      <c r="V33">
        <v>4.8579472765531199E-2</v>
      </c>
      <c r="W33">
        <v>3.2899552957847598E-2</v>
      </c>
      <c r="X33">
        <v>3.2840606227700901E-2</v>
      </c>
      <c r="Y33">
        <v>1.9676854801553401E-2</v>
      </c>
      <c r="Z33">
        <v>2.87346273427833E-2</v>
      </c>
      <c r="AA33">
        <v>0</v>
      </c>
      <c r="AB33">
        <v>5.6185547871358398E-2</v>
      </c>
      <c r="AC33">
        <v>6.1184086001809697E-2</v>
      </c>
      <c r="AD33">
        <v>5.6256724378402498E-2</v>
      </c>
      <c r="AE33">
        <v>5.1475396946919202E-2</v>
      </c>
      <c r="AF33">
        <v>5.4899502596016697E-2</v>
      </c>
      <c r="AG33">
        <v>0</v>
      </c>
      <c r="AH33">
        <v>0</v>
      </c>
      <c r="AI33">
        <v>0.120976535125337</v>
      </c>
      <c r="AJ33">
        <v>0</v>
      </c>
      <c r="AK33">
        <v>0</v>
      </c>
      <c r="AL33">
        <v>0</v>
      </c>
      <c r="AM33">
        <v>7.4797187118366706E-2</v>
      </c>
      <c r="AN33">
        <v>1.6094188376503601E-2</v>
      </c>
      <c r="AO33">
        <v>3.37371957430605E-2</v>
      </c>
      <c r="AP33">
        <v>5.83199758308873E-2</v>
      </c>
      <c r="AQ33">
        <v>1.5316171635693101E-2</v>
      </c>
      <c r="AR33">
        <v>3.7446703408700502E-2</v>
      </c>
      <c r="AS33">
        <v>4.5112881662620903E-2</v>
      </c>
      <c r="AT33">
        <v>2.70496870734852E-2</v>
      </c>
      <c r="AU33">
        <v>6.6373437442660901E-2</v>
      </c>
      <c r="AV33">
        <v>4.9686884872160199E-2</v>
      </c>
      <c r="AW33">
        <v>6.5790686928048306E-2</v>
      </c>
      <c r="AX33">
        <v>0.114872248447728</v>
      </c>
      <c r="AY33">
        <v>0</v>
      </c>
      <c r="AZ33">
        <v>0</v>
      </c>
      <c r="BA33">
        <v>0.13062271125636599</v>
      </c>
      <c r="BB33">
        <v>0</v>
      </c>
      <c r="BC33">
        <v>0</v>
      </c>
      <c r="BD33">
        <v>0</v>
      </c>
      <c r="BE33">
        <v>0</v>
      </c>
      <c r="BF33">
        <v>5.1751878496884E-2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2.92452980921519E-2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0.142084776128098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7.52499962543247E-2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5.9938022393993401E-2</v>
      </c>
      <c r="DO33">
        <v>0</v>
      </c>
      <c r="DP33">
        <v>2.2741060470859598E-2</v>
      </c>
      <c r="DQ33">
        <v>1.29601289059482E-2</v>
      </c>
      <c r="DR33">
        <v>0</v>
      </c>
      <c r="DS33">
        <v>0</v>
      </c>
      <c r="DT33">
        <v>1.9386572472213998E-2</v>
      </c>
      <c r="DU33">
        <v>0.13296494076958601</v>
      </c>
      <c r="DV33">
        <v>0</v>
      </c>
      <c r="DW33">
        <v>0.17652862476218301</v>
      </c>
      <c r="DX33">
        <v>5.5358741697557903E-2</v>
      </c>
      <c r="DY33">
        <v>3.7709518216080103E-2</v>
      </c>
      <c r="DZ33">
        <v>2.6058106576385701E-2</v>
      </c>
      <c r="EA33">
        <v>0</v>
      </c>
      <c r="EB33">
        <v>0</v>
      </c>
      <c r="EC33">
        <v>0.10545186174858601</v>
      </c>
      <c r="ED33">
        <v>0.11601795580607301</v>
      </c>
      <c r="EE33">
        <v>2.27196778744157E-2</v>
      </c>
      <c r="EF33">
        <v>3.4028371606396497E-2</v>
      </c>
      <c r="EG33">
        <v>4.9458404071411902E-2</v>
      </c>
      <c r="EH33">
        <v>0</v>
      </c>
      <c r="EI33">
        <v>0.101120794780729</v>
      </c>
      <c r="EJ33">
        <v>3.53420798000319E-2</v>
      </c>
      <c r="EK33">
        <v>9.3184161578664798E-2</v>
      </c>
      <c r="EL33">
        <v>7.0531354411662098E-2</v>
      </c>
      <c r="EM33">
        <v>0.35868160231198598</v>
      </c>
      <c r="EN33">
        <v>0</v>
      </c>
      <c r="EO33">
        <v>0</v>
      </c>
      <c r="EP33">
        <v>5.71825164967932E-2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0.18126037579335799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0.138865985872659</v>
      </c>
      <c r="FP33">
        <v>0</v>
      </c>
      <c r="FQ33">
        <v>8.8239537497251302E-2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0.112095195853462</v>
      </c>
      <c r="GC33">
        <v>0</v>
      </c>
      <c r="GD33">
        <v>9.2586884824803997E-2</v>
      </c>
      <c r="GE33">
        <v>8.5085221692453999E-2</v>
      </c>
      <c r="GF33">
        <v>0</v>
      </c>
      <c r="GG33">
        <v>0</v>
      </c>
      <c r="GH33">
        <v>0.13662976988791201</v>
      </c>
      <c r="GI33">
        <v>0</v>
      </c>
      <c r="GJ33">
        <v>0</v>
      </c>
      <c r="GK33">
        <v>0</v>
      </c>
    </row>
    <row r="34" spans="1:193" x14ac:dyDescent="0.25">
      <c r="A34" t="s">
        <v>267</v>
      </c>
      <c r="B34" t="s">
        <v>566</v>
      </c>
      <c r="C34">
        <v>-3.2504203008244303E-2</v>
      </c>
      <c r="D34">
        <v>2.6150290214591799E-2</v>
      </c>
      <c r="E34">
        <v>-3.2504203008244303E-2</v>
      </c>
      <c r="F34">
        <v>5.2180646733206701E-2</v>
      </c>
      <c r="G34">
        <v>-6.74519891367115E-3</v>
      </c>
      <c r="H34">
        <v>1.98735594905739E-2</v>
      </c>
      <c r="I34">
        <v>9.5260051069646894E-3</v>
      </c>
      <c r="J34">
        <v>0.105463209906781</v>
      </c>
      <c r="K34">
        <v>3.7121509020390901E-3</v>
      </c>
      <c r="L34">
        <v>-4.054387543528E-3</v>
      </c>
      <c r="M34">
        <v>5.2241168239901704E-3</v>
      </c>
      <c r="N34">
        <v>-9.6515999748919001E-3</v>
      </c>
      <c r="O34">
        <v>3.82869746535774E-3</v>
      </c>
      <c r="P34">
        <v>-7.6604230470916999E-3</v>
      </c>
      <c r="Q34">
        <v>-1.89414552468741E-2</v>
      </c>
      <c r="R34">
        <v>0.12840882109795199</v>
      </c>
      <c r="S34">
        <v>1.97213743235541E-2</v>
      </c>
      <c r="T34">
        <v>4.9359015161865999E-2</v>
      </c>
      <c r="U34">
        <v>3.7852395283223997E-2</v>
      </c>
      <c r="V34" s="10">
        <v>1.2193270290204499E-5</v>
      </c>
      <c r="W34">
        <v>3.9534994960330498E-4</v>
      </c>
      <c r="X34">
        <v>-1.6012011981083998E-2</v>
      </c>
      <c r="Y34">
        <v>-1.2827348206690899E-2</v>
      </c>
      <c r="Z34">
        <v>0.10660859243872201</v>
      </c>
      <c r="AA34">
        <v>0</v>
      </c>
      <c r="AB34">
        <v>4.572957216312E-2</v>
      </c>
      <c r="AC34">
        <v>4.0671029439865898E-2</v>
      </c>
      <c r="AD34">
        <v>7.82728725122189E-2</v>
      </c>
      <c r="AE34">
        <v>1.8971193938674701E-2</v>
      </c>
      <c r="AF34">
        <v>2.2395299587772501E-2</v>
      </c>
      <c r="AG34">
        <v>-3.1992950953178699E-3</v>
      </c>
      <c r="AH34">
        <v>5.5205550254089297E-2</v>
      </c>
      <c r="AI34">
        <v>-3.2504203008244303E-2</v>
      </c>
      <c r="AJ34">
        <v>8.9135186576558195E-2</v>
      </c>
      <c r="AK34">
        <v>-3.2504203008244303E-2</v>
      </c>
      <c r="AL34">
        <v>8.3368651075515204E-3</v>
      </c>
      <c r="AM34">
        <v>5.2623258386515596E-3</v>
      </c>
      <c r="AN34">
        <v>-4.5047171581347602E-4</v>
      </c>
      <c r="AO34">
        <v>1.2329927348160999E-3</v>
      </c>
      <c r="AP34">
        <v>-3.1230324204339602E-3</v>
      </c>
      <c r="AQ34">
        <v>5.5947660225910698E-3</v>
      </c>
      <c r="AR34">
        <v>2.95700753410858E-2</v>
      </c>
      <c r="AS34">
        <v>-9.8249759586719904E-3</v>
      </c>
      <c r="AT34">
        <v>2.1201733977583698E-2</v>
      </c>
      <c r="AU34">
        <v>-3.2504203008244303E-2</v>
      </c>
      <c r="AV34">
        <v>-7.49663221773424E-3</v>
      </c>
      <c r="AW34">
        <v>-3.2504203008244303E-2</v>
      </c>
      <c r="AX34">
        <v>-3.2504203008244303E-2</v>
      </c>
      <c r="AY34">
        <v>0.105171568347669</v>
      </c>
      <c r="AZ34">
        <v>-3.2504203008244303E-2</v>
      </c>
      <c r="BA34">
        <v>0.21898631029256599</v>
      </c>
      <c r="BB34">
        <v>-3.2504203008244303E-2</v>
      </c>
      <c r="BC34">
        <v>-3.2504203008244303E-2</v>
      </c>
      <c r="BD34">
        <v>0.65533010798279501</v>
      </c>
      <c r="BE34">
        <v>3.05140404559331E-2</v>
      </c>
      <c r="BF34">
        <v>1.9247675488639801E-2</v>
      </c>
      <c r="BG34">
        <v>-3.2504203008244303E-2</v>
      </c>
      <c r="BH34">
        <v>-3.2504203008244303E-2</v>
      </c>
      <c r="BI34">
        <v>-3.2504203008244303E-2</v>
      </c>
      <c r="BJ34">
        <v>-3.2504203008244303E-2</v>
      </c>
      <c r="BK34">
        <v>-3.2504203008244303E-2</v>
      </c>
      <c r="BL34">
        <v>8.1436644895165999E-2</v>
      </c>
      <c r="BM34">
        <v>9.3738895649283591E-3</v>
      </c>
      <c r="BN34">
        <v>-3.2504203008244303E-2</v>
      </c>
      <c r="BO34">
        <v>0.36710368978905999</v>
      </c>
      <c r="BP34">
        <v>0.872712092491437</v>
      </c>
      <c r="BQ34">
        <v>8.9945160013066197E-2</v>
      </c>
      <c r="BR34">
        <v>-3.2504203008244303E-2</v>
      </c>
      <c r="BS34">
        <v>-3.2504203008244303E-2</v>
      </c>
      <c r="BT34">
        <v>1.8384487608500501E-2</v>
      </c>
      <c r="BU34">
        <v>7.6500518958033004E-2</v>
      </c>
      <c r="BV34">
        <v>-3.2504203008244303E-2</v>
      </c>
      <c r="BW34">
        <v>-3.2504203008244303E-2</v>
      </c>
      <c r="BX34">
        <v>-3.2504203008244303E-2</v>
      </c>
      <c r="BY34">
        <v>-3.2504203008244303E-2</v>
      </c>
      <c r="BZ34">
        <v>-3.2504203008244303E-2</v>
      </c>
      <c r="CA34">
        <v>-3.2504203008244303E-2</v>
      </c>
      <c r="CB34">
        <v>1.7324793229191299E-2</v>
      </c>
      <c r="CC34">
        <v>0.11810170630037101</v>
      </c>
      <c r="CD34">
        <v>-3.2504203008244303E-2</v>
      </c>
      <c r="CE34">
        <v>-3.2504203008244303E-2</v>
      </c>
      <c r="CF34">
        <v>-3.2504203008244303E-2</v>
      </c>
      <c r="CG34">
        <v>-3.2504203008244303E-2</v>
      </c>
      <c r="CH34">
        <v>-3.2504203008244303E-2</v>
      </c>
      <c r="CI34">
        <v>-3.2504203008244303E-2</v>
      </c>
      <c r="CJ34">
        <v>0.27899054434376802</v>
      </c>
      <c r="CK34">
        <v>0.109580573119854</v>
      </c>
      <c r="CL34">
        <v>-3.2504203008244303E-2</v>
      </c>
      <c r="CM34">
        <v>-3.2504203008244303E-2</v>
      </c>
      <c r="CN34">
        <v>-3.2504203008244303E-2</v>
      </c>
      <c r="CO34">
        <v>-3.2504203008244303E-2</v>
      </c>
      <c r="CP34">
        <v>-3.2504203008244303E-2</v>
      </c>
      <c r="CQ34">
        <v>-3.2504203008244303E-2</v>
      </c>
      <c r="CR34">
        <v>-3.2504203008244303E-2</v>
      </c>
      <c r="CS34">
        <v>0.80912970229052805</v>
      </c>
      <c r="CT34">
        <v>1.40313069422211</v>
      </c>
      <c r="CU34">
        <v>0.10122828139500201</v>
      </c>
      <c r="CV34">
        <v>0.19232336435776601</v>
      </c>
      <c r="CW34">
        <v>0.11294963932237501</v>
      </c>
      <c r="CX34">
        <v>0.12542840477928499</v>
      </c>
      <c r="CY34">
        <v>7.7301027775726006E-2</v>
      </c>
      <c r="CZ34">
        <v>4.2745793246080598E-2</v>
      </c>
      <c r="DA34">
        <v>8.8094424669212495E-2</v>
      </c>
      <c r="DB34">
        <v>-3.2504203008244303E-2</v>
      </c>
      <c r="DC34">
        <v>-3.2504203008244303E-2</v>
      </c>
      <c r="DD34">
        <v>-3.2504203008244303E-2</v>
      </c>
      <c r="DE34">
        <v>-3.2504203008244303E-2</v>
      </c>
      <c r="DF34">
        <v>-3.2504203008244303E-2</v>
      </c>
      <c r="DG34">
        <v>-3.2504203008244303E-2</v>
      </c>
      <c r="DH34">
        <v>-3.2504203008244303E-2</v>
      </c>
      <c r="DI34">
        <v>-3.2504203008244303E-2</v>
      </c>
      <c r="DJ34">
        <v>-3.2504203008244303E-2</v>
      </c>
      <c r="DK34">
        <v>4.5207961889343402E-2</v>
      </c>
      <c r="DL34">
        <v>3.2475933509784199E-2</v>
      </c>
      <c r="DM34">
        <v>6.6799295171410103E-2</v>
      </c>
      <c r="DN34">
        <v>-3.2504203008244303E-2</v>
      </c>
      <c r="DO34">
        <v>2.6626337385320199E-2</v>
      </c>
      <c r="DP34">
        <v>4.2425006860102102E-2</v>
      </c>
      <c r="DQ34">
        <v>1.88761475162313E-2</v>
      </c>
      <c r="DR34">
        <v>7.2314897810473899E-2</v>
      </c>
      <c r="DS34">
        <v>0.18582307538689399</v>
      </c>
      <c r="DT34">
        <v>9.9037639217771298E-2</v>
      </c>
      <c r="DU34">
        <v>-3.2504203008244303E-2</v>
      </c>
      <c r="DV34">
        <v>-3.2504203008244303E-2</v>
      </c>
      <c r="DW34">
        <v>-3.2504203008244303E-2</v>
      </c>
      <c r="DX34">
        <v>2.2854538689313701E-2</v>
      </c>
      <c r="DY34">
        <v>4.2042271543878601E-2</v>
      </c>
      <c r="DZ34">
        <v>1.92031899391292E-2</v>
      </c>
      <c r="EA34">
        <v>-3.2504203008244303E-2</v>
      </c>
      <c r="EB34">
        <v>-5.7771362818115997E-3</v>
      </c>
      <c r="EC34">
        <v>-1.7180396405629399E-3</v>
      </c>
      <c r="ED34">
        <v>0.15654899324062199</v>
      </c>
      <c r="EE34">
        <v>3.4762166151427298E-2</v>
      </c>
      <c r="EF34">
        <v>1.52416859815205E-3</v>
      </c>
      <c r="EG34">
        <v>-3.2504203008244303E-2</v>
      </c>
      <c r="EH34">
        <v>-3.2504203008244303E-2</v>
      </c>
      <c r="EI34">
        <v>3.5617399070485202E-2</v>
      </c>
      <c r="EJ34">
        <v>-3.2504203008244303E-2</v>
      </c>
      <c r="EK34">
        <v>6.0679958570420502E-2</v>
      </c>
      <c r="EL34">
        <v>0.170088098023635</v>
      </c>
      <c r="EM34">
        <v>-3.2504203008244303E-2</v>
      </c>
      <c r="EN34">
        <v>3.93048260480253E-2</v>
      </c>
      <c r="EO34">
        <v>2.5844936140139201E-2</v>
      </c>
      <c r="EP34">
        <v>2.4678313488548799E-2</v>
      </c>
      <c r="EQ34">
        <v>-3.2504203008244303E-2</v>
      </c>
      <c r="ER34">
        <v>-3.2504203008244303E-2</v>
      </c>
      <c r="ES34">
        <v>0.54348516924648704</v>
      </c>
      <c r="ET34">
        <v>8.2288300074125006E-2</v>
      </c>
      <c r="EU34">
        <v>6.7093032503098698E-2</v>
      </c>
      <c r="EV34">
        <v>-3.2504203008244303E-2</v>
      </c>
      <c r="EW34">
        <v>6.9347162969431303E-2</v>
      </c>
      <c r="EX34">
        <v>9.5063254753086995E-2</v>
      </c>
      <c r="EY34">
        <v>7.3020974389711904E-2</v>
      </c>
      <c r="EZ34">
        <v>-3.2504203008244303E-2</v>
      </c>
      <c r="FA34">
        <v>-3.2504203008244303E-2</v>
      </c>
      <c r="FB34">
        <v>-3.2504203008244303E-2</v>
      </c>
      <c r="FC34">
        <v>-3.2504203008244303E-2</v>
      </c>
      <c r="FD34">
        <v>-3.2504203008244303E-2</v>
      </c>
      <c r="FE34">
        <v>-3.2504203008244303E-2</v>
      </c>
      <c r="FF34">
        <v>-3.2504203008244303E-2</v>
      </c>
      <c r="FG34">
        <v>-3.2504203008244303E-2</v>
      </c>
      <c r="FH34">
        <v>-3.2504203008244303E-2</v>
      </c>
      <c r="FI34">
        <v>-3.2504203008244303E-2</v>
      </c>
      <c r="FJ34">
        <v>-3.2504203008244303E-2</v>
      </c>
      <c r="FK34">
        <v>-3.2504203008244303E-2</v>
      </c>
      <c r="FL34">
        <v>-3.2504203008244303E-2</v>
      </c>
      <c r="FM34">
        <v>-3.2504203008244303E-2</v>
      </c>
      <c r="FN34">
        <v>8.6973784385312905E-2</v>
      </c>
      <c r="FO34">
        <v>-3.2504203008244303E-2</v>
      </c>
      <c r="FP34">
        <v>6.5569521392156702E-2</v>
      </c>
      <c r="FQ34">
        <v>-3.2504203008244303E-2</v>
      </c>
      <c r="FR34">
        <v>0.16378804483305801</v>
      </c>
      <c r="FS34">
        <v>-3.2504203008244303E-2</v>
      </c>
      <c r="FT34">
        <v>0.20623864701529401</v>
      </c>
      <c r="FU34">
        <v>-3.2504203008244303E-2</v>
      </c>
      <c r="FV34">
        <v>-3.2504203008244303E-2</v>
      </c>
      <c r="FW34">
        <v>0.15864195605112899</v>
      </c>
      <c r="FX34">
        <v>-3.2504203008244303E-2</v>
      </c>
      <c r="FY34">
        <v>-3.2504203008244303E-2</v>
      </c>
      <c r="FZ34">
        <v>0.24184727435689701</v>
      </c>
      <c r="GA34">
        <v>7.5266123518273595E-2</v>
      </c>
      <c r="GB34">
        <v>-3.2504203008244303E-2</v>
      </c>
      <c r="GC34">
        <v>-3.2504203008244303E-2</v>
      </c>
      <c r="GD34">
        <v>3.7359566930622298E-2</v>
      </c>
      <c r="GE34">
        <v>3.5289347058628899E-2</v>
      </c>
      <c r="GF34">
        <v>6.7269101942548995E-2</v>
      </c>
      <c r="GG34">
        <v>0.125746945057225</v>
      </c>
      <c r="GH34">
        <v>0.10412556687966799</v>
      </c>
      <c r="GI34">
        <v>5.8518417083077298E-2</v>
      </c>
      <c r="GJ34">
        <v>2.1390442373474199E-2</v>
      </c>
      <c r="GK34">
        <v>8.4470352611187793E-2</v>
      </c>
    </row>
    <row r="35" spans="1:193" x14ac:dyDescent="0.25">
      <c r="A35" t="s">
        <v>267</v>
      </c>
      <c r="B35" t="s">
        <v>569</v>
      </c>
      <c r="C35">
        <v>3.3518274721424997E-2</v>
      </c>
      <c r="D35">
        <v>1.48414888640025E-2</v>
      </c>
      <c r="E35">
        <v>8.34879193533824E-2</v>
      </c>
      <c r="F35">
        <v>8.4684849741451004E-2</v>
      </c>
      <c r="G35">
        <v>5.1183112209142498E-2</v>
      </c>
      <c r="H35">
        <v>0</v>
      </c>
      <c r="I35">
        <v>6.2663462671057005E-2</v>
      </c>
      <c r="J35">
        <v>0</v>
      </c>
      <c r="K35">
        <v>3.62163539102833E-2</v>
      </c>
      <c r="L35">
        <v>0</v>
      </c>
      <c r="M35">
        <v>0.110850910162264</v>
      </c>
      <c r="N35">
        <v>2.2852603033352199E-2</v>
      </c>
      <c r="O35">
        <v>1.82525914023739E-2</v>
      </c>
      <c r="P35">
        <v>2.4843779961152699E-2</v>
      </c>
      <c r="Q35">
        <v>1.3562747761370101E-2</v>
      </c>
      <c r="R35">
        <v>0</v>
      </c>
      <c r="S35">
        <v>2.63081502615541E-2</v>
      </c>
      <c r="T35">
        <v>0</v>
      </c>
      <c r="U35">
        <v>7.0356598291468203E-2</v>
      </c>
      <c r="V35">
        <v>0</v>
      </c>
      <c r="W35">
        <v>0</v>
      </c>
      <c r="X35">
        <v>0</v>
      </c>
      <c r="Y35">
        <v>7.7412139821226994E-2</v>
      </c>
      <c r="Z35">
        <v>0</v>
      </c>
      <c r="AA35">
        <v>6.4409566161896303E-2</v>
      </c>
      <c r="AB35">
        <v>0</v>
      </c>
      <c r="AC35">
        <v>1.24047991267231E-2</v>
      </c>
      <c r="AD35">
        <v>8.3726476721801599E-2</v>
      </c>
      <c r="AE35">
        <v>5.1475396946919202E-2</v>
      </c>
      <c r="AF35">
        <v>2.7662093535407901E-2</v>
      </c>
      <c r="AG35">
        <v>2.93049079129265E-2</v>
      </c>
      <c r="AH35">
        <v>0</v>
      </c>
      <c r="AI35">
        <v>8.1574639181180297E-2</v>
      </c>
      <c r="AJ35">
        <v>0</v>
      </c>
      <c r="AK35">
        <v>0</v>
      </c>
      <c r="AL35">
        <v>0</v>
      </c>
      <c r="AM35">
        <v>1.8977363243450601E-2</v>
      </c>
      <c r="AN35">
        <v>3.20537312924307E-2</v>
      </c>
      <c r="AO35">
        <v>0</v>
      </c>
      <c r="AP35">
        <v>1.4746865652497601E-2</v>
      </c>
      <c r="AQ35">
        <v>1.5316171635693101E-2</v>
      </c>
      <c r="AR35">
        <v>1.2550884578222E-2</v>
      </c>
      <c r="AS35">
        <v>0</v>
      </c>
      <c r="AT35">
        <v>2.70496870734852E-2</v>
      </c>
      <c r="AU35">
        <v>0</v>
      </c>
      <c r="AV35">
        <v>2.50075707905099E-2</v>
      </c>
      <c r="AW35">
        <v>2.21829695567047E-2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0.109004721966277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3.4150018432964301E-2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6.2729853073942896E-2</v>
      </c>
      <c r="EL35">
        <v>0</v>
      </c>
      <c r="EM35">
        <v>0.90161914457984604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0.107770326526518</v>
      </c>
      <c r="GB35">
        <v>0</v>
      </c>
      <c r="GC35">
        <v>4.1406466384531798E-2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2.7173668474000299E-2</v>
      </c>
      <c r="GK35">
        <v>0</v>
      </c>
    </row>
    <row r="36" spans="1:193" x14ac:dyDescent="0.25">
      <c r="A36" t="s">
        <v>267</v>
      </c>
      <c r="B36" t="s">
        <v>570</v>
      </c>
      <c r="C36">
        <v>5.0048650314617499E-2</v>
      </c>
      <c r="D36">
        <v>1.48414888640025E-2</v>
      </c>
      <c r="E36">
        <v>0</v>
      </c>
      <c r="F36">
        <v>2.1542174429558601E-2</v>
      </c>
      <c r="G36">
        <v>0</v>
      </c>
      <c r="H36">
        <v>5.2377762498818002E-2</v>
      </c>
      <c r="I36">
        <v>2.1144664561801502E-2</v>
      </c>
      <c r="J36">
        <v>9.3129381008647802E-2</v>
      </c>
      <c r="K36">
        <v>0</v>
      </c>
      <c r="L36">
        <v>0</v>
      </c>
      <c r="M36">
        <v>0</v>
      </c>
      <c r="N36">
        <v>2.2852603033352199E-2</v>
      </c>
      <c r="O36">
        <v>3.63329004736022E-2</v>
      </c>
      <c r="P36">
        <v>0</v>
      </c>
      <c r="Q36">
        <v>2.7039023881163401E-2</v>
      </c>
      <c r="R36">
        <v>1.9486282921985499E-2</v>
      </c>
      <c r="S36">
        <v>0.1029380901692</v>
      </c>
      <c r="T36">
        <v>3.3133686493787097E-2</v>
      </c>
      <c r="U36">
        <v>0</v>
      </c>
      <c r="V36">
        <v>1.6324077483683801E-2</v>
      </c>
      <c r="W36">
        <v>3.2899552957847598E-2</v>
      </c>
      <c r="X36">
        <v>1.64921910271601E-2</v>
      </c>
      <c r="Y36">
        <v>5.8377683532199798E-2</v>
      </c>
      <c r="Z36">
        <v>0</v>
      </c>
      <c r="AA36">
        <v>3.2504203008244199E-2</v>
      </c>
      <c r="AB36">
        <v>3.3897121870949801E-2</v>
      </c>
      <c r="AC36">
        <v>4.9112701358193303E-2</v>
      </c>
      <c r="AD36">
        <v>5.6256724378402498E-2</v>
      </c>
      <c r="AE36">
        <v>0</v>
      </c>
      <c r="AF36">
        <v>0</v>
      </c>
      <c r="AG36">
        <v>2.93049079129265E-2</v>
      </c>
      <c r="AH36">
        <v>8.7709753262333295E-2</v>
      </c>
      <c r="AI36">
        <v>0</v>
      </c>
      <c r="AJ36">
        <v>6.1873545492166802E-2</v>
      </c>
      <c r="AK36">
        <v>3.0284202873349202E-2</v>
      </c>
      <c r="AL36">
        <v>4.0841068115795499E-2</v>
      </c>
      <c r="AM36">
        <v>0</v>
      </c>
      <c r="AN36">
        <v>1.6094188376503601E-2</v>
      </c>
      <c r="AO36">
        <v>1.69423364446128E-2</v>
      </c>
      <c r="AP36">
        <v>1.4746865652497601E-2</v>
      </c>
      <c r="AQ36">
        <v>1.5316171635693101E-2</v>
      </c>
      <c r="AR36">
        <v>3.7446703408700502E-2</v>
      </c>
      <c r="AS36">
        <v>2.26792270495721E-2</v>
      </c>
      <c r="AT36">
        <v>5.3705936985827998E-2</v>
      </c>
      <c r="AU36">
        <v>0</v>
      </c>
      <c r="AV36">
        <v>2.50075707905099E-2</v>
      </c>
      <c r="AW36">
        <v>4.4110961378420299E-2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6.23838890491165E-2</v>
      </c>
      <c r="BR36">
        <v>0</v>
      </c>
      <c r="BS36">
        <v>0</v>
      </c>
      <c r="BT36">
        <v>5.08886906167446E-2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0.136655890121583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5.7546178237160697E-2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1.34145277333456E-2</v>
      </c>
      <c r="EC36">
        <v>1.5461343432904701E-2</v>
      </c>
      <c r="ED36">
        <v>0</v>
      </c>
      <c r="EE36">
        <v>2.27196778744157E-2</v>
      </c>
      <c r="EF36">
        <v>0</v>
      </c>
      <c r="EG36">
        <v>2.4914925889487499E-2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0.21947271461337201</v>
      </c>
      <c r="FB36">
        <v>0</v>
      </c>
      <c r="FC36">
        <v>0</v>
      </c>
      <c r="FD36">
        <v>0.30802761938164702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0.13571032525920201</v>
      </c>
      <c r="FN36">
        <v>0</v>
      </c>
      <c r="FO36">
        <v>0.26633420828191701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9.1022620091321393E-2</v>
      </c>
      <c r="GJ36">
        <v>0</v>
      </c>
      <c r="GK36">
        <v>1.72406952739305E-2</v>
      </c>
    </row>
    <row r="37" spans="1:193" x14ac:dyDescent="0.25">
      <c r="A37" t="s">
        <v>267</v>
      </c>
      <c r="B37" t="s">
        <v>571</v>
      </c>
      <c r="C37">
        <v>5.12371595360563E-4</v>
      </c>
      <c r="D37">
        <v>1.32388833811366E-2</v>
      </c>
      <c r="E37">
        <v>1.6427490540366199E-2</v>
      </c>
      <c r="F37">
        <v>-1.6324077483683801E-2</v>
      </c>
      <c r="G37">
        <v>9.4349266108894603E-3</v>
      </c>
      <c r="H37">
        <v>-1.6324077483683801E-2</v>
      </c>
      <c r="I37">
        <v>2.57061306315251E-2</v>
      </c>
      <c r="J37">
        <v>3.0838297452349801E-2</v>
      </c>
      <c r="K37">
        <v>-1.6324077483683801E-2</v>
      </c>
      <c r="L37">
        <v>1.2125737981032499E-2</v>
      </c>
      <c r="M37">
        <v>2.1404242348550599E-2</v>
      </c>
      <c r="N37">
        <v>6.5285255496685098E-3</v>
      </c>
      <c r="O37">
        <v>1.92851391869021E-3</v>
      </c>
      <c r="P37">
        <v>-1.6324077483683801E-2</v>
      </c>
      <c r="Q37">
        <v>1.07149463974797E-2</v>
      </c>
      <c r="R37">
        <v>3.1622054383016801E-3</v>
      </c>
      <c r="S37">
        <v>3.5901499848114499E-2</v>
      </c>
      <c r="T37">
        <v>4.9422144452662999E-2</v>
      </c>
      <c r="U37">
        <v>3.08969496462283E-2</v>
      </c>
      <c r="V37">
        <v>0</v>
      </c>
      <c r="W37">
        <v>-1.6324077483683801E-2</v>
      </c>
      <c r="X37">
        <v>4.8793357957442399E-2</v>
      </c>
      <c r="Y37">
        <v>2.2810226130058699E-2</v>
      </c>
      <c r="Z37">
        <v>1.24105498590996E-2</v>
      </c>
      <c r="AA37">
        <v>-1.6324077483683801E-2</v>
      </c>
      <c r="AB37">
        <v>-4.9619986484474498E-3</v>
      </c>
      <c r="AC37">
        <v>-1.6324077483683801E-2</v>
      </c>
      <c r="AD37">
        <v>-1.6324077483683801E-2</v>
      </c>
      <c r="AE37">
        <v>-1.6324077483683801E-2</v>
      </c>
      <c r="AF37">
        <v>-1.6324077483683801E-2</v>
      </c>
      <c r="AG37">
        <v>-1.6324077483683801E-2</v>
      </c>
      <c r="AH37">
        <v>2.8084690014656501E-2</v>
      </c>
      <c r="AI37">
        <v>2.4940898361407501E-2</v>
      </c>
      <c r="AJ37">
        <v>1.4886421590886399E-2</v>
      </c>
      <c r="AK37">
        <v>7.30860062264099E-2</v>
      </c>
      <c r="AL37">
        <v>-1.6324077483683801E-2</v>
      </c>
      <c r="AM37">
        <v>2.6532857597668098E-3</v>
      </c>
      <c r="AN37">
        <v>3.1557140577390203E-2</v>
      </c>
      <c r="AO37">
        <v>6.1825896092883499E-4</v>
      </c>
      <c r="AP37">
        <v>-1.5772118311859901E-3</v>
      </c>
      <c r="AQ37">
        <v>2.9318972678718198E-2</v>
      </c>
      <c r="AR37">
        <v>-3.77319290546162E-3</v>
      </c>
      <c r="AS37">
        <v>6.3551495658884698E-3</v>
      </c>
      <c r="AT37">
        <v>3.7381859502144101E-2</v>
      </c>
      <c r="AU37">
        <v>-1.6324077483683801E-2</v>
      </c>
      <c r="AV37">
        <v>-1.6324077483683801E-2</v>
      </c>
      <c r="AW37">
        <v>-1.6324077483683801E-2</v>
      </c>
      <c r="AX37">
        <v>9.8548170964043696E-2</v>
      </c>
      <c r="AY37">
        <v>-1.6324077483683801E-2</v>
      </c>
      <c r="AZ37">
        <v>6.4424150529741805E-2</v>
      </c>
      <c r="BA37">
        <v>0.114298633772682</v>
      </c>
      <c r="BB37">
        <v>-1.6324077483683801E-2</v>
      </c>
      <c r="BC37">
        <v>-1.6324077483683801E-2</v>
      </c>
      <c r="BD37">
        <v>-1.6324077483683801E-2</v>
      </c>
      <c r="BE37">
        <v>4.6694165980493502E-2</v>
      </c>
      <c r="BF37">
        <v>3.54278010132002E-2</v>
      </c>
      <c r="BG37">
        <v>-1.6324077483683801E-2</v>
      </c>
      <c r="BH37">
        <v>-1.6324077483683801E-2</v>
      </c>
      <c r="BI37">
        <v>-1.6324077483683801E-2</v>
      </c>
      <c r="BJ37">
        <v>-1.6324077483683801E-2</v>
      </c>
      <c r="BK37">
        <v>-1.6324077483683801E-2</v>
      </c>
      <c r="BL37">
        <v>0.151726175193482</v>
      </c>
      <c r="BM37">
        <v>2.5554015089488999E-2</v>
      </c>
      <c r="BN37">
        <v>5.3715036725730102E-2</v>
      </c>
      <c r="BO37">
        <v>-1.6324077483683801E-2</v>
      </c>
      <c r="BP37">
        <v>-1.6324077483683801E-2</v>
      </c>
      <c r="BQ37">
        <v>0.106125285537627</v>
      </c>
      <c r="BR37">
        <v>-1.6324077483683801E-2</v>
      </c>
      <c r="BS37">
        <v>-1.6324077483683801E-2</v>
      </c>
      <c r="BT37">
        <v>8.3897776351223599E-2</v>
      </c>
      <c r="BU37">
        <v>-1.6324077483683801E-2</v>
      </c>
      <c r="BV37">
        <v>-1.6324077483683801E-2</v>
      </c>
      <c r="BW37">
        <v>-1.6324077483683801E-2</v>
      </c>
      <c r="BX37">
        <v>-1.6324077483683801E-2</v>
      </c>
      <c r="BY37">
        <v>-1.6324077483683801E-2</v>
      </c>
      <c r="BZ37">
        <v>-1.6324077483683801E-2</v>
      </c>
      <c r="CA37">
        <v>-1.6324077483683801E-2</v>
      </c>
      <c r="CB37">
        <v>-1.6324077483683801E-2</v>
      </c>
      <c r="CC37">
        <v>0.22743236147076701</v>
      </c>
      <c r="CD37">
        <v>-1.6324077483683801E-2</v>
      </c>
      <c r="CE37">
        <v>0.14554291329837499</v>
      </c>
      <c r="CF37">
        <v>-1.6324077483683801E-2</v>
      </c>
      <c r="CG37">
        <v>0.14615384757650099</v>
      </c>
      <c r="CH37">
        <v>0.12274796324258599</v>
      </c>
      <c r="CI37">
        <v>-1.6324077483683801E-2</v>
      </c>
      <c r="CJ37">
        <v>-1.6324077483683801E-2</v>
      </c>
      <c r="CK37">
        <v>-1.6324077483683801E-2</v>
      </c>
      <c r="CL37">
        <v>0.113176444601047</v>
      </c>
      <c r="CM37">
        <v>-1.6324077483683801E-2</v>
      </c>
      <c r="CN37">
        <v>-1.6324077483683801E-2</v>
      </c>
      <c r="CO37">
        <v>-1.6324077483683801E-2</v>
      </c>
      <c r="CP37">
        <v>-1.6324077483683801E-2</v>
      </c>
      <c r="CQ37">
        <v>-1.6324077483683801E-2</v>
      </c>
      <c r="CR37">
        <v>-1.6324077483683801E-2</v>
      </c>
      <c r="CS37">
        <v>-1.6324077483683801E-2</v>
      </c>
      <c r="CT37">
        <v>-1.6324077483683801E-2</v>
      </c>
      <c r="CU37">
        <v>-1.6324077483683801E-2</v>
      </c>
      <c r="CV37">
        <v>0.208503489882327</v>
      </c>
      <c r="CW37">
        <v>0.129129764846935</v>
      </c>
      <c r="CX37">
        <v>-1.6324077483683801E-2</v>
      </c>
      <c r="CY37">
        <v>-1.6324077483683801E-2</v>
      </c>
      <c r="CZ37">
        <v>5.89259187706411E-2</v>
      </c>
      <c r="DA37">
        <v>0.215950416134258</v>
      </c>
      <c r="DB37">
        <v>-1.6324077483683801E-2</v>
      </c>
      <c r="DC37">
        <v>-1.6324077483683801E-2</v>
      </c>
      <c r="DD37">
        <v>-1.6324077483683801E-2</v>
      </c>
      <c r="DE37">
        <v>-1.6324077483683801E-2</v>
      </c>
      <c r="DF37">
        <v>-1.6324077483683801E-2</v>
      </c>
      <c r="DG37">
        <v>-1.6324077483683801E-2</v>
      </c>
      <c r="DH37">
        <v>-1.6324077483683801E-2</v>
      </c>
      <c r="DI37">
        <v>-1.6324077483683801E-2</v>
      </c>
      <c r="DJ37">
        <v>0.119994076767771</v>
      </c>
      <c r="DK37">
        <v>-1.6324077483683801E-2</v>
      </c>
      <c r="DL37">
        <v>-1.6324077483683801E-2</v>
      </c>
      <c r="DM37">
        <v>-1.6324077483683801E-2</v>
      </c>
      <c r="DN37">
        <v>1.38689124168243E-2</v>
      </c>
      <c r="DO37">
        <v>-1.6324077483683801E-2</v>
      </c>
      <c r="DP37">
        <v>5.8605132384662403E-2</v>
      </c>
      <c r="DQ37">
        <v>2.2325093823960401E-2</v>
      </c>
      <c r="DR37">
        <v>-1.6324077483683801E-2</v>
      </c>
      <c r="DS37">
        <v>4.5875276316226399E-2</v>
      </c>
      <c r="DT37">
        <v>7.8595287719184795E-2</v>
      </c>
      <c r="DU37">
        <v>5.1353513842897998E-2</v>
      </c>
      <c r="DV37">
        <v>-1.6324077483683801E-2</v>
      </c>
      <c r="DW37">
        <v>0.160204547278499</v>
      </c>
      <c r="DX37">
        <v>3.9034664213874401E-2</v>
      </c>
      <c r="DY37">
        <v>0.217042020348682</v>
      </c>
      <c r="DZ37">
        <v>0.181403638442524</v>
      </c>
      <c r="EA37">
        <v>6.9635065804224794E-2</v>
      </c>
      <c r="EB37">
        <v>3.6728865230025297E-2</v>
      </c>
      <c r="EC37">
        <v>2.9653011408419201E-2</v>
      </c>
      <c r="ED37">
        <v>6.1925970149661898E-2</v>
      </c>
      <c r="EE37">
        <v>6.3956003907321302E-3</v>
      </c>
      <c r="EF37">
        <v>-1.6324077483683801E-2</v>
      </c>
      <c r="EG37">
        <v>0.104650059904037</v>
      </c>
      <c r="EH37">
        <v>9.7211748870613596E-2</v>
      </c>
      <c r="EI37">
        <v>5.1797524595045399E-2</v>
      </c>
      <c r="EJ37">
        <v>8.7394215275840195E-2</v>
      </c>
      <c r="EK37">
        <v>0.106739401757456</v>
      </c>
      <c r="EL37">
        <v>0.24829961320067301</v>
      </c>
      <c r="EM37">
        <v>0.11237744670086899</v>
      </c>
      <c r="EN37">
        <v>-1.6324077483683801E-2</v>
      </c>
      <c r="EO37">
        <v>0.30637607366439501</v>
      </c>
      <c r="EP37">
        <v>9.6079801786089894E-2</v>
      </c>
      <c r="EQ37">
        <v>0.188768677636757</v>
      </c>
      <c r="ER37">
        <v>-1.6324077483683801E-2</v>
      </c>
      <c r="ES37">
        <v>-1.6324077483683801E-2</v>
      </c>
      <c r="ET37">
        <v>0.20541068061043399</v>
      </c>
      <c r="EU37">
        <v>-1.6324077483683801E-2</v>
      </c>
      <c r="EV37">
        <v>7.9042676072525395E-2</v>
      </c>
      <c r="EW37">
        <v>0.27110137963951603</v>
      </c>
      <c r="EX37">
        <v>0.11124338027764701</v>
      </c>
      <c r="EY37">
        <v>-1.6324077483683801E-2</v>
      </c>
      <c r="EZ37">
        <v>0.13539725721992499</v>
      </c>
      <c r="FA37">
        <v>0.203148637129688</v>
      </c>
      <c r="FB37">
        <v>-1.6324077483683801E-2</v>
      </c>
      <c r="FC37">
        <v>0.62430409654253805</v>
      </c>
      <c r="FD37">
        <v>-1.6324077483683801E-2</v>
      </c>
      <c r="FE37">
        <v>0.85290114904244296</v>
      </c>
      <c r="FF37">
        <v>0.20050915807293701</v>
      </c>
      <c r="FG37">
        <v>-1.6324077483683801E-2</v>
      </c>
      <c r="FH37">
        <v>-1.6324077483683801E-2</v>
      </c>
      <c r="FI37">
        <v>-1.6324077483683801E-2</v>
      </c>
      <c r="FJ37">
        <v>-1.6324077483683801E-2</v>
      </c>
      <c r="FK37">
        <v>-1.6324077483683801E-2</v>
      </c>
      <c r="FL37">
        <v>-1.6324077483683801E-2</v>
      </c>
      <c r="FM37">
        <v>-1.6324077483683801E-2</v>
      </c>
      <c r="FN37">
        <v>-1.6324077483683801E-2</v>
      </c>
      <c r="FO37">
        <v>-1.6324077483683801E-2</v>
      </c>
      <c r="FP37">
        <v>-1.6324077483683801E-2</v>
      </c>
      <c r="FQ37">
        <v>7.1915460013567606E-2</v>
      </c>
      <c r="FR37">
        <v>8.4944284714115706E-2</v>
      </c>
      <c r="FS37">
        <v>-1.6324077483683801E-2</v>
      </c>
      <c r="FT37">
        <v>-1.6324077483683801E-2</v>
      </c>
      <c r="FU37">
        <v>-1.6324077483683801E-2</v>
      </c>
      <c r="FV37">
        <v>-1.6324077483683801E-2</v>
      </c>
      <c r="FW37">
        <v>0.17482208157569001</v>
      </c>
      <c r="FX37">
        <v>-1.6324077483683801E-2</v>
      </c>
      <c r="FY37">
        <v>0.112158485935757</v>
      </c>
      <c r="FZ37">
        <v>0.25802739988145801</v>
      </c>
      <c r="GA37">
        <v>9.1446249042833994E-2</v>
      </c>
      <c r="GB37">
        <v>9.5771118369778502E-2</v>
      </c>
      <c r="GC37">
        <v>6.5445997121923796E-2</v>
      </c>
      <c r="GD37">
        <v>5.3539692455182898E-2</v>
      </c>
      <c r="GE37">
        <v>6.8761144208770303E-2</v>
      </c>
      <c r="GF37">
        <v>1.7593594175248702E-2</v>
      </c>
      <c r="GG37">
        <v>-1.6324077483683801E-2</v>
      </c>
      <c r="GH37">
        <v>0.24578907923950499</v>
      </c>
      <c r="GI37">
        <v>-1.6324077483683801E-2</v>
      </c>
      <c r="GJ37">
        <v>6.3854497731455406E-2</v>
      </c>
      <c r="GK37">
        <v>-1.6324077483683801E-2</v>
      </c>
    </row>
    <row r="38" spans="1:193" x14ac:dyDescent="0.25">
      <c r="A38" t="s">
        <v>267</v>
      </c>
      <c r="B38" t="s">
        <v>574</v>
      </c>
      <c r="C38">
        <v>-9.9040559410129597E-2</v>
      </c>
      <c r="D38">
        <v>-0.28573361980574202</v>
      </c>
      <c r="E38">
        <v>0.129918913478835</v>
      </c>
      <c r="F38">
        <v>-0.398182149745061</v>
      </c>
      <c r="G38">
        <v>-0.384989914257024</v>
      </c>
      <c r="H38">
        <v>-0.10799316013125</v>
      </c>
      <c r="I38">
        <v>-0.176799541595721</v>
      </c>
      <c r="J38">
        <v>0.32169934846818099</v>
      </c>
      <c r="K38">
        <v>-0.10039024584702599</v>
      </c>
      <c r="L38">
        <v>-0.438347904916491</v>
      </c>
      <c r="M38">
        <v>-0.35315217151728101</v>
      </c>
      <c r="N38">
        <v>-0.50568167778054096</v>
      </c>
      <c r="O38">
        <v>-0.45018772945920899</v>
      </c>
      <c r="P38">
        <v>-0.23005990498881099</v>
      </c>
      <c r="Q38">
        <v>-0.42177619863169502</v>
      </c>
      <c r="R38">
        <v>-0.17831326409704101</v>
      </c>
      <c r="S38">
        <v>-0.134023759974878</v>
      </c>
      <c r="T38">
        <v>-0.20779939652232299</v>
      </c>
      <c r="U38">
        <v>-0.324238397763218</v>
      </c>
      <c r="V38">
        <v>-0.26094286508261699</v>
      </c>
      <c r="W38">
        <v>-0.42966395054498402</v>
      </c>
      <c r="X38">
        <v>-0.28302504774186799</v>
      </c>
      <c r="Y38">
        <v>-0.103115386774966</v>
      </c>
      <c r="Z38">
        <v>-0.20393096302509101</v>
      </c>
      <c r="AA38">
        <v>-0.35062556411061702</v>
      </c>
      <c r="AB38">
        <v>-0.36981971675770797</v>
      </c>
      <c r="AC38">
        <v>-0.26676497199334598</v>
      </c>
      <c r="AD38">
        <v>-0.14431602868618701</v>
      </c>
      <c r="AE38">
        <v>-0.18667836165603999</v>
      </c>
      <c r="AF38">
        <v>-0.351268168121394</v>
      </c>
      <c r="AG38">
        <v>-0.37972749943729101</v>
      </c>
      <c r="AH38">
        <v>-6.9289891885006394E-2</v>
      </c>
      <c r="AI38">
        <v>4.3756531849227804E-3</v>
      </c>
      <c r="AJ38">
        <v>4.2390986645106203E-2</v>
      </c>
      <c r="AK38">
        <v>-0.485285526713369</v>
      </c>
      <c r="AL38">
        <v>-0.432081545204337</v>
      </c>
      <c r="AM38">
        <v>-0.45174804360910598</v>
      </c>
      <c r="AN38">
        <v>-0.50961592303699299</v>
      </c>
      <c r="AO38">
        <v>-0.64019574282296399</v>
      </c>
      <c r="AP38">
        <v>-0.38782147222518498</v>
      </c>
      <c r="AQ38">
        <v>-0.46386547938171302</v>
      </c>
      <c r="AR38">
        <v>-0.46557143676510698</v>
      </c>
      <c r="AS38">
        <v>-0.46334570807951098</v>
      </c>
      <c r="AT38">
        <v>-0.37138990315728998</v>
      </c>
      <c r="AU38">
        <v>-0.3850642269399</v>
      </c>
      <c r="AV38">
        <v>-0.25300837044299201</v>
      </c>
      <c r="AW38">
        <v>-0.358922178440643</v>
      </c>
      <c r="AX38">
        <v>-3.4211625808866497E-2</v>
      </c>
      <c r="AY38">
        <v>0.17969413987251101</v>
      </c>
      <c r="AZ38">
        <v>0.122725872889569</v>
      </c>
      <c r="BA38">
        <v>6.5732787720605201E-2</v>
      </c>
      <c r="BB38">
        <v>1.1627451132539201E-2</v>
      </c>
      <c r="BC38">
        <v>-1.9657611198365298E-2</v>
      </c>
      <c r="BD38">
        <v>-0.84973306140952198</v>
      </c>
      <c r="BE38">
        <v>0.73060710387362704</v>
      </c>
      <c r="BF38">
        <v>0.16394342820443</v>
      </c>
      <c r="BG38">
        <v>-2.3404854798346499E-2</v>
      </c>
      <c r="BH38">
        <v>2.7056747347653301E-2</v>
      </c>
      <c r="BI38">
        <v>0.49196160656207499</v>
      </c>
      <c r="BJ38">
        <v>-9.8756397209766297E-2</v>
      </c>
      <c r="BK38">
        <v>0.79235346965087095</v>
      </c>
      <c r="BL38">
        <v>-4.4328108406133201E-2</v>
      </c>
      <c r="BM38">
        <v>0.24993431368670199</v>
      </c>
      <c r="BN38">
        <v>0.34261374008058598</v>
      </c>
      <c r="BO38">
        <v>-0.28175055160616602</v>
      </c>
      <c r="BP38">
        <v>-0.84973306140952198</v>
      </c>
      <c r="BQ38">
        <v>0.15031931952223601</v>
      </c>
      <c r="BR38">
        <v>0.68922534588398299</v>
      </c>
      <c r="BS38">
        <v>-2.3197571896961099E-2</v>
      </c>
      <c r="BT38">
        <v>0.44405291806452701</v>
      </c>
      <c r="BU38">
        <v>0.12320039113550001</v>
      </c>
      <c r="BV38">
        <v>0.13351898502117401</v>
      </c>
      <c r="BW38">
        <v>3.4881852071417599E-2</v>
      </c>
      <c r="BX38">
        <v>0.63842916385627602</v>
      </c>
      <c r="BY38">
        <v>0.37107376502737599</v>
      </c>
      <c r="BZ38">
        <v>-5.9793165771491897E-3</v>
      </c>
      <c r="CA38">
        <v>-1.2574287146592401E-3</v>
      </c>
      <c r="CB38">
        <v>0.11833915693343799</v>
      </c>
      <c r="CC38">
        <v>0.18535852084639701</v>
      </c>
      <c r="CD38">
        <v>0.320875120647862</v>
      </c>
      <c r="CE38">
        <v>-0.40792610795825501</v>
      </c>
      <c r="CF38">
        <v>0.194005530133154</v>
      </c>
      <c r="CG38">
        <v>0.21725971959455401</v>
      </c>
      <c r="CH38">
        <v>0.61240512283857396</v>
      </c>
      <c r="CI38">
        <v>0.44159833028310103</v>
      </c>
      <c r="CJ38">
        <v>0.46098186640444999</v>
      </c>
      <c r="CK38">
        <v>-5.5375828315605703E-2</v>
      </c>
      <c r="CL38">
        <v>-3.2797838360985099E-2</v>
      </c>
      <c r="CM38">
        <v>-0.84973306140952198</v>
      </c>
      <c r="CN38">
        <v>0.80796135899196098</v>
      </c>
      <c r="CO38">
        <v>-0.84973306140952198</v>
      </c>
      <c r="CP38">
        <v>1.2199085182074001</v>
      </c>
      <c r="CQ38">
        <v>-0.84973306140952198</v>
      </c>
      <c r="CR38">
        <v>-0.84973306140952198</v>
      </c>
      <c r="CS38">
        <v>-8.0991561107504398E-3</v>
      </c>
      <c r="CT38">
        <v>0.58590183582083399</v>
      </c>
      <c r="CU38">
        <v>0.321514213424066</v>
      </c>
      <c r="CV38">
        <v>0.26708625097649602</v>
      </c>
      <c r="CW38">
        <v>0.55071541493996601</v>
      </c>
      <c r="CX38">
        <v>0.19367289026016399</v>
      </c>
      <c r="CY38">
        <v>0.32698626660779301</v>
      </c>
      <c r="CZ38">
        <v>0.63332306264563698</v>
      </c>
      <c r="DA38">
        <v>0.31991148097852401</v>
      </c>
      <c r="DB38">
        <v>-9.2167624687018695E-2</v>
      </c>
      <c r="DC38">
        <v>0.31689144342719699</v>
      </c>
      <c r="DD38">
        <v>-0.84973306140952198</v>
      </c>
      <c r="DE38">
        <v>-5.5021107010322798E-2</v>
      </c>
      <c r="DF38">
        <v>-0.84973306140952198</v>
      </c>
      <c r="DG38">
        <v>0.69656260899330202</v>
      </c>
      <c r="DH38">
        <v>-0.84973306140952198</v>
      </c>
      <c r="DI38">
        <v>0.69194583606771298</v>
      </c>
      <c r="DJ38">
        <v>0.40286155670901902</v>
      </c>
      <c r="DK38">
        <v>0.20126489346040999</v>
      </c>
      <c r="DL38">
        <v>-0.32918612491809102</v>
      </c>
      <c r="DM38">
        <v>0.103837833428487</v>
      </c>
      <c r="DN38">
        <v>-7.7123761279553199E-2</v>
      </c>
      <c r="DO38">
        <v>-0.44141136936319703</v>
      </c>
      <c r="DP38">
        <v>-0.42282985563372899</v>
      </c>
      <c r="DQ38">
        <v>-0.276971212834213</v>
      </c>
      <c r="DR38">
        <v>-8.9157738836685194E-2</v>
      </c>
      <c r="DS38">
        <v>-6.5587241823963603E-3</v>
      </c>
      <c r="DT38">
        <v>-0.185866286416355</v>
      </c>
      <c r="DU38">
        <v>-1.50202082895064E-2</v>
      </c>
      <c r="DV38">
        <v>1.1261212639464</v>
      </c>
      <c r="DW38">
        <v>1.19354720463277</v>
      </c>
      <c r="DX38">
        <v>0.37399964325336199</v>
      </c>
      <c r="DY38">
        <v>0.65049553043170905</v>
      </c>
      <c r="DZ38">
        <v>0.17020425922042201</v>
      </c>
      <c r="EA38">
        <v>4.6017383547084699E-2</v>
      </c>
      <c r="EB38">
        <v>-0.39808564420040399</v>
      </c>
      <c r="EC38">
        <v>1.94525037630204E-2</v>
      </c>
      <c r="ED38">
        <v>-0.18628063070091699</v>
      </c>
      <c r="EE38">
        <v>7.3341705202676202E-2</v>
      </c>
      <c r="EF38">
        <v>5.3293142345878404E-3</v>
      </c>
      <c r="EG38">
        <v>0.15423617440604101</v>
      </c>
      <c r="EH38">
        <v>-3.7888445293645198E-2</v>
      </c>
      <c r="EI38">
        <v>1.45925069172036</v>
      </c>
      <c r="EJ38">
        <v>2.5167998293317102</v>
      </c>
      <c r="EK38">
        <v>2.0673957146693702</v>
      </c>
      <c r="EL38">
        <v>1.30454644734131</v>
      </c>
      <c r="EM38">
        <v>0.26940715692801198</v>
      </c>
      <c r="EN38">
        <v>-0.17015684811281001</v>
      </c>
      <c r="EO38">
        <v>0.30290814257132498</v>
      </c>
      <c r="EP38">
        <v>0.23024102528826201</v>
      </c>
      <c r="EQ38">
        <v>0.70122344785695501</v>
      </c>
      <c r="ER38">
        <v>-1.5985084485576E-2</v>
      </c>
      <c r="ES38">
        <v>0.15480792623002301</v>
      </c>
      <c r="ET38">
        <v>-3.1295743529992301E-2</v>
      </c>
      <c r="EU38">
        <v>0.30999889252912399</v>
      </c>
      <c r="EV38">
        <v>0.44487799677089002</v>
      </c>
      <c r="EW38">
        <v>0.42283072350943801</v>
      </c>
      <c r="EX38">
        <v>0.427220207397983</v>
      </c>
      <c r="EY38">
        <v>-0.114255691945527</v>
      </c>
      <c r="EZ38">
        <v>-0.20219970089245001</v>
      </c>
      <c r="FA38">
        <v>-0.107559784853687</v>
      </c>
      <c r="FB38">
        <v>-0.13759428833027401</v>
      </c>
      <c r="FC38">
        <v>0.477031740820407</v>
      </c>
      <c r="FD38">
        <v>0.140531765569606</v>
      </c>
      <c r="FE38">
        <v>-0.84973306140952198</v>
      </c>
      <c r="FF38">
        <v>0.291308238381566</v>
      </c>
      <c r="FG38">
        <v>0.59852493052177402</v>
      </c>
      <c r="FH38">
        <v>2.10644780636106E-2</v>
      </c>
      <c r="FI38">
        <v>0.33591856277922799</v>
      </c>
      <c r="FJ38">
        <v>0.272461473157531</v>
      </c>
      <c r="FK38">
        <v>0.240166158819938</v>
      </c>
      <c r="FL38">
        <v>0.51672167311286499</v>
      </c>
      <c r="FM38">
        <v>0.55832012349784998</v>
      </c>
      <c r="FN38">
        <v>0.48680595219747103</v>
      </c>
      <c r="FO38">
        <v>-0.156981741642335</v>
      </c>
      <c r="FP38">
        <v>0.19010904850870999</v>
      </c>
      <c r="FQ38">
        <v>0.111040098712786</v>
      </c>
      <c r="FR38">
        <v>0.297960884125272</v>
      </c>
      <c r="FS38">
        <v>0.452864504629022</v>
      </c>
      <c r="FT38">
        <v>3.0298729232813501E-2</v>
      </c>
      <c r="FU38">
        <v>-0.84973306140952198</v>
      </c>
      <c r="FV38">
        <v>-0.84973306140952198</v>
      </c>
      <c r="FW38">
        <v>0.445369261577714</v>
      </c>
      <c r="FX38">
        <v>0.22986169896977199</v>
      </c>
      <c r="FY38">
        <v>0.186162091663783</v>
      </c>
      <c r="FZ38">
        <v>-4.7435239040906199E-2</v>
      </c>
      <c r="GA38">
        <v>0.3436740905381</v>
      </c>
      <c r="GB38">
        <v>0.14908160053157099</v>
      </c>
      <c r="GC38">
        <v>0.19421581844850699</v>
      </c>
      <c r="GD38">
        <v>0.115258220908213</v>
      </c>
      <c r="GE38">
        <v>8.02062740225295E-2</v>
      </c>
      <c r="GF38">
        <v>0</v>
      </c>
      <c r="GG38">
        <v>-0.27039314016834698</v>
      </c>
      <c r="GH38">
        <v>-9.6162359679415402E-2</v>
      </c>
      <c r="GI38">
        <v>0.45472252308761602</v>
      </c>
      <c r="GJ38">
        <v>-0.19935986343863099</v>
      </c>
      <c r="GK38">
        <v>-5.6491051482275498E-3</v>
      </c>
    </row>
    <row r="39" spans="1:193" s="11" customFormat="1" ht="15.75" thickBot="1" x14ac:dyDescent="0.3">
      <c r="A39" s="11" t="s">
        <v>267</v>
      </c>
      <c r="B39" s="11" t="s">
        <v>576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2.8449815464716199E-2</v>
      </c>
      <c r="M39" s="11">
        <v>0</v>
      </c>
      <c r="N39" s="11">
        <v>2.2852603033352199E-2</v>
      </c>
      <c r="O39" s="11">
        <v>0</v>
      </c>
      <c r="P39" s="11">
        <v>1.24568106778423E-2</v>
      </c>
      <c r="Q39" s="11">
        <v>1.3562747761370101E-2</v>
      </c>
      <c r="R39" s="11">
        <v>0</v>
      </c>
      <c r="S39" s="11">
        <v>2.63081502615541E-2</v>
      </c>
      <c r="T39" s="11">
        <v>0</v>
      </c>
      <c r="U39" s="11">
        <v>0</v>
      </c>
      <c r="V39" s="11">
        <v>0</v>
      </c>
      <c r="W39" s="11">
        <v>3.2899552957847598E-2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1.24047991267231E-2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2.0530696290951399E-2</v>
      </c>
      <c r="AM39" s="11">
        <v>0</v>
      </c>
      <c r="AN39" s="11">
        <v>0</v>
      </c>
      <c r="AO39" s="11">
        <v>0</v>
      </c>
      <c r="AP39" s="11">
        <v>5.83199758308873E-2</v>
      </c>
      <c r="AQ39" s="11">
        <v>7.6709973665081499E-3</v>
      </c>
      <c r="AR39" s="11">
        <v>0</v>
      </c>
      <c r="AS39" s="11">
        <v>0</v>
      </c>
      <c r="AT39" s="11">
        <v>0</v>
      </c>
      <c r="AU39" s="11">
        <v>0</v>
      </c>
      <c r="AV39" s="11">
        <v>2.50075707905099E-2</v>
      </c>
      <c r="AW39" s="11">
        <v>0</v>
      </c>
      <c r="AX39" s="11">
        <v>0</v>
      </c>
      <c r="AY39" s="11">
        <v>0</v>
      </c>
      <c r="AZ39" s="11">
        <v>8.0748228013425502E-2</v>
      </c>
      <c r="BA39" s="11">
        <v>0</v>
      </c>
      <c r="BB39" s="11">
        <v>0</v>
      </c>
      <c r="BC39" s="11">
        <v>0</v>
      </c>
      <c r="BD39" s="11">
        <v>0</v>
      </c>
      <c r="BE39" s="11">
        <v>0.123661924078557</v>
      </c>
      <c r="BF39" s="11">
        <v>0</v>
      </c>
      <c r="BG39" s="11">
        <v>0</v>
      </c>
      <c r="BH39" s="11">
        <v>8.9569572015557E-2</v>
      </c>
      <c r="BI39" s="11">
        <v>0</v>
      </c>
      <c r="BJ39" s="11">
        <v>0</v>
      </c>
      <c r="BK39" s="11">
        <v>0</v>
      </c>
      <c r="BL39" s="11">
        <v>5.7971250670252703E-2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4.9828996237435703E-2</v>
      </c>
      <c r="CC39" s="11">
        <v>5.17804888990799E-2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11">
        <v>0.12059862767745699</v>
      </c>
      <c r="DB39" s="11">
        <v>0</v>
      </c>
      <c r="DC39" s="11">
        <v>0</v>
      </c>
      <c r="DD39" s="11">
        <v>0</v>
      </c>
      <c r="DE39" s="11">
        <v>0</v>
      </c>
      <c r="DF39" s="11">
        <v>0</v>
      </c>
      <c r="DG39" s="11">
        <v>0</v>
      </c>
      <c r="DH39" s="11">
        <v>0</v>
      </c>
      <c r="DI39" s="11">
        <v>0</v>
      </c>
      <c r="DJ39" s="11">
        <v>0</v>
      </c>
      <c r="DK39" s="11">
        <v>0</v>
      </c>
      <c r="DL39" s="11">
        <v>0</v>
      </c>
      <c r="DM39" s="11">
        <v>0</v>
      </c>
      <c r="DN39" s="11">
        <v>0</v>
      </c>
      <c r="DO39" s="11">
        <v>2.9800340901447699E-2</v>
      </c>
      <c r="DP39" s="11">
        <v>0</v>
      </c>
      <c r="DQ39" s="11">
        <v>0</v>
      </c>
      <c r="DR39" s="11">
        <v>0.20308290280011901</v>
      </c>
      <c r="DS39" s="11">
        <v>2.0973441257027901E-2</v>
      </c>
      <c r="DT39" s="11">
        <v>1.9386572472213998E-2</v>
      </c>
      <c r="DU39" s="11">
        <v>6.7677591326581896E-2</v>
      </c>
      <c r="DV39" s="11">
        <v>0</v>
      </c>
      <c r="DW39" s="11">
        <v>0</v>
      </c>
      <c r="DX39" s="11">
        <v>0.16055214916548399</v>
      </c>
      <c r="DY39" s="11">
        <v>3.7709518216080103E-2</v>
      </c>
      <c r="DZ39" s="11">
        <v>5.1707392947373601E-2</v>
      </c>
      <c r="EA39" s="11">
        <v>0</v>
      </c>
      <c r="EB39" s="11">
        <v>3.9939318560140297E-2</v>
      </c>
      <c r="EC39" s="11">
        <v>3.07861633676813E-2</v>
      </c>
      <c r="ED39" s="11">
        <v>0</v>
      </c>
      <c r="EE39" s="11">
        <v>0</v>
      </c>
      <c r="EF39" s="11">
        <v>0</v>
      </c>
      <c r="EG39" s="11">
        <v>0</v>
      </c>
      <c r="EH39" s="11">
        <v>0.21941488393407699</v>
      </c>
      <c r="EI39" s="11">
        <v>3.4425249266678101E-2</v>
      </c>
      <c r="EJ39" s="11">
        <v>0</v>
      </c>
      <c r="EK39" s="11">
        <v>0</v>
      </c>
      <c r="EL39" s="11">
        <v>0</v>
      </c>
      <c r="EM39" s="11">
        <v>0</v>
      </c>
      <c r="EN39" s="11">
        <v>3.6276749519703402E-2</v>
      </c>
      <c r="EO39" s="11">
        <v>0</v>
      </c>
      <c r="EP39" s="11">
        <v>0</v>
      </c>
      <c r="EQ39" s="11">
        <v>0</v>
      </c>
      <c r="ER39" s="11">
        <v>0.32636428645430599</v>
      </c>
      <c r="ES39" s="11">
        <v>0</v>
      </c>
      <c r="ET39" s="11">
        <v>0</v>
      </c>
      <c r="EU39" s="11">
        <v>0</v>
      </c>
      <c r="EV39" s="11">
        <v>0</v>
      </c>
      <c r="EW39" s="11">
        <v>0</v>
      </c>
      <c r="EX39" s="11">
        <v>0</v>
      </c>
      <c r="EY39" s="11">
        <v>0</v>
      </c>
      <c r="EZ39" s="11">
        <v>0</v>
      </c>
      <c r="FA39" s="11">
        <v>0</v>
      </c>
      <c r="FB39" s="11">
        <v>0</v>
      </c>
      <c r="FC39" s="11">
        <v>0</v>
      </c>
      <c r="FD39" s="11">
        <v>0</v>
      </c>
      <c r="FE39" s="11">
        <v>0</v>
      </c>
      <c r="FF39" s="11">
        <v>0</v>
      </c>
      <c r="FG39" s="11">
        <v>0</v>
      </c>
      <c r="FH39" s="11">
        <v>0</v>
      </c>
      <c r="FI39" s="11">
        <v>0</v>
      </c>
      <c r="FJ39" s="11">
        <v>0.14234846729015499</v>
      </c>
      <c r="FK39" s="11">
        <v>0</v>
      </c>
      <c r="FL39" s="11">
        <v>0</v>
      </c>
      <c r="FM39" s="11">
        <v>0.13571032525920201</v>
      </c>
      <c r="FN39" s="11">
        <v>0.119477987393557</v>
      </c>
      <c r="FO39" s="11">
        <v>0</v>
      </c>
      <c r="FP39" s="11">
        <v>0</v>
      </c>
      <c r="FQ39" s="11">
        <v>0</v>
      </c>
      <c r="FR39" s="11">
        <v>0</v>
      </c>
      <c r="FS39" s="11">
        <v>0</v>
      </c>
      <c r="FT39" s="11">
        <v>0</v>
      </c>
      <c r="FU39" s="11">
        <v>0</v>
      </c>
      <c r="FV39" s="11">
        <v>0</v>
      </c>
      <c r="FW39" s="11">
        <v>0</v>
      </c>
      <c r="FX39" s="11">
        <v>0</v>
      </c>
      <c r="FY39" s="11">
        <v>0</v>
      </c>
      <c r="FZ39" s="11">
        <v>0</v>
      </c>
      <c r="GA39" s="11">
        <v>0</v>
      </c>
      <c r="GB39" s="11">
        <v>0</v>
      </c>
      <c r="GC39" s="11">
        <v>0</v>
      </c>
      <c r="GD39" s="11">
        <v>0</v>
      </c>
      <c r="GE39" s="11">
        <v>4.3103674853449701E-2</v>
      </c>
      <c r="GF39" s="11">
        <v>0</v>
      </c>
      <c r="GG39" s="11">
        <v>0</v>
      </c>
      <c r="GH39" s="11">
        <v>0</v>
      </c>
      <c r="GI39" s="11">
        <v>9.1022620091321393E-2</v>
      </c>
      <c r="GJ39" s="11">
        <v>5.3894645381718301E-2</v>
      </c>
      <c r="GK39" s="11">
        <v>0</v>
      </c>
    </row>
    <row r="41" spans="1:193" x14ac:dyDescent="0.25">
      <c r="A41" s="220" t="s">
        <v>81</v>
      </c>
      <c r="B41" s="220"/>
      <c r="C41">
        <f>AVERAGE(C2:C39)</f>
        <v>4.2919116351624598E-2</v>
      </c>
      <c r="D41">
        <f t="shared" ref="D41:BO41" si="0">AVERAGE(D2:D39)</f>
        <v>2.2468101619542259E-2</v>
      </c>
      <c r="E41">
        <f t="shared" si="0"/>
        <v>9.092207994062497E-2</v>
      </c>
      <c r="F41">
        <f t="shared" si="0"/>
        <v>4.1395934000703134E-2</v>
      </c>
      <c r="G41">
        <f t="shared" si="0"/>
        <v>-4.1493536376028026E-2</v>
      </c>
      <c r="H41">
        <f t="shared" si="0"/>
        <v>7.0056689147215273E-2</v>
      </c>
      <c r="I41">
        <f t="shared" si="0"/>
        <v>4.8062565358640244E-2</v>
      </c>
      <c r="J41">
        <f t="shared" si="0"/>
        <v>8.9249056269304405E-2</v>
      </c>
      <c r="K41">
        <f t="shared" si="0"/>
        <v>4.7605086572353204E-2</v>
      </c>
      <c r="L41">
        <f t="shared" si="0"/>
        <v>-4.7902682953491593E-2</v>
      </c>
      <c r="M41">
        <f t="shared" si="0"/>
        <v>-4.5192811514426431E-2</v>
      </c>
      <c r="N41">
        <f t="shared" si="0"/>
        <v>-6.9220378133553973E-2</v>
      </c>
      <c r="O41">
        <f t="shared" si="0"/>
        <v>-5.6426195508936752E-2</v>
      </c>
      <c r="P41">
        <f t="shared" si="0"/>
        <v>2.4245754263137947E-2</v>
      </c>
      <c r="Q41">
        <f t="shared" si="0"/>
        <v>5.7477637806262402E-3</v>
      </c>
      <c r="R41">
        <f t="shared" si="0"/>
        <v>7.3167575405525861E-2</v>
      </c>
      <c r="S41">
        <f t="shared" si="0"/>
        <v>4.3801561354103895E-2</v>
      </c>
      <c r="T41">
        <f t="shared" si="0"/>
        <v>5.449086520173731E-3</v>
      </c>
      <c r="U41">
        <f t="shared" si="0"/>
        <v>3.5432525541790126E-2</v>
      </c>
      <c r="V41">
        <f t="shared" si="0"/>
        <v>3.6550126055353176E-2</v>
      </c>
      <c r="W41">
        <f t="shared" si="0"/>
        <v>1.0637517451400791E-2</v>
      </c>
      <c r="X41">
        <f t="shared" si="0"/>
        <v>3.84941646095864E-2</v>
      </c>
      <c r="Y41">
        <f t="shared" si="0"/>
        <v>-8.4836521380899886E-3</v>
      </c>
      <c r="Z41">
        <f t="shared" si="0"/>
        <v>-3.3327563118189227E-2</v>
      </c>
      <c r="AA41">
        <f t="shared" si="0"/>
        <v>-3.8854941045475011E-3</v>
      </c>
      <c r="AB41">
        <f t="shared" si="0"/>
        <v>-4.5143269255420074E-2</v>
      </c>
      <c r="AC41">
        <f t="shared" si="0"/>
        <v>-3.4698863329079246E-2</v>
      </c>
      <c r="AD41">
        <f t="shared" si="0"/>
        <v>7.791301150006094E-3</v>
      </c>
      <c r="AE41">
        <f t="shared" si="0"/>
        <v>-7.0859721604919435E-2</v>
      </c>
      <c r="AF41">
        <f t="shared" si="0"/>
        <v>-4.7043473603337452E-2</v>
      </c>
      <c r="AG41">
        <f t="shared" si="0"/>
        <v>-3.455997501086279E-2</v>
      </c>
      <c r="AH41">
        <f t="shared" si="0"/>
        <v>8.2916541891710476E-3</v>
      </c>
      <c r="AI41">
        <f t="shared" si="0"/>
        <v>3.6086237153618271E-3</v>
      </c>
      <c r="AJ41">
        <f t="shared" si="0"/>
        <v>1.2488534495661596E-2</v>
      </c>
      <c r="AK41">
        <f t="shared" si="0"/>
        <v>-5.3600573329698864E-2</v>
      </c>
      <c r="AL41">
        <f t="shared" si="0"/>
        <v>-3.7842947082441576E-2</v>
      </c>
      <c r="AM41">
        <f t="shared" si="0"/>
        <v>-2.2230385997415125E-2</v>
      </c>
      <c r="AN41">
        <f t="shared" si="0"/>
        <v>-7.6858534236005194E-2</v>
      </c>
      <c r="AO41">
        <f t="shared" si="0"/>
        <v>-6.7224597228967842E-2</v>
      </c>
      <c r="AP41">
        <f t="shared" si="0"/>
        <v>-4.3860801351648292E-2</v>
      </c>
      <c r="AQ41">
        <f t="shared" si="0"/>
        <v>-5.8920617619628725E-2</v>
      </c>
      <c r="AR41">
        <f t="shared" si="0"/>
        <v>-5.1420288397067818E-2</v>
      </c>
      <c r="AS41">
        <f t="shared" si="0"/>
        <v>-1.2990403106892374E-3</v>
      </c>
      <c r="AT41">
        <f t="shared" si="0"/>
        <v>-2.9035574279920148E-2</v>
      </c>
      <c r="AU41">
        <f t="shared" si="0"/>
        <v>-2.9255418709596026E-2</v>
      </c>
      <c r="AV41">
        <f t="shared" si="0"/>
        <v>3.8703045857448413E-3</v>
      </c>
      <c r="AW41">
        <f t="shared" si="0"/>
        <v>-1.2997259724575593E-2</v>
      </c>
      <c r="AX41">
        <f t="shared" si="0"/>
        <v>2.0717582475179314E-2</v>
      </c>
      <c r="AY41">
        <f t="shared" si="0"/>
        <v>5.3933535398113908E-2</v>
      </c>
      <c r="AZ41">
        <f t="shared" si="0"/>
        <v>5.7253067046493002E-2</v>
      </c>
      <c r="BA41">
        <f t="shared" si="0"/>
        <v>7.4333999339507087E-2</v>
      </c>
      <c r="BB41">
        <f t="shared" si="0"/>
        <v>4.7870349603660364E-2</v>
      </c>
      <c r="BC41">
        <f t="shared" si="0"/>
        <v>4.5205215038550066E-2</v>
      </c>
      <c r="BD41">
        <f t="shared" si="0"/>
        <v>1.1050359122183136E-2</v>
      </c>
      <c r="BE41">
        <f t="shared" si="0"/>
        <v>3.2035665064715162E-2</v>
      </c>
      <c r="BF41">
        <f t="shared" si="0"/>
        <v>5.8246829474071872E-2</v>
      </c>
      <c r="BG41">
        <f t="shared" si="0"/>
        <v>1.0810274073042973E-2</v>
      </c>
      <c r="BH41">
        <f t="shared" si="0"/>
        <v>2.8382012778520361E-2</v>
      </c>
      <c r="BI41">
        <f t="shared" si="0"/>
        <v>7.6381265386100752E-2</v>
      </c>
      <c r="BJ41">
        <f t="shared" si="0"/>
        <v>3.7708294839486789E-2</v>
      </c>
      <c r="BK41">
        <f t="shared" si="0"/>
        <v>4.8621779421480368E-2</v>
      </c>
      <c r="BL41">
        <f t="shared" si="0"/>
        <v>6.3441497644512582E-2</v>
      </c>
      <c r="BM41">
        <f t="shared" si="0"/>
        <v>5.5651873285920597E-2</v>
      </c>
      <c r="BN41">
        <f t="shared" si="0"/>
        <v>8.7183341081831608E-2</v>
      </c>
      <c r="BO41">
        <f t="shared" si="0"/>
        <v>1.9797045207662036E-2</v>
      </c>
      <c r="BP41">
        <f t="shared" ref="BP41:EA41" si="1">AVERAGE(BP2:BP39)</f>
        <v>6.224947428029922E-2</v>
      </c>
      <c r="BQ41">
        <f t="shared" si="1"/>
        <v>8.2209142830778389E-2</v>
      </c>
      <c r="BR41">
        <f t="shared" si="1"/>
        <v>6.3707496250781523E-2</v>
      </c>
      <c r="BS41">
        <f t="shared" si="1"/>
        <v>3.6411021827227261E-2</v>
      </c>
      <c r="BT41">
        <f t="shared" si="1"/>
        <v>6.1124941992193267E-2</v>
      </c>
      <c r="BU41">
        <f t="shared" si="1"/>
        <v>6.1720129226346884E-2</v>
      </c>
      <c r="BV41">
        <f t="shared" si="1"/>
        <v>3.7216973223810165E-2</v>
      </c>
      <c r="BW41">
        <f t="shared" si="1"/>
        <v>2.5283118999240965E-2</v>
      </c>
      <c r="BX41">
        <f t="shared" si="1"/>
        <v>2.3948367142595196E-3</v>
      </c>
      <c r="BY41">
        <f t="shared" si="1"/>
        <v>5.8286964247548177E-3</v>
      </c>
      <c r="BZ41">
        <f t="shared" si="1"/>
        <v>2.9145415651048545E-3</v>
      </c>
      <c r="CA41">
        <f t="shared" si="1"/>
        <v>-1.2617835543011543E-2</v>
      </c>
      <c r="CB41">
        <f t="shared" si="1"/>
        <v>9.4487828111407129E-2</v>
      </c>
      <c r="CC41">
        <f t="shared" si="1"/>
        <v>2.8261696964163148E-2</v>
      </c>
      <c r="CD41">
        <f t="shared" si="1"/>
        <v>1.8904356990945666E-2</v>
      </c>
      <c r="CE41">
        <f t="shared" si="1"/>
        <v>-1.6649749915172269E-3</v>
      </c>
      <c r="CF41">
        <f t="shared" si="1"/>
        <v>1.5775576731341411E-2</v>
      </c>
      <c r="CG41">
        <f t="shared" si="1"/>
        <v>5.7220472582256175E-2</v>
      </c>
      <c r="CH41">
        <f t="shared" si="1"/>
        <v>4.1271454941497934E-2</v>
      </c>
      <c r="CI41">
        <f t="shared" si="1"/>
        <v>2.5380753283808722E-2</v>
      </c>
      <c r="CJ41">
        <f t="shared" si="1"/>
        <v>7.2001750040662518E-2</v>
      </c>
      <c r="CK41">
        <f t="shared" si="1"/>
        <v>4.2118549129338302E-2</v>
      </c>
      <c r="CL41">
        <f t="shared" si="1"/>
        <v>3.0876277059937347E-2</v>
      </c>
      <c r="CM41">
        <f t="shared" si="1"/>
        <v>2.9148900122102799E-3</v>
      </c>
      <c r="CN41">
        <f t="shared" si="1"/>
        <v>8.40961482947475E-2</v>
      </c>
      <c r="CO41">
        <f t="shared" si="1"/>
        <v>2.8700634924317601E-2</v>
      </c>
      <c r="CP41">
        <f t="shared" si="1"/>
        <v>-3.0701493621992232E-2</v>
      </c>
      <c r="CQ41">
        <f t="shared" si="1"/>
        <v>3.5707091175049908E-2</v>
      </c>
      <c r="CR41">
        <f t="shared" si="1"/>
        <v>-1.4692629754242301E-3</v>
      </c>
      <c r="CS41">
        <f t="shared" si="1"/>
        <v>5.967761364146832E-2</v>
      </c>
      <c r="CT41">
        <f t="shared" si="1"/>
        <v>7.9394909515365431E-2</v>
      </c>
      <c r="CU41">
        <f t="shared" si="1"/>
        <v>6.827615735423434E-2</v>
      </c>
      <c r="CV41">
        <f t="shared" si="1"/>
        <v>5.9261745153515989E-2</v>
      </c>
      <c r="CW41">
        <f t="shared" si="1"/>
        <v>6.4568278089773015E-2</v>
      </c>
      <c r="CX41">
        <f t="shared" si="1"/>
        <v>8.3615558130554088E-2</v>
      </c>
      <c r="CY41">
        <f t="shared" si="1"/>
        <v>4.4604666733284136E-2</v>
      </c>
      <c r="CZ41">
        <f t="shared" si="1"/>
        <v>6.4061214827465629E-2</v>
      </c>
      <c r="DA41">
        <f t="shared" si="1"/>
        <v>9.4132637865474433E-2</v>
      </c>
      <c r="DB41">
        <f t="shared" si="1"/>
        <v>-2.0747713193662826E-2</v>
      </c>
      <c r="DC41">
        <f t="shared" si="1"/>
        <v>-5.5308553812941788E-3</v>
      </c>
      <c r="DD41">
        <f t="shared" si="1"/>
        <v>-9.8843197339448796E-3</v>
      </c>
      <c r="DE41">
        <f t="shared" si="1"/>
        <v>1.900817559530335E-2</v>
      </c>
      <c r="DF41">
        <f t="shared" si="1"/>
        <v>-3.4308966459921486E-2</v>
      </c>
      <c r="DG41">
        <f t="shared" si="1"/>
        <v>-5.8523813112772653E-2</v>
      </c>
      <c r="DH41">
        <f t="shared" si="1"/>
        <v>-4.0280679465784008E-2</v>
      </c>
      <c r="DI41">
        <f t="shared" si="1"/>
        <v>2.3436258503052268E-2</v>
      </c>
      <c r="DJ41">
        <f t="shared" si="1"/>
        <v>6.5055642050116214E-2</v>
      </c>
      <c r="DK41">
        <f t="shared" si="1"/>
        <v>4.1976544696967946E-2</v>
      </c>
      <c r="DL41">
        <f t="shared" si="1"/>
        <v>-0.13005898472461624</v>
      </c>
      <c r="DM41">
        <f t="shared" si="1"/>
        <v>-7.3700472091963579E-2</v>
      </c>
      <c r="DN41">
        <f t="shared" si="1"/>
        <v>-1.3057993437166673E-2</v>
      </c>
      <c r="DO41">
        <f t="shared" si="1"/>
        <v>-9.1799996492011857E-2</v>
      </c>
      <c r="DP41">
        <f t="shared" si="1"/>
        <v>-0.13698543660352039</v>
      </c>
      <c r="DQ41">
        <f t="shared" si="1"/>
        <v>-0.12308878744173518</v>
      </c>
      <c r="DR41">
        <f t="shared" si="1"/>
        <v>5.7907526723254686E-2</v>
      </c>
      <c r="DS41">
        <f t="shared" si="1"/>
        <v>3.3314941861873087E-2</v>
      </c>
      <c r="DT41">
        <f t="shared" si="1"/>
        <v>3.6922939656825179E-2</v>
      </c>
      <c r="DU41">
        <f t="shared" si="1"/>
        <v>-9.5794093141919612E-3</v>
      </c>
      <c r="DV41">
        <f t="shared" si="1"/>
        <v>0.14030351796393892</v>
      </c>
      <c r="DW41">
        <f t="shared" si="1"/>
        <v>0.30094231874549365</v>
      </c>
      <c r="DX41">
        <f t="shared" si="1"/>
        <v>4.7641964571521964E-2</v>
      </c>
      <c r="DY41">
        <f t="shared" si="1"/>
        <v>7.1461248866431876E-2</v>
      </c>
      <c r="DZ41">
        <f t="shared" si="1"/>
        <v>5.3529232108381494E-2</v>
      </c>
      <c r="EA41">
        <f t="shared" si="1"/>
        <v>2.3195684662392605E-3</v>
      </c>
      <c r="EB41">
        <f t="shared" ref="EB41:GK41" si="2">AVERAGE(EB2:EB39)</f>
        <v>-4.1480780004834544E-2</v>
      </c>
      <c r="EC41">
        <f t="shared" si="2"/>
        <v>-5.3770744998881221E-3</v>
      </c>
      <c r="ED41">
        <f t="shared" si="2"/>
        <v>2.5454032821271934E-2</v>
      </c>
      <c r="EE41">
        <f t="shared" si="2"/>
        <v>3.0563573627075818E-2</v>
      </c>
      <c r="EF41">
        <f t="shared" si="2"/>
        <v>3.4606670950215043E-3</v>
      </c>
      <c r="EG41">
        <f t="shared" si="2"/>
        <v>1.7533002802389761E-2</v>
      </c>
      <c r="EH41">
        <f t="shared" si="2"/>
        <v>6.8008012850593047E-2</v>
      </c>
      <c r="EI41">
        <f t="shared" si="2"/>
        <v>0.18686553846892745</v>
      </c>
      <c r="EJ41">
        <f t="shared" si="2"/>
        <v>0.32612866888860781</v>
      </c>
      <c r="EK41">
        <f t="shared" si="2"/>
        <v>0.23871845997415847</v>
      </c>
      <c r="EL41">
        <f t="shared" si="2"/>
        <v>0.18080051816465681</v>
      </c>
      <c r="EM41">
        <f t="shared" si="2"/>
        <v>0.33370529817519873</v>
      </c>
      <c r="EN41">
        <f t="shared" si="2"/>
        <v>-6.6115125632774371E-2</v>
      </c>
      <c r="EO41">
        <f t="shared" si="2"/>
        <v>2.9556688351512594E-2</v>
      </c>
      <c r="EP41">
        <f t="shared" si="2"/>
        <v>7.9018495054544252E-2</v>
      </c>
      <c r="EQ41">
        <f t="shared" si="2"/>
        <v>5.2307168975149657E-2</v>
      </c>
      <c r="ER41">
        <f t="shared" si="2"/>
        <v>3.1554202516391863E-2</v>
      </c>
      <c r="ES41">
        <f t="shared" si="2"/>
        <v>2.6669707910320365E-2</v>
      </c>
      <c r="ET41">
        <f t="shared" si="2"/>
        <v>4.5032455353412291E-2</v>
      </c>
      <c r="EU41">
        <f t="shared" si="2"/>
        <v>2.1262590942089932E-2</v>
      </c>
      <c r="EV41">
        <f t="shared" si="2"/>
        <v>8.3083054618704438E-2</v>
      </c>
      <c r="EW41">
        <f t="shared" si="2"/>
        <v>5.1859302101973488E-2</v>
      </c>
      <c r="EX41">
        <f t="shared" si="2"/>
        <v>7.0726392495733287E-2</v>
      </c>
      <c r="EY41">
        <f t="shared" si="2"/>
        <v>5.6105549366464731E-2</v>
      </c>
      <c r="EZ41">
        <f t="shared" si="2"/>
        <v>9.3987134182569224E-2</v>
      </c>
      <c r="FA41">
        <f t="shared" si="2"/>
        <v>5.0750032188853489E-2</v>
      </c>
      <c r="FB41">
        <f t="shared" si="2"/>
        <v>1.5935299346133882E-2</v>
      </c>
      <c r="FC41">
        <f t="shared" si="2"/>
        <v>8.5316559420168775E-2</v>
      </c>
      <c r="FD41">
        <f t="shared" si="2"/>
        <v>9.0105719373867882E-2</v>
      </c>
      <c r="FE41">
        <f t="shared" si="2"/>
        <v>5.9206917421103865E-2</v>
      </c>
      <c r="FF41">
        <f t="shared" si="2"/>
        <v>6.8898094633193074E-2</v>
      </c>
      <c r="FG41">
        <f t="shared" si="2"/>
        <v>1.2881192992962306E-2</v>
      </c>
      <c r="FH41">
        <f t="shared" si="2"/>
        <v>6.1395157682144819E-2</v>
      </c>
      <c r="FI41">
        <f t="shared" si="2"/>
        <v>6.8576877040107939E-2</v>
      </c>
      <c r="FJ41">
        <f t="shared" si="2"/>
        <v>6.1095407899226087E-2</v>
      </c>
      <c r="FK41">
        <f t="shared" si="2"/>
        <v>1.3925338273533542E-2</v>
      </c>
      <c r="FL41">
        <f t="shared" si="2"/>
        <v>-1.4647752378513486E-2</v>
      </c>
      <c r="FM41">
        <f t="shared" si="2"/>
        <v>4.0421551187067695E-2</v>
      </c>
      <c r="FN41">
        <f t="shared" si="2"/>
        <v>-1.1297910650508803E-2</v>
      </c>
      <c r="FO41">
        <f t="shared" si="2"/>
        <v>9.6265156377464099E-3</v>
      </c>
      <c r="FP41">
        <f t="shared" si="2"/>
        <v>2.8673162915864053E-2</v>
      </c>
      <c r="FQ41">
        <f t="shared" si="2"/>
        <v>4.8470998106190058E-2</v>
      </c>
      <c r="FR41">
        <f t="shared" si="2"/>
        <v>3.4383391610491851E-2</v>
      </c>
      <c r="FS41">
        <f t="shared" si="2"/>
        <v>4.9087729975486605E-2</v>
      </c>
      <c r="FT41">
        <f t="shared" si="2"/>
        <v>1.1800521217684242E-2</v>
      </c>
      <c r="FU41">
        <f t="shared" si="2"/>
        <v>1.8139136999690719E-2</v>
      </c>
      <c r="FV41">
        <f t="shared" si="2"/>
        <v>-4.3117040007257343E-2</v>
      </c>
      <c r="FW41">
        <f t="shared" si="2"/>
        <v>6.7986174413329103E-2</v>
      </c>
      <c r="FX41">
        <f t="shared" si="2"/>
        <v>5.2015747273576489E-2</v>
      </c>
      <c r="FY41">
        <f t="shared" si="2"/>
        <v>-2.1089378580010174E-3</v>
      </c>
      <c r="FZ41">
        <f t="shared" si="2"/>
        <v>4.6797242871620535E-2</v>
      </c>
      <c r="GA41">
        <f t="shared" si="2"/>
        <v>4.7413430400155165E-2</v>
      </c>
      <c r="GB41">
        <f t="shared" si="2"/>
        <v>5.2182996815779502E-2</v>
      </c>
      <c r="GC41">
        <f t="shared" si="2"/>
        <v>-3.4248197065254261E-2</v>
      </c>
      <c r="GD41">
        <f t="shared" si="2"/>
        <v>1.3094064557253754E-2</v>
      </c>
      <c r="GE41">
        <f t="shared" si="2"/>
        <v>8.1019934343499692E-3</v>
      </c>
      <c r="GF41">
        <f t="shared" si="2"/>
        <v>-9.1405597093755994E-3</v>
      </c>
      <c r="GG41">
        <f t="shared" si="2"/>
        <v>2.2763551990919756E-2</v>
      </c>
      <c r="GH41">
        <f t="shared" si="2"/>
        <v>1.9251257435941922E-2</v>
      </c>
      <c r="GI41">
        <f t="shared" si="2"/>
        <v>3.1005746898813833E-2</v>
      </c>
      <c r="GJ41">
        <f t="shared" si="2"/>
        <v>-6.0826109229027451E-3</v>
      </c>
      <c r="GK41">
        <f t="shared" si="2"/>
        <v>-4.2399747742879981E-2</v>
      </c>
    </row>
    <row r="42" spans="1:193" x14ac:dyDescent="0.25">
      <c r="A42" s="220" t="s">
        <v>262</v>
      </c>
      <c r="B42" s="220"/>
      <c r="C42">
        <f>AVERAGE(C12:C23)</f>
        <v>3.3392509172684416E-2</v>
      </c>
      <c r="D42">
        <f t="shared" ref="D42:BO42" si="3">AVERAGE(D12:D23)</f>
        <v>-1.5328717815179854E-3</v>
      </c>
      <c r="E42">
        <f t="shared" si="3"/>
        <v>0.11467182177347486</v>
      </c>
      <c r="F42">
        <f t="shared" si="3"/>
        <v>3.2640692554129179E-2</v>
      </c>
      <c r="G42">
        <f t="shared" si="3"/>
        <v>-9.6506185786341736E-2</v>
      </c>
      <c r="H42">
        <f t="shared" si="3"/>
        <v>4.8844965995909213E-2</v>
      </c>
      <c r="I42">
        <f t="shared" si="3"/>
        <v>7.7661409169752949E-2</v>
      </c>
      <c r="J42">
        <f t="shared" si="3"/>
        <v>3.3726119371077973E-2</v>
      </c>
      <c r="K42">
        <f t="shared" si="3"/>
        <v>4.2698074324473562E-2</v>
      </c>
      <c r="L42">
        <f t="shared" si="3"/>
        <v>-0.18839212008908365</v>
      </c>
      <c r="M42">
        <f t="shared" si="3"/>
        <v>-0.17220322982943295</v>
      </c>
      <c r="N42">
        <f t="shared" si="3"/>
        <v>-0.24742815163528206</v>
      </c>
      <c r="O42">
        <f t="shared" si="3"/>
        <v>-0.2192508417444087</v>
      </c>
      <c r="P42">
        <f t="shared" si="3"/>
        <v>-5.1279163949186218E-2</v>
      </c>
      <c r="Q42">
        <f t="shared" si="3"/>
        <v>-6.5443283923590001E-2</v>
      </c>
      <c r="R42">
        <f t="shared" si="3"/>
        <v>-2.4478796614990358E-2</v>
      </c>
      <c r="S42">
        <f t="shared" si="3"/>
        <v>-5.5519673828810935E-2</v>
      </c>
      <c r="T42">
        <f t="shared" si="3"/>
        <v>-0.15046751884227005</v>
      </c>
      <c r="U42">
        <f t="shared" si="3"/>
        <v>2.6699363415205574E-3</v>
      </c>
      <c r="V42">
        <f t="shared" si="3"/>
        <v>-7.8026235375575029E-2</v>
      </c>
      <c r="W42">
        <f t="shared" si="3"/>
        <v>-7.5045940800800695E-2</v>
      </c>
      <c r="X42">
        <f t="shared" si="3"/>
        <v>-3.2298444069731237E-2</v>
      </c>
      <c r="Y42">
        <f t="shared" si="3"/>
        <v>-0.11283418209709933</v>
      </c>
      <c r="Z42">
        <f t="shared" si="3"/>
        <v>-0.1649126533426194</v>
      </c>
      <c r="AA42">
        <f t="shared" si="3"/>
        <v>-6.9578685301512969E-2</v>
      </c>
      <c r="AB42">
        <f t="shared" si="3"/>
        <v>-0.24533056621940286</v>
      </c>
      <c r="AC42">
        <f t="shared" si="3"/>
        <v>-0.17979561174312039</v>
      </c>
      <c r="AD42">
        <f t="shared" si="3"/>
        <v>-0.10576707461744787</v>
      </c>
      <c r="AE42">
        <f t="shared" si="3"/>
        <v>-0.26552780306185214</v>
      </c>
      <c r="AF42">
        <f t="shared" si="3"/>
        <v>-0.21493767308817571</v>
      </c>
      <c r="AG42">
        <f t="shared" si="3"/>
        <v>-0.14833880856506002</v>
      </c>
      <c r="AH42">
        <f t="shared" si="3"/>
        <v>-8.1099886182257511E-2</v>
      </c>
      <c r="AI42">
        <f t="shared" si="3"/>
        <v>-0.13000274421406627</v>
      </c>
      <c r="AJ42">
        <f t="shared" si="3"/>
        <v>-4.9705076811488981E-2</v>
      </c>
      <c r="AK42">
        <f t="shared" si="3"/>
        <v>-0.20535454867952951</v>
      </c>
      <c r="AL42">
        <f t="shared" si="3"/>
        <v>-0.17688230206260203</v>
      </c>
      <c r="AM42">
        <f t="shared" si="3"/>
        <v>-0.13061598042200903</v>
      </c>
      <c r="AN42">
        <f t="shared" si="3"/>
        <v>-0.25763943534633549</v>
      </c>
      <c r="AO42">
        <f t="shared" si="3"/>
        <v>-0.21510694080232329</v>
      </c>
      <c r="AP42">
        <f t="shared" si="3"/>
        <v>-0.16051729438088289</v>
      </c>
      <c r="AQ42">
        <f t="shared" si="3"/>
        <v>-0.22782493579674282</v>
      </c>
      <c r="AR42">
        <f t="shared" si="3"/>
        <v>-0.21200396029936899</v>
      </c>
      <c r="AS42">
        <f t="shared" si="3"/>
        <v>-6.7726806306953616E-2</v>
      </c>
      <c r="AT42">
        <f t="shared" si="3"/>
        <v>-0.16741820059790871</v>
      </c>
      <c r="AU42">
        <f t="shared" si="3"/>
        <v>-0.14011501831517001</v>
      </c>
      <c r="AV42">
        <f t="shared" si="3"/>
        <v>-6.8957823981959557E-2</v>
      </c>
      <c r="AW42">
        <f t="shared" si="3"/>
        <v>-0.10802425205728376</v>
      </c>
      <c r="AX42">
        <f t="shared" si="3"/>
        <v>1.5730647059353557E-2</v>
      </c>
      <c r="AY42">
        <f t="shared" si="3"/>
        <v>0.14973277221145773</v>
      </c>
      <c r="AZ42">
        <f t="shared" si="3"/>
        <v>0.15095475439491016</v>
      </c>
      <c r="BA42">
        <f t="shared" si="3"/>
        <v>0.17682679406556256</v>
      </c>
      <c r="BB42">
        <f t="shared" si="3"/>
        <v>3.9915083043022964E-2</v>
      </c>
      <c r="BC42">
        <f t="shared" si="3"/>
        <v>0.21696504949699405</v>
      </c>
      <c r="BD42">
        <f t="shared" si="3"/>
        <v>0.10692800343241034</v>
      </c>
      <c r="BE42">
        <f t="shared" si="3"/>
        <v>1.31248044597991E-2</v>
      </c>
      <c r="BF42">
        <f t="shared" si="3"/>
        <v>0.15836928415241253</v>
      </c>
      <c r="BG42">
        <f t="shared" si="3"/>
        <v>5.4451457591986163E-2</v>
      </c>
      <c r="BH42">
        <f t="shared" si="3"/>
        <v>5.1630172090922487E-2</v>
      </c>
      <c r="BI42">
        <f t="shared" si="3"/>
        <v>0.16829180884319883</v>
      </c>
      <c r="BJ42">
        <f t="shared" si="3"/>
        <v>9.4313357540390497E-2</v>
      </c>
      <c r="BK42">
        <f t="shared" si="3"/>
        <v>6.0210047149415614E-2</v>
      </c>
      <c r="BL42">
        <f t="shared" si="3"/>
        <v>0.15290749174947685</v>
      </c>
      <c r="BM42">
        <f t="shared" si="3"/>
        <v>0.16342342911462446</v>
      </c>
      <c r="BN42">
        <f t="shared" si="3"/>
        <v>0.20010226174792012</v>
      </c>
      <c r="BO42">
        <f t="shared" si="3"/>
        <v>0.12175784987984195</v>
      </c>
      <c r="BP42">
        <f t="shared" ref="BP42:EA42" si="4">AVERAGE(BP12:BP23)</f>
        <v>0.30531213684485742</v>
      </c>
      <c r="BQ42">
        <f t="shared" si="4"/>
        <v>0.18708691637075456</v>
      </c>
      <c r="BR42">
        <f t="shared" si="4"/>
        <v>0.11043164095220363</v>
      </c>
      <c r="BS42">
        <f t="shared" si="4"/>
        <v>7.7227755890291724E-2</v>
      </c>
      <c r="BT42">
        <f t="shared" si="4"/>
        <v>0.12215912626288716</v>
      </c>
      <c r="BU42">
        <f t="shared" si="4"/>
        <v>0.18582476702658146</v>
      </c>
      <c r="BV42">
        <f t="shared" si="4"/>
        <v>6.9850749448729502E-2</v>
      </c>
      <c r="BW42">
        <f t="shared" si="4"/>
        <v>7.7910687985818086E-2</v>
      </c>
      <c r="BX42">
        <f t="shared" si="4"/>
        <v>-4.3307088190621705E-3</v>
      </c>
      <c r="BY42">
        <f t="shared" si="4"/>
        <v>1.216201868236984E-2</v>
      </c>
      <c r="BZ42">
        <f t="shared" si="4"/>
        <v>4.4641138149719546E-2</v>
      </c>
      <c r="CA42">
        <f t="shared" si="4"/>
        <v>-5.5779711034093654E-3</v>
      </c>
      <c r="CB42">
        <f t="shared" si="4"/>
        <v>0.26276075212807903</v>
      </c>
      <c r="CC42">
        <f t="shared" si="4"/>
        <v>4.4135658650630176E-2</v>
      </c>
      <c r="CD42">
        <f t="shared" si="4"/>
        <v>6.5757731252694171E-2</v>
      </c>
      <c r="CE42">
        <f t="shared" si="4"/>
        <v>-3.9427494778776807E-2</v>
      </c>
      <c r="CF42">
        <f t="shared" si="4"/>
        <v>8.9500837941063241E-2</v>
      </c>
      <c r="CG42">
        <f t="shared" si="4"/>
        <v>6.8086930056103376E-2</v>
      </c>
      <c r="CH42">
        <f t="shared" si="4"/>
        <v>4.5009295841893913E-2</v>
      </c>
      <c r="CI42">
        <f t="shared" si="4"/>
        <v>5.24679497263471E-2</v>
      </c>
      <c r="CJ42">
        <f t="shared" si="4"/>
        <v>0.13572404730752383</v>
      </c>
      <c r="CK42">
        <f t="shared" si="4"/>
        <v>5.3932285221350629E-2</v>
      </c>
      <c r="CL42">
        <f t="shared" si="4"/>
        <v>0.10321197321493308</v>
      </c>
      <c r="CM42">
        <f t="shared" si="4"/>
        <v>0.124630942079757</v>
      </c>
      <c r="CN42">
        <f t="shared" si="4"/>
        <v>0.17870948531978234</v>
      </c>
      <c r="CO42">
        <f t="shared" si="4"/>
        <v>8.9395951469686083E-2</v>
      </c>
      <c r="CP42">
        <f t="shared" si="4"/>
        <v>-0.14628988188586614</v>
      </c>
      <c r="CQ42">
        <f t="shared" si="4"/>
        <v>0.21234347769136333</v>
      </c>
      <c r="CR42">
        <f t="shared" si="4"/>
        <v>5.296817401928882E-2</v>
      </c>
      <c r="CS42">
        <f t="shared" si="4"/>
        <v>3.9182482552566032E-2</v>
      </c>
      <c r="CT42">
        <f t="shared" si="4"/>
        <v>0.10044509459061814</v>
      </c>
      <c r="CU42">
        <f t="shared" si="4"/>
        <v>0.15093294279551153</v>
      </c>
      <c r="CV42">
        <f t="shared" si="4"/>
        <v>9.3840396739463997E-2</v>
      </c>
      <c r="CW42">
        <f t="shared" si="4"/>
        <v>0.15331266296542512</v>
      </c>
      <c r="CX42">
        <f t="shared" si="4"/>
        <v>0.22532272200150608</v>
      </c>
      <c r="CY42">
        <f t="shared" si="4"/>
        <v>7.5128218922183285E-2</v>
      </c>
      <c r="CZ42">
        <f t="shared" si="4"/>
        <v>0.14387367151575287</v>
      </c>
      <c r="DA42">
        <f t="shared" si="4"/>
        <v>0.18060488611525469</v>
      </c>
      <c r="DB42">
        <f t="shared" si="4"/>
        <v>-7.0768247460040387E-3</v>
      </c>
      <c r="DC42">
        <f t="shared" si="4"/>
        <v>-8.2601601278433929E-3</v>
      </c>
      <c r="DD42">
        <f t="shared" si="4"/>
        <v>5.0666814265365519E-2</v>
      </c>
      <c r="DE42">
        <f t="shared" si="4"/>
        <v>1.8923309948371731E-2</v>
      </c>
      <c r="DF42">
        <f t="shared" si="4"/>
        <v>-8.5162703158553565E-2</v>
      </c>
      <c r="DG42">
        <f t="shared" si="4"/>
        <v>-0.21973310909489377</v>
      </c>
      <c r="DH42">
        <f t="shared" si="4"/>
        <v>-2.8415618762972328E-2</v>
      </c>
      <c r="DI42">
        <f t="shared" si="4"/>
        <v>-1.5052221037948023E-2</v>
      </c>
      <c r="DJ42">
        <f t="shared" si="4"/>
        <v>0.17818946808721559</v>
      </c>
      <c r="DK42">
        <f t="shared" si="4"/>
        <v>9.7330636177210383E-2</v>
      </c>
      <c r="DL42">
        <f t="shared" si="4"/>
        <v>-0.3218824455950019</v>
      </c>
      <c r="DM42">
        <f t="shared" si="4"/>
        <v>-0.21663141718731641</v>
      </c>
      <c r="DN42">
        <f t="shared" si="4"/>
        <v>-2.1331529449732919E-2</v>
      </c>
      <c r="DO42">
        <f t="shared" si="4"/>
        <v>-0.23224375571579448</v>
      </c>
      <c r="DP42">
        <f t="shared" si="4"/>
        <v>-0.37820561537625791</v>
      </c>
      <c r="DQ42">
        <f t="shared" si="4"/>
        <v>-0.33807969951018907</v>
      </c>
      <c r="DR42">
        <f t="shared" si="4"/>
        <v>8.4221024449639428E-2</v>
      </c>
      <c r="DS42">
        <f t="shared" si="4"/>
        <v>-8.6756382955285056E-3</v>
      </c>
      <c r="DT42">
        <f t="shared" si="4"/>
        <v>-6.6339672891035503E-3</v>
      </c>
      <c r="DU42">
        <f t="shared" si="4"/>
        <v>-9.4800832022138071E-2</v>
      </c>
      <c r="DV42">
        <f t="shared" si="4"/>
        <v>0.2797229570711624</v>
      </c>
      <c r="DW42">
        <f t="shared" si="4"/>
        <v>0.55977260744133128</v>
      </c>
      <c r="DX42">
        <f t="shared" si="4"/>
        <v>8.0963186475318763E-2</v>
      </c>
      <c r="DY42">
        <f t="shared" si="4"/>
        <v>9.660594032856544E-2</v>
      </c>
      <c r="DZ42">
        <f t="shared" si="4"/>
        <v>0.10398164974390921</v>
      </c>
      <c r="EA42">
        <f t="shared" si="4"/>
        <v>2.4772830871447354E-2</v>
      </c>
      <c r="EB42">
        <f t="shared" ref="EB42:GK42" si="5">AVERAGE(EB12:EB23)</f>
        <v>-5.480889076626997E-2</v>
      </c>
      <c r="EC42">
        <f t="shared" si="5"/>
        <v>1.7579544725620441E-2</v>
      </c>
      <c r="ED42">
        <f t="shared" si="5"/>
        <v>6.4374588062056926E-3</v>
      </c>
      <c r="EE42">
        <f t="shared" si="5"/>
        <v>7.9860812955595592E-2</v>
      </c>
      <c r="EF42">
        <f t="shared" si="5"/>
        <v>4.79166372785381E-3</v>
      </c>
      <c r="EG42">
        <f t="shared" si="5"/>
        <v>5.4079665486847915E-2</v>
      </c>
      <c r="EH42">
        <f t="shared" si="5"/>
        <v>0.11122681005664876</v>
      </c>
      <c r="EI42">
        <f t="shared" si="5"/>
        <v>0.27794979044738899</v>
      </c>
      <c r="EJ42">
        <f t="shared" si="5"/>
        <v>0.47565833874189883</v>
      </c>
      <c r="EK42">
        <f t="shared" si="5"/>
        <v>0.31499734256341133</v>
      </c>
      <c r="EL42">
        <f t="shared" si="5"/>
        <v>0.22402685271206246</v>
      </c>
      <c r="EM42">
        <f t="shared" si="5"/>
        <v>0.6968333353965952</v>
      </c>
      <c r="EN42">
        <f t="shared" si="5"/>
        <v>-0.19770988912808893</v>
      </c>
      <c r="EO42">
        <f t="shared" si="5"/>
        <v>-2.562418321619005E-2</v>
      </c>
      <c r="EP42">
        <f t="shared" si="5"/>
        <v>0.15113529741461065</v>
      </c>
      <c r="EQ42">
        <f t="shared" si="5"/>
        <v>0.14062553925633023</v>
      </c>
      <c r="ER42">
        <f t="shared" si="5"/>
        <v>0.11886264138557223</v>
      </c>
      <c r="ES42">
        <f t="shared" si="5"/>
        <v>8.4726737734702184E-2</v>
      </c>
      <c r="ET42">
        <f t="shared" si="5"/>
        <v>0.10919484901795329</v>
      </c>
      <c r="EU42">
        <f t="shared" si="5"/>
        <v>2.5598356974280218E-2</v>
      </c>
      <c r="EV42">
        <f t="shared" si="5"/>
        <v>0.16016263381166851</v>
      </c>
      <c r="EW42">
        <f t="shared" si="5"/>
        <v>5.2582034355620637E-2</v>
      </c>
      <c r="EX42">
        <f t="shared" si="5"/>
        <v>0.16650356215232567</v>
      </c>
      <c r="EY42">
        <f t="shared" si="5"/>
        <v>0.17607268493492589</v>
      </c>
      <c r="EZ42">
        <f t="shared" si="5"/>
        <v>0.19296215825219368</v>
      </c>
      <c r="FA42">
        <f t="shared" si="5"/>
        <v>0.1554080326945442</v>
      </c>
      <c r="FB42">
        <f t="shared" si="5"/>
        <v>8.6200730567404807E-2</v>
      </c>
      <c r="FC42">
        <f t="shared" si="5"/>
        <v>0.14171805112406391</v>
      </c>
      <c r="FD42">
        <f t="shared" si="5"/>
        <v>0.23452564390182015</v>
      </c>
      <c r="FE42">
        <f t="shared" si="5"/>
        <v>9.9532839247815988E-2</v>
      </c>
      <c r="FF42">
        <f t="shared" si="5"/>
        <v>0.17099480541986903</v>
      </c>
      <c r="FG42">
        <f t="shared" si="5"/>
        <v>5.8472296696354821E-2</v>
      </c>
      <c r="FH42">
        <f t="shared" si="5"/>
        <v>0.13103467444277911</v>
      </c>
      <c r="FI42">
        <f t="shared" si="5"/>
        <v>0.15180629545562138</v>
      </c>
      <c r="FJ42">
        <f t="shared" si="5"/>
        <v>0.15654208815381079</v>
      </c>
      <c r="FK42">
        <f t="shared" si="5"/>
        <v>6.4833662315016041E-2</v>
      </c>
      <c r="FL42">
        <f t="shared" si="5"/>
        <v>-4.7580597657490724E-2</v>
      </c>
      <c r="FM42">
        <f t="shared" si="5"/>
        <v>6.6249983134448909E-2</v>
      </c>
      <c r="FN42">
        <f t="shared" si="5"/>
        <v>-7.2035638049747511E-2</v>
      </c>
      <c r="FO42">
        <f t="shared" si="5"/>
        <v>-3.7165232221231075E-3</v>
      </c>
      <c r="FP42">
        <f t="shared" si="5"/>
        <v>5.4264918817980651E-2</v>
      </c>
      <c r="FQ42">
        <f t="shared" si="5"/>
        <v>0.14813036518077602</v>
      </c>
      <c r="FR42">
        <f t="shared" si="5"/>
        <v>8.0743608625349628E-2</v>
      </c>
      <c r="FS42">
        <f t="shared" si="5"/>
        <v>0.1090919257235048</v>
      </c>
      <c r="FT42">
        <f t="shared" si="5"/>
        <v>2.3501262781038579E-2</v>
      </c>
      <c r="FU42">
        <f t="shared" si="5"/>
        <v>9.141339125993192E-2</v>
      </c>
      <c r="FV42">
        <f t="shared" si="5"/>
        <v>2.5623237307191748E-2</v>
      </c>
      <c r="FW42">
        <f t="shared" si="5"/>
        <v>0.13981561164642067</v>
      </c>
      <c r="FX42">
        <f t="shared" si="5"/>
        <v>9.6198488589975442E-2</v>
      </c>
      <c r="FY42">
        <f t="shared" si="5"/>
        <v>-0.10981456631489657</v>
      </c>
      <c r="FZ42">
        <f t="shared" si="5"/>
        <v>0.10114670285993689</v>
      </c>
      <c r="GA42">
        <f t="shared" si="5"/>
        <v>5.2274296652206405E-2</v>
      </c>
      <c r="GB42">
        <f t="shared" si="5"/>
        <v>7.469257932005334E-2</v>
      </c>
      <c r="GC42">
        <f t="shared" si="5"/>
        <v>-0.12209640391078637</v>
      </c>
      <c r="GD42">
        <f t="shared" si="5"/>
        <v>-1.0716241910505346E-2</v>
      </c>
      <c r="GE42">
        <f t="shared" si="5"/>
        <v>-5.4247524032989693E-2</v>
      </c>
      <c r="GF42">
        <f t="shared" si="5"/>
        <v>-2.1656997046932535E-2</v>
      </c>
      <c r="GG42">
        <f t="shared" si="5"/>
        <v>3.0141499351138693E-2</v>
      </c>
      <c r="GH42">
        <f t="shared" si="5"/>
        <v>-1.8132278602290098E-2</v>
      </c>
      <c r="GI42">
        <f t="shared" si="5"/>
        <v>9.6525150816530528E-4</v>
      </c>
      <c r="GJ42">
        <f t="shared" si="5"/>
        <v>-6.815629924538108E-2</v>
      </c>
      <c r="GK42">
        <f t="shared" si="5"/>
        <v>-0.13776371779228933</v>
      </c>
    </row>
    <row r="43" spans="1:193" x14ac:dyDescent="0.25">
      <c r="A43" s="220" t="s">
        <v>263</v>
      </c>
      <c r="B43" s="220"/>
      <c r="C43">
        <f>AVERAGE(C2:C11)</f>
        <v>0.10100126978301412</v>
      </c>
      <c r="D43">
        <f t="shared" ref="D43:BO43" si="6">AVERAGE(D2:D11)</f>
        <v>9.9429828024510586E-2</v>
      </c>
      <c r="E43">
        <f t="shared" si="6"/>
        <v>0.14847860250029526</v>
      </c>
      <c r="F43">
        <f t="shared" si="6"/>
        <v>0.11363488959356904</v>
      </c>
      <c r="G43">
        <f t="shared" si="6"/>
        <v>-1.0951597088716347E-2</v>
      </c>
      <c r="H43">
        <f t="shared" si="6"/>
        <v>0.18975346526745457</v>
      </c>
      <c r="I43">
        <f t="shared" si="6"/>
        <v>7.397392134840089E-2</v>
      </c>
      <c r="J43">
        <f t="shared" si="6"/>
        <v>0.17143688382159383</v>
      </c>
      <c r="K43">
        <f t="shared" si="6"/>
        <v>0.10282149526542525</v>
      </c>
      <c r="L43">
        <f t="shared" si="6"/>
        <v>7.2550441871118435E-2</v>
      </c>
      <c r="M43">
        <f t="shared" si="6"/>
        <v>3.8376886110969261E-2</v>
      </c>
      <c r="N43">
        <f t="shared" si="6"/>
        <v>6.5516045307699972E-2</v>
      </c>
      <c r="O43">
        <f t="shared" si="6"/>
        <v>7.214950128552991E-2</v>
      </c>
      <c r="P43">
        <f t="shared" si="6"/>
        <v>0.15513964977715394</v>
      </c>
      <c r="Q43">
        <f t="shared" si="6"/>
        <v>0.12594004219524005</v>
      </c>
      <c r="R43">
        <f t="shared" si="6"/>
        <v>0.28938440601233439</v>
      </c>
      <c r="S43">
        <f t="shared" si="6"/>
        <v>0.19724700063672146</v>
      </c>
      <c r="T43">
        <f t="shared" si="6"/>
        <v>0.18740219661036522</v>
      </c>
      <c r="U43">
        <f t="shared" si="6"/>
        <v>0.13009564118083966</v>
      </c>
      <c r="V43">
        <f t="shared" si="6"/>
        <v>0.24395422251020413</v>
      </c>
      <c r="W43">
        <f t="shared" si="6"/>
        <v>0.13756070981993379</v>
      </c>
      <c r="X43">
        <f t="shared" si="6"/>
        <v>0.18719580611058606</v>
      </c>
      <c r="Y43">
        <f t="shared" si="6"/>
        <v>7.9874903421590732E-2</v>
      </c>
      <c r="Z43">
        <f t="shared" si="6"/>
        <v>6.7842232329591745E-2</v>
      </c>
      <c r="AA43">
        <f t="shared" si="6"/>
        <v>8.7615737289630832E-2</v>
      </c>
      <c r="AB43">
        <f t="shared" si="6"/>
        <v>0.13909118169201418</v>
      </c>
      <c r="AC43">
        <f t="shared" si="6"/>
        <v>9.0392759546810517E-2</v>
      </c>
      <c r="AD43">
        <f t="shared" si="6"/>
        <v>0.12538608236436072</v>
      </c>
      <c r="AE43">
        <f t="shared" si="6"/>
        <v>6.0401749812900453E-2</v>
      </c>
      <c r="AF43">
        <f t="shared" si="6"/>
        <v>9.1537136513004866E-2</v>
      </c>
      <c r="AG43">
        <f t="shared" si="6"/>
        <v>7.4260476549988741E-2</v>
      </c>
      <c r="AH43">
        <f t="shared" si="6"/>
        <v>9.2366572822310825E-2</v>
      </c>
      <c r="AI43">
        <f t="shared" si="6"/>
        <v>0.12182508505028877</v>
      </c>
      <c r="AJ43">
        <f t="shared" si="6"/>
        <v>7.2773027228041354E-2</v>
      </c>
      <c r="AK43">
        <f t="shared" si="6"/>
        <v>6.8225613463099341E-2</v>
      </c>
      <c r="AL43">
        <f t="shared" si="6"/>
        <v>0.10011618852388468</v>
      </c>
      <c r="AM43">
        <f t="shared" si="6"/>
        <v>8.5386184320045591E-2</v>
      </c>
      <c r="AN43">
        <f t="shared" si="6"/>
        <v>4.9139855414007699E-2</v>
      </c>
      <c r="AO43">
        <f t="shared" si="6"/>
        <v>5.9409470326766814E-2</v>
      </c>
      <c r="AP43">
        <f t="shared" si="6"/>
        <v>4.1154560456019548E-2</v>
      </c>
      <c r="AQ43">
        <f t="shared" si="6"/>
        <v>7.4126037166681619E-2</v>
      </c>
      <c r="AR43">
        <f t="shared" si="6"/>
        <v>8.7416561548283325E-2</v>
      </c>
      <c r="AS43">
        <f t="shared" si="6"/>
        <v>0.1018043759514988</v>
      </c>
      <c r="AT43">
        <f t="shared" si="6"/>
        <v>9.8860677007535008E-2</v>
      </c>
      <c r="AU43">
        <f t="shared" si="6"/>
        <v>8.1939074344671833E-2</v>
      </c>
      <c r="AV43">
        <f t="shared" si="6"/>
        <v>0.10096317579938388</v>
      </c>
      <c r="AW43">
        <f t="shared" si="6"/>
        <v>9.8310372596640744E-2</v>
      </c>
      <c r="AX43">
        <f t="shared" si="6"/>
        <v>4.1561980498709912E-2</v>
      </c>
      <c r="AY43">
        <f t="shared" si="6"/>
        <v>-7.6723715022739948E-3</v>
      </c>
      <c r="AZ43">
        <f t="shared" si="6"/>
        <v>-1.0962964646761131E-2</v>
      </c>
      <c r="BA43">
        <f t="shared" si="6"/>
        <v>-7.3671914270077301E-4</v>
      </c>
      <c r="BB43">
        <f t="shared" si="6"/>
        <v>5.9668083325357134E-2</v>
      </c>
      <c r="BC43">
        <f t="shared" si="6"/>
        <v>-7.3654830279530764E-2</v>
      </c>
      <c r="BD43">
        <f t="shared" si="6"/>
        <v>-5.7174713562212862E-2</v>
      </c>
      <c r="BE43">
        <f t="shared" si="6"/>
        <v>-6.9243102633137514E-3</v>
      </c>
      <c r="BF43">
        <f t="shared" si="6"/>
        <v>7.1573676499168517E-3</v>
      </c>
      <c r="BG43">
        <f t="shared" si="6"/>
        <v>-8.9645713024500695E-3</v>
      </c>
      <c r="BH43">
        <f t="shared" si="6"/>
        <v>2.9748509764588545E-2</v>
      </c>
      <c r="BI43">
        <f t="shared" si="6"/>
        <v>5.2060128049672125E-2</v>
      </c>
      <c r="BJ43">
        <f t="shared" si="6"/>
        <v>5.2948781913093226E-2</v>
      </c>
      <c r="BK43">
        <f t="shared" si="6"/>
        <v>-4.9583788156561046E-2</v>
      </c>
      <c r="BL43">
        <f t="shared" si="6"/>
        <v>2.0815253297854761E-2</v>
      </c>
      <c r="BM43">
        <f t="shared" si="6"/>
        <v>-1.7293265811575875E-2</v>
      </c>
      <c r="BN43">
        <f t="shared" si="6"/>
        <v>3.5699843181333027E-2</v>
      </c>
      <c r="BO43">
        <f t="shared" si="6"/>
        <v>-6.9708731335273069E-2</v>
      </c>
      <c r="BP43">
        <f t="shared" ref="BP43:EA43" si="7">AVERAGE(BP2:BP11)</f>
        <v>-0.12241723450717248</v>
      </c>
      <c r="BQ43">
        <f t="shared" si="7"/>
        <v>2.4573919273744461E-2</v>
      </c>
      <c r="BR43">
        <f t="shared" si="7"/>
        <v>5.3605632872462519E-2</v>
      </c>
      <c r="BS43">
        <f t="shared" si="7"/>
        <v>2.8632694506619233E-2</v>
      </c>
      <c r="BT43">
        <f t="shared" si="7"/>
        <v>2.8947394530438368E-2</v>
      </c>
      <c r="BU43">
        <f t="shared" si="7"/>
        <v>-2.0517034224677398E-2</v>
      </c>
      <c r="BV43">
        <f t="shared" si="7"/>
        <v>5.7209351260421239E-2</v>
      </c>
      <c r="BW43">
        <f t="shared" si="7"/>
        <v>-5.0980428786168576E-2</v>
      </c>
      <c r="BX43">
        <f t="shared" si="7"/>
        <v>-3.658803543803147E-2</v>
      </c>
      <c r="BY43">
        <f t="shared" si="7"/>
        <v>-1.659510165697772E-2</v>
      </c>
      <c r="BZ43">
        <f t="shared" si="7"/>
        <v>-2.8938525324014742E-2</v>
      </c>
      <c r="CA43">
        <f t="shared" si="7"/>
        <v>-2.817081601735132E-2</v>
      </c>
      <c r="CB43">
        <f t="shared" si="7"/>
        <v>5.2998664202952538E-3</v>
      </c>
      <c r="CC43">
        <f t="shared" si="7"/>
        <v>-1.6311742144135142E-2</v>
      </c>
      <c r="CD43">
        <f t="shared" si="7"/>
        <v>-2.620258215189028E-2</v>
      </c>
      <c r="CE43">
        <f t="shared" si="7"/>
        <v>6.2362952256715821E-2</v>
      </c>
      <c r="CF43">
        <f t="shared" si="7"/>
        <v>-5.3896716112958563E-2</v>
      </c>
      <c r="CG43">
        <f t="shared" si="7"/>
        <v>9.4469573624292397E-2</v>
      </c>
      <c r="CH43">
        <f t="shared" si="7"/>
        <v>4.0630308261470467E-2</v>
      </c>
      <c r="CI43">
        <f t="shared" si="7"/>
        <v>-1.138244838307639E-2</v>
      </c>
      <c r="CJ43">
        <f t="shared" si="7"/>
        <v>3.0070563636889657E-2</v>
      </c>
      <c r="CK43">
        <f t="shared" si="7"/>
        <v>7.120154526953125E-2</v>
      </c>
      <c r="CL43">
        <f t="shared" si="7"/>
        <v>-4.1064498166234656E-2</v>
      </c>
      <c r="CM43">
        <f t="shared" si="7"/>
        <v>-4.0549591457821763E-2</v>
      </c>
      <c r="CN43">
        <f t="shared" si="7"/>
        <v>3.7275496087640997E-2</v>
      </c>
      <c r="CO43">
        <f t="shared" si="7"/>
        <v>4.5944136507028013E-2</v>
      </c>
      <c r="CP43">
        <f t="shared" si="7"/>
        <v>-5.0151018470735775E-2</v>
      </c>
      <c r="CQ43">
        <f t="shared" si="7"/>
        <v>-2.1194269772958699E-2</v>
      </c>
      <c r="CR43">
        <f t="shared" si="7"/>
        <v>-2.3364016823054459E-2</v>
      </c>
      <c r="CS43">
        <f t="shared" si="7"/>
        <v>2.5196738176356433E-2</v>
      </c>
      <c r="CT43">
        <f t="shared" si="7"/>
        <v>-8.0294798049365696E-3</v>
      </c>
      <c r="CU43">
        <f t="shared" si="7"/>
        <v>1.9016350778631529E-2</v>
      </c>
      <c r="CV43">
        <f t="shared" si="7"/>
        <v>3.0550565761322618E-2</v>
      </c>
      <c r="CW43">
        <f t="shared" si="7"/>
        <v>-9.8203979269576996E-3</v>
      </c>
      <c r="CX43">
        <f t="shared" si="7"/>
        <v>-6.4375660174416215E-3</v>
      </c>
      <c r="CY43">
        <f t="shared" si="7"/>
        <v>5.4468424229290272E-3</v>
      </c>
      <c r="CZ43">
        <f t="shared" si="7"/>
        <v>-2.1654437648598009E-3</v>
      </c>
      <c r="DA43">
        <f t="shared" si="7"/>
        <v>3.931017627635465E-2</v>
      </c>
      <c r="DB43">
        <f t="shared" si="7"/>
        <v>-4.8174707121476666E-2</v>
      </c>
      <c r="DC43">
        <f t="shared" si="7"/>
        <v>-2.9836551787690169E-2</v>
      </c>
      <c r="DD43">
        <f t="shared" si="7"/>
        <v>-4.2963511594157068E-4</v>
      </c>
      <c r="DE43">
        <f t="shared" si="7"/>
        <v>2.3117370406945531E-2</v>
      </c>
      <c r="DF43">
        <f t="shared" si="7"/>
        <v>-3.973117618923637E-2</v>
      </c>
      <c r="DG43">
        <f t="shared" si="7"/>
        <v>-1.5409368963458358E-2</v>
      </c>
      <c r="DH43">
        <f t="shared" si="7"/>
        <v>-2.1036882462924837E-2</v>
      </c>
      <c r="DI43">
        <f t="shared" si="7"/>
        <v>5.0883514800900323E-2</v>
      </c>
      <c r="DJ43">
        <f t="shared" si="7"/>
        <v>-2.120805758487454E-2</v>
      </c>
      <c r="DK43">
        <f t="shared" si="7"/>
        <v>2.7774051450561339E-2</v>
      </c>
      <c r="DL43">
        <f t="shared" si="7"/>
        <v>-9.30706125984119E-2</v>
      </c>
      <c r="DM43">
        <f t="shared" si="7"/>
        <v>-8.6927679460080176E-2</v>
      </c>
      <c r="DN43">
        <f t="shared" si="7"/>
        <v>-2.7199490093740297E-2</v>
      </c>
      <c r="DO43">
        <f t="shared" si="7"/>
        <v>-3.9635593968994728E-2</v>
      </c>
      <c r="DP43">
        <f t="shared" si="7"/>
        <v>-4.5891440464903517E-2</v>
      </c>
      <c r="DQ43">
        <f t="shared" si="7"/>
        <v>-5.2171389475564212E-2</v>
      </c>
      <c r="DR43">
        <f t="shared" si="7"/>
        <v>6.8794486137365232E-2</v>
      </c>
      <c r="DS43">
        <f t="shared" si="7"/>
        <v>8.5841039587718063E-2</v>
      </c>
      <c r="DT43">
        <f t="shared" si="7"/>
        <v>8.8557685247412296E-2</v>
      </c>
      <c r="DU43">
        <f t="shared" si="7"/>
        <v>3.1906420932722043E-2</v>
      </c>
      <c r="DV43">
        <f t="shared" si="7"/>
        <v>8.579644780606363E-2</v>
      </c>
      <c r="DW43">
        <f t="shared" si="7"/>
        <v>0.24542500156699748</v>
      </c>
      <c r="DX43">
        <f t="shared" si="7"/>
        <v>1.5706742361272709E-2</v>
      </c>
      <c r="DY43">
        <f t="shared" si="7"/>
        <v>9.834221693084861E-3</v>
      </c>
      <c r="DZ43">
        <f t="shared" si="7"/>
        <v>1.8985252749277162E-2</v>
      </c>
      <c r="EA43">
        <f t="shared" si="7"/>
        <v>-2.9748953035782434E-2</v>
      </c>
      <c r="EB43">
        <f t="shared" ref="EB43:GK43" si="8">AVERAGE(EB2:EB11)</f>
        <v>-5.9010421195865935E-2</v>
      </c>
      <c r="EC43">
        <f t="shared" si="8"/>
        <v>-6.8455489304886624E-2</v>
      </c>
      <c r="ED43">
        <f t="shared" si="8"/>
        <v>4.793643640656637E-2</v>
      </c>
      <c r="EE43">
        <f t="shared" si="8"/>
        <v>-7.5348141100640698E-3</v>
      </c>
      <c r="EF43">
        <f t="shared" si="8"/>
        <v>3.0141640614680192E-3</v>
      </c>
      <c r="EG43">
        <f t="shared" si="8"/>
        <v>-4.212255799258139E-2</v>
      </c>
      <c r="EH43">
        <f t="shared" si="8"/>
        <v>5.8647108399875657E-2</v>
      </c>
      <c r="EI43">
        <f t="shared" si="8"/>
        <v>0.10167394644299614</v>
      </c>
      <c r="EJ43">
        <f t="shared" si="8"/>
        <v>0.2415232949618622</v>
      </c>
      <c r="EK43">
        <f t="shared" si="8"/>
        <v>0.16127567785758037</v>
      </c>
      <c r="EL43">
        <f t="shared" si="8"/>
        <v>7.7183220401012415E-2</v>
      </c>
      <c r="EM43">
        <f t="shared" si="8"/>
        <v>0.23025852599028312</v>
      </c>
      <c r="EN43">
        <f t="shared" si="8"/>
        <v>-5.6294305042140988E-3</v>
      </c>
      <c r="EO43">
        <f t="shared" si="8"/>
        <v>7.0321722864382943E-2</v>
      </c>
      <c r="EP43">
        <f t="shared" si="8"/>
        <v>5.8147945496471766E-2</v>
      </c>
      <c r="EQ43">
        <f t="shared" si="8"/>
        <v>-6.8166649961275888E-2</v>
      </c>
      <c r="ER43">
        <f t="shared" si="8"/>
        <v>-7.3445898092165771E-2</v>
      </c>
      <c r="ES43">
        <f t="shared" si="8"/>
        <v>-6.0449274220365265E-2</v>
      </c>
      <c r="ET43">
        <f t="shared" si="8"/>
        <v>-1.706307419305721E-2</v>
      </c>
      <c r="EU43">
        <f t="shared" si="8"/>
        <v>-2.5403005645762707E-2</v>
      </c>
      <c r="EV43">
        <f t="shared" si="8"/>
        <v>2.2768166320658145E-2</v>
      </c>
      <c r="EW43">
        <f t="shared" si="8"/>
        <v>-1.9564250721490206E-3</v>
      </c>
      <c r="EX43">
        <f t="shared" si="8"/>
        <v>-2.1885437822761589E-2</v>
      </c>
      <c r="EY43">
        <f t="shared" si="8"/>
        <v>-4.4979846799145941E-2</v>
      </c>
      <c r="EZ43">
        <f t="shared" si="8"/>
        <v>0.11456226317352466</v>
      </c>
      <c r="FA43">
        <f t="shared" si="8"/>
        <v>-3.5767701963917271E-2</v>
      </c>
      <c r="FB43">
        <f t="shared" si="8"/>
        <v>-1.6169659482014247E-2</v>
      </c>
      <c r="FC43">
        <f t="shared" si="8"/>
        <v>5.533292381363715E-2</v>
      </c>
      <c r="FD43">
        <f t="shared" si="8"/>
        <v>1.2940922422872547E-2</v>
      </c>
      <c r="FE43">
        <f t="shared" si="8"/>
        <v>0.11655531344169034</v>
      </c>
      <c r="FF43">
        <f t="shared" si="8"/>
        <v>7.5559943839519795E-3</v>
      </c>
      <c r="FG43">
        <f t="shared" si="8"/>
        <v>-6.8113064864011072E-2</v>
      </c>
      <c r="FH43">
        <f t="shared" si="8"/>
        <v>3.2533080166982274E-2</v>
      </c>
      <c r="FI43">
        <f t="shared" si="8"/>
        <v>-6.2033734958430817E-3</v>
      </c>
      <c r="FJ43">
        <f t="shared" si="8"/>
        <v>-1.268099241977803E-2</v>
      </c>
      <c r="FK43">
        <f t="shared" si="8"/>
        <v>-4.6393410624528023E-2</v>
      </c>
      <c r="FL43">
        <f t="shared" si="8"/>
        <v>-3.7279258310113507E-2</v>
      </c>
      <c r="FM43">
        <f t="shared" si="8"/>
        <v>-2.8823430595828248E-2</v>
      </c>
      <c r="FN43">
        <f t="shared" si="8"/>
        <v>-3.9140088251337038E-2</v>
      </c>
      <c r="FO43">
        <f t="shared" si="8"/>
        <v>-1.1343626526162182E-2</v>
      </c>
      <c r="FP43">
        <f t="shared" si="8"/>
        <v>-1.9365326700460359E-2</v>
      </c>
      <c r="FQ43">
        <f t="shared" si="8"/>
        <v>-1.8184865683327618E-2</v>
      </c>
      <c r="FR43">
        <f t="shared" si="8"/>
        <v>-2.2956777016232471E-2</v>
      </c>
      <c r="FS43">
        <f t="shared" si="8"/>
        <v>5.2218218901585898E-3</v>
      </c>
      <c r="FT43">
        <f t="shared" si="8"/>
        <v>2.6939582148540141E-3</v>
      </c>
      <c r="FU43">
        <f t="shared" si="8"/>
        <v>5.7163608078394025E-2</v>
      </c>
      <c r="FV43">
        <f t="shared" si="8"/>
        <v>-0.21293886405714044</v>
      </c>
      <c r="FW43">
        <f t="shared" si="8"/>
        <v>1.6456057698976401E-3</v>
      </c>
      <c r="FX43">
        <f t="shared" si="8"/>
        <v>1.915878404490752E-2</v>
      </c>
      <c r="FY43">
        <f t="shared" si="8"/>
        <v>3.3579649550250966E-2</v>
      </c>
      <c r="FZ43">
        <f t="shared" si="8"/>
        <v>-2.3702374807454539E-2</v>
      </c>
      <c r="GA43">
        <f t="shared" si="8"/>
        <v>4.2146958071408364E-2</v>
      </c>
      <c r="GB43">
        <f t="shared" si="8"/>
        <v>4.0211957433962116E-2</v>
      </c>
      <c r="GC43">
        <f t="shared" si="8"/>
        <v>-1.4726703347365793E-2</v>
      </c>
      <c r="GD43">
        <f t="shared" si="8"/>
        <v>6.2669509311622244E-4</v>
      </c>
      <c r="GE43">
        <f t="shared" si="8"/>
        <v>2.0143485025493083E-2</v>
      </c>
      <c r="GF43">
        <f t="shared" si="8"/>
        <v>-2.2657321939539218E-2</v>
      </c>
      <c r="GG43">
        <f t="shared" si="8"/>
        <v>1.7384048354403207E-2</v>
      </c>
      <c r="GH43">
        <f t="shared" si="8"/>
        <v>3.0755339153486987E-2</v>
      </c>
      <c r="GI43">
        <f t="shared" si="8"/>
        <v>3.0966632284586265E-2</v>
      </c>
      <c r="GJ43">
        <f t="shared" si="8"/>
        <v>7.1347097622390969E-3</v>
      </c>
      <c r="GK43">
        <f t="shared" si="8"/>
        <v>-3.4239448660622229E-2</v>
      </c>
    </row>
    <row r="44" spans="1:193" x14ac:dyDescent="0.25">
      <c r="A44" s="220" t="s">
        <v>264</v>
      </c>
      <c r="B44" s="220"/>
      <c r="C44">
        <f>AVERAGE(C24:C39)</f>
        <v>1.3762725841211276E-2</v>
      </c>
      <c r="D44">
        <f t="shared" ref="D44:BO44" si="9">AVERAGE(D24:D39)</f>
        <v>-7.6322473327677387E-3</v>
      </c>
      <c r="E44">
        <f t="shared" si="9"/>
        <v>3.7136946966193587E-2</v>
      </c>
      <c r="F44">
        <f t="shared" si="9"/>
        <v>2.813017840092441E-3</v>
      </c>
      <c r="G44">
        <f t="shared" si="9"/>
        <v>-1.9322761372862526E-2</v>
      </c>
      <c r="H44">
        <f t="shared" si="9"/>
        <v>1.115499643554518E-2</v>
      </c>
      <c r="I44">
        <f t="shared" si="9"/>
        <v>9.66883500670534E-3</v>
      </c>
      <c r="J44">
        <f t="shared" si="9"/>
        <v>7.9523866722793296E-2</v>
      </c>
      <c r="K44">
        <f t="shared" si="9"/>
        <v>1.6775090325092886E-2</v>
      </c>
      <c r="L44">
        <f t="shared" si="9"/>
        <v>-1.7818808117178803E-2</v>
      </c>
      <c r="M44">
        <f t="shared" si="9"/>
        <v>-2.1660587940438118E-3</v>
      </c>
      <c r="N44">
        <f t="shared" si="9"/>
        <v>-1.9774812658041593E-2</v>
      </c>
      <c r="O44">
        <f t="shared" si="9"/>
        <v>-1.4667521328874434E-2</v>
      </c>
      <c r="P44">
        <f t="shared" si="9"/>
        <v>-9.1924177387889933E-4</v>
      </c>
      <c r="Q44">
        <f t="shared" si="9"/>
        <v>-1.5979124450345199E-2</v>
      </c>
      <c r="R44">
        <f t="shared" si="9"/>
        <v>1.1266835291657687E-2</v>
      </c>
      <c r="S44">
        <f t="shared" si="9"/>
        <v>2.2389088189654058E-2</v>
      </c>
      <c r="T44">
        <f t="shared" si="9"/>
        <v>8.6658467356369E-3</v>
      </c>
      <c r="U44">
        <f t="shared" si="9"/>
        <v>8.4002016758635834E-4</v>
      </c>
      <c r="V44">
        <f t="shared" si="9"/>
        <v>-7.1451631557324681E-3</v>
      </c>
      <c r="W44">
        <f t="shared" si="9"/>
        <v>-4.4268840897812561E-3</v>
      </c>
      <c r="X44">
        <f t="shared" si="9"/>
        <v>-1.3499048190501531E-3</v>
      </c>
      <c r="Y44">
        <f t="shared" si="9"/>
        <v>1.4555148106366572E-2</v>
      </c>
      <c r="Z44">
        <f t="shared" si="9"/>
        <v>2.1301323952702799E-3</v>
      </c>
      <c r="AA44">
        <f t="shared" si="9"/>
        <v>-1.1803870328184814E-2</v>
      </c>
      <c r="AB44">
        <f t="shared" si="9"/>
        <v>-1.0149328374579413E-2</v>
      </c>
      <c r="AC44">
        <f t="shared" si="9"/>
        <v>-4.0585663159795234E-3</v>
      </c>
      <c r="AD44">
        <f t="shared" si="9"/>
        <v>1.946334471662492E-2</v>
      </c>
      <c r="AE44">
        <f t="shared" si="9"/>
        <v>-6.8970801483573228E-3</v>
      </c>
      <c r="AF44">
        <f t="shared" si="9"/>
        <v>-7.735705312422703E-3</v>
      </c>
      <c r="AG44">
        <f t="shared" si="9"/>
        <v>-1.7238632070747054E-2</v>
      </c>
      <c r="AH44">
        <f t="shared" si="9"/>
        <v>2.2788485322030112E-2</v>
      </c>
      <c r="AI44">
        <f t="shared" si="9"/>
        <v>2.9931861328103545E-2</v>
      </c>
      <c r="AJ44">
        <f t="shared" si="9"/>
        <v>2.145593501828718E-2</v>
      </c>
      <c r="AK44">
        <f t="shared" si="9"/>
        <v>-1.5926458562824763E-2</v>
      </c>
      <c r="AL44">
        <f t="shared" si="9"/>
        <v>-1.9787890601275244E-2</v>
      </c>
      <c r="AM44">
        <f t="shared" si="9"/>
        <v>-8.201546627382636E-3</v>
      </c>
      <c r="AN44">
        <f t="shared" si="9"/>
        <v>-2.0021851934515514E-2</v>
      </c>
      <c r="AO44">
        <f t="shared" si="9"/>
        <v>-3.5459131771285402E-2</v>
      </c>
      <c r="AP44">
        <f t="shared" si="9"/>
        <v>-9.5030327095147558E-3</v>
      </c>
      <c r="AQ44">
        <f t="shared" si="9"/>
        <v>-1.5396538228237068E-2</v>
      </c>
      <c r="AR44">
        <f t="shared" si="9"/>
        <v>-1.7755565686186383E-2</v>
      </c>
      <c r="AS44">
        <f t="shared" si="9"/>
        <v>-1.5917850977358469E-2</v>
      </c>
      <c r="AT44">
        <f t="shared" si="9"/>
        <v>-5.183761596088212E-3</v>
      </c>
      <c r="AU44">
        <f t="shared" si="9"/>
        <v>-1.5607277164332949E-2</v>
      </c>
      <c r="AV44">
        <f t="shared" si="9"/>
        <v>-2.1916434970012675E-3</v>
      </c>
      <c r="AW44">
        <f t="shared" si="9"/>
        <v>-1.1294285675804672E-2</v>
      </c>
      <c r="AX44">
        <f t="shared" si="9"/>
        <v>1.1430035272342006E-2</v>
      </c>
      <c r="AY44">
        <f t="shared" si="9"/>
        <v>2.0587799600848469E-2</v>
      </c>
      <c r="AZ44">
        <f t="shared" si="9"/>
        <v>2.9611821343463969E-2</v>
      </c>
      <c r="BA44">
        <f t="shared" si="9"/>
        <v>4.4383602346345342E-2</v>
      </c>
      <c r="BB44">
        <f t="shared" si="9"/>
        <v>4.6463215948077938E-2</v>
      </c>
      <c r="BC44">
        <f t="shared" si="9"/>
        <v>-9.3271324814824426E-3</v>
      </c>
      <c r="BD44">
        <f t="shared" si="9"/>
        <v>-1.8217203682739783E-2</v>
      </c>
      <c r="BE44">
        <f t="shared" si="9"/>
        <v>7.0568795098420276E-2</v>
      </c>
      <c r="BF44">
        <f t="shared" si="9"/>
        <v>1.508590210541327E-2</v>
      </c>
      <c r="BG44">
        <f t="shared" si="9"/>
        <v>-9.5613352064812685E-3</v>
      </c>
      <c r="BH44">
        <f t="shared" si="9"/>
        <v>1.0091832677926155E-2</v>
      </c>
      <c r="BI44">
        <f t="shared" si="9"/>
        <v>2.2649068628545075E-2</v>
      </c>
      <c r="BJ44">
        <f t="shared" si="9"/>
        <v>-1.4270806607195007E-2</v>
      </c>
      <c r="BK44">
        <f t="shared" si="9"/>
        <v>0.10130905836180482</v>
      </c>
      <c r="BL44">
        <f t="shared" si="9"/>
        <v>2.2983404782450475E-2</v>
      </c>
      <c r="BM44">
        <f t="shared" si="9"/>
        <v>2.0413918350327978E-2</v>
      </c>
      <c r="BN44">
        <f t="shared" si="9"/>
        <v>3.467133677007684E-2</v>
      </c>
      <c r="BO44">
        <f t="shared" si="9"/>
        <v>-7.3244795713846983E-4</v>
      </c>
      <c r="BP44">
        <f t="shared" ref="BP44:EA44" si="10">AVERAGE(BP24:BP39)</f>
        <v>-4.6308296509496583E-3</v>
      </c>
      <c r="BQ44">
        <f t="shared" si="10"/>
        <v>3.957282739894246E-2</v>
      </c>
      <c r="BR44">
        <f t="shared" si="10"/>
        <v>3.4978052336164328E-2</v>
      </c>
      <c r="BS44">
        <f t="shared" si="10"/>
        <v>1.0659925855308925E-2</v>
      </c>
      <c r="BT44">
        <f t="shared" si="10"/>
        <v>3.5460270952769678E-2</v>
      </c>
      <c r="BU44">
        <f t="shared" si="10"/>
        <v>2.0039878033061127E-2</v>
      </c>
      <c r="BV44">
        <f t="shared" si="10"/>
        <v>2.4640478223876376E-4</v>
      </c>
      <c r="BW44">
        <f t="shared" si="10"/>
        <v>3.3477159625189094E-2</v>
      </c>
      <c r="BX44">
        <f t="shared" si="10"/>
        <v>3.1803290959432642E-2</v>
      </c>
      <c r="BY44">
        <f t="shared" si="10"/>
        <v>1.5093578532626387E-2</v>
      </c>
      <c r="BZ44">
        <f t="shared" si="10"/>
        <v>-8.4722390676564372E-3</v>
      </c>
      <c r="CA44">
        <f t="shared" si="10"/>
        <v>-8.1771210762508154E-3</v>
      </c>
      <c r="CB44">
        <f t="shared" si="10"/>
        <v>2.4025611155848139E-2</v>
      </c>
      <c r="CC44">
        <f t="shared" si="10"/>
        <v>4.4214625141999322E-2</v>
      </c>
      <c r="CD44">
        <f t="shared" si="10"/>
        <v>1.1956163258906763E-2</v>
      </c>
      <c r="CE44">
        <f t="shared" si="10"/>
        <v>-1.3360539681218196E-2</v>
      </c>
      <c r="CF44">
        <f t="shared" si="10"/>
        <v>4.0268138517375127E-3</v>
      </c>
      <c r="CG44">
        <f t="shared" si="10"/>
        <v>2.5789941325598136E-2</v>
      </c>
      <c r="CH44">
        <f t="shared" si="10"/>
        <v>3.8868790941218125E-2</v>
      </c>
      <c r="CI44">
        <f t="shared" si="10"/>
        <v>2.8042356993708138E-2</v>
      </c>
      <c r="CJ44">
        <f t="shared" si="10"/>
        <v>5.0417018592874591E-2</v>
      </c>
      <c r="CK44">
        <f t="shared" si="10"/>
        <v>1.5081374472708462E-2</v>
      </c>
      <c r="CL44">
        <f t="shared" si="10"/>
        <v>2.1587489460048039E-2</v>
      </c>
      <c r="CM44">
        <f t="shared" si="10"/>
        <v>-6.1206848119679733E-2</v>
      </c>
      <c r="CN44">
        <f t="shared" si="10"/>
        <v>4.2399053155412952E-2</v>
      </c>
      <c r="CO44">
        <f t="shared" si="10"/>
        <v>-2.7598040973902799E-2</v>
      </c>
      <c r="CP44">
        <f t="shared" si="10"/>
        <v>6.8145750606377897E-2</v>
      </c>
      <c r="CQ44">
        <f t="shared" si="10"/>
        <v>-6.1206848119679733E-2</v>
      </c>
      <c r="CR44">
        <f t="shared" si="10"/>
        <v>-2.8613119566690114E-2</v>
      </c>
      <c r="CS44">
        <f t="shared" si="10"/>
        <v>9.6599509123839994E-2</v>
      </c>
      <c r="CT44">
        <f t="shared" si="10"/>
        <v>0.11824751403411465</v>
      </c>
      <c r="CU44">
        <f t="shared" si="10"/>
        <v>3.7070947383028158E-2</v>
      </c>
      <c r="CV44">
        <f t="shared" si="10"/>
        <v>5.1272243584175814E-2</v>
      </c>
      <c r="CW44">
        <f t="shared" si="10"/>
        <v>4.4502911943490646E-2</v>
      </c>
      <c r="CX44">
        <f t="shared" si="10"/>
        <v>3.3618387819837371E-2</v>
      </c>
      <c r="CY44">
        <f t="shared" si="10"/>
        <v>4.6185642785581696E-2</v>
      </c>
      <c r="CZ44">
        <f t="shared" si="10"/>
        <v>4.5593533931453607E-2</v>
      </c>
      <c r="DA44">
        <f t="shared" si="10"/>
        <v>6.3542490171339089E-2</v>
      </c>
      <c r="DB44">
        <f t="shared" si="10"/>
        <v>-1.3859008324523281E-2</v>
      </c>
      <c r="DC44">
        <f t="shared" si="10"/>
        <v>1.17071834326152E-2</v>
      </c>
      <c r="DD44">
        <f t="shared" si="10"/>
        <v>-6.1206848119679733E-2</v>
      </c>
      <c r="DE44">
        <f t="shared" si="10"/>
        <v>1.6503578073225691E-2</v>
      </c>
      <c r="DF44">
        <f t="shared" si="10"/>
        <v>7.2202171448743704E-3</v>
      </c>
      <c r="DG44">
        <f t="shared" si="10"/>
        <v>3.5436631280496761E-2</v>
      </c>
      <c r="DH44">
        <f t="shared" si="10"/>
        <v>-6.1206848119679733E-2</v>
      </c>
      <c r="DI44">
        <f t="shared" si="10"/>
        <v>3.5148082972647446E-2</v>
      </c>
      <c r="DJ44">
        <f t="shared" si="10"/>
        <v>3.412008479416094E-2</v>
      </c>
      <c r="DK44">
        <f t="shared" si="10"/>
        <v>9.3375343657902433E-3</v>
      </c>
      <c r="DL44">
        <f t="shared" si="10"/>
        <v>-9.3091216507046569E-3</v>
      </c>
      <c r="DM44">
        <f t="shared" si="10"/>
        <v>4.1764741334623913E-2</v>
      </c>
      <c r="DN44">
        <f t="shared" si="10"/>
        <v>1.9855939826165748E-3</v>
      </c>
      <c r="DO44">
        <f t="shared" si="10"/>
        <v>-1.9069928651060601E-2</v>
      </c>
      <c r="DP44">
        <f t="shared" si="10"/>
        <v>-1.3004050110602742E-2</v>
      </c>
      <c r="DQ44">
        <f t="shared" si="10"/>
        <v>-6.168977119251606E-3</v>
      </c>
      <c r="DR44">
        <f t="shared" si="10"/>
        <v>3.1368053794647056E-2</v>
      </c>
      <c r="DS44">
        <f t="shared" si="10"/>
        <v>3.1979065901271149E-2</v>
      </c>
      <c r="DT44">
        <f t="shared" si="10"/>
        <v>3.7318903872154821E-2</v>
      </c>
      <c r="DU44">
        <f t="shared" si="10"/>
        <v>2.8408013812446346E-2</v>
      </c>
      <c r="DV44">
        <f t="shared" si="10"/>
        <v>6.9805857482193284E-2</v>
      </c>
      <c r="DW44">
        <f t="shared" si="10"/>
        <v>0.14151792546017544</v>
      </c>
      <c r="DX44">
        <f t="shared" si="10"/>
        <v>4.2610562025080144E-2</v>
      </c>
      <c r="DY44">
        <f t="shared" si="10"/>
        <v>9.1119622253173591E-2</v>
      </c>
      <c r="DZ44">
        <f t="shared" si="10"/>
        <v>3.727990598117592E-2</v>
      </c>
      <c r="EA44">
        <f t="shared" si="10"/>
        <v>5.5224476010967555E-3</v>
      </c>
      <c r="EB44">
        <f t="shared" ref="EB44:GK44" si="11">AVERAGE(EB24:EB39)</f>
        <v>-2.0528671189363329E-2</v>
      </c>
      <c r="EC44">
        <f t="shared" si="11"/>
        <v>1.6829470334104511E-2</v>
      </c>
      <c r="ED44">
        <f t="shared" si="11"/>
        <v>2.5664961091762587E-2</v>
      </c>
      <c r="EE44">
        <f t="shared" si="11"/>
        <v>1.7402136466398429E-2</v>
      </c>
      <c r="EF44">
        <f t="shared" si="11"/>
        <v>2.7414840163682052E-3</v>
      </c>
      <c r="EG44">
        <f t="shared" si="11"/>
        <v>2.7407731285903118E-2</v>
      </c>
      <c r="EH44">
        <f t="shared" si="11"/>
        <v>4.144448022774963E-2</v>
      </c>
      <c r="EI44">
        <f t="shared" si="11"/>
        <v>0.17179709450128827</v>
      </c>
      <c r="EJ44">
        <f t="shared" si="11"/>
        <v>0.26685977520285592</v>
      </c>
      <c r="EK44">
        <f t="shared" si="11"/>
        <v>0.22991103685508021</v>
      </c>
      <c r="EL44">
        <f t="shared" si="11"/>
        <v>0.2131415783563804</v>
      </c>
      <c r="EM44">
        <f t="shared" si="11"/>
        <v>0.12601350287472385</v>
      </c>
      <c r="EN44">
        <f t="shared" si="11"/>
        <v>-5.222612466638619E-3</v>
      </c>
      <c r="EO44">
        <f t="shared" si="11"/>
        <v>4.5464195456745619E-2</v>
      </c>
      <c r="EP44">
        <f t="shared" si="11"/>
        <v>3.7974986758289739E-2</v>
      </c>
      <c r="EQ44">
        <f t="shared" si="11"/>
        <v>6.1364528099530191E-2</v>
      </c>
      <c r="ER44">
        <f t="shared" si="11"/>
        <v>3.1697936244855118E-2</v>
      </c>
      <c r="ES44">
        <f t="shared" si="11"/>
        <v>3.7576299373712534E-2</v>
      </c>
      <c r="ET44">
        <f t="shared" si="11"/>
        <v>3.5720366071549978E-2</v>
      </c>
      <c r="EU44">
        <f t="shared" si="11"/>
        <v>4.7176764285355124E-2</v>
      </c>
      <c r="EV44">
        <f t="shared" si="11"/>
        <v>6.2970175410260343E-2</v>
      </c>
      <c r="EW44">
        <f t="shared" si="11"/>
        <v>8.4952082395564704E-2</v>
      </c>
      <c r="EX44">
        <f t="shared" si="11"/>
        <v>5.6775909202348249E-2</v>
      </c>
      <c r="EY44">
        <f t="shared" si="11"/>
        <v>2.9308570293625567E-2</v>
      </c>
      <c r="EZ44">
        <f t="shared" si="11"/>
        <v>6.8964105110037293E-3</v>
      </c>
      <c r="FA44">
        <f t="shared" si="11"/>
        <v>2.6330115655067189E-2</v>
      </c>
      <c r="FB44">
        <f t="shared" si="11"/>
        <v>-1.669817480222674E-2</v>
      </c>
      <c r="FC44">
        <f t="shared" si="11"/>
        <v>6.1755212896329688E-2</v>
      </c>
      <c r="FD44">
        <f t="shared" si="11"/>
        <v>3.0018774072275815E-2</v>
      </c>
      <c r="FE44">
        <f t="shared" si="11"/>
        <v>-6.8802714617968164E-3</v>
      </c>
      <c r="FF44">
        <f t="shared" si="11"/>
        <v>3.06643741989618E-2</v>
      </c>
      <c r="FG44">
        <f t="shared" si="11"/>
        <v>2.9309276376026264E-2</v>
      </c>
      <c r="FH44">
        <f t="shared" si="11"/>
        <v>2.7204318558645673E-2</v>
      </c>
      <c r="FI44">
        <f t="shared" si="11"/>
        <v>5.2892469813442256E-2</v>
      </c>
      <c r="FJ44">
        <f t="shared" si="11"/>
        <v>3.5620647907665122E-2</v>
      </c>
      <c r="FK44">
        <f t="shared" si="11"/>
        <v>1.3443313303710137E-2</v>
      </c>
      <c r="FL44">
        <f t="shared" si="11"/>
        <v>2.419657278796945E-2</v>
      </c>
      <c r="FM44">
        <f t="shared" si="11"/>
        <v>6.4328340840841741E-2</v>
      </c>
      <c r="FN44">
        <f t="shared" si="11"/>
        <v>5.1656745899437882E-2</v>
      </c>
      <c r="FO44">
        <f t="shared" si="11"/>
        <v>3.2740133635091422E-2</v>
      </c>
      <c r="FP44">
        <f t="shared" si="11"/>
        <v>3.9503401999479368E-2</v>
      </c>
      <c r="FQ44">
        <f t="shared" si="11"/>
        <v>1.5386387668699137E-2</v>
      </c>
      <c r="FR44">
        <f t="shared" si="11"/>
        <v>3.5450834241051221E-2</v>
      </c>
      <c r="FS44">
        <f t="shared" si="11"/>
        <v>3.1500775717802937E-2</v>
      </c>
      <c r="FT44">
        <f t="shared" si="11"/>
        <v>8.7165669219373756E-3</v>
      </c>
      <c r="FU44">
        <f t="shared" si="11"/>
        <v>-6.1206848119679733E-2</v>
      </c>
      <c r="FV44">
        <f t="shared" si="11"/>
        <v>1.1466392038082765E-2</v>
      </c>
      <c r="FW44">
        <f t="shared" si="11"/>
        <v>5.5576951890655063E-2</v>
      </c>
      <c r="FX44">
        <f t="shared" si="11"/>
        <v>3.9414293304195366E-2</v>
      </c>
      <c r="FY44">
        <f t="shared" si="11"/>
        <v>5.636491635451317E-2</v>
      </c>
      <c r="FZ44">
        <f t="shared" si="11"/>
        <v>5.009740892980518E-2</v>
      </c>
      <c r="GA44">
        <f t="shared" si="11"/>
        <v>4.7059325916583489E-2</v>
      </c>
      <c r="GB44">
        <f t="shared" si="11"/>
        <v>4.278270955121001E-2</v>
      </c>
      <c r="GC44">
        <f t="shared" si="11"/>
        <v>1.9437024495214509E-2</v>
      </c>
      <c r="GD44">
        <f t="shared" si="11"/>
        <v>3.8743900323159032E-2</v>
      </c>
      <c r="GE44">
        <f t="shared" si="11"/>
        <v>4.7338199290390279E-2</v>
      </c>
      <c r="GF44">
        <f t="shared" si="11"/>
        <v>8.6947446876443676E-3</v>
      </c>
      <c r="GG44">
        <f t="shared" si="11"/>
        <v>2.0592281243578408E-2</v>
      </c>
      <c r="GH44">
        <f t="shared" si="11"/>
        <v>4.0098858391150273E-2</v>
      </c>
      <c r="GI44">
        <f t="shared" si="11"/>
        <v>5.3560565075692457E-2</v>
      </c>
      <c r="GJ44">
        <f t="shared" si="11"/>
        <v>3.2211829890742338E-2</v>
      </c>
      <c r="GK44">
        <f t="shared" si="11"/>
        <v>2.4023042867765895E-2</v>
      </c>
    </row>
    <row r="45" spans="1:193" x14ac:dyDescent="0.25">
      <c r="A45" s="220" t="s">
        <v>268</v>
      </c>
      <c r="B45" s="220"/>
      <c r="C45">
        <f>MAX(C43:C44)</f>
        <v>0.10100126978301412</v>
      </c>
      <c r="D45">
        <f t="shared" ref="D45:BO45" si="12">MAX(D43:D44)</f>
        <v>9.9429828024510586E-2</v>
      </c>
      <c r="E45">
        <f t="shared" si="12"/>
        <v>0.14847860250029526</v>
      </c>
      <c r="F45">
        <f t="shared" si="12"/>
        <v>0.11363488959356904</v>
      </c>
      <c r="G45">
        <f t="shared" si="12"/>
        <v>-1.0951597088716347E-2</v>
      </c>
      <c r="H45">
        <f t="shared" si="12"/>
        <v>0.18975346526745457</v>
      </c>
      <c r="I45">
        <f t="shared" si="12"/>
        <v>7.397392134840089E-2</v>
      </c>
      <c r="J45">
        <f t="shared" si="12"/>
        <v>0.17143688382159383</v>
      </c>
      <c r="K45">
        <f t="shared" si="12"/>
        <v>0.10282149526542525</v>
      </c>
      <c r="L45">
        <f t="shared" si="12"/>
        <v>7.2550441871118435E-2</v>
      </c>
      <c r="M45">
        <f t="shared" si="12"/>
        <v>3.8376886110969261E-2</v>
      </c>
      <c r="N45">
        <f t="shared" si="12"/>
        <v>6.5516045307699972E-2</v>
      </c>
      <c r="O45">
        <f t="shared" si="12"/>
        <v>7.214950128552991E-2</v>
      </c>
      <c r="P45">
        <f t="shared" si="12"/>
        <v>0.15513964977715394</v>
      </c>
      <c r="Q45">
        <f t="shared" si="12"/>
        <v>0.12594004219524005</v>
      </c>
      <c r="R45">
        <f t="shared" si="12"/>
        <v>0.28938440601233439</v>
      </c>
      <c r="S45">
        <f t="shared" si="12"/>
        <v>0.19724700063672146</v>
      </c>
      <c r="T45">
        <f t="shared" si="12"/>
        <v>0.18740219661036522</v>
      </c>
      <c r="U45">
        <f t="shared" si="12"/>
        <v>0.13009564118083966</v>
      </c>
      <c r="V45">
        <f t="shared" si="12"/>
        <v>0.24395422251020413</v>
      </c>
      <c r="W45">
        <f t="shared" si="12"/>
        <v>0.13756070981993379</v>
      </c>
      <c r="X45">
        <f t="shared" si="12"/>
        <v>0.18719580611058606</v>
      </c>
      <c r="Y45">
        <f t="shared" si="12"/>
        <v>7.9874903421590732E-2</v>
      </c>
      <c r="Z45">
        <f t="shared" si="12"/>
        <v>6.7842232329591745E-2</v>
      </c>
      <c r="AA45">
        <f t="shared" si="12"/>
        <v>8.7615737289630832E-2</v>
      </c>
      <c r="AB45">
        <f t="shared" si="12"/>
        <v>0.13909118169201418</v>
      </c>
      <c r="AC45">
        <f t="shared" si="12"/>
        <v>9.0392759546810517E-2</v>
      </c>
      <c r="AD45">
        <f t="shared" si="12"/>
        <v>0.12538608236436072</v>
      </c>
      <c r="AE45">
        <f t="shared" si="12"/>
        <v>6.0401749812900453E-2</v>
      </c>
      <c r="AF45">
        <f t="shared" si="12"/>
        <v>9.1537136513004866E-2</v>
      </c>
      <c r="AG45">
        <f t="shared" si="12"/>
        <v>7.4260476549988741E-2</v>
      </c>
      <c r="AH45">
        <f t="shared" si="12"/>
        <v>9.2366572822310825E-2</v>
      </c>
      <c r="AI45">
        <f t="shared" si="12"/>
        <v>0.12182508505028877</v>
      </c>
      <c r="AJ45">
        <f t="shared" si="12"/>
        <v>7.2773027228041354E-2</v>
      </c>
      <c r="AK45">
        <f t="shared" si="12"/>
        <v>6.8225613463099341E-2</v>
      </c>
      <c r="AL45">
        <f t="shared" si="12"/>
        <v>0.10011618852388468</v>
      </c>
      <c r="AM45">
        <f t="shared" si="12"/>
        <v>8.5386184320045591E-2</v>
      </c>
      <c r="AN45">
        <f t="shared" si="12"/>
        <v>4.9139855414007699E-2</v>
      </c>
      <c r="AO45">
        <f t="shared" si="12"/>
        <v>5.9409470326766814E-2</v>
      </c>
      <c r="AP45">
        <f t="shared" si="12"/>
        <v>4.1154560456019548E-2</v>
      </c>
      <c r="AQ45">
        <f t="shared" si="12"/>
        <v>7.4126037166681619E-2</v>
      </c>
      <c r="AR45">
        <f t="shared" si="12"/>
        <v>8.7416561548283325E-2</v>
      </c>
      <c r="AS45">
        <f t="shared" si="12"/>
        <v>0.1018043759514988</v>
      </c>
      <c r="AT45">
        <f t="shared" si="12"/>
        <v>9.8860677007535008E-2</v>
      </c>
      <c r="AU45">
        <f t="shared" si="12"/>
        <v>8.1939074344671833E-2</v>
      </c>
      <c r="AV45">
        <f t="shared" si="12"/>
        <v>0.10096317579938388</v>
      </c>
      <c r="AW45">
        <f t="shared" si="12"/>
        <v>9.8310372596640744E-2</v>
      </c>
      <c r="AX45">
        <f t="shared" si="12"/>
        <v>4.1561980498709912E-2</v>
      </c>
      <c r="AY45">
        <f t="shared" si="12"/>
        <v>2.0587799600848469E-2</v>
      </c>
      <c r="AZ45">
        <f t="shared" si="12"/>
        <v>2.9611821343463969E-2</v>
      </c>
      <c r="BA45">
        <f t="shared" si="12"/>
        <v>4.4383602346345342E-2</v>
      </c>
      <c r="BB45">
        <f t="shared" si="12"/>
        <v>5.9668083325357134E-2</v>
      </c>
      <c r="BC45">
        <f t="shared" si="12"/>
        <v>-9.3271324814824426E-3</v>
      </c>
      <c r="BD45">
        <f t="shared" si="12"/>
        <v>-1.8217203682739783E-2</v>
      </c>
      <c r="BE45">
        <f t="shared" si="12"/>
        <v>7.0568795098420276E-2</v>
      </c>
      <c r="BF45">
        <f t="shared" si="12"/>
        <v>1.508590210541327E-2</v>
      </c>
      <c r="BG45">
        <f t="shared" si="12"/>
        <v>-8.9645713024500695E-3</v>
      </c>
      <c r="BH45">
        <f t="shared" si="12"/>
        <v>2.9748509764588545E-2</v>
      </c>
      <c r="BI45">
        <f t="shared" si="12"/>
        <v>5.2060128049672125E-2</v>
      </c>
      <c r="BJ45">
        <f t="shared" si="12"/>
        <v>5.2948781913093226E-2</v>
      </c>
      <c r="BK45">
        <f t="shared" si="12"/>
        <v>0.10130905836180482</v>
      </c>
      <c r="BL45">
        <f t="shared" si="12"/>
        <v>2.2983404782450475E-2</v>
      </c>
      <c r="BM45">
        <f t="shared" si="12"/>
        <v>2.0413918350327978E-2</v>
      </c>
      <c r="BN45">
        <f t="shared" si="12"/>
        <v>3.5699843181333027E-2</v>
      </c>
      <c r="BO45">
        <f t="shared" si="12"/>
        <v>-7.3244795713846983E-4</v>
      </c>
      <c r="BP45">
        <f t="shared" ref="BP45:EA45" si="13">MAX(BP43:BP44)</f>
        <v>-4.6308296509496583E-3</v>
      </c>
      <c r="BQ45">
        <f t="shared" si="13"/>
        <v>3.957282739894246E-2</v>
      </c>
      <c r="BR45">
        <f t="shared" si="13"/>
        <v>5.3605632872462519E-2</v>
      </c>
      <c r="BS45">
        <f t="shared" si="13"/>
        <v>2.8632694506619233E-2</v>
      </c>
      <c r="BT45">
        <f t="shared" si="13"/>
        <v>3.5460270952769678E-2</v>
      </c>
      <c r="BU45">
        <f t="shared" si="13"/>
        <v>2.0039878033061127E-2</v>
      </c>
      <c r="BV45">
        <f t="shared" si="13"/>
        <v>5.7209351260421239E-2</v>
      </c>
      <c r="BW45">
        <f t="shared" si="13"/>
        <v>3.3477159625189094E-2</v>
      </c>
      <c r="BX45">
        <f t="shared" si="13"/>
        <v>3.1803290959432642E-2</v>
      </c>
      <c r="BY45">
        <f t="shared" si="13"/>
        <v>1.5093578532626387E-2</v>
      </c>
      <c r="BZ45">
        <f t="shared" si="13"/>
        <v>-8.4722390676564372E-3</v>
      </c>
      <c r="CA45">
        <f t="shared" si="13"/>
        <v>-8.1771210762508154E-3</v>
      </c>
      <c r="CB45">
        <f t="shared" si="13"/>
        <v>2.4025611155848139E-2</v>
      </c>
      <c r="CC45">
        <f t="shared" si="13"/>
        <v>4.4214625141999322E-2</v>
      </c>
      <c r="CD45">
        <f t="shared" si="13"/>
        <v>1.1956163258906763E-2</v>
      </c>
      <c r="CE45">
        <f t="shared" si="13"/>
        <v>6.2362952256715821E-2</v>
      </c>
      <c r="CF45">
        <f t="shared" si="13"/>
        <v>4.0268138517375127E-3</v>
      </c>
      <c r="CG45">
        <f t="shared" si="13"/>
        <v>9.4469573624292397E-2</v>
      </c>
      <c r="CH45">
        <f t="shared" si="13"/>
        <v>4.0630308261470467E-2</v>
      </c>
      <c r="CI45">
        <f t="shared" si="13"/>
        <v>2.8042356993708138E-2</v>
      </c>
      <c r="CJ45">
        <f t="shared" si="13"/>
        <v>5.0417018592874591E-2</v>
      </c>
      <c r="CK45">
        <f t="shared" si="13"/>
        <v>7.120154526953125E-2</v>
      </c>
      <c r="CL45">
        <f t="shared" si="13"/>
        <v>2.1587489460048039E-2</v>
      </c>
      <c r="CM45">
        <f t="shared" si="13"/>
        <v>-4.0549591457821763E-2</v>
      </c>
      <c r="CN45">
        <f t="shared" si="13"/>
        <v>4.2399053155412952E-2</v>
      </c>
      <c r="CO45">
        <f t="shared" si="13"/>
        <v>4.5944136507028013E-2</v>
      </c>
      <c r="CP45">
        <f t="shared" si="13"/>
        <v>6.8145750606377897E-2</v>
      </c>
      <c r="CQ45">
        <f t="shared" si="13"/>
        <v>-2.1194269772958699E-2</v>
      </c>
      <c r="CR45">
        <f t="shared" si="13"/>
        <v>-2.3364016823054459E-2</v>
      </c>
      <c r="CS45">
        <f t="shared" si="13"/>
        <v>9.6599509123839994E-2</v>
      </c>
      <c r="CT45">
        <f t="shared" si="13"/>
        <v>0.11824751403411465</v>
      </c>
      <c r="CU45">
        <f t="shared" si="13"/>
        <v>3.7070947383028158E-2</v>
      </c>
      <c r="CV45">
        <f t="shared" si="13"/>
        <v>5.1272243584175814E-2</v>
      </c>
      <c r="CW45">
        <f t="shared" si="13"/>
        <v>4.4502911943490646E-2</v>
      </c>
      <c r="CX45">
        <f t="shared" si="13"/>
        <v>3.3618387819837371E-2</v>
      </c>
      <c r="CY45">
        <f t="shared" si="13"/>
        <v>4.6185642785581696E-2</v>
      </c>
      <c r="CZ45">
        <f t="shared" si="13"/>
        <v>4.5593533931453607E-2</v>
      </c>
      <c r="DA45">
        <f t="shared" si="13"/>
        <v>6.3542490171339089E-2</v>
      </c>
      <c r="DB45">
        <f t="shared" si="13"/>
        <v>-1.3859008324523281E-2</v>
      </c>
      <c r="DC45">
        <f t="shared" si="13"/>
        <v>1.17071834326152E-2</v>
      </c>
      <c r="DD45">
        <f t="shared" si="13"/>
        <v>-4.2963511594157068E-4</v>
      </c>
      <c r="DE45">
        <f t="shared" si="13"/>
        <v>2.3117370406945531E-2</v>
      </c>
      <c r="DF45">
        <f t="shared" si="13"/>
        <v>7.2202171448743704E-3</v>
      </c>
      <c r="DG45">
        <f t="shared" si="13"/>
        <v>3.5436631280496761E-2</v>
      </c>
      <c r="DH45">
        <f t="shared" si="13"/>
        <v>-2.1036882462924837E-2</v>
      </c>
      <c r="DI45">
        <f t="shared" si="13"/>
        <v>5.0883514800900323E-2</v>
      </c>
      <c r="DJ45">
        <f t="shared" si="13"/>
        <v>3.412008479416094E-2</v>
      </c>
      <c r="DK45">
        <f t="shared" si="13"/>
        <v>2.7774051450561339E-2</v>
      </c>
      <c r="DL45">
        <f t="shared" si="13"/>
        <v>-9.3091216507046569E-3</v>
      </c>
      <c r="DM45">
        <f t="shared" si="13"/>
        <v>4.1764741334623913E-2</v>
      </c>
      <c r="DN45">
        <f t="shared" si="13"/>
        <v>1.9855939826165748E-3</v>
      </c>
      <c r="DO45">
        <f t="shared" si="13"/>
        <v>-1.9069928651060601E-2</v>
      </c>
      <c r="DP45">
        <f t="shared" si="13"/>
        <v>-1.3004050110602742E-2</v>
      </c>
      <c r="DQ45">
        <f t="shared" si="13"/>
        <v>-6.168977119251606E-3</v>
      </c>
      <c r="DR45">
        <f t="shared" si="13"/>
        <v>6.8794486137365232E-2</v>
      </c>
      <c r="DS45">
        <f t="shared" si="13"/>
        <v>8.5841039587718063E-2</v>
      </c>
      <c r="DT45">
        <f t="shared" si="13"/>
        <v>8.8557685247412296E-2</v>
      </c>
      <c r="DU45">
        <f t="shared" si="13"/>
        <v>3.1906420932722043E-2</v>
      </c>
      <c r="DV45">
        <f t="shared" si="13"/>
        <v>8.579644780606363E-2</v>
      </c>
      <c r="DW45">
        <f t="shared" si="13"/>
        <v>0.24542500156699748</v>
      </c>
      <c r="DX45">
        <f t="shared" si="13"/>
        <v>4.2610562025080144E-2</v>
      </c>
      <c r="DY45">
        <f t="shared" si="13"/>
        <v>9.1119622253173591E-2</v>
      </c>
      <c r="DZ45">
        <f t="shared" si="13"/>
        <v>3.727990598117592E-2</v>
      </c>
      <c r="EA45">
        <f t="shared" si="13"/>
        <v>5.5224476010967555E-3</v>
      </c>
      <c r="EB45">
        <f t="shared" ref="EB45:GK45" si="14">MAX(EB43:EB44)</f>
        <v>-2.0528671189363329E-2</v>
      </c>
      <c r="EC45">
        <f t="shared" si="14"/>
        <v>1.6829470334104511E-2</v>
      </c>
      <c r="ED45">
        <f t="shared" si="14"/>
        <v>4.793643640656637E-2</v>
      </c>
      <c r="EE45">
        <f t="shared" si="14"/>
        <v>1.7402136466398429E-2</v>
      </c>
      <c r="EF45">
        <f t="shared" si="14"/>
        <v>3.0141640614680192E-3</v>
      </c>
      <c r="EG45">
        <f t="shared" si="14"/>
        <v>2.7407731285903118E-2</v>
      </c>
      <c r="EH45">
        <f t="shared" si="14"/>
        <v>5.8647108399875657E-2</v>
      </c>
      <c r="EI45">
        <f t="shared" si="14"/>
        <v>0.17179709450128827</v>
      </c>
      <c r="EJ45">
        <f t="shared" si="14"/>
        <v>0.26685977520285592</v>
      </c>
      <c r="EK45">
        <f t="shared" si="14"/>
        <v>0.22991103685508021</v>
      </c>
      <c r="EL45">
        <f t="shared" si="14"/>
        <v>0.2131415783563804</v>
      </c>
      <c r="EM45">
        <f t="shared" si="14"/>
        <v>0.23025852599028312</v>
      </c>
      <c r="EN45">
        <f t="shared" si="14"/>
        <v>-5.222612466638619E-3</v>
      </c>
      <c r="EO45">
        <f t="shared" si="14"/>
        <v>7.0321722864382943E-2</v>
      </c>
      <c r="EP45">
        <f t="shared" si="14"/>
        <v>5.8147945496471766E-2</v>
      </c>
      <c r="EQ45">
        <f t="shared" si="14"/>
        <v>6.1364528099530191E-2</v>
      </c>
      <c r="ER45">
        <f t="shared" si="14"/>
        <v>3.1697936244855118E-2</v>
      </c>
      <c r="ES45">
        <f t="shared" si="14"/>
        <v>3.7576299373712534E-2</v>
      </c>
      <c r="ET45">
        <f t="shared" si="14"/>
        <v>3.5720366071549978E-2</v>
      </c>
      <c r="EU45">
        <f t="shared" si="14"/>
        <v>4.7176764285355124E-2</v>
      </c>
      <c r="EV45">
        <f t="shared" si="14"/>
        <v>6.2970175410260343E-2</v>
      </c>
      <c r="EW45">
        <f t="shared" si="14"/>
        <v>8.4952082395564704E-2</v>
      </c>
      <c r="EX45">
        <f t="shared" si="14"/>
        <v>5.6775909202348249E-2</v>
      </c>
      <c r="EY45">
        <f t="shared" si="14"/>
        <v>2.9308570293625567E-2</v>
      </c>
      <c r="EZ45">
        <f t="shared" si="14"/>
        <v>0.11456226317352466</v>
      </c>
      <c r="FA45">
        <f t="shared" si="14"/>
        <v>2.6330115655067189E-2</v>
      </c>
      <c r="FB45">
        <f t="shared" si="14"/>
        <v>-1.6169659482014247E-2</v>
      </c>
      <c r="FC45">
        <f t="shared" si="14"/>
        <v>6.1755212896329688E-2</v>
      </c>
      <c r="FD45">
        <f t="shared" si="14"/>
        <v>3.0018774072275815E-2</v>
      </c>
      <c r="FE45">
        <f t="shared" si="14"/>
        <v>0.11655531344169034</v>
      </c>
      <c r="FF45">
        <f t="shared" si="14"/>
        <v>3.06643741989618E-2</v>
      </c>
      <c r="FG45">
        <f t="shared" si="14"/>
        <v>2.9309276376026264E-2</v>
      </c>
      <c r="FH45">
        <f t="shared" si="14"/>
        <v>3.2533080166982274E-2</v>
      </c>
      <c r="FI45">
        <f t="shared" si="14"/>
        <v>5.2892469813442256E-2</v>
      </c>
      <c r="FJ45">
        <f t="shared" si="14"/>
        <v>3.5620647907665122E-2</v>
      </c>
      <c r="FK45">
        <f t="shared" si="14"/>
        <v>1.3443313303710137E-2</v>
      </c>
      <c r="FL45">
        <f t="shared" si="14"/>
        <v>2.419657278796945E-2</v>
      </c>
      <c r="FM45">
        <f t="shared" si="14"/>
        <v>6.4328340840841741E-2</v>
      </c>
      <c r="FN45">
        <f t="shared" si="14"/>
        <v>5.1656745899437882E-2</v>
      </c>
      <c r="FO45">
        <f t="shared" si="14"/>
        <v>3.2740133635091422E-2</v>
      </c>
      <c r="FP45">
        <f t="shared" si="14"/>
        <v>3.9503401999479368E-2</v>
      </c>
      <c r="FQ45">
        <f t="shared" si="14"/>
        <v>1.5386387668699137E-2</v>
      </c>
      <c r="FR45">
        <f t="shared" si="14"/>
        <v>3.5450834241051221E-2</v>
      </c>
      <c r="FS45">
        <f t="shared" si="14"/>
        <v>3.1500775717802937E-2</v>
      </c>
      <c r="FT45">
        <f t="shared" si="14"/>
        <v>8.7165669219373756E-3</v>
      </c>
      <c r="FU45">
        <f t="shared" si="14"/>
        <v>5.7163608078394025E-2</v>
      </c>
      <c r="FV45">
        <f t="shared" si="14"/>
        <v>1.1466392038082765E-2</v>
      </c>
      <c r="FW45">
        <f t="shared" si="14"/>
        <v>5.5576951890655063E-2</v>
      </c>
      <c r="FX45">
        <f t="shared" si="14"/>
        <v>3.9414293304195366E-2</v>
      </c>
      <c r="FY45">
        <f t="shared" si="14"/>
        <v>5.636491635451317E-2</v>
      </c>
      <c r="FZ45">
        <f t="shared" si="14"/>
        <v>5.009740892980518E-2</v>
      </c>
      <c r="GA45">
        <f t="shared" si="14"/>
        <v>4.7059325916583489E-2</v>
      </c>
      <c r="GB45">
        <f t="shared" si="14"/>
        <v>4.278270955121001E-2</v>
      </c>
      <c r="GC45">
        <f t="shared" si="14"/>
        <v>1.9437024495214509E-2</v>
      </c>
      <c r="GD45">
        <f t="shared" si="14"/>
        <v>3.8743900323159032E-2</v>
      </c>
      <c r="GE45">
        <f t="shared" si="14"/>
        <v>4.7338199290390279E-2</v>
      </c>
      <c r="GF45">
        <f t="shared" si="14"/>
        <v>8.6947446876443676E-3</v>
      </c>
      <c r="GG45">
        <f t="shared" si="14"/>
        <v>2.0592281243578408E-2</v>
      </c>
      <c r="GH45">
        <f t="shared" si="14"/>
        <v>4.0098858391150273E-2</v>
      </c>
      <c r="GI45">
        <f t="shared" si="14"/>
        <v>5.3560565075692457E-2</v>
      </c>
      <c r="GJ45">
        <f t="shared" si="14"/>
        <v>3.2211829890742338E-2</v>
      </c>
      <c r="GK45">
        <f t="shared" si="14"/>
        <v>2.4023042867765895E-2</v>
      </c>
    </row>
    <row r="47" spans="1:193" x14ac:dyDescent="0.25">
      <c r="A47" s="220" t="s">
        <v>260</v>
      </c>
      <c r="B47" s="220"/>
      <c r="D47" s="220" t="s">
        <v>261</v>
      </c>
      <c r="E47" s="220"/>
      <c r="G47" s="220" t="s">
        <v>269</v>
      </c>
      <c r="H47" s="220"/>
      <c r="I47" s="220"/>
      <c r="K47" s="15" t="s">
        <v>270</v>
      </c>
    </row>
    <row r="48" spans="1:193" x14ac:dyDescent="0.25">
      <c r="A48" s="13" t="s">
        <v>207</v>
      </c>
      <c r="B48">
        <v>0.33370529817519873</v>
      </c>
      <c r="D48" s="13" t="s">
        <v>207</v>
      </c>
      <c r="E48">
        <v>0.6968333353965952</v>
      </c>
      <c r="G48" s="16" t="s">
        <v>91</v>
      </c>
      <c r="H48">
        <v>0.28938440601233439</v>
      </c>
    </row>
    <row r="49" spans="1:8" x14ac:dyDescent="0.25">
      <c r="A49" s="16" t="s">
        <v>204</v>
      </c>
      <c r="B49">
        <v>0.32612866888860781</v>
      </c>
      <c r="D49" s="16" t="s">
        <v>191</v>
      </c>
      <c r="E49">
        <v>0.55977260744133128</v>
      </c>
      <c r="G49" s="16" t="s">
        <v>204</v>
      </c>
      <c r="H49">
        <v>0.26685977520285592</v>
      </c>
    </row>
    <row r="50" spans="1:8" x14ac:dyDescent="0.25">
      <c r="A50" s="16" t="s">
        <v>191</v>
      </c>
      <c r="B50">
        <v>0.30094231874549365</v>
      </c>
      <c r="D50" s="16" t="s">
        <v>204</v>
      </c>
      <c r="E50">
        <v>0.47565833874189883</v>
      </c>
      <c r="G50" s="16" t="s">
        <v>191</v>
      </c>
      <c r="H50">
        <v>0.24542500156699748</v>
      </c>
    </row>
    <row r="51" spans="1:8" x14ac:dyDescent="0.25">
      <c r="A51" s="16" t="s">
        <v>205</v>
      </c>
      <c r="B51">
        <v>0.23871845997415847</v>
      </c>
      <c r="D51" s="16" t="s">
        <v>205</v>
      </c>
      <c r="E51">
        <v>0.31499734256341133</v>
      </c>
      <c r="G51" s="16" t="s">
        <v>95</v>
      </c>
      <c r="H51">
        <v>0.24395422251020413</v>
      </c>
    </row>
    <row r="52" spans="1:8" x14ac:dyDescent="0.25">
      <c r="A52" s="16" t="s">
        <v>203</v>
      </c>
      <c r="B52">
        <v>0.18686553846892745</v>
      </c>
      <c r="D52" s="16" t="s">
        <v>140</v>
      </c>
      <c r="E52">
        <v>0.30531213684485742</v>
      </c>
      <c r="G52" s="13" t="s">
        <v>207</v>
      </c>
      <c r="H52">
        <v>0.23025852599028312</v>
      </c>
    </row>
    <row r="53" spans="1:8" x14ac:dyDescent="0.25">
      <c r="A53" s="16" t="s">
        <v>206</v>
      </c>
      <c r="B53">
        <v>0.18080051816465681</v>
      </c>
      <c r="D53" s="16" t="s">
        <v>190</v>
      </c>
      <c r="E53">
        <v>0.2797229570711624</v>
      </c>
      <c r="G53" s="16" t="s">
        <v>205</v>
      </c>
      <c r="H53">
        <v>0.22991103685508021</v>
      </c>
    </row>
    <row r="54" spans="1:8" x14ac:dyDescent="0.25">
      <c r="A54" s="16" t="s">
        <v>190</v>
      </c>
      <c r="B54">
        <v>0.14030351796393892</v>
      </c>
      <c r="D54" s="16" t="s">
        <v>203</v>
      </c>
      <c r="E54">
        <v>0.27794979044738899</v>
      </c>
      <c r="G54" s="16" t="s">
        <v>206</v>
      </c>
      <c r="H54">
        <v>0.2131415783563804</v>
      </c>
    </row>
    <row r="55" spans="1:8" x14ac:dyDescent="0.25">
      <c r="A55" s="16" t="s">
        <v>16</v>
      </c>
      <c r="B55">
        <v>9.4487828111407129E-2</v>
      </c>
      <c r="D55" s="16" t="s">
        <v>16</v>
      </c>
      <c r="E55">
        <v>0.26276075212807903</v>
      </c>
      <c r="G55" s="16" t="s">
        <v>92</v>
      </c>
      <c r="H55">
        <v>0.19724700063672146</v>
      </c>
    </row>
    <row r="56" spans="1:8" x14ac:dyDescent="0.25">
      <c r="A56" s="16" t="s">
        <v>169</v>
      </c>
      <c r="B56">
        <v>9.4132637865474433E-2</v>
      </c>
      <c r="D56" s="16" t="s">
        <v>224</v>
      </c>
      <c r="E56">
        <v>0.23452564390182015</v>
      </c>
      <c r="G56" s="58" t="s">
        <v>79</v>
      </c>
      <c r="H56">
        <v>0.18975346526745457</v>
      </c>
    </row>
    <row r="57" spans="1:8" x14ac:dyDescent="0.25">
      <c r="A57" s="16" t="s">
        <v>220</v>
      </c>
      <c r="B57">
        <v>9.3987134182569224E-2</v>
      </c>
      <c r="D57" s="16" t="s">
        <v>166</v>
      </c>
      <c r="E57">
        <v>0.22532272200150608</v>
      </c>
      <c r="G57" s="16" t="s">
        <v>93</v>
      </c>
      <c r="H57">
        <v>0.18740219661036522</v>
      </c>
    </row>
    <row r="58" spans="1:8" x14ac:dyDescent="0.25">
      <c r="A58" s="58" t="s">
        <v>76</v>
      </c>
      <c r="B58">
        <v>9.092207994062497E-2</v>
      </c>
      <c r="D58" s="16" t="s">
        <v>206</v>
      </c>
      <c r="E58">
        <v>0.22402685271206246</v>
      </c>
      <c r="G58" s="16" t="s">
        <v>97</v>
      </c>
      <c r="H58">
        <v>0.18719580611058606</v>
      </c>
    </row>
    <row r="59" spans="1:8" x14ac:dyDescent="0.25">
      <c r="A59" s="16" t="s">
        <v>224</v>
      </c>
      <c r="B59">
        <v>9.0105719373867882E-2</v>
      </c>
      <c r="D59" s="16" t="s">
        <v>128</v>
      </c>
      <c r="E59">
        <v>0.21696504949699405</v>
      </c>
      <c r="G59" s="16" t="s">
        <v>203</v>
      </c>
      <c r="H59">
        <v>0.17179709450128827</v>
      </c>
    </row>
    <row r="60" spans="1:8" x14ac:dyDescent="0.25">
      <c r="A60" s="16" t="s">
        <v>83</v>
      </c>
      <c r="B60">
        <v>8.9249056269304405E-2</v>
      </c>
      <c r="D60" s="16" t="s">
        <v>7</v>
      </c>
      <c r="E60">
        <v>0.21234347769136333</v>
      </c>
      <c r="G60" s="16" t="s">
        <v>83</v>
      </c>
      <c r="H60">
        <v>0.17143688382159383</v>
      </c>
    </row>
    <row r="61" spans="1:8" x14ac:dyDescent="0.25">
      <c r="A61" s="16" t="s">
        <v>138</v>
      </c>
      <c r="B61">
        <v>8.7183341081831608E-2</v>
      </c>
      <c r="D61" s="16" t="s">
        <v>138</v>
      </c>
      <c r="E61">
        <v>0.20010226174792012</v>
      </c>
      <c r="G61" s="16" t="s">
        <v>89</v>
      </c>
      <c r="H61">
        <v>0.15513964977715394</v>
      </c>
    </row>
    <row r="62" spans="1:8" x14ac:dyDescent="0.25">
      <c r="A62" s="16" t="s">
        <v>223</v>
      </c>
      <c r="B62">
        <v>8.5316559420168775E-2</v>
      </c>
      <c r="D62" s="16" t="s">
        <v>220</v>
      </c>
      <c r="E62">
        <v>0.19296215825219368</v>
      </c>
      <c r="G62" s="58" t="s">
        <v>76</v>
      </c>
      <c r="H62">
        <v>0.14847860250029526</v>
      </c>
    </row>
    <row r="63" spans="1:8" x14ac:dyDescent="0.25">
      <c r="A63" s="16" t="s">
        <v>160</v>
      </c>
      <c r="B63">
        <v>8.40961482947475E-2</v>
      </c>
      <c r="D63" s="16" t="s">
        <v>141</v>
      </c>
      <c r="E63">
        <v>0.18708691637075456</v>
      </c>
      <c r="G63" s="16" t="s">
        <v>101</v>
      </c>
      <c r="H63">
        <v>0.13909118169201418</v>
      </c>
    </row>
    <row r="64" spans="1:8" x14ac:dyDescent="0.25">
      <c r="A64" s="16" t="s">
        <v>166</v>
      </c>
      <c r="B64">
        <v>8.3615558130554088E-2</v>
      </c>
      <c r="D64" s="16" t="s">
        <v>145</v>
      </c>
      <c r="E64">
        <v>0.18582476702658146</v>
      </c>
      <c r="G64" s="16" t="s">
        <v>96</v>
      </c>
      <c r="H64">
        <v>0.13756070981993379</v>
      </c>
    </row>
    <row r="65" spans="1:8" x14ac:dyDescent="0.25">
      <c r="A65" s="16" t="s">
        <v>216</v>
      </c>
      <c r="B65">
        <v>8.3083054618704438E-2</v>
      </c>
      <c r="D65" s="16" t="s">
        <v>169</v>
      </c>
      <c r="E65">
        <v>0.18060488611525469</v>
      </c>
      <c r="G65" s="16" t="s">
        <v>94</v>
      </c>
      <c r="H65">
        <v>0.13009564118083966</v>
      </c>
    </row>
    <row r="66" spans="1:8" x14ac:dyDescent="0.25">
      <c r="A66" s="16" t="s">
        <v>141</v>
      </c>
      <c r="B66">
        <v>8.2209142830778389E-2</v>
      </c>
      <c r="D66" s="16" t="s">
        <v>160</v>
      </c>
      <c r="E66">
        <v>0.17870948531978234</v>
      </c>
      <c r="G66" s="16" t="s">
        <v>90</v>
      </c>
      <c r="H66">
        <v>0.12594004219524005</v>
      </c>
    </row>
    <row r="67" spans="1:8" x14ac:dyDescent="0.25">
      <c r="A67" s="16" t="s">
        <v>6</v>
      </c>
      <c r="B67">
        <v>7.9394909515365431E-2</v>
      </c>
      <c r="D67" s="16" t="s">
        <v>178</v>
      </c>
      <c r="E67">
        <v>0.17818946808721559</v>
      </c>
      <c r="G67" s="16" t="s">
        <v>103</v>
      </c>
      <c r="H67">
        <v>0.12538608236436072</v>
      </c>
    </row>
    <row r="68" spans="1:8" x14ac:dyDescent="0.25">
      <c r="A68" s="16" t="s">
        <v>210</v>
      </c>
      <c r="B68">
        <v>7.9018495054544252E-2</v>
      </c>
      <c r="D68" s="16" t="s">
        <v>126</v>
      </c>
      <c r="E68">
        <v>0.17682679406556256</v>
      </c>
      <c r="G68" s="16" t="s">
        <v>108</v>
      </c>
      <c r="H68">
        <v>0.12182508505028877</v>
      </c>
    </row>
    <row r="69" spans="1:8" x14ac:dyDescent="0.25">
      <c r="A69" s="13" t="s">
        <v>134</v>
      </c>
      <c r="B69">
        <v>7.6381265386100752E-2</v>
      </c>
      <c r="D69" s="16" t="s">
        <v>219</v>
      </c>
      <c r="E69">
        <v>0.17607268493492589</v>
      </c>
      <c r="G69" s="16" t="s">
        <v>6</v>
      </c>
      <c r="H69">
        <v>0.11824751403411465</v>
      </c>
    </row>
    <row r="70" spans="1:8" x14ac:dyDescent="0.25">
      <c r="A70" s="16" t="s">
        <v>126</v>
      </c>
      <c r="B70">
        <v>7.4333999339507087E-2</v>
      </c>
      <c r="D70" s="16" t="s">
        <v>226</v>
      </c>
      <c r="E70">
        <v>0.17099480541986903</v>
      </c>
      <c r="G70" s="13" t="s">
        <v>225</v>
      </c>
      <c r="H70">
        <v>0.11655531344169034</v>
      </c>
    </row>
    <row r="71" spans="1:8" x14ac:dyDescent="0.25">
      <c r="A71" s="16" t="s">
        <v>91</v>
      </c>
      <c r="B71">
        <v>7.3167575405525861E-2</v>
      </c>
      <c r="D71" s="13" t="s">
        <v>134</v>
      </c>
      <c r="E71">
        <v>0.16829180884319883</v>
      </c>
      <c r="G71" s="16" t="s">
        <v>220</v>
      </c>
      <c r="H71">
        <v>0.11456226317352466</v>
      </c>
    </row>
    <row r="72" spans="1:8" x14ac:dyDescent="0.25">
      <c r="A72" s="16" t="s">
        <v>158</v>
      </c>
      <c r="B72">
        <v>7.2001750040662518E-2</v>
      </c>
      <c r="D72" s="16" t="s">
        <v>218</v>
      </c>
      <c r="E72">
        <v>0.16650356215232567</v>
      </c>
      <c r="G72" s="58" t="s">
        <v>77</v>
      </c>
      <c r="H72">
        <v>0.11363488959356904</v>
      </c>
    </row>
    <row r="73" spans="1:8" x14ac:dyDescent="0.25">
      <c r="A73" s="16" t="s">
        <v>193</v>
      </c>
      <c r="B73">
        <v>7.1461248866431876E-2</v>
      </c>
      <c r="D73" s="16" t="s">
        <v>14</v>
      </c>
      <c r="E73">
        <v>0.16342342911462446</v>
      </c>
      <c r="G73" s="16" t="s">
        <v>84</v>
      </c>
      <c r="H73">
        <v>0.10282149526542525</v>
      </c>
    </row>
    <row r="74" spans="1:8" x14ac:dyDescent="0.25">
      <c r="A74" s="16" t="s">
        <v>218</v>
      </c>
      <c r="B74">
        <v>7.0726392495733287E-2</v>
      </c>
      <c r="D74" s="16" t="s">
        <v>216</v>
      </c>
      <c r="E74">
        <v>0.16016263381166851</v>
      </c>
      <c r="G74" s="16" t="s">
        <v>118</v>
      </c>
      <c r="H74">
        <v>0.1018043759514988</v>
      </c>
    </row>
    <row r="75" spans="1:8" x14ac:dyDescent="0.25">
      <c r="A75" s="58" t="s">
        <v>79</v>
      </c>
      <c r="B75">
        <v>7.0056689147215273E-2</v>
      </c>
      <c r="D75" s="16" t="s">
        <v>131</v>
      </c>
      <c r="E75">
        <v>0.15836928415241253</v>
      </c>
      <c r="G75" s="16" t="s">
        <v>136</v>
      </c>
      <c r="H75">
        <v>0.10130905836180482</v>
      </c>
    </row>
    <row r="76" spans="1:8" x14ac:dyDescent="0.25">
      <c r="A76" s="16" t="s">
        <v>226</v>
      </c>
      <c r="B76">
        <v>6.8898094633193074E-2</v>
      </c>
      <c r="D76" s="16" t="s">
        <v>230</v>
      </c>
      <c r="E76">
        <v>0.15654208815381079</v>
      </c>
      <c r="G76" s="58" t="s">
        <v>74</v>
      </c>
      <c r="H76">
        <v>0.10100126978301412</v>
      </c>
    </row>
    <row r="77" spans="1:8" x14ac:dyDescent="0.25">
      <c r="A77" s="16" t="s">
        <v>229</v>
      </c>
      <c r="B77">
        <v>6.8576877040107939E-2</v>
      </c>
      <c r="D77" s="16" t="s">
        <v>221</v>
      </c>
      <c r="E77">
        <v>0.1554080326945442</v>
      </c>
      <c r="G77" s="16" t="s">
        <v>121</v>
      </c>
      <c r="H77">
        <v>0.10096317579938388</v>
      </c>
    </row>
    <row r="78" spans="1:8" x14ac:dyDescent="0.25">
      <c r="A78" s="16" t="s">
        <v>163</v>
      </c>
      <c r="B78">
        <v>6.827615735423434E-2</v>
      </c>
      <c r="D78" s="16" t="s">
        <v>165</v>
      </c>
      <c r="E78">
        <v>0.15331266296542512</v>
      </c>
      <c r="G78" s="16" t="s">
        <v>111</v>
      </c>
      <c r="H78">
        <v>0.10011618852388468</v>
      </c>
    </row>
    <row r="79" spans="1:8" x14ac:dyDescent="0.25">
      <c r="A79" s="16" t="s">
        <v>202</v>
      </c>
      <c r="B79">
        <v>6.8008012850593047E-2</v>
      </c>
      <c r="D79" s="16" t="s">
        <v>137</v>
      </c>
      <c r="E79">
        <v>0.15290749174947685</v>
      </c>
      <c r="G79" s="58" t="s">
        <v>75</v>
      </c>
      <c r="H79">
        <v>9.9429828024510586E-2</v>
      </c>
    </row>
    <row r="80" spans="1:8" x14ac:dyDescent="0.25">
      <c r="A80" s="16" t="s">
        <v>241</v>
      </c>
      <c r="B80">
        <v>6.7986174413329103E-2</v>
      </c>
      <c r="D80" s="16" t="s">
        <v>229</v>
      </c>
      <c r="E80">
        <v>0.15180629545562138</v>
      </c>
      <c r="G80" s="16" t="s">
        <v>119</v>
      </c>
      <c r="H80">
        <v>9.8860677007535008E-2</v>
      </c>
    </row>
    <row r="81" spans="1:8" x14ac:dyDescent="0.25">
      <c r="A81" s="16" t="s">
        <v>178</v>
      </c>
      <c r="B81">
        <v>6.5055642050116214E-2</v>
      </c>
      <c r="D81" s="16" t="s">
        <v>210</v>
      </c>
      <c r="E81">
        <v>0.15113529741461065</v>
      </c>
      <c r="G81" s="16" t="s">
        <v>122</v>
      </c>
      <c r="H81">
        <v>9.8310372596640744E-2</v>
      </c>
    </row>
    <row r="82" spans="1:8" x14ac:dyDescent="0.25">
      <c r="A82" s="16" t="s">
        <v>165</v>
      </c>
      <c r="B82">
        <v>6.4568278089773015E-2</v>
      </c>
      <c r="D82" s="16" t="s">
        <v>125</v>
      </c>
      <c r="E82">
        <v>0.15095475439491016</v>
      </c>
      <c r="G82" s="16" t="s">
        <v>13</v>
      </c>
      <c r="H82">
        <v>9.6599509123839994E-2</v>
      </c>
    </row>
    <row r="83" spans="1:8" x14ac:dyDescent="0.25">
      <c r="A83" s="16" t="s">
        <v>168</v>
      </c>
      <c r="B83">
        <v>6.4061214827465629E-2</v>
      </c>
      <c r="D83" s="16" t="s">
        <v>163</v>
      </c>
      <c r="E83">
        <v>0.15093294279551153</v>
      </c>
      <c r="G83" s="16" t="s">
        <v>155</v>
      </c>
      <c r="H83">
        <v>9.4469573624292397E-2</v>
      </c>
    </row>
    <row r="84" spans="1:8" x14ac:dyDescent="0.25">
      <c r="A84" s="16" t="s">
        <v>142</v>
      </c>
      <c r="B84">
        <v>6.3707496250781523E-2</v>
      </c>
      <c r="D84" s="16" t="s">
        <v>124</v>
      </c>
      <c r="E84">
        <v>0.14973277221145773</v>
      </c>
      <c r="G84" s="16" t="s">
        <v>107</v>
      </c>
      <c r="H84">
        <v>9.2366572822310825E-2</v>
      </c>
    </row>
    <row r="85" spans="1:8" x14ac:dyDescent="0.25">
      <c r="A85" s="16" t="s">
        <v>137</v>
      </c>
      <c r="B85">
        <v>6.3441497644512582E-2</v>
      </c>
      <c r="D85" s="16" t="s">
        <v>236</v>
      </c>
      <c r="E85">
        <v>0.14813036518077602</v>
      </c>
      <c r="G85" s="16" t="s">
        <v>105</v>
      </c>
      <c r="H85">
        <v>9.1537136513004866E-2</v>
      </c>
    </row>
    <row r="86" spans="1:8" x14ac:dyDescent="0.25">
      <c r="A86" s="16" t="s">
        <v>140</v>
      </c>
      <c r="B86">
        <v>6.224947428029922E-2</v>
      </c>
      <c r="D86" s="16" t="s">
        <v>168</v>
      </c>
      <c r="E86">
        <v>0.14387367151575287</v>
      </c>
      <c r="G86" s="16" t="s">
        <v>193</v>
      </c>
      <c r="H86">
        <v>9.1119622253173591E-2</v>
      </c>
    </row>
    <row r="87" spans="1:8" x14ac:dyDescent="0.25">
      <c r="A87" s="16" t="s">
        <v>145</v>
      </c>
      <c r="B87">
        <v>6.1720129226346884E-2</v>
      </c>
      <c r="D87" s="16" t="s">
        <v>223</v>
      </c>
      <c r="E87">
        <v>0.14171805112406391</v>
      </c>
      <c r="G87" s="16" t="s">
        <v>102</v>
      </c>
      <c r="H87">
        <v>9.0392759546810517E-2</v>
      </c>
    </row>
    <row r="88" spans="1:8" x14ac:dyDescent="0.25">
      <c r="A88" s="16" t="s">
        <v>228</v>
      </c>
      <c r="B88">
        <v>6.1395157682144819E-2</v>
      </c>
      <c r="D88" s="16" t="s">
        <v>211</v>
      </c>
      <c r="E88">
        <v>0.14062553925633023</v>
      </c>
      <c r="G88" s="16" t="s">
        <v>188</v>
      </c>
      <c r="H88">
        <v>8.8557685247412296E-2</v>
      </c>
    </row>
    <row r="89" spans="1:8" x14ac:dyDescent="0.25">
      <c r="A89" s="16" t="s">
        <v>144</v>
      </c>
      <c r="B89">
        <v>6.1124941992193267E-2</v>
      </c>
      <c r="D89" s="16" t="s">
        <v>241</v>
      </c>
      <c r="E89">
        <v>0.13981561164642067</v>
      </c>
      <c r="G89" s="16" t="s">
        <v>100</v>
      </c>
      <c r="H89">
        <v>8.7615737289630832E-2</v>
      </c>
    </row>
    <row r="90" spans="1:8" x14ac:dyDescent="0.25">
      <c r="A90" s="16" t="s">
        <v>230</v>
      </c>
      <c r="B90">
        <v>6.1095407899226087E-2</v>
      </c>
      <c r="D90" s="16" t="s">
        <v>158</v>
      </c>
      <c r="E90">
        <v>0.13572404730752383</v>
      </c>
      <c r="G90" s="16" t="s">
        <v>117</v>
      </c>
      <c r="H90">
        <v>8.7416561548283325E-2</v>
      </c>
    </row>
    <row r="91" spans="1:8" x14ac:dyDescent="0.25">
      <c r="A91" s="16" t="s">
        <v>13</v>
      </c>
      <c r="B91">
        <v>5.967761364146832E-2</v>
      </c>
      <c r="D91" s="16" t="s">
        <v>228</v>
      </c>
      <c r="E91">
        <v>0.13103467444277911</v>
      </c>
      <c r="G91" s="16" t="s">
        <v>187</v>
      </c>
      <c r="H91">
        <v>8.5841039587718063E-2</v>
      </c>
    </row>
    <row r="92" spans="1:8" x14ac:dyDescent="0.25">
      <c r="A92" s="16" t="s">
        <v>164</v>
      </c>
      <c r="B92">
        <v>5.9261745153515989E-2</v>
      </c>
      <c r="D92" s="16" t="s">
        <v>9</v>
      </c>
      <c r="E92">
        <v>0.124630942079757</v>
      </c>
      <c r="G92" s="16" t="s">
        <v>190</v>
      </c>
      <c r="H92">
        <v>8.579644780606363E-2</v>
      </c>
    </row>
    <row r="93" spans="1:8" x14ac:dyDescent="0.25">
      <c r="A93" s="13" t="s">
        <v>225</v>
      </c>
      <c r="B93">
        <v>5.9206917421103865E-2</v>
      </c>
      <c r="D93" s="16" t="s">
        <v>144</v>
      </c>
      <c r="E93">
        <v>0.12215912626288716</v>
      </c>
      <c r="G93" s="16" t="s">
        <v>112</v>
      </c>
      <c r="H93">
        <v>8.5386184320045591E-2</v>
      </c>
    </row>
    <row r="94" spans="1:8" x14ac:dyDescent="0.25">
      <c r="A94" s="16" t="s">
        <v>131</v>
      </c>
      <c r="B94">
        <v>5.8246829474071872E-2</v>
      </c>
      <c r="D94" s="16" t="s">
        <v>139</v>
      </c>
      <c r="E94">
        <v>0.12175784987984195</v>
      </c>
      <c r="G94" s="16" t="s">
        <v>217</v>
      </c>
      <c r="H94">
        <v>8.4952082395564704E-2</v>
      </c>
    </row>
    <row r="95" spans="1:8" x14ac:dyDescent="0.25">
      <c r="A95" s="16" t="s">
        <v>186</v>
      </c>
      <c r="B95">
        <v>5.7907526723254686E-2</v>
      </c>
      <c r="D95" s="16" t="s">
        <v>212</v>
      </c>
      <c r="E95">
        <v>0.11886264138557223</v>
      </c>
      <c r="G95" s="16" t="s">
        <v>120</v>
      </c>
      <c r="H95">
        <v>8.1939074344671833E-2</v>
      </c>
    </row>
    <row r="96" spans="1:8" x14ac:dyDescent="0.25">
      <c r="A96" s="16" t="s">
        <v>125</v>
      </c>
      <c r="B96">
        <v>5.7253067046493002E-2</v>
      </c>
      <c r="D96" s="58" t="s">
        <v>76</v>
      </c>
      <c r="E96">
        <v>0.11467182177347486</v>
      </c>
      <c r="G96" s="16" t="s">
        <v>98</v>
      </c>
      <c r="H96">
        <v>7.9874903421590732E-2</v>
      </c>
    </row>
    <row r="97" spans="1:8" x14ac:dyDescent="0.25">
      <c r="A97" s="16" t="s">
        <v>155</v>
      </c>
      <c r="B97">
        <v>5.7220472582256175E-2</v>
      </c>
      <c r="D97" s="16" t="s">
        <v>202</v>
      </c>
      <c r="E97">
        <v>0.11122681005664876</v>
      </c>
      <c r="G97" s="16" t="s">
        <v>106</v>
      </c>
      <c r="H97">
        <v>7.4260476549988741E-2</v>
      </c>
    </row>
    <row r="98" spans="1:8" x14ac:dyDescent="0.25">
      <c r="A98" s="16" t="s">
        <v>219</v>
      </c>
      <c r="B98">
        <v>5.6105549366464731E-2</v>
      </c>
      <c r="D98" s="16" t="s">
        <v>142</v>
      </c>
      <c r="E98">
        <v>0.11043164095220363</v>
      </c>
      <c r="G98" s="16" t="s">
        <v>116</v>
      </c>
      <c r="H98">
        <v>7.4126037166681619E-2</v>
      </c>
    </row>
    <row r="99" spans="1:8" x14ac:dyDescent="0.25">
      <c r="A99" s="16" t="s">
        <v>14</v>
      </c>
      <c r="B99">
        <v>5.5651873285920597E-2</v>
      </c>
      <c r="D99" s="16" t="s">
        <v>214</v>
      </c>
      <c r="E99">
        <v>0.10919484901795329</v>
      </c>
      <c r="G99" s="16" t="s">
        <v>82</v>
      </c>
      <c r="H99">
        <v>7.397392134840089E-2</v>
      </c>
    </row>
    <row r="100" spans="1:8" x14ac:dyDescent="0.25">
      <c r="A100" s="16" t="s">
        <v>124</v>
      </c>
      <c r="B100">
        <v>5.3933535398113908E-2</v>
      </c>
      <c r="D100" s="16" t="s">
        <v>237</v>
      </c>
      <c r="E100">
        <v>0.1090919257235048</v>
      </c>
      <c r="G100" s="16" t="s">
        <v>109</v>
      </c>
      <c r="H100">
        <v>7.2773027228041354E-2</v>
      </c>
    </row>
    <row r="101" spans="1:8" x14ac:dyDescent="0.25">
      <c r="A101" s="16" t="s">
        <v>194</v>
      </c>
      <c r="B101">
        <v>5.3529232108381494E-2</v>
      </c>
      <c r="D101" s="16" t="s">
        <v>129</v>
      </c>
      <c r="E101">
        <v>0.10692800343241034</v>
      </c>
      <c r="G101" s="16" t="s">
        <v>85</v>
      </c>
      <c r="H101">
        <v>7.2550441871118435E-2</v>
      </c>
    </row>
    <row r="102" spans="1:8" x14ac:dyDescent="0.25">
      <c r="A102" s="16" t="s">
        <v>211</v>
      </c>
      <c r="B102">
        <v>5.2307168975149657E-2</v>
      </c>
      <c r="D102" s="16" t="s">
        <v>194</v>
      </c>
      <c r="E102">
        <v>0.10398164974390921</v>
      </c>
      <c r="G102" s="16" t="s">
        <v>88</v>
      </c>
      <c r="H102">
        <v>7.214950128552991E-2</v>
      </c>
    </row>
    <row r="103" spans="1:8" x14ac:dyDescent="0.25">
      <c r="A103" s="16" t="s">
        <v>246</v>
      </c>
      <c r="B103">
        <v>5.2182996815779502E-2</v>
      </c>
      <c r="D103" s="16" t="s">
        <v>15</v>
      </c>
      <c r="E103">
        <v>0.10321197321493308</v>
      </c>
      <c r="G103" s="16" t="s">
        <v>159</v>
      </c>
      <c r="H103">
        <v>7.120154526953125E-2</v>
      </c>
    </row>
    <row r="104" spans="1:8" x14ac:dyDescent="0.25">
      <c r="A104" s="16" t="s">
        <v>242</v>
      </c>
      <c r="B104">
        <v>5.2015747273576489E-2</v>
      </c>
      <c r="D104" s="16" t="s">
        <v>244</v>
      </c>
      <c r="E104">
        <v>0.10114670285993689</v>
      </c>
      <c r="G104" s="16" t="s">
        <v>130</v>
      </c>
      <c r="H104">
        <v>7.0568795098420276E-2</v>
      </c>
    </row>
    <row r="105" spans="1:8" x14ac:dyDescent="0.25">
      <c r="A105" s="16" t="s">
        <v>217</v>
      </c>
      <c r="B105">
        <v>5.1859302101973488E-2</v>
      </c>
      <c r="D105" s="16" t="s">
        <v>6</v>
      </c>
      <c r="E105">
        <v>0.10044509459061814</v>
      </c>
      <c r="G105" s="16" t="s">
        <v>209</v>
      </c>
      <c r="H105">
        <v>7.0321722864382943E-2</v>
      </c>
    </row>
    <row r="106" spans="1:8" x14ac:dyDescent="0.25">
      <c r="A106" s="16" t="s">
        <v>221</v>
      </c>
      <c r="B106">
        <v>5.0750032188853489E-2</v>
      </c>
      <c r="D106" s="13" t="s">
        <v>225</v>
      </c>
      <c r="E106">
        <v>9.9532839247815988E-2</v>
      </c>
      <c r="G106" s="16" t="s">
        <v>186</v>
      </c>
      <c r="H106">
        <v>6.8794486137365232E-2</v>
      </c>
    </row>
    <row r="107" spans="1:8" x14ac:dyDescent="0.25">
      <c r="A107" s="16" t="s">
        <v>237</v>
      </c>
      <c r="B107">
        <v>4.9087729975486605E-2</v>
      </c>
      <c r="D107" s="16" t="s">
        <v>179</v>
      </c>
      <c r="E107">
        <v>9.7330636177210383E-2</v>
      </c>
      <c r="G107" s="16" t="s">
        <v>110</v>
      </c>
      <c r="H107">
        <v>6.8225613463099341E-2</v>
      </c>
    </row>
    <row r="108" spans="1:8" x14ac:dyDescent="0.25">
      <c r="A108" s="16" t="s">
        <v>136</v>
      </c>
      <c r="B108">
        <v>4.8621779421480368E-2</v>
      </c>
      <c r="D108" s="16" t="s">
        <v>193</v>
      </c>
      <c r="E108">
        <v>9.660594032856544E-2</v>
      </c>
      <c r="G108" s="16" t="s">
        <v>162</v>
      </c>
      <c r="H108">
        <v>6.8145750606377897E-2</v>
      </c>
    </row>
    <row r="109" spans="1:8" x14ac:dyDescent="0.25">
      <c r="A109" s="16" t="s">
        <v>236</v>
      </c>
      <c r="B109">
        <v>4.8470998106190058E-2</v>
      </c>
      <c r="D109" s="16" t="s">
        <v>242</v>
      </c>
      <c r="E109">
        <v>9.6198488589975442E-2</v>
      </c>
      <c r="G109" s="16" t="s">
        <v>99</v>
      </c>
      <c r="H109">
        <v>6.7842232329591745E-2</v>
      </c>
    </row>
    <row r="110" spans="1:8" x14ac:dyDescent="0.25">
      <c r="A110" s="16" t="s">
        <v>82</v>
      </c>
      <c r="B110">
        <v>4.8062565358640244E-2</v>
      </c>
      <c r="D110" s="16" t="s">
        <v>135</v>
      </c>
      <c r="E110">
        <v>9.4313357540390497E-2</v>
      </c>
      <c r="G110" s="16" t="s">
        <v>87</v>
      </c>
      <c r="H110">
        <v>6.5516045307699972E-2</v>
      </c>
    </row>
    <row r="111" spans="1:8" x14ac:dyDescent="0.25">
      <c r="A111" s="16" t="s">
        <v>127</v>
      </c>
      <c r="B111">
        <v>4.7870349603660364E-2</v>
      </c>
      <c r="D111" s="16" t="s">
        <v>164</v>
      </c>
      <c r="E111">
        <v>9.3840396739463997E-2</v>
      </c>
      <c r="G111" s="16" t="s">
        <v>233</v>
      </c>
      <c r="H111">
        <v>6.4328340840841741E-2</v>
      </c>
    </row>
    <row r="112" spans="1:8" x14ac:dyDescent="0.25">
      <c r="A112" s="16" t="s">
        <v>192</v>
      </c>
      <c r="B112">
        <v>4.7641964571521964E-2</v>
      </c>
      <c r="D112" s="16" t="s">
        <v>239</v>
      </c>
      <c r="E112">
        <v>9.141339125993192E-2</v>
      </c>
      <c r="G112" s="16" t="s">
        <v>169</v>
      </c>
      <c r="H112">
        <v>6.3542490171339089E-2</v>
      </c>
    </row>
    <row r="113" spans="1:8" x14ac:dyDescent="0.25">
      <c r="A113" s="16" t="s">
        <v>84</v>
      </c>
      <c r="B113">
        <v>4.7605086572353204E-2</v>
      </c>
      <c r="D113" s="16" t="s">
        <v>154</v>
      </c>
      <c r="E113">
        <v>8.9500837941063241E-2</v>
      </c>
      <c r="G113" s="16" t="s">
        <v>216</v>
      </c>
      <c r="H113">
        <v>6.2970175410260343E-2</v>
      </c>
    </row>
    <row r="114" spans="1:8" x14ac:dyDescent="0.25">
      <c r="A114" s="16" t="s">
        <v>245</v>
      </c>
      <c r="B114">
        <v>4.7413430400155165E-2</v>
      </c>
      <c r="D114" s="16" t="s">
        <v>161</v>
      </c>
      <c r="E114">
        <v>8.9395951469686083E-2</v>
      </c>
      <c r="G114" s="16" t="s">
        <v>153</v>
      </c>
      <c r="H114">
        <v>6.2362952256715821E-2</v>
      </c>
    </row>
    <row r="115" spans="1:8" x14ac:dyDescent="0.25">
      <c r="A115" s="16" t="s">
        <v>244</v>
      </c>
      <c r="B115">
        <v>4.6797242871620535E-2</v>
      </c>
      <c r="D115" s="16" t="s">
        <v>222</v>
      </c>
      <c r="E115">
        <v>8.6200730567404807E-2</v>
      </c>
      <c r="G115" s="16" t="s">
        <v>223</v>
      </c>
      <c r="H115">
        <v>6.1755212896329688E-2</v>
      </c>
    </row>
    <row r="116" spans="1:8" x14ac:dyDescent="0.25">
      <c r="A116" s="16" t="s">
        <v>128</v>
      </c>
      <c r="B116">
        <v>4.5205215038550066E-2</v>
      </c>
      <c r="D116" s="16" t="s">
        <v>213</v>
      </c>
      <c r="E116">
        <v>8.4726737734702184E-2</v>
      </c>
      <c r="G116" s="16" t="s">
        <v>211</v>
      </c>
      <c r="H116">
        <v>6.1364528099530191E-2</v>
      </c>
    </row>
    <row r="117" spans="1:8" x14ac:dyDescent="0.25">
      <c r="A117" s="16" t="s">
        <v>214</v>
      </c>
      <c r="B117">
        <v>4.5032455353412291E-2</v>
      </c>
      <c r="D117" s="16" t="s">
        <v>186</v>
      </c>
      <c r="E117">
        <v>8.4221024449639428E-2</v>
      </c>
      <c r="G117" s="16" t="s">
        <v>104</v>
      </c>
      <c r="H117">
        <v>6.0401749812900453E-2</v>
      </c>
    </row>
    <row r="118" spans="1:8" x14ac:dyDescent="0.25">
      <c r="A118" s="16" t="s">
        <v>167</v>
      </c>
      <c r="B118">
        <v>4.4604666733284136E-2</v>
      </c>
      <c r="D118" s="16" t="s">
        <v>192</v>
      </c>
      <c r="E118">
        <v>8.0963186475318763E-2</v>
      </c>
      <c r="G118" s="16" t="s">
        <v>127</v>
      </c>
      <c r="H118">
        <v>5.9668083325357134E-2</v>
      </c>
    </row>
    <row r="119" spans="1:8" x14ac:dyDescent="0.25">
      <c r="A119" s="16" t="s">
        <v>92</v>
      </c>
      <c r="B119">
        <v>4.3801561354103895E-2</v>
      </c>
      <c r="D119" s="16" t="s">
        <v>11</v>
      </c>
      <c r="E119">
        <v>8.0743608625349628E-2</v>
      </c>
      <c r="G119" s="16" t="s">
        <v>114</v>
      </c>
      <c r="H119">
        <v>5.9409470326766814E-2</v>
      </c>
    </row>
    <row r="120" spans="1:8" x14ac:dyDescent="0.25">
      <c r="A120" s="58" t="s">
        <v>74</v>
      </c>
      <c r="B120">
        <v>4.2919116351624598E-2</v>
      </c>
      <c r="D120" s="16" t="s">
        <v>199</v>
      </c>
      <c r="E120">
        <v>7.9860812955595592E-2</v>
      </c>
      <c r="G120" s="16" t="s">
        <v>202</v>
      </c>
      <c r="H120">
        <v>5.8647108399875657E-2</v>
      </c>
    </row>
    <row r="121" spans="1:8" x14ac:dyDescent="0.25">
      <c r="A121" s="16" t="s">
        <v>159</v>
      </c>
      <c r="B121">
        <v>4.2118549129338302E-2</v>
      </c>
      <c r="D121" s="16" t="s">
        <v>147</v>
      </c>
      <c r="E121">
        <v>7.7910687985818086E-2</v>
      </c>
      <c r="G121" s="16" t="s">
        <v>210</v>
      </c>
      <c r="H121">
        <v>5.8147945496471766E-2</v>
      </c>
    </row>
    <row r="122" spans="1:8" x14ac:dyDescent="0.25">
      <c r="A122" s="16" t="s">
        <v>179</v>
      </c>
      <c r="B122">
        <v>4.1976544696967946E-2</v>
      </c>
      <c r="D122" s="16" t="s">
        <v>82</v>
      </c>
      <c r="E122">
        <v>7.7661409169752949E-2</v>
      </c>
      <c r="G122" s="16" t="s">
        <v>146</v>
      </c>
      <c r="H122">
        <v>5.7209351260421239E-2</v>
      </c>
    </row>
    <row r="123" spans="1:8" x14ac:dyDescent="0.25">
      <c r="A123" s="58" t="s">
        <v>77</v>
      </c>
      <c r="B123">
        <v>4.1395934000703134E-2</v>
      </c>
      <c r="D123" s="16" t="s">
        <v>143</v>
      </c>
      <c r="E123">
        <v>7.7227755890291724E-2</v>
      </c>
      <c r="G123" s="16" t="s">
        <v>239</v>
      </c>
      <c r="H123">
        <v>5.7163608078394025E-2</v>
      </c>
    </row>
    <row r="124" spans="1:8" x14ac:dyDescent="0.25">
      <c r="A124" s="16" t="s">
        <v>156</v>
      </c>
      <c r="B124">
        <v>4.1271454941497934E-2</v>
      </c>
      <c r="D124" s="16" t="s">
        <v>167</v>
      </c>
      <c r="E124">
        <v>7.5128218922183285E-2</v>
      </c>
      <c r="G124" s="16" t="s">
        <v>218</v>
      </c>
      <c r="H124">
        <v>5.6775909202348249E-2</v>
      </c>
    </row>
    <row r="125" spans="1:8" x14ac:dyDescent="0.25">
      <c r="A125" s="16" t="s">
        <v>233</v>
      </c>
      <c r="B125">
        <v>4.0421551187067695E-2</v>
      </c>
      <c r="D125" s="16" t="s">
        <v>246</v>
      </c>
      <c r="E125">
        <v>7.469257932005334E-2</v>
      </c>
      <c r="G125" s="16" t="s">
        <v>243</v>
      </c>
      <c r="H125">
        <v>5.636491635451317E-2</v>
      </c>
    </row>
    <row r="126" spans="1:8" x14ac:dyDescent="0.25">
      <c r="A126" s="16" t="s">
        <v>97</v>
      </c>
      <c r="B126">
        <v>3.84941646095864E-2</v>
      </c>
      <c r="D126" s="16" t="s">
        <v>146</v>
      </c>
      <c r="E126">
        <v>6.9850749448729502E-2</v>
      </c>
      <c r="G126" s="16" t="s">
        <v>241</v>
      </c>
      <c r="H126">
        <v>5.5576951890655063E-2</v>
      </c>
    </row>
    <row r="127" spans="1:8" x14ac:dyDescent="0.25">
      <c r="A127" s="16" t="s">
        <v>135</v>
      </c>
      <c r="B127">
        <v>3.7708294839486789E-2</v>
      </c>
      <c r="D127" s="16" t="s">
        <v>155</v>
      </c>
      <c r="E127">
        <v>6.8086930056103376E-2</v>
      </c>
      <c r="G127" s="16" t="s">
        <v>142</v>
      </c>
      <c r="H127">
        <v>5.3605632872462519E-2</v>
      </c>
    </row>
    <row r="128" spans="1:8" x14ac:dyDescent="0.25">
      <c r="A128" s="16" t="s">
        <v>146</v>
      </c>
      <c r="B128">
        <v>3.7216973223810165E-2</v>
      </c>
      <c r="D128" s="16" t="s">
        <v>233</v>
      </c>
      <c r="E128">
        <v>6.6249983134448909E-2</v>
      </c>
      <c r="G128" s="16" t="s">
        <v>5</v>
      </c>
      <c r="H128">
        <v>5.3560565075692457E-2</v>
      </c>
    </row>
    <row r="129" spans="1:8" x14ac:dyDescent="0.25">
      <c r="A129" s="16" t="s">
        <v>188</v>
      </c>
      <c r="B129">
        <v>3.6922939656825179E-2</v>
      </c>
      <c r="D129" s="16" t="s">
        <v>152</v>
      </c>
      <c r="E129">
        <v>6.5757731252694171E-2</v>
      </c>
      <c r="G129" s="16" t="s">
        <v>135</v>
      </c>
      <c r="H129">
        <v>5.2948781913093226E-2</v>
      </c>
    </row>
    <row r="130" spans="1:8" x14ac:dyDescent="0.25">
      <c r="A130" s="16" t="s">
        <v>95</v>
      </c>
      <c r="B130">
        <v>3.6550126055353176E-2</v>
      </c>
      <c r="D130" s="16" t="s">
        <v>231</v>
      </c>
      <c r="E130">
        <v>6.4833662315016041E-2</v>
      </c>
      <c r="G130" s="16" t="s">
        <v>229</v>
      </c>
      <c r="H130">
        <v>5.2892469813442256E-2</v>
      </c>
    </row>
    <row r="131" spans="1:8" x14ac:dyDescent="0.25">
      <c r="A131" s="16" t="s">
        <v>143</v>
      </c>
      <c r="B131">
        <v>3.6411021827227261E-2</v>
      </c>
      <c r="D131" s="16" t="s">
        <v>136</v>
      </c>
      <c r="E131">
        <v>6.0210047149415614E-2</v>
      </c>
      <c r="G131" s="13" t="s">
        <v>134</v>
      </c>
      <c r="H131">
        <v>5.2060128049672125E-2</v>
      </c>
    </row>
    <row r="132" spans="1:8" x14ac:dyDescent="0.25">
      <c r="A132" s="16" t="s">
        <v>7</v>
      </c>
      <c r="B132">
        <v>3.5707091175049908E-2</v>
      </c>
      <c r="D132" s="16" t="s">
        <v>227</v>
      </c>
      <c r="E132">
        <v>5.8472296696354821E-2</v>
      </c>
      <c r="G132" s="16" t="s">
        <v>234</v>
      </c>
      <c r="H132">
        <v>5.1656745899437882E-2</v>
      </c>
    </row>
    <row r="133" spans="1:8" x14ac:dyDescent="0.25">
      <c r="A133" s="16" t="s">
        <v>94</v>
      </c>
      <c r="B133">
        <v>3.5432525541790126E-2</v>
      </c>
      <c r="D133" s="16" t="s">
        <v>132</v>
      </c>
      <c r="E133">
        <v>5.4451457591986163E-2</v>
      </c>
      <c r="G133" s="16" t="s">
        <v>164</v>
      </c>
      <c r="H133">
        <v>5.1272243584175814E-2</v>
      </c>
    </row>
    <row r="134" spans="1:8" x14ac:dyDescent="0.25">
      <c r="A134" s="16" t="s">
        <v>11</v>
      </c>
      <c r="B134">
        <v>3.4383391610491851E-2</v>
      </c>
      <c r="D134" s="16" t="s">
        <v>235</v>
      </c>
      <c r="E134">
        <v>5.4264918817980651E-2</v>
      </c>
      <c r="G134" s="16" t="s">
        <v>177</v>
      </c>
      <c r="H134">
        <v>5.0883514800900323E-2</v>
      </c>
    </row>
    <row r="135" spans="1:8" x14ac:dyDescent="0.25">
      <c r="A135" s="16" t="s">
        <v>187</v>
      </c>
      <c r="B135">
        <v>3.3314941861873087E-2</v>
      </c>
      <c r="D135" s="16" t="s">
        <v>201</v>
      </c>
      <c r="E135">
        <v>5.4079665486847915E-2</v>
      </c>
      <c r="G135" s="16" t="s">
        <v>158</v>
      </c>
      <c r="H135">
        <v>5.0417018592874591E-2</v>
      </c>
    </row>
    <row r="136" spans="1:8" x14ac:dyDescent="0.25">
      <c r="A136" s="16" t="s">
        <v>130</v>
      </c>
      <c r="B136">
        <v>3.2035665064715162E-2</v>
      </c>
      <c r="D136" s="16" t="s">
        <v>159</v>
      </c>
      <c r="E136">
        <v>5.3932285221350629E-2</v>
      </c>
      <c r="G136" s="16" t="s">
        <v>244</v>
      </c>
      <c r="H136">
        <v>5.009740892980518E-2</v>
      </c>
    </row>
    <row r="137" spans="1:8" x14ac:dyDescent="0.25">
      <c r="A137" s="16" t="s">
        <v>212</v>
      </c>
      <c r="B137">
        <v>3.1554202516391863E-2</v>
      </c>
      <c r="D137" s="16" t="s">
        <v>3</v>
      </c>
      <c r="E137">
        <v>5.296817401928882E-2</v>
      </c>
      <c r="G137" s="16" t="s">
        <v>113</v>
      </c>
      <c r="H137">
        <v>4.9139855414007699E-2</v>
      </c>
    </row>
    <row r="138" spans="1:8" x14ac:dyDescent="0.25">
      <c r="A138" s="16" t="s">
        <v>5</v>
      </c>
      <c r="B138">
        <v>3.1005746898813833E-2</v>
      </c>
      <c r="D138" s="16" t="s">
        <v>217</v>
      </c>
      <c r="E138">
        <v>5.2582034355620637E-2</v>
      </c>
      <c r="G138" s="16" t="s">
        <v>198</v>
      </c>
      <c r="H138">
        <v>4.793643640656637E-2</v>
      </c>
    </row>
    <row r="139" spans="1:8" x14ac:dyDescent="0.25">
      <c r="A139" s="16" t="s">
        <v>15</v>
      </c>
      <c r="B139">
        <v>3.0876277059937347E-2</v>
      </c>
      <c r="D139" s="16" t="s">
        <v>157</v>
      </c>
      <c r="E139">
        <v>5.24679497263471E-2</v>
      </c>
      <c r="G139" s="16" t="s">
        <v>249</v>
      </c>
      <c r="H139">
        <v>4.7338199290390279E-2</v>
      </c>
    </row>
    <row r="140" spans="1:8" x14ac:dyDescent="0.25">
      <c r="A140" s="16" t="s">
        <v>199</v>
      </c>
      <c r="B140">
        <v>3.0563573627075818E-2</v>
      </c>
      <c r="D140" s="16" t="s">
        <v>245</v>
      </c>
      <c r="E140">
        <v>5.2274296652206405E-2</v>
      </c>
      <c r="G140" s="16" t="s">
        <v>215</v>
      </c>
      <c r="H140">
        <v>4.7176764285355124E-2</v>
      </c>
    </row>
    <row r="141" spans="1:8" x14ac:dyDescent="0.25">
      <c r="A141" s="16" t="s">
        <v>209</v>
      </c>
      <c r="B141">
        <v>2.9556688351512594E-2</v>
      </c>
      <c r="D141" s="16" t="s">
        <v>133</v>
      </c>
      <c r="E141">
        <v>5.1630172090922487E-2</v>
      </c>
      <c r="G141" s="16" t="s">
        <v>245</v>
      </c>
      <c r="H141">
        <v>4.7059325916583489E-2</v>
      </c>
    </row>
    <row r="142" spans="1:8" x14ac:dyDescent="0.25">
      <c r="A142" s="16" t="s">
        <v>161</v>
      </c>
      <c r="B142">
        <v>2.8700634924317601E-2</v>
      </c>
      <c r="D142" s="16" t="s">
        <v>172</v>
      </c>
      <c r="E142">
        <v>5.0666814265365519E-2</v>
      </c>
      <c r="G142" s="16" t="s">
        <v>167</v>
      </c>
      <c r="H142">
        <v>4.6185642785581696E-2</v>
      </c>
    </row>
    <row r="143" spans="1:8" x14ac:dyDescent="0.25">
      <c r="A143" s="16" t="s">
        <v>235</v>
      </c>
      <c r="B143">
        <v>2.8673162915864053E-2</v>
      </c>
      <c r="D143" s="58" t="s">
        <v>79</v>
      </c>
      <c r="E143">
        <v>4.8844965995909213E-2</v>
      </c>
      <c r="G143" s="16" t="s">
        <v>161</v>
      </c>
      <c r="H143">
        <v>4.5944136507028013E-2</v>
      </c>
    </row>
    <row r="144" spans="1:8" x14ac:dyDescent="0.25">
      <c r="A144" s="16" t="s">
        <v>133</v>
      </c>
      <c r="B144">
        <v>2.8382012778520361E-2</v>
      </c>
      <c r="D144" s="16" t="s">
        <v>156</v>
      </c>
      <c r="E144">
        <v>4.5009295841893913E-2</v>
      </c>
      <c r="G144" s="16" t="s">
        <v>168</v>
      </c>
      <c r="H144">
        <v>4.5593533931453607E-2</v>
      </c>
    </row>
    <row r="145" spans="1:8" x14ac:dyDescent="0.25">
      <c r="A145" s="16" t="s">
        <v>151</v>
      </c>
      <c r="B145">
        <v>2.8261696964163148E-2</v>
      </c>
      <c r="D145" s="16" t="s">
        <v>10</v>
      </c>
      <c r="E145">
        <v>4.4641138149719546E-2</v>
      </c>
      <c r="G145" s="16" t="s">
        <v>165</v>
      </c>
      <c r="H145">
        <v>4.4502911943490646E-2</v>
      </c>
    </row>
    <row r="146" spans="1:8" x14ac:dyDescent="0.25">
      <c r="A146" s="16" t="s">
        <v>213</v>
      </c>
      <c r="B146">
        <v>2.6669707910320365E-2</v>
      </c>
      <c r="D146" s="16" t="s">
        <v>151</v>
      </c>
      <c r="E146">
        <v>4.4135658650630176E-2</v>
      </c>
      <c r="G146" s="16" t="s">
        <v>126</v>
      </c>
      <c r="H146">
        <v>4.4383602346345342E-2</v>
      </c>
    </row>
    <row r="147" spans="1:8" x14ac:dyDescent="0.25">
      <c r="A147" s="16" t="s">
        <v>198</v>
      </c>
      <c r="B147">
        <v>2.5454032821271934E-2</v>
      </c>
      <c r="D147" s="16" t="s">
        <v>84</v>
      </c>
      <c r="E147">
        <v>4.2698074324473562E-2</v>
      </c>
      <c r="G147" s="16" t="s">
        <v>151</v>
      </c>
      <c r="H147">
        <v>4.4214625141999322E-2</v>
      </c>
    </row>
    <row r="148" spans="1:8" x14ac:dyDescent="0.25">
      <c r="A148" s="16" t="s">
        <v>157</v>
      </c>
      <c r="B148">
        <v>2.5380753283808722E-2</v>
      </c>
      <c r="D148" s="16" t="s">
        <v>127</v>
      </c>
      <c r="E148">
        <v>3.9915083043022964E-2</v>
      </c>
      <c r="G148" s="16" t="s">
        <v>246</v>
      </c>
      <c r="H148">
        <v>4.278270955121001E-2</v>
      </c>
    </row>
    <row r="149" spans="1:8" x14ac:dyDescent="0.25">
      <c r="A149" s="16" t="s">
        <v>147</v>
      </c>
      <c r="B149">
        <v>2.5283118999240965E-2</v>
      </c>
      <c r="D149" s="16" t="s">
        <v>13</v>
      </c>
      <c r="E149">
        <v>3.9182482552566032E-2</v>
      </c>
      <c r="G149" s="16" t="s">
        <v>192</v>
      </c>
      <c r="H149">
        <v>4.2610562025080144E-2</v>
      </c>
    </row>
    <row r="150" spans="1:8" x14ac:dyDescent="0.25">
      <c r="A150" s="16" t="s">
        <v>89</v>
      </c>
      <c r="B150">
        <v>2.4245754263137947E-2</v>
      </c>
      <c r="D150" s="16" t="s">
        <v>83</v>
      </c>
      <c r="E150">
        <v>3.3726119371077973E-2</v>
      </c>
      <c r="G150" s="16" t="s">
        <v>160</v>
      </c>
      <c r="H150">
        <v>4.2399053155412952E-2</v>
      </c>
    </row>
    <row r="151" spans="1:8" x14ac:dyDescent="0.25">
      <c r="A151" s="16" t="s">
        <v>177</v>
      </c>
      <c r="B151">
        <v>2.3436258503052268E-2</v>
      </c>
      <c r="D151" s="58" t="s">
        <v>74</v>
      </c>
      <c r="E151">
        <v>3.3392509172684416E-2</v>
      </c>
      <c r="G151" s="16" t="s">
        <v>181</v>
      </c>
      <c r="H151">
        <v>4.1764741334623913E-2</v>
      </c>
    </row>
    <row r="152" spans="1:8" x14ac:dyDescent="0.25">
      <c r="A152" s="16" t="s">
        <v>251</v>
      </c>
      <c r="B152">
        <v>2.2763551990919756E-2</v>
      </c>
      <c r="D152" s="58" t="s">
        <v>77</v>
      </c>
      <c r="E152">
        <v>3.2640692554129179E-2</v>
      </c>
      <c r="G152" s="16" t="s">
        <v>123</v>
      </c>
      <c r="H152">
        <v>4.1561980498709912E-2</v>
      </c>
    </row>
    <row r="153" spans="1:8" x14ac:dyDescent="0.25">
      <c r="A153" s="58" t="s">
        <v>75</v>
      </c>
      <c r="B153">
        <v>2.2468101619542259E-2</v>
      </c>
      <c r="D153" s="16" t="s">
        <v>251</v>
      </c>
      <c r="E153">
        <v>3.0141499351138693E-2</v>
      </c>
      <c r="G153" s="16" t="s">
        <v>115</v>
      </c>
      <c r="H153">
        <v>4.1154560456019548E-2</v>
      </c>
    </row>
    <row r="154" spans="1:8" x14ac:dyDescent="0.25">
      <c r="A154" s="16" t="s">
        <v>215</v>
      </c>
      <c r="B154">
        <v>2.1262590942089932E-2</v>
      </c>
      <c r="D154" s="16" t="s">
        <v>240</v>
      </c>
      <c r="E154">
        <v>2.5623237307191748E-2</v>
      </c>
      <c r="G154" s="16" t="s">
        <v>156</v>
      </c>
      <c r="H154">
        <v>4.0630308261470467E-2</v>
      </c>
    </row>
    <row r="155" spans="1:8" x14ac:dyDescent="0.25">
      <c r="A155" s="16" t="s">
        <v>123</v>
      </c>
      <c r="B155">
        <v>2.0717582475179314E-2</v>
      </c>
      <c r="D155" s="16" t="s">
        <v>215</v>
      </c>
      <c r="E155">
        <v>2.5598356974280218E-2</v>
      </c>
      <c r="G155" s="16" t="s">
        <v>0</v>
      </c>
      <c r="H155">
        <v>4.0098858391150273E-2</v>
      </c>
    </row>
    <row r="156" spans="1:8" x14ac:dyDescent="0.25">
      <c r="A156" s="16" t="s">
        <v>139</v>
      </c>
      <c r="B156">
        <v>1.9797045207662036E-2</v>
      </c>
      <c r="D156" s="16" t="s">
        <v>195</v>
      </c>
      <c r="E156">
        <v>2.4772830871447354E-2</v>
      </c>
      <c r="G156" s="16" t="s">
        <v>141</v>
      </c>
      <c r="H156">
        <v>3.957282739894246E-2</v>
      </c>
    </row>
    <row r="157" spans="1:8" x14ac:dyDescent="0.25">
      <c r="A157" s="16" t="s">
        <v>0</v>
      </c>
      <c r="B157">
        <v>1.9251257435941922E-2</v>
      </c>
      <c r="D157" s="16" t="s">
        <v>238</v>
      </c>
      <c r="E157">
        <v>2.3501262781038579E-2</v>
      </c>
      <c r="G157" s="16" t="s">
        <v>235</v>
      </c>
      <c r="H157">
        <v>3.9503401999479368E-2</v>
      </c>
    </row>
    <row r="158" spans="1:8" x14ac:dyDescent="0.25">
      <c r="A158" s="16" t="s">
        <v>173</v>
      </c>
      <c r="B158">
        <v>1.900817559530335E-2</v>
      </c>
      <c r="D158" s="16" t="s">
        <v>173</v>
      </c>
      <c r="E158">
        <v>1.8923309948371731E-2</v>
      </c>
      <c r="G158" s="16" t="s">
        <v>242</v>
      </c>
      <c r="H158">
        <v>3.9414293304195366E-2</v>
      </c>
    </row>
    <row r="159" spans="1:8" x14ac:dyDescent="0.25">
      <c r="A159" s="16" t="s">
        <v>152</v>
      </c>
      <c r="B159">
        <v>1.8904356990945666E-2</v>
      </c>
      <c r="D159" s="16" t="s">
        <v>197</v>
      </c>
      <c r="E159">
        <v>1.7579544725620441E-2</v>
      </c>
      <c r="G159" s="16" t="s">
        <v>248</v>
      </c>
      <c r="H159">
        <v>3.8743900323159032E-2</v>
      </c>
    </row>
    <row r="160" spans="1:8" x14ac:dyDescent="0.25">
      <c r="A160" s="16" t="s">
        <v>239</v>
      </c>
      <c r="B160">
        <v>1.8139136999690719E-2</v>
      </c>
      <c r="D160" s="16" t="s">
        <v>123</v>
      </c>
      <c r="E160">
        <v>1.5730647059353557E-2</v>
      </c>
      <c r="G160" s="16" t="s">
        <v>86</v>
      </c>
      <c r="H160">
        <v>3.8376886110969261E-2</v>
      </c>
    </row>
    <row r="161" spans="1:8" x14ac:dyDescent="0.25">
      <c r="A161" s="16" t="s">
        <v>201</v>
      </c>
      <c r="B161">
        <v>1.7533002802389761E-2</v>
      </c>
      <c r="D161" s="16" t="s">
        <v>130</v>
      </c>
      <c r="E161">
        <v>1.31248044597991E-2</v>
      </c>
      <c r="G161" s="16" t="s">
        <v>213</v>
      </c>
      <c r="H161">
        <v>3.7576299373712534E-2</v>
      </c>
    </row>
    <row r="162" spans="1:8" x14ac:dyDescent="0.25">
      <c r="A162" s="16" t="s">
        <v>222</v>
      </c>
      <c r="B162">
        <v>1.5935299346133882E-2</v>
      </c>
      <c r="D162" s="16" t="s">
        <v>149</v>
      </c>
      <c r="E162">
        <v>1.216201868236984E-2</v>
      </c>
      <c r="G162" s="16" t="s">
        <v>194</v>
      </c>
      <c r="H162">
        <v>3.727990598117592E-2</v>
      </c>
    </row>
    <row r="163" spans="1:8" x14ac:dyDescent="0.25">
      <c r="A163" s="16" t="s">
        <v>154</v>
      </c>
      <c r="B163">
        <v>1.5775576731341411E-2</v>
      </c>
      <c r="D163" s="16" t="s">
        <v>198</v>
      </c>
      <c r="E163">
        <v>6.4374588062056926E-3</v>
      </c>
      <c r="G163" s="16" t="s">
        <v>163</v>
      </c>
      <c r="H163">
        <v>3.7070947383028158E-2</v>
      </c>
    </row>
    <row r="164" spans="1:8" x14ac:dyDescent="0.25">
      <c r="A164" s="16" t="s">
        <v>231</v>
      </c>
      <c r="B164">
        <v>1.3925338273533542E-2</v>
      </c>
      <c r="D164" s="16" t="s">
        <v>200</v>
      </c>
      <c r="E164">
        <v>4.79166372785381E-3</v>
      </c>
      <c r="G164" s="16" t="s">
        <v>214</v>
      </c>
      <c r="H164">
        <v>3.5720366071549978E-2</v>
      </c>
    </row>
    <row r="165" spans="1:8" x14ac:dyDescent="0.25">
      <c r="A165" s="16" t="s">
        <v>248</v>
      </c>
      <c r="B165">
        <v>1.3094064557253754E-2</v>
      </c>
      <c r="D165" s="16" t="s">
        <v>94</v>
      </c>
      <c r="E165">
        <v>2.6699363415205574E-3</v>
      </c>
      <c r="G165" s="16" t="s">
        <v>138</v>
      </c>
      <c r="H165">
        <v>3.5699843181333027E-2</v>
      </c>
    </row>
    <row r="166" spans="1:8" x14ac:dyDescent="0.25">
      <c r="A166" s="16" t="s">
        <v>227</v>
      </c>
      <c r="B166">
        <v>1.2881192992962306E-2</v>
      </c>
      <c r="D166" s="16" t="s">
        <v>5</v>
      </c>
      <c r="E166">
        <v>9.6525150816530528E-4</v>
      </c>
      <c r="G166" s="16" t="s">
        <v>230</v>
      </c>
      <c r="H166">
        <v>3.5620647907665122E-2</v>
      </c>
    </row>
    <row r="167" spans="1:8" x14ac:dyDescent="0.25">
      <c r="A167" s="16" t="s">
        <v>109</v>
      </c>
      <c r="B167">
        <v>1.2488534495661596E-2</v>
      </c>
      <c r="D167" s="58" t="s">
        <v>75</v>
      </c>
      <c r="E167">
        <v>-1.5328717815179854E-3</v>
      </c>
      <c r="G167" s="16" t="s">
        <v>144</v>
      </c>
      <c r="H167">
        <v>3.5460270952769678E-2</v>
      </c>
    </row>
    <row r="168" spans="1:8" x14ac:dyDescent="0.25">
      <c r="A168" s="16" t="s">
        <v>238</v>
      </c>
      <c r="B168">
        <v>1.1800521217684242E-2</v>
      </c>
      <c r="D168" s="16" t="s">
        <v>1</v>
      </c>
      <c r="E168">
        <v>-3.7165232221231075E-3</v>
      </c>
      <c r="G168" s="16" t="s">
        <v>11</v>
      </c>
      <c r="H168">
        <v>3.5450834241051221E-2</v>
      </c>
    </row>
    <row r="169" spans="1:8" x14ac:dyDescent="0.25">
      <c r="A169" s="16" t="s">
        <v>129</v>
      </c>
      <c r="B169">
        <v>1.1050359122183136E-2</v>
      </c>
      <c r="D169" s="16" t="s">
        <v>148</v>
      </c>
      <c r="E169">
        <v>-4.3307088190621705E-3</v>
      </c>
      <c r="G169" s="16" t="s">
        <v>175</v>
      </c>
      <c r="H169">
        <v>3.5436631280496761E-2</v>
      </c>
    </row>
    <row r="170" spans="1:8" x14ac:dyDescent="0.25">
      <c r="A170" s="16" t="s">
        <v>132</v>
      </c>
      <c r="B170">
        <v>1.0810274073042973E-2</v>
      </c>
      <c r="D170" s="16" t="s">
        <v>150</v>
      </c>
      <c r="E170">
        <v>-5.5779711034093654E-3</v>
      </c>
      <c r="G170" s="16" t="s">
        <v>178</v>
      </c>
      <c r="H170">
        <v>3.412008479416094E-2</v>
      </c>
    </row>
    <row r="171" spans="1:8" x14ac:dyDescent="0.25">
      <c r="A171" s="16" t="s">
        <v>96</v>
      </c>
      <c r="B171">
        <v>1.0637517451400791E-2</v>
      </c>
      <c r="D171" s="16" t="s">
        <v>188</v>
      </c>
      <c r="E171">
        <v>-6.6339672891035503E-3</v>
      </c>
      <c r="G171" s="16" t="s">
        <v>166</v>
      </c>
      <c r="H171">
        <v>3.3618387819837371E-2</v>
      </c>
    </row>
    <row r="172" spans="1:8" x14ac:dyDescent="0.25">
      <c r="A172" s="16" t="s">
        <v>1</v>
      </c>
      <c r="B172">
        <v>9.6265156377464099E-3</v>
      </c>
      <c r="D172" s="16" t="s">
        <v>170</v>
      </c>
      <c r="E172">
        <v>-7.0768247460040387E-3</v>
      </c>
      <c r="G172" s="16" t="s">
        <v>147</v>
      </c>
      <c r="H172">
        <v>3.3477159625189094E-2</v>
      </c>
    </row>
    <row r="173" spans="1:8" x14ac:dyDescent="0.25">
      <c r="A173" s="16" t="s">
        <v>107</v>
      </c>
      <c r="B173">
        <v>8.2916541891710476E-3</v>
      </c>
      <c r="D173" s="16" t="s">
        <v>171</v>
      </c>
      <c r="E173">
        <v>-8.2601601278433929E-3</v>
      </c>
      <c r="G173" s="16" t="s">
        <v>1</v>
      </c>
      <c r="H173">
        <v>3.2740133635091422E-2</v>
      </c>
    </row>
    <row r="174" spans="1:8" x14ac:dyDescent="0.25">
      <c r="A174" s="16" t="s">
        <v>249</v>
      </c>
      <c r="B174">
        <v>8.1019934343499692E-3</v>
      </c>
      <c r="D174" s="16" t="s">
        <v>187</v>
      </c>
      <c r="E174">
        <v>-8.6756382955285056E-3</v>
      </c>
      <c r="G174" s="16" t="s">
        <v>228</v>
      </c>
      <c r="H174">
        <v>3.2533080166982274E-2</v>
      </c>
    </row>
    <row r="175" spans="1:8" x14ac:dyDescent="0.25">
      <c r="A175" s="16" t="s">
        <v>103</v>
      </c>
      <c r="B175">
        <v>7.791301150006094E-3</v>
      </c>
      <c r="D175" s="16" t="s">
        <v>248</v>
      </c>
      <c r="E175">
        <v>-1.0716241910505346E-2</v>
      </c>
      <c r="G175" s="16" t="s">
        <v>252</v>
      </c>
      <c r="H175">
        <v>3.2211829890742338E-2</v>
      </c>
    </row>
    <row r="176" spans="1:8" x14ac:dyDescent="0.25">
      <c r="A176" s="16" t="s">
        <v>149</v>
      </c>
      <c r="B176">
        <v>5.8286964247548177E-3</v>
      </c>
      <c r="D176" s="16" t="s">
        <v>177</v>
      </c>
      <c r="E176">
        <v>-1.5052221037948023E-2</v>
      </c>
      <c r="G176" s="16" t="s">
        <v>189</v>
      </c>
      <c r="H176">
        <v>3.1906420932722043E-2</v>
      </c>
    </row>
    <row r="177" spans="1:8" x14ac:dyDescent="0.25">
      <c r="A177" s="16" t="s">
        <v>90</v>
      </c>
      <c r="B177">
        <v>5.7477637806262402E-3</v>
      </c>
      <c r="D177" s="16" t="s">
        <v>0</v>
      </c>
      <c r="E177">
        <v>-1.8132278602290098E-2</v>
      </c>
      <c r="G177" s="16" t="s">
        <v>148</v>
      </c>
      <c r="H177">
        <v>3.1803290959432642E-2</v>
      </c>
    </row>
    <row r="178" spans="1:8" x14ac:dyDescent="0.25">
      <c r="A178" s="16" t="s">
        <v>93</v>
      </c>
      <c r="B178">
        <v>5.449086520173731E-3</v>
      </c>
      <c r="D178" s="16" t="s">
        <v>182</v>
      </c>
      <c r="E178">
        <v>-2.1331529449732919E-2</v>
      </c>
      <c r="G178" s="16" t="s">
        <v>212</v>
      </c>
      <c r="H178">
        <v>3.1697936244855118E-2</v>
      </c>
    </row>
    <row r="179" spans="1:8" x14ac:dyDescent="0.25">
      <c r="A179" s="16" t="s">
        <v>121</v>
      </c>
      <c r="B179">
        <v>3.8703045857448413E-3</v>
      </c>
      <c r="D179" s="16" t="s">
        <v>250</v>
      </c>
      <c r="E179">
        <v>-2.1656997046932535E-2</v>
      </c>
      <c r="G179" s="16" t="s">
        <v>237</v>
      </c>
      <c r="H179">
        <v>3.1500775717802937E-2</v>
      </c>
    </row>
    <row r="180" spans="1:8" x14ac:dyDescent="0.25">
      <c r="A180" s="16" t="s">
        <v>108</v>
      </c>
      <c r="B180">
        <v>3.6086237153618271E-3</v>
      </c>
      <c r="D180" s="16" t="s">
        <v>91</v>
      </c>
      <c r="E180">
        <v>-2.4478796614990358E-2</v>
      </c>
      <c r="G180" s="16" t="s">
        <v>226</v>
      </c>
      <c r="H180">
        <v>3.06643741989618E-2</v>
      </c>
    </row>
    <row r="181" spans="1:8" x14ac:dyDescent="0.25">
      <c r="A181" s="16" t="s">
        <v>200</v>
      </c>
      <c r="B181">
        <v>3.4606670950215043E-3</v>
      </c>
      <c r="D181" s="16" t="s">
        <v>209</v>
      </c>
      <c r="E181">
        <v>-2.562418321619005E-2</v>
      </c>
      <c r="G181" s="16" t="s">
        <v>224</v>
      </c>
      <c r="H181">
        <v>3.0018774072275815E-2</v>
      </c>
    </row>
    <row r="182" spans="1:8" x14ac:dyDescent="0.25">
      <c r="A182" s="16" t="s">
        <v>9</v>
      </c>
      <c r="B182">
        <v>2.9148900122102799E-3</v>
      </c>
      <c r="D182" s="16" t="s">
        <v>176</v>
      </c>
      <c r="E182">
        <v>-2.8415618762972328E-2</v>
      </c>
      <c r="G182" s="16" t="s">
        <v>133</v>
      </c>
      <c r="H182">
        <v>2.9748509764588545E-2</v>
      </c>
    </row>
    <row r="183" spans="1:8" x14ac:dyDescent="0.25">
      <c r="A183" s="16" t="s">
        <v>10</v>
      </c>
      <c r="B183">
        <v>2.9145415651048545E-3</v>
      </c>
      <c r="D183" s="16" t="s">
        <v>97</v>
      </c>
      <c r="E183">
        <v>-3.2298444069731237E-2</v>
      </c>
      <c r="G183" s="16" t="s">
        <v>125</v>
      </c>
      <c r="H183">
        <v>2.9611821343463969E-2</v>
      </c>
    </row>
    <row r="184" spans="1:8" x14ac:dyDescent="0.25">
      <c r="A184" s="16" t="s">
        <v>148</v>
      </c>
      <c r="B184">
        <v>2.3948367142595196E-3</v>
      </c>
      <c r="D184" s="16" t="s">
        <v>153</v>
      </c>
      <c r="E184">
        <v>-3.9427494778776807E-2</v>
      </c>
      <c r="G184" s="16" t="s">
        <v>227</v>
      </c>
      <c r="H184">
        <v>2.9309276376026264E-2</v>
      </c>
    </row>
    <row r="185" spans="1:8" x14ac:dyDescent="0.25">
      <c r="A185" s="16" t="s">
        <v>195</v>
      </c>
      <c r="B185">
        <v>2.3195684662392605E-3</v>
      </c>
      <c r="D185" s="16" t="s">
        <v>232</v>
      </c>
      <c r="E185">
        <v>-4.7580597657490724E-2</v>
      </c>
      <c r="G185" s="16" t="s">
        <v>219</v>
      </c>
      <c r="H185">
        <v>2.9308570293625567E-2</v>
      </c>
    </row>
    <row r="186" spans="1:8" x14ac:dyDescent="0.25">
      <c r="A186" s="16" t="s">
        <v>118</v>
      </c>
      <c r="B186">
        <v>-1.2990403106892374E-3</v>
      </c>
      <c r="D186" s="16" t="s">
        <v>109</v>
      </c>
      <c r="E186">
        <v>-4.9705076811488981E-2</v>
      </c>
      <c r="G186" s="16" t="s">
        <v>143</v>
      </c>
      <c r="H186">
        <v>2.8632694506619233E-2</v>
      </c>
    </row>
    <row r="187" spans="1:8" x14ac:dyDescent="0.25">
      <c r="A187" s="16" t="s">
        <v>3</v>
      </c>
      <c r="B187">
        <v>-1.4692629754242301E-3</v>
      </c>
      <c r="D187" s="16" t="s">
        <v>89</v>
      </c>
      <c r="E187">
        <v>-5.1279163949186218E-2</v>
      </c>
      <c r="G187" s="16" t="s">
        <v>157</v>
      </c>
      <c r="H187">
        <v>2.8042356993708138E-2</v>
      </c>
    </row>
    <row r="188" spans="1:8" x14ac:dyDescent="0.25">
      <c r="A188" s="16" t="s">
        <v>153</v>
      </c>
      <c r="B188">
        <v>-1.6649749915172269E-3</v>
      </c>
      <c r="D188" s="16" t="s">
        <v>249</v>
      </c>
      <c r="E188">
        <v>-5.4247524032989693E-2</v>
      </c>
      <c r="G188" s="16" t="s">
        <v>179</v>
      </c>
      <c r="H188">
        <v>2.7774051450561339E-2</v>
      </c>
    </row>
    <row r="189" spans="1:8" x14ac:dyDescent="0.25">
      <c r="A189" s="16" t="s">
        <v>243</v>
      </c>
      <c r="B189">
        <v>-2.1089378580010174E-3</v>
      </c>
      <c r="D189" s="16" t="s">
        <v>196</v>
      </c>
      <c r="E189">
        <v>-5.480889076626997E-2</v>
      </c>
      <c r="G189" s="16" t="s">
        <v>201</v>
      </c>
      <c r="H189">
        <v>2.7407731285903118E-2</v>
      </c>
    </row>
    <row r="190" spans="1:8" x14ac:dyDescent="0.25">
      <c r="A190" s="16" t="s">
        <v>100</v>
      </c>
      <c r="B190">
        <v>-3.8854941045475011E-3</v>
      </c>
      <c r="D190" s="16" t="s">
        <v>92</v>
      </c>
      <c r="E190">
        <v>-5.5519673828810935E-2</v>
      </c>
      <c r="G190" s="16" t="s">
        <v>221</v>
      </c>
      <c r="H190">
        <v>2.6330115655067189E-2</v>
      </c>
    </row>
    <row r="191" spans="1:8" x14ac:dyDescent="0.25">
      <c r="A191" s="16" t="s">
        <v>197</v>
      </c>
      <c r="B191">
        <v>-5.3770744998881221E-3</v>
      </c>
      <c r="D191" s="16" t="s">
        <v>90</v>
      </c>
      <c r="E191">
        <v>-6.5443283923590001E-2</v>
      </c>
      <c r="G191" s="16" t="s">
        <v>232</v>
      </c>
      <c r="H191">
        <v>2.419657278796945E-2</v>
      </c>
    </row>
    <row r="192" spans="1:8" x14ac:dyDescent="0.25">
      <c r="A192" s="16" t="s">
        <v>171</v>
      </c>
      <c r="B192">
        <v>-5.5308553812941788E-3</v>
      </c>
      <c r="D192" s="16" t="s">
        <v>118</v>
      </c>
      <c r="E192">
        <v>-6.7726806306953616E-2</v>
      </c>
      <c r="G192" s="16" t="s">
        <v>16</v>
      </c>
      <c r="H192">
        <v>2.4025611155848139E-2</v>
      </c>
    </row>
    <row r="193" spans="1:8" x14ac:dyDescent="0.25">
      <c r="A193" s="16" t="s">
        <v>252</v>
      </c>
      <c r="B193">
        <v>-6.0826109229027451E-3</v>
      </c>
      <c r="D193" s="16" t="s">
        <v>252</v>
      </c>
      <c r="E193">
        <v>-6.815629924538108E-2</v>
      </c>
      <c r="G193" s="16" t="s">
        <v>253</v>
      </c>
      <c r="H193">
        <v>2.4023042867765895E-2</v>
      </c>
    </row>
    <row r="194" spans="1:8" x14ac:dyDescent="0.25">
      <c r="A194" s="16" t="s">
        <v>98</v>
      </c>
      <c r="B194">
        <v>-8.4836521380899886E-3</v>
      </c>
      <c r="D194" s="16" t="s">
        <v>121</v>
      </c>
      <c r="E194">
        <v>-6.8957823981959557E-2</v>
      </c>
      <c r="G194" s="16" t="s">
        <v>173</v>
      </c>
      <c r="H194">
        <v>2.3117370406945531E-2</v>
      </c>
    </row>
    <row r="195" spans="1:8" x14ac:dyDescent="0.25">
      <c r="A195" s="16" t="s">
        <v>250</v>
      </c>
      <c r="B195">
        <v>-9.1405597093755994E-3</v>
      </c>
      <c r="D195" s="16" t="s">
        <v>100</v>
      </c>
      <c r="E195">
        <v>-6.9578685301512969E-2</v>
      </c>
      <c r="G195" s="16" t="s">
        <v>137</v>
      </c>
      <c r="H195">
        <v>2.2983404782450475E-2</v>
      </c>
    </row>
    <row r="196" spans="1:8" x14ac:dyDescent="0.25">
      <c r="A196" s="16" t="s">
        <v>189</v>
      </c>
      <c r="B196">
        <v>-9.5794093141919612E-3</v>
      </c>
      <c r="D196" s="16" t="s">
        <v>234</v>
      </c>
      <c r="E196">
        <v>-7.2035638049747511E-2</v>
      </c>
      <c r="G196" s="16" t="s">
        <v>15</v>
      </c>
      <c r="H196">
        <v>2.1587489460048039E-2</v>
      </c>
    </row>
    <row r="197" spans="1:8" x14ac:dyDescent="0.25">
      <c r="A197" s="16" t="s">
        <v>172</v>
      </c>
      <c r="B197">
        <v>-9.8843197339448796E-3</v>
      </c>
      <c r="D197" s="16" t="s">
        <v>96</v>
      </c>
      <c r="E197">
        <v>-7.5045940800800695E-2</v>
      </c>
      <c r="G197" s="16" t="s">
        <v>251</v>
      </c>
      <c r="H197">
        <v>2.0592281243578408E-2</v>
      </c>
    </row>
    <row r="198" spans="1:8" x14ac:dyDescent="0.25">
      <c r="A198" s="16" t="s">
        <v>234</v>
      </c>
      <c r="B198">
        <v>-1.1297910650508803E-2</v>
      </c>
      <c r="D198" s="16" t="s">
        <v>95</v>
      </c>
      <c r="E198">
        <v>-7.8026235375575029E-2</v>
      </c>
      <c r="G198" s="16" t="s">
        <v>124</v>
      </c>
      <c r="H198">
        <v>2.0587799600848469E-2</v>
      </c>
    </row>
    <row r="199" spans="1:8" x14ac:dyDescent="0.25">
      <c r="A199" s="16" t="s">
        <v>150</v>
      </c>
      <c r="B199">
        <v>-1.2617835543011543E-2</v>
      </c>
      <c r="D199" s="16" t="s">
        <v>107</v>
      </c>
      <c r="E199">
        <v>-8.1099886182257511E-2</v>
      </c>
      <c r="G199" s="16" t="s">
        <v>14</v>
      </c>
      <c r="H199">
        <v>2.0413918350327978E-2</v>
      </c>
    </row>
    <row r="200" spans="1:8" x14ac:dyDescent="0.25">
      <c r="A200" s="16" t="s">
        <v>122</v>
      </c>
      <c r="B200">
        <v>-1.2997259724575593E-2</v>
      </c>
      <c r="D200" s="16" t="s">
        <v>174</v>
      </c>
      <c r="E200">
        <v>-8.5162703158553565E-2</v>
      </c>
      <c r="G200" s="16" t="s">
        <v>145</v>
      </c>
      <c r="H200">
        <v>2.0039878033061127E-2</v>
      </c>
    </row>
    <row r="201" spans="1:8" x14ac:dyDescent="0.25">
      <c r="A201" s="16" t="s">
        <v>182</v>
      </c>
      <c r="B201">
        <v>-1.3057993437166673E-2</v>
      </c>
      <c r="D201" s="16" t="s">
        <v>189</v>
      </c>
      <c r="E201">
        <v>-9.4800832022138071E-2</v>
      </c>
      <c r="G201" s="16" t="s">
        <v>247</v>
      </c>
      <c r="H201">
        <v>1.9437024495214509E-2</v>
      </c>
    </row>
    <row r="202" spans="1:8" x14ac:dyDescent="0.25">
      <c r="A202" s="16" t="s">
        <v>232</v>
      </c>
      <c r="B202">
        <v>-1.4647752378513486E-2</v>
      </c>
      <c r="D202" s="58" t="s">
        <v>78</v>
      </c>
      <c r="E202">
        <v>-9.6506185786341736E-2</v>
      </c>
      <c r="G202" s="16" t="s">
        <v>199</v>
      </c>
      <c r="H202">
        <v>1.7402136466398429E-2</v>
      </c>
    </row>
    <row r="203" spans="1:8" x14ac:dyDescent="0.25">
      <c r="A203" s="16" t="s">
        <v>170</v>
      </c>
      <c r="B203">
        <v>-2.0747713193662826E-2</v>
      </c>
      <c r="D203" s="16" t="s">
        <v>103</v>
      </c>
      <c r="E203">
        <v>-0.10576707461744787</v>
      </c>
      <c r="G203" s="16" t="s">
        <v>197</v>
      </c>
      <c r="H203">
        <v>1.6829470334104511E-2</v>
      </c>
    </row>
    <row r="204" spans="1:8" x14ac:dyDescent="0.25">
      <c r="A204" s="16" t="s">
        <v>112</v>
      </c>
      <c r="B204">
        <v>-2.2230385997415125E-2</v>
      </c>
      <c r="D204" s="16" t="s">
        <v>122</v>
      </c>
      <c r="E204">
        <v>-0.10802425205728376</v>
      </c>
      <c r="G204" s="16" t="s">
        <v>236</v>
      </c>
      <c r="H204">
        <v>1.5386387668699137E-2</v>
      </c>
    </row>
    <row r="205" spans="1:8" x14ac:dyDescent="0.25">
      <c r="A205" s="16" t="s">
        <v>119</v>
      </c>
      <c r="B205">
        <v>-2.9035574279920148E-2</v>
      </c>
      <c r="D205" s="16" t="s">
        <v>243</v>
      </c>
      <c r="E205">
        <v>-0.10981456631489657</v>
      </c>
      <c r="G205" s="16" t="s">
        <v>149</v>
      </c>
      <c r="H205">
        <v>1.5093578532626387E-2</v>
      </c>
    </row>
    <row r="206" spans="1:8" x14ac:dyDescent="0.25">
      <c r="A206" s="16" t="s">
        <v>120</v>
      </c>
      <c r="B206">
        <v>-2.9255418709596026E-2</v>
      </c>
      <c r="D206" s="16" t="s">
        <v>98</v>
      </c>
      <c r="E206">
        <v>-0.11283418209709933</v>
      </c>
      <c r="G206" s="16" t="s">
        <v>131</v>
      </c>
      <c r="H206">
        <v>1.508590210541327E-2</v>
      </c>
    </row>
    <row r="207" spans="1:8" x14ac:dyDescent="0.25">
      <c r="A207" s="16" t="s">
        <v>162</v>
      </c>
      <c r="B207">
        <v>-3.0701493621992232E-2</v>
      </c>
      <c r="D207" s="16" t="s">
        <v>247</v>
      </c>
      <c r="E207">
        <v>-0.12209640391078637</v>
      </c>
      <c r="G207" s="16" t="s">
        <v>231</v>
      </c>
      <c r="H207">
        <v>1.3443313303710137E-2</v>
      </c>
    </row>
    <row r="208" spans="1:8" x14ac:dyDescent="0.25">
      <c r="A208" s="16" t="s">
        <v>99</v>
      </c>
      <c r="B208">
        <v>-3.3327563118189227E-2</v>
      </c>
      <c r="D208" s="16" t="s">
        <v>108</v>
      </c>
      <c r="E208">
        <v>-0.13000274421406627</v>
      </c>
      <c r="G208" s="16" t="s">
        <v>152</v>
      </c>
      <c r="H208">
        <v>1.1956163258906763E-2</v>
      </c>
    </row>
    <row r="209" spans="1:8" x14ac:dyDescent="0.25">
      <c r="A209" s="16" t="s">
        <v>247</v>
      </c>
      <c r="B209">
        <v>-3.4248197065254261E-2</v>
      </c>
      <c r="D209" s="16" t="s">
        <v>112</v>
      </c>
      <c r="E209">
        <v>-0.13061598042200903</v>
      </c>
      <c r="G209" s="16" t="s">
        <v>171</v>
      </c>
      <c r="H209">
        <v>1.17071834326152E-2</v>
      </c>
    </row>
    <row r="210" spans="1:8" x14ac:dyDescent="0.25">
      <c r="A210" s="16" t="s">
        <v>174</v>
      </c>
      <c r="B210">
        <v>-3.4308966459921486E-2</v>
      </c>
      <c r="D210" s="16" t="s">
        <v>253</v>
      </c>
      <c r="E210">
        <v>-0.13776371779228933</v>
      </c>
      <c r="G210" s="16" t="s">
        <v>240</v>
      </c>
      <c r="H210">
        <v>1.1466392038082765E-2</v>
      </c>
    </row>
    <row r="211" spans="1:8" x14ac:dyDescent="0.25">
      <c r="A211" s="16" t="s">
        <v>106</v>
      </c>
      <c r="B211">
        <v>-3.455997501086279E-2</v>
      </c>
      <c r="D211" s="16" t="s">
        <v>120</v>
      </c>
      <c r="E211">
        <v>-0.14011501831517001</v>
      </c>
      <c r="G211" s="16" t="s">
        <v>238</v>
      </c>
      <c r="H211">
        <v>8.7165669219373756E-3</v>
      </c>
    </row>
    <row r="212" spans="1:8" x14ac:dyDescent="0.25">
      <c r="A212" s="16" t="s">
        <v>102</v>
      </c>
      <c r="B212">
        <v>-3.4698863329079246E-2</v>
      </c>
      <c r="D212" s="16" t="s">
        <v>162</v>
      </c>
      <c r="E212">
        <v>-0.14628988188586614</v>
      </c>
      <c r="G212" s="16" t="s">
        <v>250</v>
      </c>
      <c r="H212">
        <v>8.6947446876443676E-3</v>
      </c>
    </row>
    <row r="213" spans="1:8" x14ac:dyDescent="0.25">
      <c r="A213" s="16" t="s">
        <v>111</v>
      </c>
      <c r="B213">
        <v>-3.7842947082441576E-2</v>
      </c>
      <c r="D213" s="16" t="s">
        <v>106</v>
      </c>
      <c r="E213">
        <v>-0.14833880856506002</v>
      </c>
      <c r="G213" s="16" t="s">
        <v>174</v>
      </c>
      <c r="H213">
        <v>7.2202171448743704E-3</v>
      </c>
    </row>
    <row r="214" spans="1:8" x14ac:dyDescent="0.25">
      <c r="A214" s="16" t="s">
        <v>176</v>
      </c>
      <c r="B214">
        <v>-4.0280679465784008E-2</v>
      </c>
      <c r="D214" s="16" t="s">
        <v>93</v>
      </c>
      <c r="E214">
        <v>-0.15046751884227005</v>
      </c>
      <c r="G214" s="16" t="s">
        <v>195</v>
      </c>
      <c r="H214">
        <v>5.5224476010967555E-3</v>
      </c>
    </row>
    <row r="215" spans="1:8" x14ac:dyDescent="0.25">
      <c r="A215" s="16" t="s">
        <v>196</v>
      </c>
      <c r="B215">
        <v>-4.1480780004834544E-2</v>
      </c>
      <c r="D215" s="16" t="s">
        <v>115</v>
      </c>
      <c r="E215">
        <v>-0.16051729438088289</v>
      </c>
      <c r="G215" s="16" t="s">
        <v>154</v>
      </c>
      <c r="H215">
        <v>4.0268138517375127E-3</v>
      </c>
    </row>
    <row r="216" spans="1:8" x14ac:dyDescent="0.25">
      <c r="A216" s="58" t="s">
        <v>78</v>
      </c>
      <c r="B216">
        <v>-4.1493536376028026E-2</v>
      </c>
      <c r="D216" s="16" t="s">
        <v>99</v>
      </c>
      <c r="E216">
        <v>-0.1649126533426194</v>
      </c>
      <c r="G216" s="16" t="s">
        <v>200</v>
      </c>
      <c r="H216">
        <v>3.0141640614680192E-3</v>
      </c>
    </row>
    <row r="217" spans="1:8" x14ac:dyDescent="0.25">
      <c r="A217" s="16" t="s">
        <v>253</v>
      </c>
      <c r="B217">
        <v>-4.2399747742879981E-2</v>
      </c>
      <c r="D217" s="16" t="s">
        <v>119</v>
      </c>
      <c r="E217">
        <v>-0.16741820059790871</v>
      </c>
      <c r="G217" s="16" t="s">
        <v>182</v>
      </c>
      <c r="H217">
        <v>1.9855939826165748E-3</v>
      </c>
    </row>
    <row r="218" spans="1:8" x14ac:dyDescent="0.25">
      <c r="A218" s="16" t="s">
        <v>240</v>
      </c>
      <c r="B218">
        <v>-4.3117040007257343E-2</v>
      </c>
      <c r="D218" s="16" t="s">
        <v>86</v>
      </c>
      <c r="E218">
        <v>-0.17220322982943295</v>
      </c>
      <c r="G218" s="16" t="s">
        <v>172</v>
      </c>
      <c r="H218">
        <v>-4.2963511594157068E-4</v>
      </c>
    </row>
    <row r="219" spans="1:8" x14ac:dyDescent="0.25">
      <c r="A219" s="16" t="s">
        <v>115</v>
      </c>
      <c r="B219">
        <v>-4.3860801351648292E-2</v>
      </c>
      <c r="D219" s="16" t="s">
        <v>111</v>
      </c>
      <c r="E219">
        <v>-0.17688230206260203</v>
      </c>
      <c r="G219" s="16" t="s">
        <v>139</v>
      </c>
      <c r="H219">
        <v>-7.3244795713846983E-4</v>
      </c>
    </row>
    <row r="220" spans="1:8" x14ac:dyDescent="0.25">
      <c r="A220" s="16" t="s">
        <v>101</v>
      </c>
      <c r="B220">
        <v>-4.5143269255420074E-2</v>
      </c>
      <c r="D220" s="16" t="s">
        <v>102</v>
      </c>
      <c r="E220">
        <v>-0.17979561174312039</v>
      </c>
      <c r="G220" s="16" t="s">
        <v>140</v>
      </c>
      <c r="H220">
        <v>-4.6308296509496583E-3</v>
      </c>
    </row>
    <row r="221" spans="1:8" x14ac:dyDescent="0.25">
      <c r="A221" s="16" t="s">
        <v>86</v>
      </c>
      <c r="B221">
        <v>-4.5192811514426431E-2</v>
      </c>
      <c r="D221" s="16" t="s">
        <v>85</v>
      </c>
      <c r="E221">
        <v>-0.18839212008908365</v>
      </c>
      <c r="G221" s="16" t="s">
        <v>208</v>
      </c>
      <c r="H221">
        <v>-5.222612466638619E-3</v>
      </c>
    </row>
    <row r="222" spans="1:8" x14ac:dyDescent="0.25">
      <c r="A222" s="16" t="s">
        <v>105</v>
      </c>
      <c r="B222">
        <v>-4.7043473603337452E-2</v>
      </c>
      <c r="D222" s="16" t="s">
        <v>208</v>
      </c>
      <c r="E222">
        <v>-0.19770988912808893</v>
      </c>
      <c r="G222" s="16" t="s">
        <v>185</v>
      </c>
      <c r="H222">
        <v>-6.168977119251606E-3</v>
      </c>
    </row>
    <row r="223" spans="1:8" x14ac:dyDescent="0.25">
      <c r="A223" s="16" t="s">
        <v>85</v>
      </c>
      <c r="B223">
        <v>-4.7902682953491593E-2</v>
      </c>
      <c r="D223" s="16" t="s">
        <v>110</v>
      </c>
      <c r="E223">
        <v>-0.20535454867952951</v>
      </c>
      <c r="G223" s="16" t="s">
        <v>150</v>
      </c>
      <c r="H223">
        <v>-8.1771210762508154E-3</v>
      </c>
    </row>
    <row r="224" spans="1:8" x14ac:dyDescent="0.25">
      <c r="A224" s="16" t="s">
        <v>117</v>
      </c>
      <c r="B224">
        <v>-5.1420288397067818E-2</v>
      </c>
      <c r="D224" s="16" t="s">
        <v>117</v>
      </c>
      <c r="E224">
        <v>-0.21200396029936899</v>
      </c>
      <c r="G224" s="16" t="s">
        <v>10</v>
      </c>
      <c r="H224">
        <v>-8.4722390676564372E-3</v>
      </c>
    </row>
    <row r="225" spans="1:8" x14ac:dyDescent="0.25">
      <c r="A225" s="16" t="s">
        <v>110</v>
      </c>
      <c r="B225">
        <v>-5.3600573329698864E-2</v>
      </c>
      <c r="D225" s="16" t="s">
        <v>105</v>
      </c>
      <c r="E225">
        <v>-0.21493767308817571</v>
      </c>
      <c r="G225" s="16" t="s">
        <v>132</v>
      </c>
      <c r="H225">
        <v>-8.9645713024500695E-3</v>
      </c>
    </row>
    <row r="226" spans="1:8" x14ac:dyDescent="0.25">
      <c r="A226" s="16" t="s">
        <v>88</v>
      </c>
      <c r="B226">
        <v>-5.6426195508936752E-2</v>
      </c>
      <c r="D226" s="16" t="s">
        <v>114</v>
      </c>
      <c r="E226">
        <v>-0.21510694080232329</v>
      </c>
      <c r="G226" s="16" t="s">
        <v>180</v>
      </c>
      <c r="H226">
        <v>-9.3091216507046569E-3</v>
      </c>
    </row>
    <row r="227" spans="1:8" x14ac:dyDescent="0.25">
      <c r="A227" s="16" t="s">
        <v>175</v>
      </c>
      <c r="B227">
        <v>-5.8523813112772653E-2</v>
      </c>
      <c r="D227" s="16" t="s">
        <v>181</v>
      </c>
      <c r="E227">
        <v>-0.21663141718731641</v>
      </c>
      <c r="G227" s="16" t="s">
        <v>128</v>
      </c>
      <c r="H227">
        <v>-9.3271324814824426E-3</v>
      </c>
    </row>
    <row r="228" spans="1:8" x14ac:dyDescent="0.25">
      <c r="A228" s="16" t="s">
        <v>116</v>
      </c>
      <c r="B228">
        <v>-5.8920617619628725E-2</v>
      </c>
      <c r="D228" s="16" t="s">
        <v>88</v>
      </c>
      <c r="E228">
        <v>-0.2192508417444087</v>
      </c>
      <c r="G228" s="58" t="s">
        <v>78</v>
      </c>
      <c r="H228">
        <v>-1.0951597088716347E-2</v>
      </c>
    </row>
    <row r="229" spans="1:8" x14ac:dyDescent="0.25">
      <c r="A229" s="16" t="s">
        <v>208</v>
      </c>
      <c r="B229">
        <v>-6.6115125632774371E-2</v>
      </c>
      <c r="D229" s="16" t="s">
        <v>175</v>
      </c>
      <c r="E229">
        <v>-0.21973310909489377</v>
      </c>
      <c r="G229" s="16" t="s">
        <v>184</v>
      </c>
      <c r="H229">
        <v>-1.3004050110602742E-2</v>
      </c>
    </row>
    <row r="230" spans="1:8" x14ac:dyDescent="0.25">
      <c r="A230" s="16" t="s">
        <v>114</v>
      </c>
      <c r="B230">
        <v>-6.7224597228967842E-2</v>
      </c>
      <c r="D230" s="16" t="s">
        <v>116</v>
      </c>
      <c r="E230">
        <v>-0.22782493579674282</v>
      </c>
      <c r="G230" s="16" t="s">
        <v>170</v>
      </c>
      <c r="H230">
        <v>-1.3859008324523281E-2</v>
      </c>
    </row>
    <row r="231" spans="1:8" x14ac:dyDescent="0.25">
      <c r="A231" s="16" t="s">
        <v>87</v>
      </c>
      <c r="B231">
        <v>-6.9220378133553973E-2</v>
      </c>
      <c r="D231" s="16" t="s">
        <v>183</v>
      </c>
      <c r="E231">
        <v>-0.23224375571579448</v>
      </c>
      <c r="G231" s="16" t="s">
        <v>222</v>
      </c>
      <c r="H231">
        <v>-1.6169659482014247E-2</v>
      </c>
    </row>
    <row r="232" spans="1:8" x14ac:dyDescent="0.25">
      <c r="A232" s="16" t="s">
        <v>104</v>
      </c>
      <c r="B232">
        <v>-7.0859721604919435E-2</v>
      </c>
      <c r="D232" s="16" t="s">
        <v>101</v>
      </c>
      <c r="E232">
        <v>-0.24533056621940286</v>
      </c>
      <c r="G232" s="16" t="s">
        <v>129</v>
      </c>
      <c r="H232">
        <v>-1.8217203682739783E-2</v>
      </c>
    </row>
    <row r="233" spans="1:8" x14ac:dyDescent="0.25">
      <c r="A233" s="16" t="s">
        <v>181</v>
      </c>
      <c r="B233">
        <v>-7.3700472091963579E-2</v>
      </c>
      <c r="D233" s="16" t="s">
        <v>87</v>
      </c>
      <c r="E233">
        <v>-0.24742815163528206</v>
      </c>
      <c r="G233" s="16" t="s">
        <v>183</v>
      </c>
      <c r="H233">
        <v>-1.9069928651060601E-2</v>
      </c>
    </row>
    <row r="234" spans="1:8" x14ac:dyDescent="0.25">
      <c r="A234" s="16" t="s">
        <v>113</v>
      </c>
      <c r="B234">
        <v>-7.6858534236005194E-2</v>
      </c>
      <c r="D234" s="16" t="s">
        <v>113</v>
      </c>
      <c r="E234">
        <v>-0.25763943534633549</v>
      </c>
      <c r="G234" s="16" t="s">
        <v>196</v>
      </c>
      <c r="H234">
        <v>-2.0528671189363329E-2</v>
      </c>
    </row>
    <row r="235" spans="1:8" x14ac:dyDescent="0.25">
      <c r="A235" s="16" t="s">
        <v>183</v>
      </c>
      <c r="B235">
        <v>-9.1799996492011857E-2</v>
      </c>
      <c r="D235" s="16" t="s">
        <v>104</v>
      </c>
      <c r="E235">
        <v>-0.26552780306185214</v>
      </c>
      <c r="G235" s="16" t="s">
        <v>176</v>
      </c>
      <c r="H235">
        <v>-2.1036882462924837E-2</v>
      </c>
    </row>
    <row r="236" spans="1:8" x14ac:dyDescent="0.25">
      <c r="A236" s="16" t="s">
        <v>185</v>
      </c>
      <c r="B236">
        <v>-0.12308878744173518</v>
      </c>
      <c r="D236" s="16" t="s">
        <v>180</v>
      </c>
      <c r="E236">
        <v>-0.3218824455950019</v>
      </c>
      <c r="G236" s="16" t="s">
        <v>7</v>
      </c>
      <c r="H236">
        <v>-2.1194269772958699E-2</v>
      </c>
    </row>
    <row r="237" spans="1:8" x14ac:dyDescent="0.25">
      <c r="A237" s="16" t="s">
        <v>180</v>
      </c>
      <c r="B237">
        <v>-0.13005898472461624</v>
      </c>
      <c r="D237" s="16" t="s">
        <v>185</v>
      </c>
      <c r="E237">
        <v>-0.33807969951018907</v>
      </c>
      <c r="G237" s="16" t="s">
        <v>3</v>
      </c>
      <c r="H237">
        <v>-2.3364016823054459E-2</v>
      </c>
    </row>
    <row r="238" spans="1:8" x14ac:dyDescent="0.25">
      <c r="A238" s="16" t="s">
        <v>184</v>
      </c>
      <c r="B238">
        <v>-0.13698543660352039</v>
      </c>
      <c r="D238" s="16" t="s">
        <v>184</v>
      </c>
      <c r="E238">
        <v>-0.37820561537625791</v>
      </c>
      <c r="G238" s="16" t="s">
        <v>9</v>
      </c>
      <c r="H238">
        <v>-4.0549591457821763E-2</v>
      </c>
    </row>
  </sheetData>
  <sortState ref="G48:H238">
    <sortCondition descending="1" ref="H48:H238"/>
  </sortState>
  <mergeCells count="8">
    <mergeCell ref="D47:E47"/>
    <mergeCell ref="G47:I47"/>
    <mergeCell ref="A41:B41"/>
    <mergeCell ref="A42:B42"/>
    <mergeCell ref="A43:B43"/>
    <mergeCell ref="A44:B44"/>
    <mergeCell ref="A45:B45"/>
    <mergeCell ref="A47:B4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zoomScale="90" zoomScaleNormal="90" workbookViewId="0">
      <pane ySplit="2" topLeftCell="A3" activePane="bottomLeft" state="frozen"/>
      <selection pane="bottomLeft" activeCell="O28" sqref="O28"/>
    </sheetView>
  </sheetViews>
  <sheetFormatPr defaultRowHeight="15" x14ac:dyDescent="0.25"/>
  <cols>
    <col min="1" max="1" width="12.4257812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2.7109375" bestFit="1" customWidth="1"/>
    <col min="16" max="16" width="12.7109375" bestFit="1" customWidth="1"/>
    <col min="17" max="17" width="12.42578125" bestFit="1" customWidth="1"/>
    <col min="19" max="19" width="12.7109375" bestFit="1" customWidth="1"/>
    <col min="20" max="20" width="12.42578125" bestFit="1" customWidth="1"/>
    <col min="22" max="22" width="10.7109375" customWidth="1"/>
    <col min="23" max="23" width="15" bestFit="1" customWidth="1"/>
    <col min="24" max="24" width="14.42578125" bestFit="1" customWidth="1"/>
    <col min="25" max="25" width="11.85546875" customWidth="1"/>
    <col min="26" max="26" width="14.85546875" bestFit="1" customWidth="1"/>
    <col min="27" max="27" width="14.7109375" bestFit="1" customWidth="1"/>
  </cols>
  <sheetData>
    <row r="1" spans="1:30" ht="80.25" customHeight="1" x14ac:dyDescent="0.25">
      <c r="A1" s="216" t="s">
        <v>655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30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30" s="149" customFormat="1" x14ac:dyDescent="0.25">
      <c r="A3" s="77" t="s">
        <v>148</v>
      </c>
      <c r="B3" s="169">
        <v>3.5769799020000002</v>
      </c>
      <c r="C3" s="52">
        <v>1</v>
      </c>
      <c r="D3" s="170" t="s">
        <v>150</v>
      </c>
      <c r="E3" s="139">
        <v>0.17162627821949139</v>
      </c>
      <c r="F3" s="52">
        <v>1</v>
      </c>
      <c r="G3" s="170" t="s">
        <v>150</v>
      </c>
      <c r="H3" s="139">
        <v>0.18645533750789386</v>
      </c>
      <c r="I3" s="52">
        <v>1</v>
      </c>
      <c r="J3" s="170" t="s">
        <v>150</v>
      </c>
      <c r="K3" s="139">
        <v>0.29761062679430522</v>
      </c>
      <c r="L3" s="52">
        <v>1</v>
      </c>
      <c r="M3" s="17" t="s">
        <v>10</v>
      </c>
      <c r="N3" s="21">
        <v>60.56</v>
      </c>
      <c r="O3" s="48">
        <v>1</v>
      </c>
      <c r="P3" s="17" t="s">
        <v>10</v>
      </c>
      <c r="Q3" s="21">
        <v>68</v>
      </c>
      <c r="R3" s="48">
        <v>1</v>
      </c>
      <c r="S3" s="17" t="s">
        <v>148</v>
      </c>
      <c r="T3" s="21">
        <v>60.87</v>
      </c>
      <c r="U3" s="48">
        <v>1</v>
      </c>
      <c r="V3" s="67" t="s">
        <v>509</v>
      </c>
      <c r="W3" s="62" t="s">
        <v>509</v>
      </c>
      <c r="X3" s="94" t="s">
        <v>509</v>
      </c>
      <c r="Y3" s="67" t="s">
        <v>509</v>
      </c>
      <c r="Z3" s="62" t="s">
        <v>509</v>
      </c>
      <c r="AA3" s="94" t="s">
        <v>509</v>
      </c>
    </row>
    <row r="4" spans="1:30" s="149" customFormat="1" x14ac:dyDescent="0.25">
      <c r="A4" s="77" t="s">
        <v>10</v>
      </c>
      <c r="B4" s="169">
        <v>3.2215754259999998</v>
      </c>
      <c r="C4" s="52">
        <v>2</v>
      </c>
      <c r="D4" s="138" t="s">
        <v>172</v>
      </c>
      <c r="E4" s="139">
        <v>4.8021867640425021E-2</v>
      </c>
      <c r="F4" s="52">
        <v>2</v>
      </c>
      <c r="G4" s="138" t="s">
        <v>172</v>
      </c>
      <c r="H4" s="139">
        <v>5.8109146156121935E-2</v>
      </c>
      <c r="I4" s="52">
        <v>2</v>
      </c>
      <c r="J4" s="138" t="s">
        <v>3</v>
      </c>
      <c r="K4" s="139">
        <v>0.17139911914971559</v>
      </c>
      <c r="L4" s="52">
        <v>2</v>
      </c>
      <c r="M4" s="17" t="s">
        <v>149</v>
      </c>
      <c r="N4" s="21">
        <v>57.75</v>
      </c>
      <c r="O4" s="48">
        <v>2</v>
      </c>
      <c r="P4" s="17" t="s">
        <v>149</v>
      </c>
      <c r="Q4" s="21">
        <v>60</v>
      </c>
      <c r="R4" s="48">
        <v>2</v>
      </c>
      <c r="S4" s="17" t="s">
        <v>10</v>
      </c>
      <c r="T4" s="21">
        <v>56.52</v>
      </c>
      <c r="U4" s="48">
        <v>2</v>
      </c>
      <c r="V4" s="67" t="s">
        <v>509</v>
      </c>
      <c r="W4" s="62" t="s">
        <v>509</v>
      </c>
      <c r="X4" s="94" t="s">
        <v>509</v>
      </c>
      <c r="Y4" s="67" t="s">
        <v>509</v>
      </c>
      <c r="Z4" s="62" t="s">
        <v>509</v>
      </c>
      <c r="AA4" s="94" t="s">
        <v>509</v>
      </c>
    </row>
    <row r="5" spans="1:30" s="149" customFormat="1" x14ac:dyDescent="0.25">
      <c r="A5" s="77" t="s">
        <v>173</v>
      </c>
      <c r="B5" s="169">
        <v>2.6644199340000001</v>
      </c>
      <c r="C5" s="52">
        <v>3</v>
      </c>
      <c r="D5" s="170" t="s">
        <v>10</v>
      </c>
      <c r="E5" s="139">
        <v>-2.8722919498639757E-2</v>
      </c>
      <c r="F5" s="52">
        <v>3</v>
      </c>
      <c r="G5" s="170" t="s">
        <v>10</v>
      </c>
      <c r="H5" s="139">
        <v>-0.11691683404546012</v>
      </c>
      <c r="I5" s="52">
        <v>3</v>
      </c>
      <c r="J5" s="138" t="s">
        <v>172</v>
      </c>
      <c r="K5" s="139">
        <v>0.13774137441439935</v>
      </c>
      <c r="L5" s="52">
        <v>3</v>
      </c>
      <c r="M5" s="17" t="s">
        <v>148</v>
      </c>
      <c r="N5" s="21">
        <v>54.93</v>
      </c>
      <c r="O5" s="48">
        <v>3</v>
      </c>
      <c r="P5" s="17" t="s">
        <v>148</v>
      </c>
      <c r="Q5" s="21">
        <v>56</v>
      </c>
      <c r="R5" s="48">
        <v>3</v>
      </c>
      <c r="S5" s="17" t="s">
        <v>149</v>
      </c>
      <c r="T5" s="21">
        <v>56.52</v>
      </c>
      <c r="U5" s="48">
        <v>2</v>
      </c>
      <c r="V5" s="67" t="s">
        <v>509</v>
      </c>
      <c r="W5" s="62" t="s">
        <v>509</v>
      </c>
      <c r="X5" s="94" t="s">
        <v>509</v>
      </c>
      <c r="Y5" s="67" t="s">
        <v>509</v>
      </c>
      <c r="Z5" s="62" t="s">
        <v>509</v>
      </c>
      <c r="AA5" s="94" t="s">
        <v>509</v>
      </c>
    </row>
    <row r="6" spans="1:30" s="149" customFormat="1" x14ac:dyDescent="0.25">
      <c r="A6" s="77" t="s">
        <v>149</v>
      </c>
      <c r="B6" s="169">
        <v>2.427563616</v>
      </c>
      <c r="C6" s="52">
        <v>4</v>
      </c>
      <c r="D6" s="170" t="s">
        <v>148</v>
      </c>
      <c r="E6" s="139">
        <v>-8.5348318788285929E-2</v>
      </c>
      <c r="F6" s="52">
        <v>4</v>
      </c>
      <c r="G6" s="138" t="s">
        <v>163</v>
      </c>
      <c r="H6" s="139">
        <v>-0.14205843148260389</v>
      </c>
      <c r="I6" s="52">
        <v>4</v>
      </c>
      <c r="J6" s="170" t="s">
        <v>149</v>
      </c>
      <c r="K6" s="139">
        <v>6.1191680616242056E-2</v>
      </c>
      <c r="L6" s="52">
        <v>4</v>
      </c>
      <c r="M6" s="17" t="s">
        <v>150</v>
      </c>
      <c r="N6" s="21">
        <v>53.52</v>
      </c>
      <c r="O6" s="48">
        <v>4</v>
      </c>
      <c r="P6" s="17" t="s">
        <v>150</v>
      </c>
      <c r="Q6" s="21">
        <v>56</v>
      </c>
      <c r="R6" s="48">
        <v>3</v>
      </c>
      <c r="S6" s="17" t="s">
        <v>150</v>
      </c>
      <c r="T6" s="21">
        <v>52.17</v>
      </c>
      <c r="U6" s="48">
        <v>3</v>
      </c>
      <c r="V6" s="67" t="s">
        <v>509</v>
      </c>
      <c r="W6" s="62" t="s">
        <v>509</v>
      </c>
      <c r="X6" s="94" t="s">
        <v>509</v>
      </c>
      <c r="Y6" s="67" t="s">
        <v>509</v>
      </c>
      <c r="Z6" s="62" t="s">
        <v>509</v>
      </c>
      <c r="AA6" s="94" t="s">
        <v>509</v>
      </c>
    </row>
    <row r="7" spans="1:30" s="149" customFormat="1" x14ac:dyDescent="0.25">
      <c r="A7" s="77" t="s">
        <v>150</v>
      </c>
      <c r="B7" s="169">
        <v>1.958535023</v>
      </c>
      <c r="C7" s="52">
        <v>5</v>
      </c>
      <c r="D7" s="170" t="s">
        <v>149</v>
      </c>
      <c r="E7" s="139">
        <v>-8.5614804834406949E-2</v>
      </c>
      <c r="F7" s="52">
        <v>4</v>
      </c>
      <c r="G7" s="170" t="s">
        <v>148</v>
      </c>
      <c r="H7" s="139">
        <v>-0.16361072900532439</v>
      </c>
      <c r="I7" s="52">
        <v>5</v>
      </c>
      <c r="J7" s="170" t="s">
        <v>10</v>
      </c>
      <c r="K7" s="139">
        <v>5.1299401824723624E-2</v>
      </c>
      <c r="L7" s="52">
        <v>5</v>
      </c>
      <c r="M7" s="17" t="s">
        <v>172</v>
      </c>
      <c r="N7" s="21">
        <v>39.44</v>
      </c>
      <c r="O7" s="48">
        <v>5</v>
      </c>
      <c r="P7" s="17" t="s">
        <v>3</v>
      </c>
      <c r="Q7" s="21">
        <v>52</v>
      </c>
      <c r="R7" s="48">
        <v>4</v>
      </c>
      <c r="S7" s="17" t="s">
        <v>173</v>
      </c>
      <c r="T7" s="21">
        <v>43.48</v>
      </c>
      <c r="U7" s="48">
        <v>4</v>
      </c>
      <c r="V7" s="67" t="s">
        <v>509</v>
      </c>
      <c r="W7" s="62" t="s">
        <v>509</v>
      </c>
      <c r="X7" s="94" t="s">
        <v>509</v>
      </c>
      <c r="Y7" s="67" t="s">
        <v>509</v>
      </c>
      <c r="Z7" s="62" t="s">
        <v>509</v>
      </c>
      <c r="AA7" s="94" t="s">
        <v>509</v>
      </c>
    </row>
    <row r="8" spans="1:30" s="149" customFormat="1" x14ac:dyDescent="0.25">
      <c r="A8" s="54" t="s">
        <v>172</v>
      </c>
      <c r="B8" s="166">
        <v>0.4896643054</v>
      </c>
      <c r="C8" s="55">
        <v>6</v>
      </c>
      <c r="D8" s="138" t="s">
        <v>163</v>
      </c>
      <c r="E8" s="139">
        <v>-0.13041458583708648</v>
      </c>
      <c r="F8" s="52">
        <v>5</v>
      </c>
      <c r="G8" s="167" t="s">
        <v>173</v>
      </c>
      <c r="H8" s="165">
        <v>-0.19531731214315989</v>
      </c>
      <c r="I8" s="55">
        <v>6</v>
      </c>
      <c r="J8" s="168" t="s">
        <v>163</v>
      </c>
      <c r="K8" s="165">
        <v>3.2404863563844158E-2</v>
      </c>
      <c r="L8" s="55">
        <v>6</v>
      </c>
      <c r="M8" s="67" t="s">
        <v>3</v>
      </c>
      <c r="N8" s="62">
        <v>39.44</v>
      </c>
      <c r="O8" s="94">
        <v>6</v>
      </c>
      <c r="P8" s="17" t="s">
        <v>173</v>
      </c>
      <c r="Q8" s="21">
        <v>48</v>
      </c>
      <c r="R8" s="48">
        <v>5</v>
      </c>
      <c r="S8" s="17" t="s">
        <v>172</v>
      </c>
      <c r="T8" s="21">
        <v>43.48</v>
      </c>
      <c r="U8" s="48">
        <v>4</v>
      </c>
      <c r="V8" s="67" t="s">
        <v>509</v>
      </c>
      <c r="W8" s="62" t="s">
        <v>509</v>
      </c>
      <c r="X8" s="94" t="s">
        <v>509</v>
      </c>
      <c r="Y8" s="67" t="s">
        <v>509</v>
      </c>
      <c r="Z8" s="62" t="s">
        <v>509</v>
      </c>
      <c r="AA8" s="94" t="s">
        <v>509</v>
      </c>
    </row>
    <row r="9" spans="1:30" s="149" customFormat="1" x14ac:dyDescent="0.25">
      <c r="A9" s="54" t="s">
        <v>163</v>
      </c>
      <c r="B9" s="166">
        <v>0.3197112728</v>
      </c>
      <c r="C9" s="55">
        <v>7</v>
      </c>
      <c r="D9" s="167" t="s">
        <v>173</v>
      </c>
      <c r="E9" s="165">
        <v>-0.18475581072709818</v>
      </c>
      <c r="F9" s="55">
        <v>6</v>
      </c>
      <c r="G9" s="167" t="s">
        <v>149</v>
      </c>
      <c r="H9" s="165">
        <v>-0.21922958662103523</v>
      </c>
      <c r="I9" s="55">
        <v>7</v>
      </c>
      <c r="J9" s="167" t="s">
        <v>148</v>
      </c>
      <c r="K9" s="165">
        <v>2.544781338399291E-2</v>
      </c>
      <c r="L9" s="55">
        <v>6</v>
      </c>
      <c r="M9" s="67" t="s">
        <v>173</v>
      </c>
      <c r="N9" s="62">
        <v>36.619999999999997</v>
      </c>
      <c r="O9" s="94">
        <v>7</v>
      </c>
      <c r="P9" s="67" t="s">
        <v>172</v>
      </c>
      <c r="Q9" s="62">
        <v>44</v>
      </c>
      <c r="R9" s="94">
        <v>6</v>
      </c>
      <c r="S9" s="17" t="s">
        <v>3</v>
      </c>
      <c r="T9" s="21">
        <v>39.130000000000003</v>
      </c>
      <c r="U9" s="48">
        <v>5</v>
      </c>
      <c r="V9" s="67" t="s">
        <v>509</v>
      </c>
      <c r="W9" s="62" t="s">
        <v>509</v>
      </c>
      <c r="X9" s="94" t="s">
        <v>509</v>
      </c>
      <c r="Y9" s="67" t="s">
        <v>509</v>
      </c>
      <c r="Z9" s="62" t="s">
        <v>509</v>
      </c>
      <c r="AA9" s="94" t="s">
        <v>509</v>
      </c>
    </row>
    <row r="10" spans="1:30" s="149" customFormat="1" x14ac:dyDescent="0.25">
      <c r="A10" s="54" t="s">
        <v>3</v>
      </c>
      <c r="B10" s="166">
        <v>0.2205593961</v>
      </c>
      <c r="C10" s="55">
        <v>8</v>
      </c>
      <c r="D10" s="168" t="s">
        <v>3</v>
      </c>
      <c r="E10" s="165">
        <v>-0.48058894545065495</v>
      </c>
      <c r="F10" s="55">
        <v>7</v>
      </c>
      <c r="G10" s="168" t="s">
        <v>3</v>
      </c>
      <c r="H10" s="165">
        <v>-0.42827790054883785</v>
      </c>
      <c r="I10" s="55">
        <v>8</v>
      </c>
      <c r="J10" s="167" t="s">
        <v>173</v>
      </c>
      <c r="K10" s="165">
        <v>-9.5804890374490789E-2</v>
      </c>
      <c r="L10" s="55">
        <v>7</v>
      </c>
      <c r="M10" s="67" t="s">
        <v>163</v>
      </c>
      <c r="N10" s="62">
        <v>28.17</v>
      </c>
      <c r="O10" s="94">
        <v>8</v>
      </c>
      <c r="P10" s="67" t="s">
        <v>163</v>
      </c>
      <c r="Q10" s="62">
        <v>36</v>
      </c>
      <c r="R10" s="94">
        <v>7</v>
      </c>
      <c r="S10" s="67" t="s">
        <v>163</v>
      </c>
      <c r="T10" s="62">
        <v>30.43</v>
      </c>
      <c r="U10" s="94">
        <v>6</v>
      </c>
      <c r="V10" s="67" t="s">
        <v>509</v>
      </c>
      <c r="W10" s="62" t="s">
        <v>509</v>
      </c>
      <c r="X10" s="94" t="s">
        <v>509</v>
      </c>
      <c r="Y10" s="67" t="s">
        <v>509</v>
      </c>
      <c r="Z10" s="62" t="s">
        <v>509</v>
      </c>
      <c r="AA10" s="94" t="s">
        <v>509</v>
      </c>
    </row>
    <row r="11" spans="1:30" x14ac:dyDescent="0.25">
      <c r="A11" s="3"/>
      <c r="B11" s="2"/>
      <c r="C11" s="4"/>
      <c r="D11" s="150"/>
      <c r="E11" s="36"/>
      <c r="F11" s="53"/>
      <c r="G11" s="150"/>
      <c r="H11" s="36"/>
      <c r="I11" s="53"/>
      <c r="J11" s="150"/>
      <c r="K11" s="36"/>
      <c r="L11" s="53"/>
      <c r="M11" s="3"/>
      <c r="N11" s="2"/>
      <c r="O11" s="4"/>
      <c r="P11" s="3"/>
      <c r="Q11" s="2"/>
      <c r="R11" s="4"/>
      <c r="S11" s="3"/>
      <c r="T11" s="2"/>
      <c r="U11" s="4"/>
      <c r="V11" s="3"/>
      <c r="W11" s="2"/>
      <c r="X11" s="4"/>
      <c r="Y11" s="3"/>
      <c r="Z11" s="2"/>
      <c r="AA11" s="4"/>
    </row>
    <row r="12" spans="1:30" ht="15.75" thickBot="1" x14ac:dyDescent="0.3">
      <c r="A12" s="197" t="s">
        <v>20</v>
      </c>
      <c r="B12" s="198"/>
      <c r="C12" s="199"/>
      <c r="D12" s="197" t="s">
        <v>20</v>
      </c>
      <c r="E12" s="198"/>
      <c r="F12" s="199"/>
      <c r="G12" s="197" t="s">
        <v>20</v>
      </c>
      <c r="H12" s="198"/>
      <c r="I12" s="199"/>
      <c r="J12" s="197" t="s">
        <v>20</v>
      </c>
      <c r="K12" s="198"/>
      <c r="L12" s="199"/>
      <c r="M12" s="197" t="s">
        <v>20</v>
      </c>
      <c r="N12" s="198"/>
      <c r="O12" s="199"/>
      <c r="P12" s="197" t="s">
        <v>20</v>
      </c>
      <c r="Q12" s="198"/>
      <c r="R12" s="199"/>
      <c r="S12" s="197" t="s">
        <v>20</v>
      </c>
      <c r="T12" s="198"/>
      <c r="U12" s="199"/>
      <c r="V12" s="197" t="s">
        <v>20</v>
      </c>
      <c r="W12" s="198"/>
      <c r="X12" s="199"/>
      <c r="Y12" s="197" t="s">
        <v>20</v>
      </c>
      <c r="Z12" s="198"/>
      <c r="AA12" s="199"/>
    </row>
    <row r="13" spans="1:30" x14ac:dyDescent="0.25">
      <c r="A13" s="12"/>
      <c r="B13" s="36"/>
      <c r="C13" s="12"/>
      <c r="D13" s="151"/>
      <c r="E13" s="36"/>
      <c r="F13" s="12"/>
      <c r="G13" s="151"/>
      <c r="H13" s="36"/>
      <c r="I13" s="12"/>
      <c r="J13" s="163"/>
      <c r="K13" s="36"/>
      <c r="L13" s="12"/>
    </row>
    <row r="14" spans="1:30" ht="15.75" thickBot="1" x14ac:dyDescent="0.3">
      <c r="A14" s="12"/>
      <c r="B14" s="36"/>
      <c r="C14" s="12"/>
      <c r="D14" s="163"/>
      <c r="E14" s="36"/>
      <c r="F14" s="12"/>
      <c r="G14" s="151"/>
      <c r="H14" s="36"/>
      <c r="I14" s="12"/>
      <c r="J14" s="151"/>
      <c r="K14" s="36"/>
      <c r="L14" s="12"/>
    </row>
    <row r="15" spans="1:30" ht="15.75" thickBot="1" x14ac:dyDescent="0.3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224" t="s">
        <v>417</v>
      </c>
      <c r="R15" s="225"/>
      <c r="S15" s="61"/>
      <c r="T15" s="61"/>
      <c r="U15" s="61"/>
      <c r="V15" s="61"/>
      <c r="W15" s="61"/>
      <c r="X15" s="61"/>
      <c r="Y15" s="64"/>
      <c r="Z15" s="64"/>
      <c r="AA15" s="64"/>
      <c r="AB15" s="64"/>
      <c r="AC15" s="64"/>
      <c r="AD15" s="64"/>
    </row>
    <row r="16" spans="1:30" x14ac:dyDescent="0.25">
      <c r="A16" s="221" t="s">
        <v>416</v>
      </c>
      <c r="B16" s="222"/>
      <c r="C16" s="222"/>
      <c r="D16" s="222"/>
      <c r="E16" s="222"/>
      <c r="F16" s="222"/>
      <c r="G16" s="222"/>
      <c r="H16" s="222"/>
      <c r="I16" s="222"/>
      <c r="J16" s="222"/>
      <c r="K16" s="222"/>
      <c r="L16" s="223"/>
      <c r="M16" s="228" t="s">
        <v>418</v>
      </c>
      <c r="N16" s="229"/>
      <c r="O16" s="230"/>
      <c r="Q16" s="226"/>
      <c r="R16" s="227"/>
    </row>
    <row r="17" spans="1:30" ht="75" x14ac:dyDescent="0.25">
      <c r="A17" s="5" t="s">
        <v>30</v>
      </c>
      <c r="B17" s="6" t="s">
        <v>29</v>
      </c>
      <c r="C17" s="6" t="s">
        <v>31</v>
      </c>
      <c r="D17" s="6" t="s">
        <v>32</v>
      </c>
      <c r="E17" s="6" t="s">
        <v>33</v>
      </c>
      <c r="F17" s="6" t="s">
        <v>34</v>
      </c>
      <c r="G17" s="6" t="s">
        <v>35</v>
      </c>
      <c r="H17" s="6" t="s">
        <v>36</v>
      </c>
      <c r="I17" s="6" t="s">
        <v>271</v>
      </c>
      <c r="J17" s="6" t="s">
        <v>37</v>
      </c>
      <c r="K17" s="70" t="s">
        <v>38</v>
      </c>
      <c r="L17" s="66" t="s">
        <v>39</v>
      </c>
      <c r="M17" s="5" t="s">
        <v>30</v>
      </c>
      <c r="N17" s="70" t="s">
        <v>419</v>
      </c>
      <c r="O17" s="148" t="s">
        <v>420</v>
      </c>
      <c r="Q17" s="65" t="s">
        <v>21</v>
      </c>
      <c r="R17" s="66" t="s">
        <v>273</v>
      </c>
      <c r="T17" s="63" t="s">
        <v>21</v>
      </c>
      <c r="U17" s="49" t="s">
        <v>407</v>
      </c>
      <c r="V17" s="49" t="s">
        <v>408</v>
      </c>
      <c r="W17" s="49" t="s">
        <v>409</v>
      </c>
      <c r="X17" s="49" t="s">
        <v>410</v>
      </c>
      <c r="Y17" s="49" t="s">
        <v>411</v>
      </c>
      <c r="Z17" s="49" t="s">
        <v>412</v>
      </c>
      <c r="AA17" s="49" t="s">
        <v>413</v>
      </c>
      <c r="AB17" s="49" t="s">
        <v>414</v>
      </c>
      <c r="AC17" s="49" t="s">
        <v>415</v>
      </c>
      <c r="AD17" s="49" t="s">
        <v>406</v>
      </c>
    </row>
    <row r="18" spans="1:30" x14ac:dyDescent="0.25">
      <c r="A18" s="77" t="s">
        <v>10</v>
      </c>
      <c r="B18" s="20">
        <v>2</v>
      </c>
      <c r="C18" s="20">
        <v>3</v>
      </c>
      <c r="D18" s="20">
        <v>3</v>
      </c>
      <c r="E18" s="20">
        <v>5</v>
      </c>
      <c r="F18" s="20">
        <v>1</v>
      </c>
      <c r="G18" s="20">
        <v>1</v>
      </c>
      <c r="H18" s="20">
        <v>2</v>
      </c>
      <c r="I18" s="20" t="s">
        <v>509</v>
      </c>
      <c r="J18" s="20" t="s">
        <v>509</v>
      </c>
      <c r="K18" s="20" t="s">
        <v>509</v>
      </c>
      <c r="L18" s="55" t="s">
        <v>509</v>
      </c>
      <c r="M18" s="176" t="s">
        <v>10</v>
      </c>
      <c r="N18" s="174">
        <f t="shared" ref="N18:N25" si="0">SUM(B18:H18)</f>
        <v>17</v>
      </c>
      <c r="O18" s="175">
        <v>1</v>
      </c>
      <c r="Q18" s="105" t="s">
        <v>10</v>
      </c>
      <c r="R18" s="173">
        <v>7</v>
      </c>
      <c r="T18" t="s">
        <v>148</v>
      </c>
      <c r="U18">
        <f>COUNTIF(A3:A7,"metacell-74")</f>
        <v>1</v>
      </c>
      <c r="V18">
        <f>COUNTIF(D3:D8,"metacell-74")</f>
        <v>1</v>
      </c>
      <c r="W18">
        <f>COUNTIF(G3:G7,"metacell-74")</f>
        <v>1</v>
      </c>
      <c r="X18">
        <f>COUNTIF(J3:J7,"metacell-74")</f>
        <v>0</v>
      </c>
      <c r="Y18">
        <f>COUNTIF(M3:M7,"metacell-74")</f>
        <v>1</v>
      </c>
      <c r="Z18">
        <f>COUNTIF(P3:P8,"metacell-74")</f>
        <v>1</v>
      </c>
      <c r="AA18">
        <f>COUNTIF(S3:S9,"metacell-74")</f>
        <v>1</v>
      </c>
      <c r="AB18" t="s">
        <v>509</v>
      </c>
      <c r="AC18" t="s">
        <v>509</v>
      </c>
      <c r="AD18">
        <f>SUM(U18:AA18)</f>
        <v>6</v>
      </c>
    </row>
    <row r="19" spans="1:30" x14ac:dyDescent="0.25">
      <c r="A19" s="77" t="s">
        <v>150</v>
      </c>
      <c r="B19" s="20">
        <v>5</v>
      </c>
      <c r="C19" s="20">
        <v>1</v>
      </c>
      <c r="D19" s="20">
        <v>1</v>
      </c>
      <c r="E19" s="20">
        <v>1</v>
      </c>
      <c r="F19" s="20">
        <v>4</v>
      </c>
      <c r="G19" s="20">
        <v>3</v>
      </c>
      <c r="H19" s="20">
        <v>3</v>
      </c>
      <c r="I19" s="20" t="s">
        <v>509</v>
      </c>
      <c r="J19" s="20" t="s">
        <v>509</v>
      </c>
      <c r="K19" s="20" t="s">
        <v>509</v>
      </c>
      <c r="L19" s="55" t="s">
        <v>509</v>
      </c>
      <c r="M19" s="176" t="s">
        <v>150</v>
      </c>
      <c r="N19" s="174">
        <f t="shared" si="0"/>
        <v>18</v>
      </c>
      <c r="O19" s="175">
        <v>2</v>
      </c>
      <c r="Q19" s="105" t="s">
        <v>150</v>
      </c>
      <c r="R19" s="173">
        <v>7</v>
      </c>
      <c r="T19" t="s">
        <v>10</v>
      </c>
      <c r="U19">
        <f>COUNTIF(A3:A7,"metacell-76")</f>
        <v>1</v>
      </c>
      <c r="V19">
        <f>COUNTIF(D3:D8,"metacell-76")</f>
        <v>1</v>
      </c>
      <c r="W19">
        <f>COUNTIF(G3:G7,"metacell-76")</f>
        <v>1</v>
      </c>
      <c r="X19">
        <f>COUNTIF(J3:J7,"metacell-76")</f>
        <v>1</v>
      </c>
      <c r="Y19">
        <f>COUNTIF(M3:M7,"metacell-76")</f>
        <v>1</v>
      </c>
      <c r="Z19">
        <f>COUNTIF(P3:P8,"metacell-76")</f>
        <v>1</v>
      </c>
      <c r="AA19">
        <f>COUNTIF(S3:S9,"metacell-76")</f>
        <v>1</v>
      </c>
      <c r="AB19" t="s">
        <v>509</v>
      </c>
      <c r="AC19" t="s">
        <v>509</v>
      </c>
      <c r="AD19">
        <f t="shared" ref="AD19:AD25" si="1">SUM(U19:AA19)</f>
        <v>7</v>
      </c>
    </row>
    <row r="20" spans="1:30" x14ac:dyDescent="0.25">
      <c r="A20" s="77" t="s">
        <v>148</v>
      </c>
      <c r="B20" s="20">
        <v>1</v>
      </c>
      <c r="C20" s="20">
        <v>4</v>
      </c>
      <c r="D20" s="20">
        <v>5</v>
      </c>
      <c r="E20" s="20">
        <v>6</v>
      </c>
      <c r="F20" s="20">
        <v>3</v>
      </c>
      <c r="G20" s="20">
        <v>3</v>
      </c>
      <c r="H20" s="20">
        <v>1</v>
      </c>
      <c r="I20" s="20" t="s">
        <v>509</v>
      </c>
      <c r="J20" s="20" t="s">
        <v>509</v>
      </c>
      <c r="K20" s="20" t="s">
        <v>509</v>
      </c>
      <c r="L20" s="55" t="s">
        <v>509</v>
      </c>
      <c r="M20" s="176" t="s">
        <v>148</v>
      </c>
      <c r="N20" s="174">
        <f t="shared" si="0"/>
        <v>23</v>
      </c>
      <c r="O20" s="175">
        <v>3</v>
      </c>
      <c r="Q20" s="105" t="s">
        <v>148</v>
      </c>
      <c r="R20" s="173">
        <v>6</v>
      </c>
      <c r="T20" t="s">
        <v>173</v>
      </c>
      <c r="U20">
        <f>COUNTIF(A3:A7,"metacell-107")</f>
        <v>1</v>
      </c>
      <c r="V20">
        <f>COUNTIF(D3:D8,"metacell-107")</f>
        <v>0</v>
      </c>
      <c r="W20">
        <f>COUNTIF(G3:G7,"metacell-107")</f>
        <v>0</v>
      </c>
      <c r="X20">
        <f>COUNTIF(J3:J7,"metacell-107")</f>
        <v>0</v>
      </c>
      <c r="Y20">
        <f>COUNTIF(M3:M7,"metacell-107")</f>
        <v>0</v>
      </c>
      <c r="Z20">
        <f>COUNTIF(P3:P8,"metacell-107")</f>
        <v>1</v>
      </c>
      <c r="AA20">
        <f>COUNTIF(S3:S9,"metacell-107")</f>
        <v>1</v>
      </c>
      <c r="AB20" t="s">
        <v>509</v>
      </c>
      <c r="AC20" t="s">
        <v>509</v>
      </c>
      <c r="AD20">
        <f t="shared" si="1"/>
        <v>3</v>
      </c>
    </row>
    <row r="21" spans="1:30" x14ac:dyDescent="0.25">
      <c r="A21" s="77" t="s">
        <v>149</v>
      </c>
      <c r="B21" s="20">
        <v>4</v>
      </c>
      <c r="C21" s="20">
        <v>4</v>
      </c>
      <c r="D21" s="20">
        <v>7</v>
      </c>
      <c r="E21" s="20">
        <v>4</v>
      </c>
      <c r="F21" s="20">
        <v>2</v>
      </c>
      <c r="G21" s="20">
        <v>2</v>
      </c>
      <c r="H21" s="20">
        <v>2</v>
      </c>
      <c r="I21" s="20" t="s">
        <v>509</v>
      </c>
      <c r="J21" s="20" t="s">
        <v>509</v>
      </c>
      <c r="K21" s="20" t="s">
        <v>509</v>
      </c>
      <c r="L21" s="55" t="s">
        <v>509</v>
      </c>
      <c r="M21" s="176" t="s">
        <v>149</v>
      </c>
      <c r="N21" s="174">
        <f t="shared" si="0"/>
        <v>25</v>
      </c>
      <c r="O21" s="175">
        <v>4</v>
      </c>
      <c r="Q21" s="105" t="s">
        <v>149</v>
      </c>
      <c r="R21" s="173">
        <v>6</v>
      </c>
      <c r="T21" t="s">
        <v>149</v>
      </c>
      <c r="U21">
        <f>COUNTIF(A3:A7,"metacell-75")</f>
        <v>1</v>
      </c>
      <c r="V21">
        <f>COUNTIF(D3:D8,"metacell-75")</f>
        <v>1</v>
      </c>
      <c r="W21">
        <f>COUNTIF(G3:G7,"metacell-75")</f>
        <v>0</v>
      </c>
      <c r="X21">
        <f>COUNTIF(J3:J7,"metacell-75")</f>
        <v>1</v>
      </c>
      <c r="Y21">
        <f>COUNTIF(M3:M7,"metacell-75")</f>
        <v>1</v>
      </c>
      <c r="Z21">
        <f>COUNTIF(P3:P8,"metacell-75")</f>
        <v>1</v>
      </c>
      <c r="AA21">
        <f>COUNTIF(S3:S9,"metacell-75")</f>
        <v>1</v>
      </c>
      <c r="AB21" t="s">
        <v>509</v>
      </c>
      <c r="AC21" t="s">
        <v>509</v>
      </c>
      <c r="AD21">
        <f t="shared" si="1"/>
        <v>6</v>
      </c>
    </row>
    <row r="22" spans="1:30" x14ac:dyDescent="0.25">
      <c r="A22" s="77" t="s">
        <v>172</v>
      </c>
      <c r="B22" s="20">
        <v>6</v>
      </c>
      <c r="C22" s="20">
        <v>2</v>
      </c>
      <c r="D22" s="20">
        <v>2</v>
      </c>
      <c r="E22" s="20">
        <v>3</v>
      </c>
      <c r="F22" s="20">
        <v>5</v>
      </c>
      <c r="G22" s="20">
        <v>6</v>
      </c>
      <c r="H22" s="20">
        <v>4</v>
      </c>
      <c r="I22" s="20" t="s">
        <v>509</v>
      </c>
      <c r="J22" s="20" t="s">
        <v>509</v>
      </c>
      <c r="K22" s="20" t="s">
        <v>509</v>
      </c>
      <c r="L22" s="55" t="s">
        <v>509</v>
      </c>
      <c r="M22" s="176" t="s">
        <v>172</v>
      </c>
      <c r="N22" s="174">
        <f t="shared" si="0"/>
        <v>28</v>
      </c>
      <c r="O22" s="175">
        <v>5</v>
      </c>
      <c r="Q22" s="105" t="s">
        <v>172</v>
      </c>
      <c r="R22" s="173">
        <v>5</v>
      </c>
      <c r="T22" t="s">
        <v>150</v>
      </c>
      <c r="U22">
        <f>COUNTIF(A3:A7,"metacell-77")</f>
        <v>1</v>
      </c>
      <c r="V22">
        <f>COUNTIF(D3:D8,"metacell-77")</f>
        <v>1</v>
      </c>
      <c r="W22">
        <f>COUNTIF(G3:G7,"metacell-77")</f>
        <v>1</v>
      </c>
      <c r="X22">
        <f>COUNTIF(J3:J7,"metacell-77")</f>
        <v>1</v>
      </c>
      <c r="Y22">
        <f>COUNTIF(M3:M7,"metacell-77")</f>
        <v>1</v>
      </c>
      <c r="Z22">
        <f>COUNTIF(P3:P8,"metacell-77")</f>
        <v>1</v>
      </c>
      <c r="AA22">
        <f>COUNTIF(S3:S9,"metacell-77")</f>
        <v>1</v>
      </c>
      <c r="AB22" t="s">
        <v>509</v>
      </c>
      <c r="AC22" t="s">
        <v>509</v>
      </c>
      <c r="AD22">
        <f t="shared" si="1"/>
        <v>7</v>
      </c>
    </row>
    <row r="23" spans="1:30" x14ac:dyDescent="0.25">
      <c r="A23" s="54" t="s">
        <v>173</v>
      </c>
      <c r="B23" s="20">
        <v>3</v>
      </c>
      <c r="C23" s="20">
        <v>6</v>
      </c>
      <c r="D23" s="20">
        <v>6</v>
      </c>
      <c r="E23" s="20">
        <v>7</v>
      </c>
      <c r="F23" s="20">
        <v>7</v>
      </c>
      <c r="G23" s="20">
        <v>5</v>
      </c>
      <c r="H23" s="20">
        <v>4</v>
      </c>
      <c r="I23" s="20" t="s">
        <v>509</v>
      </c>
      <c r="J23" s="20" t="s">
        <v>509</v>
      </c>
      <c r="K23" s="20" t="s">
        <v>509</v>
      </c>
      <c r="L23" s="55" t="s">
        <v>509</v>
      </c>
      <c r="M23" s="54" t="s">
        <v>173</v>
      </c>
      <c r="N23" s="2">
        <f t="shared" si="0"/>
        <v>38</v>
      </c>
      <c r="O23" s="4">
        <v>6</v>
      </c>
      <c r="Q23" s="3" t="s">
        <v>173</v>
      </c>
      <c r="R23" s="4">
        <v>3</v>
      </c>
      <c r="T23" t="s">
        <v>172</v>
      </c>
      <c r="U23">
        <f>COUNTIF(A3:A7,"metacell-106")</f>
        <v>0</v>
      </c>
      <c r="V23">
        <f>COUNTIF(D3:D8,"metacell-106")</f>
        <v>1</v>
      </c>
      <c r="W23">
        <f>COUNTIF(G3:G7,"metacell-106")</f>
        <v>1</v>
      </c>
      <c r="X23">
        <f>COUNTIF(J3:J7,"metacell-106")</f>
        <v>1</v>
      </c>
      <c r="Y23">
        <f>COUNTIF(M3:M7,"metacell-106")</f>
        <v>1</v>
      </c>
      <c r="Z23">
        <f>COUNTIF(P3:P8,"metacell-106")</f>
        <v>0</v>
      </c>
      <c r="AA23">
        <f>COUNTIF(S3:S9,"metacell-106")</f>
        <v>1</v>
      </c>
      <c r="AB23" t="s">
        <v>509</v>
      </c>
      <c r="AC23" t="s">
        <v>509</v>
      </c>
      <c r="AD23">
        <f t="shared" si="1"/>
        <v>5</v>
      </c>
    </row>
    <row r="24" spans="1:30" x14ac:dyDescent="0.25">
      <c r="A24" s="54" t="s">
        <v>3</v>
      </c>
      <c r="B24" s="20">
        <v>8</v>
      </c>
      <c r="C24" s="20">
        <v>7</v>
      </c>
      <c r="D24" s="20">
        <v>8</v>
      </c>
      <c r="E24" s="20">
        <v>2</v>
      </c>
      <c r="F24" s="20">
        <v>6</v>
      </c>
      <c r="G24" s="20">
        <v>4</v>
      </c>
      <c r="H24" s="20">
        <v>5</v>
      </c>
      <c r="I24" s="20" t="s">
        <v>509</v>
      </c>
      <c r="J24" s="20" t="s">
        <v>509</v>
      </c>
      <c r="K24" s="20" t="s">
        <v>509</v>
      </c>
      <c r="L24" s="55" t="s">
        <v>509</v>
      </c>
      <c r="M24" s="54" t="s">
        <v>3</v>
      </c>
      <c r="N24" s="2">
        <f t="shared" si="0"/>
        <v>40</v>
      </c>
      <c r="O24" s="4">
        <v>7</v>
      </c>
      <c r="Q24" s="3" t="s">
        <v>3</v>
      </c>
      <c r="R24" s="4">
        <v>3</v>
      </c>
      <c r="T24" t="s">
        <v>163</v>
      </c>
      <c r="U24">
        <f>COUNTIF(A3:A7,"metacell-97")</f>
        <v>0</v>
      </c>
      <c r="V24">
        <f>COUNTIF(D3:D8,"metacell-97")</f>
        <v>1</v>
      </c>
      <c r="W24">
        <f>COUNTIF(G3:G7,"metacell-97")</f>
        <v>1</v>
      </c>
      <c r="X24">
        <f>COUNTIF(J3:J7,"metacell-97")</f>
        <v>0</v>
      </c>
      <c r="Y24">
        <f>COUNTIF(M3:M7,"metacell-97")</f>
        <v>0</v>
      </c>
      <c r="Z24">
        <f>COUNTIF(P3:P8,"metacell-97")</f>
        <v>0</v>
      </c>
      <c r="AA24">
        <f>COUNTIF(S3:S9,"metacell-97")</f>
        <v>0</v>
      </c>
      <c r="AB24" t="s">
        <v>509</v>
      </c>
      <c r="AC24" t="s">
        <v>509</v>
      </c>
      <c r="AD24">
        <f t="shared" si="1"/>
        <v>2</v>
      </c>
    </row>
    <row r="25" spans="1:30" ht="15.75" thickBot="1" x14ac:dyDescent="0.3">
      <c r="A25" s="107" t="s">
        <v>163</v>
      </c>
      <c r="B25" s="71">
        <v>7</v>
      </c>
      <c r="C25" s="71">
        <v>5</v>
      </c>
      <c r="D25" s="71">
        <v>4</v>
      </c>
      <c r="E25" s="71">
        <v>6</v>
      </c>
      <c r="F25" s="71">
        <v>8</v>
      </c>
      <c r="G25" s="71">
        <v>7</v>
      </c>
      <c r="H25" s="71">
        <v>6</v>
      </c>
      <c r="I25" s="71" t="s">
        <v>509</v>
      </c>
      <c r="J25" s="71" t="s">
        <v>509</v>
      </c>
      <c r="K25" s="71" t="s">
        <v>509</v>
      </c>
      <c r="L25" s="75" t="s">
        <v>509</v>
      </c>
      <c r="M25" s="107" t="s">
        <v>163</v>
      </c>
      <c r="N25" s="11">
        <f t="shared" si="0"/>
        <v>43</v>
      </c>
      <c r="O25" s="69">
        <v>8</v>
      </c>
      <c r="Q25" s="76" t="s">
        <v>163</v>
      </c>
      <c r="R25" s="69">
        <v>2</v>
      </c>
      <c r="T25" t="s">
        <v>3</v>
      </c>
      <c r="U25">
        <f>COUNTIF(A3:A7,"metacell-94")</f>
        <v>0</v>
      </c>
      <c r="V25">
        <f>COUNTIF(D3:D8,"metacell-94")</f>
        <v>0</v>
      </c>
      <c r="W25">
        <f>COUNTIF(G3:G7,"metacell-94")</f>
        <v>0</v>
      </c>
      <c r="X25">
        <f>COUNTIF(J3:J7,"metacell-94")</f>
        <v>1</v>
      </c>
      <c r="Y25">
        <f>COUNTIF(M3:M7,"metacell-94")</f>
        <v>0</v>
      </c>
      <c r="Z25">
        <f>COUNTIF(P3:P8,"metacell-94")</f>
        <v>1</v>
      </c>
      <c r="AA25">
        <f>COUNTIF(S3:S9,"metacell-94")</f>
        <v>1</v>
      </c>
      <c r="AB25" t="s">
        <v>509</v>
      </c>
      <c r="AC25" t="s">
        <v>509</v>
      </c>
      <c r="AD25">
        <f t="shared" si="1"/>
        <v>3</v>
      </c>
    </row>
    <row r="26" spans="1:30" x14ac:dyDescent="0.25">
      <c r="A26" s="20"/>
      <c r="B26" s="166"/>
      <c r="C26" s="20"/>
      <c r="D26" s="171"/>
      <c r="E26" s="166"/>
      <c r="F26" s="20"/>
      <c r="G26" s="171"/>
      <c r="H26" s="166"/>
      <c r="I26" s="20"/>
      <c r="J26" s="171"/>
      <c r="K26" s="166"/>
      <c r="L26" s="12"/>
    </row>
    <row r="27" spans="1:30" x14ac:dyDescent="0.25">
      <c r="A27" s="20"/>
      <c r="B27" s="166"/>
      <c r="C27" s="20"/>
      <c r="D27" s="171"/>
      <c r="E27" s="166"/>
      <c r="F27" s="20"/>
      <c r="G27" s="171"/>
      <c r="H27" s="166"/>
      <c r="I27" s="20"/>
      <c r="J27" s="171"/>
      <c r="K27" s="166"/>
      <c r="L27" s="12"/>
    </row>
    <row r="28" spans="1:30" x14ac:dyDescent="0.25">
      <c r="A28" s="171"/>
      <c r="B28" s="20"/>
      <c r="C28" s="20"/>
      <c r="D28" s="171"/>
      <c r="E28" s="166"/>
      <c r="F28" s="20"/>
      <c r="G28" s="172"/>
      <c r="H28" s="166"/>
      <c r="I28" s="20"/>
      <c r="J28" s="171"/>
      <c r="K28" s="166"/>
      <c r="L28" s="12"/>
    </row>
    <row r="29" spans="1:30" x14ac:dyDescent="0.25">
      <c r="A29" s="67"/>
      <c r="B29" s="149"/>
      <c r="C29" s="20"/>
      <c r="D29" s="171"/>
      <c r="E29" s="166"/>
      <c r="F29" s="12"/>
      <c r="G29" s="151"/>
      <c r="H29" s="36"/>
      <c r="I29" s="12"/>
      <c r="J29" s="151"/>
      <c r="K29" s="36"/>
      <c r="L29" s="12"/>
    </row>
    <row r="30" spans="1:30" x14ac:dyDescent="0.25">
      <c r="A30" s="67"/>
      <c r="B30" s="149"/>
      <c r="C30" s="20"/>
      <c r="D30" s="171"/>
      <c r="E30" s="166"/>
      <c r="F30" s="12"/>
      <c r="G30" s="151"/>
      <c r="H30" s="36"/>
      <c r="I30" s="12"/>
      <c r="J30" s="151"/>
      <c r="K30" s="36"/>
      <c r="L30" s="12"/>
    </row>
    <row r="31" spans="1:30" x14ac:dyDescent="0.25">
      <c r="A31" s="67"/>
      <c r="B31" s="149"/>
      <c r="C31" s="20"/>
      <c r="D31" s="171"/>
      <c r="E31" s="166"/>
      <c r="F31" s="12"/>
      <c r="G31" s="151"/>
      <c r="H31" s="36"/>
      <c r="I31" s="12"/>
      <c r="J31" s="151"/>
      <c r="K31" s="36"/>
      <c r="L31" s="12"/>
    </row>
    <row r="32" spans="1:30" x14ac:dyDescent="0.25">
      <c r="A32" s="67"/>
      <c r="B32" s="149"/>
      <c r="C32" s="20"/>
      <c r="D32" s="171"/>
      <c r="E32" s="166"/>
      <c r="F32" s="12"/>
      <c r="G32" s="151"/>
      <c r="H32" s="36"/>
      <c r="I32" s="12"/>
      <c r="J32" s="151"/>
      <c r="K32" s="36"/>
      <c r="L32" s="12"/>
    </row>
    <row r="33" spans="1:12" x14ac:dyDescent="0.25">
      <c r="A33" s="67"/>
      <c r="B33" s="149"/>
      <c r="C33" s="20"/>
      <c r="D33" s="171"/>
      <c r="E33" s="166"/>
      <c r="F33" s="12"/>
      <c r="G33" s="151"/>
      <c r="H33" s="36"/>
      <c r="I33" s="12"/>
      <c r="J33" s="151"/>
      <c r="K33" s="36"/>
      <c r="L33" s="12"/>
    </row>
    <row r="34" spans="1:12" x14ac:dyDescent="0.25">
      <c r="A34" s="67"/>
      <c r="B34" s="149"/>
      <c r="C34" s="20"/>
      <c r="D34" s="171"/>
      <c r="E34" s="166"/>
      <c r="F34" s="12"/>
      <c r="G34" s="151"/>
      <c r="H34" s="36"/>
      <c r="I34" s="12"/>
      <c r="J34" s="151"/>
      <c r="K34" s="36"/>
      <c r="L34" s="12"/>
    </row>
    <row r="35" spans="1:12" x14ac:dyDescent="0.25">
      <c r="A35" s="67"/>
      <c r="B35" s="149"/>
      <c r="C35" s="20"/>
      <c r="D35" s="171"/>
      <c r="E35" s="166"/>
      <c r="F35" s="12"/>
      <c r="G35" s="151"/>
      <c r="H35" s="36"/>
      <c r="I35" s="12"/>
      <c r="J35" s="151"/>
      <c r="K35" s="36"/>
      <c r="L35" s="12"/>
    </row>
    <row r="36" spans="1:12" x14ac:dyDescent="0.25">
      <c r="A36" s="67"/>
      <c r="B36" s="149"/>
      <c r="C36" s="20"/>
      <c r="D36" s="171"/>
      <c r="E36" s="166"/>
      <c r="F36" s="12"/>
      <c r="G36" s="151"/>
      <c r="H36" s="36"/>
      <c r="I36" s="12"/>
      <c r="J36" s="151"/>
      <c r="K36" s="36"/>
      <c r="L36" s="12"/>
    </row>
    <row r="37" spans="1:12" x14ac:dyDescent="0.25">
      <c r="A37" s="20"/>
      <c r="B37" s="166"/>
      <c r="C37" s="20"/>
      <c r="D37" s="171"/>
      <c r="E37" s="166"/>
      <c r="F37" s="12"/>
      <c r="G37" s="151"/>
      <c r="H37" s="36"/>
      <c r="I37" s="12"/>
      <c r="J37" s="151"/>
      <c r="K37" s="36"/>
      <c r="L37" s="12"/>
    </row>
    <row r="38" spans="1:12" x14ac:dyDescent="0.25">
      <c r="A38" s="20"/>
      <c r="B38" s="166"/>
      <c r="C38" s="20"/>
      <c r="D38" s="171"/>
      <c r="E38" s="166"/>
      <c r="F38" s="12"/>
      <c r="G38" s="151"/>
      <c r="H38" s="36"/>
      <c r="I38" s="12"/>
      <c r="J38" s="151"/>
      <c r="K38" s="36"/>
      <c r="L38" s="12"/>
    </row>
    <row r="39" spans="1:12" x14ac:dyDescent="0.25">
      <c r="A39" s="20"/>
      <c r="B39" s="166"/>
      <c r="C39" s="20"/>
      <c r="D39" s="171"/>
      <c r="E39" s="166"/>
      <c r="F39" s="12"/>
      <c r="G39" s="151"/>
      <c r="H39" s="36"/>
      <c r="I39" s="12"/>
      <c r="J39" s="151"/>
      <c r="K39" s="36"/>
      <c r="L39" s="12"/>
    </row>
    <row r="40" spans="1:12" x14ac:dyDescent="0.25">
      <c r="A40" s="20"/>
      <c r="B40" s="166"/>
      <c r="C40" s="20"/>
      <c r="D40" s="171"/>
      <c r="E40" s="166"/>
      <c r="F40" s="12"/>
      <c r="G40" s="151"/>
      <c r="H40" s="36"/>
      <c r="I40" s="12"/>
      <c r="J40" s="151"/>
      <c r="K40" s="36"/>
      <c r="L40" s="12"/>
    </row>
    <row r="41" spans="1:12" x14ac:dyDescent="0.25">
      <c r="A41" s="20"/>
      <c r="B41" s="166"/>
      <c r="C41" s="20"/>
      <c r="D41" s="171"/>
      <c r="E41" s="166"/>
      <c r="F41" s="12"/>
      <c r="G41" s="151"/>
      <c r="H41" s="36"/>
      <c r="I41" s="12"/>
      <c r="J41" s="151"/>
      <c r="K41" s="36"/>
      <c r="L41" s="12"/>
    </row>
    <row r="42" spans="1:12" x14ac:dyDescent="0.25">
      <c r="A42" s="12"/>
      <c r="B42" s="36"/>
      <c r="C42" s="12"/>
      <c r="D42" s="151"/>
      <c r="E42" s="36"/>
      <c r="F42" s="12"/>
      <c r="G42" s="151"/>
      <c r="H42" s="36"/>
      <c r="I42" s="12"/>
      <c r="J42" s="151"/>
      <c r="K42" s="36"/>
      <c r="L42" s="12"/>
    </row>
    <row r="43" spans="1:12" x14ac:dyDescent="0.25">
      <c r="A43" s="20"/>
      <c r="B43" s="36"/>
      <c r="C43" s="12"/>
      <c r="D43" s="151"/>
      <c r="E43" s="36"/>
      <c r="F43" s="12"/>
      <c r="G43" s="151"/>
      <c r="H43" s="36"/>
      <c r="I43" s="12"/>
      <c r="J43" s="151"/>
      <c r="K43" s="36"/>
      <c r="L43" s="12"/>
    </row>
    <row r="44" spans="1:12" x14ac:dyDescent="0.25">
      <c r="A44" s="12"/>
      <c r="B44" s="36"/>
      <c r="C44" s="12"/>
      <c r="D44" s="151"/>
      <c r="E44" s="36"/>
      <c r="F44" s="12"/>
      <c r="G44" s="151"/>
      <c r="H44" s="36"/>
      <c r="I44" s="12"/>
      <c r="J44" s="151"/>
      <c r="K44" s="36"/>
      <c r="L44" s="12"/>
    </row>
    <row r="45" spans="1:12" x14ac:dyDescent="0.25">
      <c r="A45" s="12"/>
      <c r="B45" s="36"/>
      <c r="C45" s="12"/>
      <c r="D45" s="151"/>
      <c r="E45" s="36"/>
      <c r="F45" s="12"/>
      <c r="G45" s="151"/>
      <c r="H45" s="36"/>
      <c r="I45" s="12"/>
      <c r="J45" s="151"/>
      <c r="K45" s="36"/>
      <c r="L45" s="12"/>
    </row>
    <row r="46" spans="1:12" x14ac:dyDescent="0.25">
      <c r="A46" s="12"/>
      <c r="B46" s="36"/>
      <c r="C46" s="12"/>
      <c r="D46" s="151"/>
      <c r="E46" s="36"/>
      <c r="F46" s="12"/>
      <c r="G46" s="151"/>
      <c r="H46" s="36"/>
      <c r="I46" s="12"/>
      <c r="J46" s="151"/>
      <c r="K46" s="36"/>
      <c r="L46" s="12"/>
    </row>
    <row r="47" spans="1:12" x14ac:dyDescent="0.25">
      <c r="A47" s="12"/>
      <c r="B47" s="36"/>
      <c r="C47" s="12"/>
      <c r="D47" s="151"/>
      <c r="E47" s="36"/>
      <c r="F47" s="12"/>
      <c r="G47" s="151"/>
      <c r="H47" s="36"/>
      <c r="I47" s="12"/>
      <c r="J47" s="151"/>
      <c r="K47" s="36"/>
      <c r="L47" s="12"/>
    </row>
    <row r="48" spans="1:12" x14ac:dyDescent="0.25">
      <c r="A48" s="12"/>
      <c r="B48" s="36"/>
      <c r="C48" s="12"/>
      <c r="D48" s="151"/>
      <c r="E48" s="36"/>
      <c r="F48" s="12"/>
      <c r="G48" s="151"/>
      <c r="H48" s="36"/>
      <c r="I48" s="12"/>
      <c r="J48" s="151"/>
      <c r="K48" s="36"/>
      <c r="L48" s="12"/>
    </row>
    <row r="49" spans="1:12" x14ac:dyDescent="0.25">
      <c r="A49" s="12"/>
      <c r="B49" s="36"/>
      <c r="C49" s="12"/>
      <c r="D49" s="151"/>
      <c r="E49" s="36"/>
      <c r="F49" s="12"/>
      <c r="G49" s="151"/>
      <c r="H49" s="36"/>
      <c r="I49" s="12"/>
      <c r="J49" s="151"/>
      <c r="K49" s="36"/>
      <c r="L49" s="12"/>
    </row>
    <row r="50" spans="1:12" x14ac:dyDescent="0.25">
      <c r="A50" s="12"/>
      <c r="B50" s="36"/>
      <c r="C50" s="12"/>
      <c r="D50" s="151"/>
      <c r="E50" s="36"/>
      <c r="F50" s="12"/>
      <c r="G50" s="151"/>
      <c r="H50" s="36"/>
      <c r="I50" s="12"/>
      <c r="J50" s="151"/>
      <c r="K50" s="36"/>
      <c r="L50" s="12"/>
    </row>
    <row r="51" spans="1:12" x14ac:dyDescent="0.25">
      <c r="A51" s="12"/>
      <c r="B51" s="36"/>
      <c r="C51" s="12"/>
      <c r="D51" s="151"/>
      <c r="E51" s="36"/>
      <c r="F51" s="12"/>
      <c r="G51" s="151"/>
      <c r="H51" s="36"/>
      <c r="I51" s="12"/>
      <c r="J51" s="151"/>
      <c r="K51" s="36"/>
      <c r="L51" s="12"/>
    </row>
    <row r="52" spans="1:12" x14ac:dyDescent="0.25">
      <c r="A52" s="12"/>
      <c r="B52" s="36"/>
      <c r="C52" s="12"/>
      <c r="D52" s="151"/>
      <c r="E52" s="36"/>
      <c r="F52" s="12"/>
      <c r="G52" s="151"/>
      <c r="H52" s="36"/>
      <c r="I52" s="12"/>
      <c r="J52" s="151"/>
      <c r="K52" s="36"/>
      <c r="L52" s="12"/>
    </row>
    <row r="53" spans="1:12" x14ac:dyDescent="0.25">
      <c r="A53" s="12"/>
      <c r="B53" s="36"/>
      <c r="C53" s="12"/>
      <c r="D53" s="151"/>
      <c r="E53" s="36"/>
      <c r="F53" s="12"/>
      <c r="G53" s="151"/>
      <c r="H53" s="36"/>
      <c r="I53" s="12"/>
      <c r="J53" s="151"/>
      <c r="K53" s="36"/>
      <c r="L53" s="12"/>
    </row>
    <row r="54" spans="1:12" x14ac:dyDescent="0.25">
      <c r="A54" s="12"/>
      <c r="B54" s="36"/>
      <c r="C54" s="12"/>
      <c r="D54" s="151"/>
      <c r="E54" s="36"/>
      <c r="F54" s="12"/>
      <c r="G54" s="151"/>
      <c r="H54" s="36"/>
      <c r="I54" s="12"/>
      <c r="J54" s="151"/>
      <c r="K54" s="36"/>
      <c r="L54" s="12"/>
    </row>
  </sheetData>
  <sortState ref="Q18:R25">
    <sortCondition descending="1" ref="R18:R25"/>
  </sortState>
  <mergeCells count="21">
    <mergeCell ref="S1:U1"/>
    <mergeCell ref="V1:X1"/>
    <mergeCell ref="Y1:AA1"/>
    <mergeCell ref="A12:C12"/>
    <mergeCell ref="D12:F12"/>
    <mergeCell ref="G12:I12"/>
    <mergeCell ref="J12:L12"/>
    <mergeCell ref="M12:O12"/>
    <mergeCell ref="P12:R12"/>
    <mergeCell ref="S12:U12"/>
    <mergeCell ref="A1:C1"/>
    <mergeCell ref="D1:F1"/>
    <mergeCell ref="G1:I1"/>
    <mergeCell ref="J1:L1"/>
    <mergeCell ref="M1:O1"/>
    <mergeCell ref="P1:R1"/>
    <mergeCell ref="V12:X12"/>
    <mergeCell ref="Y12:AA12"/>
    <mergeCell ref="Q15:R16"/>
    <mergeCell ref="A16:L16"/>
    <mergeCell ref="M16:O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44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N51" sqref="N51"/>
    </sheetView>
  </sheetViews>
  <sheetFormatPr defaultRowHeight="15" x14ac:dyDescent="0.25"/>
  <cols>
    <col min="1" max="1" width="14.5703125" customWidth="1"/>
    <col min="2" max="2" width="29.5703125" customWidth="1"/>
    <col min="3" max="9" width="12.7109375" bestFit="1" customWidth="1"/>
    <col min="10" max="11" width="10.42578125" bestFit="1" customWidth="1"/>
    <col min="12" max="101" width="11.42578125" bestFit="1" customWidth="1"/>
    <col min="102" max="203" width="12.42578125" bestFit="1" customWidth="1"/>
  </cols>
  <sheetData>
    <row r="1" spans="1:203" s="8" customFormat="1" x14ac:dyDescent="0.25">
      <c r="B1" s="8" t="s">
        <v>80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78</v>
      </c>
      <c r="H1" s="9" t="s">
        <v>79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  <c r="O1" s="8" t="s">
        <v>88</v>
      </c>
      <c r="P1" s="8" t="s">
        <v>89</v>
      </c>
      <c r="Q1" s="8" t="s">
        <v>90</v>
      </c>
      <c r="R1" s="8" t="s">
        <v>91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8" t="s">
        <v>99</v>
      </c>
      <c r="AA1" s="8" t="s">
        <v>100</v>
      </c>
      <c r="AB1" s="8" t="s">
        <v>101</v>
      </c>
      <c r="AC1" s="8" t="s">
        <v>102</v>
      </c>
      <c r="AD1" s="8" t="s">
        <v>103</v>
      </c>
      <c r="AE1" s="8" t="s">
        <v>104</v>
      </c>
      <c r="AF1" s="8" t="s">
        <v>105</v>
      </c>
      <c r="AG1" s="8" t="s">
        <v>106</v>
      </c>
      <c r="AH1" s="8" t="s">
        <v>107</v>
      </c>
      <c r="AI1" s="8" t="s">
        <v>108</v>
      </c>
      <c r="AJ1" s="8" t="s">
        <v>109</v>
      </c>
      <c r="AK1" s="8" t="s">
        <v>110</v>
      </c>
      <c r="AL1" s="8" t="s">
        <v>111</v>
      </c>
      <c r="AM1" s="8" t="s">
        <v>112</v>
      </c>
      <c r="AN1" s="8" t="s">
        <v>113</v>
      </c>
      <c r="AO1" s="8" t="s">
        <v>114</v>
      </c>
      <c r="AP1" s="8" t="s">
        <v>115</v>
      </c>
      <c r="AQ1" s="8" t="s">
        <v>116</v>
      </c>
      <c r="AR1" s="8" t="s">
        <v>117</v>
      </c>
      <c r="AS1" s="8" t="s">
        <v>118</v>
      </c>
      <c r="AT1" s="8" t="s">
        <v>119</v>
      </c>
      <c r="AU1" s="8" t="s">
        <v>120</v>
      </c>
      <c r="AV1" s="8" t="s">
        <v>121</v>
      </c>
      <c r="AW1" s="8" t="s">
        <v>122</v>
      </c>
      <c r="AX1" s="8" t="s">
        <v>123</v>
      </c>
      <c r="AY1" s="8" t="s">
        <v>124</v>
      </c>
      <c r="AZ1" s="8" t="s">
        <v>125</v>
      </c>
      <c r="BA1" s="8" t="s">
        <v>126</v>
      </c>
      <c r="BB1" s="8" t="s">
        <v>127</v>
      </c>
      <c r="BC1" s="8" t="s">
        <v>128</v>
      </c>
      <c r="BD1" s="8" t="s">
        <v>129</v>
      </c>
      <c r="BE1" s="8" t="s">
        <v>130</v>
      </c>
      <c r="BF1" s="8" t="s">
        <v>131</v>
      </c>
      <c r="BG1" s="8" t="s">
        <v>132</v>
      </c>
      <c r="BH1" s="8" t="s">
        <v>133</v>
      </c>
      <c r="BI1" s="8" t="s">
        <v>134</v>
      </c>
      <c r="BJ1" s="8" t="s">
        <v>135</v>
      </c>
      <c r="BK1" s="8" t="s">
        <v>136</v>
      </c>
      <c r="BL1" s="8" t="s">
        <v>137</v>
      </c>
      <c r="BM1" s="8" t="s">
        <v>14</v>
      </c>
      <c r="BN1" s="8" t="s">
        <v>138</v>
      </c>
      <c r="BO1" s="8" t="s">
        <v>139</v>
      </c>
      <c r="BP1" s="8" t="s">
        <v>140</v>
      </c>
      <c r="BQ1" s="8" t="s">
        <v>141</v>
      </c>
      <c r="BR1" s="8" t="s">
        <v>142</v>
      </c>
      <c r="BS1" s="8" t="s">
        <v>143</v>
      </c>
      <c r="BT1" s="8" t="s">
        <v>144</v>
      </c>
      <c r="BU1" s="8" t="s">
        <v>145</v>
      </c>
      <c r="BV1" s="8" t="s">
        <v>146</v>
      </c>
      <c r="BW1" s="8" t="s">
        <v>147</v>
      </c>
      <c r="BX1" s="8" t="s">
        <v>148</v>
      </c>
      <c r="BY1" s="8" t="s">
        <v>149</v>
      </c>
      <c r="BZ1" s="8" t="s">
        <v>10</v>
      </c>
      <c r="CA1" s="8" t="s">
        <v>150</v>
      </c>
      <c r="CB1" s="8" t="s">
        <v>16</v>
      </c>
      <c r="CC1" s="8" t="s">
        <v>151</v>
      </c>
      <c r="CD1" s="8" t="s">
        <v>152</v>
      </c>
      <c r="CE1" s="8" t="s">
        <v>153</v>
      </c>
      <c r="CF1" s="8" t="s">
        <v>154</v>
      </c>
      <c r="CG1" s="8" t="s">
        <v>155</v>
      </c>
      <c r="CH1" s="8" t="s">
        <v>156</v>
      </c>
      <c r="CI1" s="8" t="s">
        <v>157</v>
      </c>
      <c r="CJ1" s="8" t="s">
        <v>158</v>
      </c>
      <c r="CK1" s="8" t="s">
        <v>159</v>
      </c>
      <c r="CL1" s="8" t="s">
        <v>15</v>
      </c>
      <c r="CM1" s="8" t="s">
        <v>9</v>
      </c>
      <c r="CN1" s="8" t="s">
        <v>160</v>
      </c>
      <c r="CO1" s="8" t="s">
        <v>161</v>
      </c>
      <c r="CP1" s="8" t="s">
        <v>162</v>
      </c>
      <c r="CQ1" s="8" t="s">
        <v>7</v>
      </c>
      <c r="CR1" s="8" t="s">
        <v>3</v>
      </c>
      <c r="CS1" s="8" t="s">
        <v>13</v>
      </c>
      <c r="CT1" s="8" t="s">
        <v>6</v>
      </c>
      <c r="CU1" s="8" t="s">
        <v>163</v>
      </c>
      <c r="CV1" s="8" t="s">
        <v>164</v>
      </c>
      <c r="CW1" s="8" t="s">
        <v>165</v>
      </c>
      <c r="CX1" s="8" t="s">
        <v>166</v>
      </c>
      <c r="CY1" s="8" t="s">
        <v>167</v>
      </c>
      <c r="CZ1" s="8" t="s">
        <v>168</v>
      </c>
      <c r="DA1" s="8" t="s">
        <v>169</v>
      </c>
      <c r="DB1" s="8" t="s">
        <v>170</v>
      </c>
      <c r="DC1" s="8" t="s">
        <v>171</v>
      </c>
      <c r="DD1" s="8" t="s">
        <v>172</v>
      </c>
      <c r="DE1" s="8" t="s">
        <v>173</v>
      </c>
      <c r="DF1" s="8" t="s">
        <v>174</v>
      </c>
      <c r="DG1" s="8" t="s">
        <v>175</v>
      </c>
      <c r="DH1" s="8" t="s">
        <v>176</v>
      </c>
      <c r="DI1" s="8" t="s">
        <v>177</v>
      </c>
      <c r="DJ1" s="8" t="s">
        <v>178</v>
      </c>
      <c r="DK1" s="8" t="s">
        <v>179</v>
      </c>
      <c r="DL1" s="8" t="s">
        <v>180</v>
      </c>
      <c r="DM1" s="8" t="s">
        <v>181</v>
      </c>
      <c r="DN1" s="8" t="s">
        <v>182</v>
      </c>
      <c r="DO1" s="8" t="s">
        <v>183</v>
      </c>
      <c r="DP1" s="8" t="s">
        <v>184</v>
      </c>
      <c r="DQ1" s="8" t="s">
        <v>185</v>
      </c>
      <c r="DR1" s="8" t="s">
        <v>186</v>
      </c>
      <c r="DS1" s="8" t="s">
        <v>187</v>
      </c>
      <c r="DT1" s="8" t="s">
        <v>188</v>
      </c>
      <c r="DU1" s="8" t="s">
        <v>189</v>
      </c>
      <c r="DV1" s="8" t="s">
        <v>190</v>
      </c>
      <c r="DW1" s="8" t="s">
        <v>191</v>
      </c>
      <c r="DX1" s="8" t="s">
        <v>192</v>
      </c>
      <c r="DY1" s="8" t="s">
        <v>193</v>
      </c>
      <c r="DZ1" s="8" t="s">
        <v>194</v>
      </c>
      <c r="EA1" s="8" t="s">
        <v>195</v>
      </c>
      <c r="EB1" s="8" t="s">
        <v>196</v>
      </c>
      <c r="EC1" s="8" t="s">
        <v>197</v>
      </c>
      <c r="ED1" s="8" t="s">
        <v>198</v>
      </c>
      <c r="EE1" s="8" t="s">
        <v>199</v>
      </c>
      <c r="EF1" s="8" t="s">
        <v>200</v>
      </c>
      <c r="EG1" s="8" t="s">
        <v>201</v>
      </c>
      <c r="EH1" s="8" t="s">
        <v>202</v>
      </c>
      <c r="EI1" s="8" t="s">
        <v>203</v>
      </c>
      <c r="EJ1" s="8" t="s">
        <v>204</v>
      </c>
      <c r="EK1" s="8" t="s">
        <v>205</v>
      </c>
      <c r="EL1" s="8" t="s">
        <v>206</v>
      </c>
      <c r="EM1" s="8" t="s">
        <v>207</v>
      </c>
      <c r="EN1" s="8" t="s">
        <v>208</v>
      </c>
      <c r="EO1" s="8" t="s">
        <v>209</v>
      </c>
      <c r="EP1" s="8" t="s">
        <v>210</v>
      </c>
      <c r="EQ1" s="8" t="s">
        <v>211</v>
      </c>
      <c r="ER1" s="8" t="s">
        <v>212</v>
      </c>
      <c r="ES1" s="8" t="s">
        <v>213</v>
      </c>
      <c r="ET1" s="8" t="s">
        <v>214</v>
      </c>
      <c r="EU1" s="8" t="s">
        <v>215</v>
      </c>
      <c r="EV1" s="8" t="s">
        <v>216</v>
      </c>
      <c r="EW1" s="8" t="s">
        <v>217</v>
      </c>
      <c r="EX1" s="8" t="s">
        <v>218</v>
      </c>
      <c r="EY1" s="8" t="s">
        <v>219</v>
      </c>
      <c r="EZ1" s="8" t="s">
        <v>220</v>
      </c>
      <c r="FA1" s="8" t="s">
        <v>221</v>
      </c>
      <c r="FB1" s="8" t="s">
        <v>222</v>
      </c>
      <c r="FC1" s="8" t="s">
        <v>223</v>
      </c>
      <c r="FD1" s="8" t="s">
        <v>224</v>
      </c>
      <c r="FE1" s="8" t="s">
        <v>225</v>
      </c>
      <c r="FF1" s="8" t="s">
        <v>226</v>
      </c>
      <c r="FG1" s="8" t="s">
        <v>227</v>
      </c>
      <c r="FH1" s="8" t="s">
        <v>228</v>
      </c>
      <c r="FI1" s="8" t="s">
        <v>229</v>
      </c>
      <c r="FJ1" s="8" t="s">
        <v>230</v>
      </c>
      <c r="FK1" s="8" t="s">
        <v>231</v>
      </c>
      <c r="FL1" s="8" t="s">
        <v>232</v>
      </c>
      <c r="FM1" s="8" t="s">
        <v>233</v>
      </c>
      <c r="FN1" s="8" t="s">
        <v>234</v>
      </c>
      <c r="FO1" s="8" t="s">
        <v>1</v>
      </c>
      <c r="FP1" s="8" t="s">
        <v>235</v>
      </c>
      <c r="FQ1" s="8" t="s">
        <v>236</v>
      </c>
      <c r="FR1" s="8" t="s">
        <v>11</v>
      </c>
      <c r="FS1" s="8" t="s">
        <v>237</v>
      </c>
      <c r="FT1" s="8" t="s">
        <v>238</v>
      </c>
      <c r="FU1" s="8" t="s">
        <v>239</v>
      </c>
      <c r="FV1" s="8" t="s">
        <v>240</v>
      </c>
      <c r="FW1" s="8" t="s">
        <v>241</v>
      </c>
      <c r="FX1" s="8" t="s">
        <v>242</v>
      </c>
      <c r="FY1" s="8" t="s">
        <v>243</v>
      </c>
      <c r="FZ1" s="8" t="s">
        <v>244</v>
      </c>
      <c r="GA1" s="8" t="s">
        <v>245</v>
      </c>
      <c r="GB1" s="8" t="s">
        <v>246</v>
      </c>
      <c r="GC1" s="8" t="s">
        <v>247</v>
      </c>
      <c r="GD1" s="8" t="s">
        <v>248</v>
      </c>
      <c r="GE1" s="8" t="s">
        <v>249</v>
      </c>
      <c r="GF1" s="8" t="s">
        <v>250</v>
      </c>
      <c r="GG1" s="8" t="s">
        <v>251</v>
      </c>
      <c r="GH1" s="8" t="s">
        <v>0</v>
      </c>
      <c r="GI1" s="8" t="s">
        <v>5</v>
      </c>
      <c r="GJ1" s="8" t="s">
        <v>252</v>
      </c>
      <c r="GK1" s="8" t="s">
        <v>253</v>
      </c>
      <c r="GL1" s="8" t="s">
        <v>254</v>
      </c>
      <c r="GM1" s="8" t="s">
        <v>255</v>
      </c>
      <c r="GN1" s="8" t="s">
        <v>256</v>
      </c>
      <c r="GO1" s="8" t="s">
        <v>257</v>
      </c>
      <c r="GP1" s="8" t="s">
        <v>4</v>
      </c>
      <c r="GQ1" s="8" t="s">
        <v>8</v>
      </c>
      <c r="GR1" s="8" t="s">
        <v>2</v>
      </c>
      <c r="GS1" s="8" t="s">
        <v>258</v>
      </c>
      <c r="GT1" s="8" t="s">
        <v>259</v>
      </c>
      <c r="GU1" s="8" t="s">
        <v>12</v>
      </c>
    </row>
    <row r="2" spans="1:203" x14ac:dyDescent="0.25">
      <c r="A2" t="s">
        <v>265</v>
      </c>
      <c r="B2" t="s">
        <v>71</v>
      </c>
      <c r="C2">
        <v>4.4999137600453702E-2</v>
      </c>
      <c r="D2">
        <v>-1.3509434873404299E-2</v>
      </c>
      <c r="E2">
        <v>-1.3509434873404299E-2</v>
      </c>
      <c r="F2">
        <v>-3.3616314275607601E-3</v>
      </c>
      <c r="G2">
        <v>-8.7852207155312192E-3</v>
      </c>
      <c r="H2">
        <v>5.0603178352060197E-3</v>
      </c>
      <c r="I2">
        <v>8.0718307160388605E-3</v>
      </c>
      <c r="J2">
        <v>2.8216404540848099E-2</v>
      </c>
      <c r="K2">
        <v>1.8198922190700201E-2</v>
      </c>
      <c r="L2">
        <v>1.1210433631382801E-2</v>
      </c>
      <c r="M2">
        <v>-1.3509434873404299E-2</v>
      </c>
      <c r="N2">
        <v>-1.3509434873404299E-2</v>
      </c>
      <c r="O2">
        <v>1.6838505952413E-3</v>
      </c>
      <c r="P2">
        <v>4.6427676910863998E-3</v>
      </c>
      <c r="Q2">
        <v>-5.0812968632559202E-4</v>
      </c>
      <c r="R2">
        <v>1.8426313836028701E-2</v>
      </c>
      <c r="S2">
        <v>1.7718907102045801E-2</v>
      </c>
      <c r="T2">
        <v>4.7237955616391504E-3</v>
      </c>
      <c r="U2">
        <v>-3.4394271601877901E-4</v>
      </c>
      <c r="V2">
        <v>5.2085294593974298E-3</v>
      </c>
      <c r="W2">
        <v>3.8661235864641198E-4</v>
      </c>
      <c r="X2">
        <v>5.44520589302483E-2</v>
      </c>
      <c r="Y2">
        <v>4.4462294339032097E-3</v>
      </c>
      <c r="Z2">
        <v>3.1557357357779897E-2</v>
      </c>
      <c r="AA2">
        <v>-8.6349392787879095E-4</v>
      </c>
      <c r="AB2">
        <v>1.1756801147227399E-2</v>
      </c>
      <c r="AC2">
        <v>2.4233297798498199E-2</v>
      </c>
      <c r="AD2">
        <v>2.2936001939438899E-2</v>
      </c>
      <c r="AE2">
        <v>-1.3509434873404299E-2</v>
      </c>
      <c r="AF2">
        <v>8.7645772896198904E-2</v>
      </c>
      <c r="AG2">
        <v>9.2701033399946002E-3</v>
      </c>
      <c r="AH2">
        <v>1.74992644203658E-3</v>
      </c>
      <c r="AI2">
        <v>-1.3509434873404299E-2</v>
      </c>
      <c r="AJ2">
        <v>-1.3509434873404299E-2</v>
      </c>
      <c r="AK2">
        <v>-2.0773260289002099E-3</v>
      </c>
      <c r="AL2">
        <v>2.1527095099787199E-3</v>
      </c>
      <c r="AM2">
        <v>-1.3509434873404299E-2</v>
      </c>
      <c r="AN2">
        <v>-6.02241478973307E-3</v>
      </c>
      <c r="AO2">
        <v>-1.3509434873404299E-2</v>
      </c>
      <c r="AP2">
        <v>-1.3509434873404299E-2</v>
      </c>
      <c r="AQ2" s="10">
        <v>9.0769782999715098E-5</v>
      </c>
      <c r="AR2">
        <v>-1.3509434873404299E-2</v>
      </c>
      <c r="AS2">
        <v>-1.43486962039268E-3</v>
      </c>
      <c r="AT2">
        <v>2.7537182663581999E-2</v>
      </c>
      <c r="AU2">
        <v>-1.3509434873404299E-2</v>
      </c>
      <c r="AV2">
        <v>3.0824908761131399E-2</v>
      </c>
      <c r="AW2">
        <v>-4.5804872026002498E-4</v>
      </c>
      <c r="AX2">
        <v>5.3267689281028497E-3</v>
      </c>
      <c r="AY2">
        <v>1.7972923470624999E-2</v>
      </c>
      <c r="AZ2">
        <v>1.08152154834833E-2</v>
      </c>
      <c r="BA2">
        <v>5.8702931019810698E-3</v>
      </c>
      <c r="BB2">
        <v>-1.3509434873404299E-2</v>
      </c>
      <c r="BC2">
        <v>2.6776524878230901E-2</v>
      </c>
      <c r="BD2">
        <v>-6.4879242535050398E-4</v>
      </c>
      <c r="BE2">
        <v>4.9363869613898902E-2</v>
      </c>
      <c r="BF2">
        <v>4.12320457003319E-3</v>
      </c>
      <c r="BG2">
        <v>-3.95417940794852E-3</v>
      </c>
      <c r="BH2">
        <v>-4.6604139361020999E-3</v>
      </c>
      <c r="BI2">
        <v>-1.3509434873404299E-2</v>
      </c>
      <c r="BJ2">
        <v>3.0070981913578699E-2</v>
      </c>
      <c r="BK2">
        <v>-1.3509434873404299E-2</v>
      </c>
      <c r="BL2">
        <v>-8.3582263021754705E-4</v>
      </c>
      <c r="BM2">
        <v>2.8697490613901898E-3</v>
      </c>
      <c r="BN2">
        <v>8.2686162607237997E-3</v>
      </c>
      <c r="BO2">
        <v>-3.3931297794056502E-3</v>
      </c>
      <c r="BP2">
        <v>0</v>
      </c>
      <c r="BQ2">
        <v>2.8208730161025E-2</v>
      </c>
      <c r="BR2">
        <v>1.8333228900523801E-2</v>
      </c>
      <c r="BS2">
        <v>2.16150000445685E-3</v>
      </c>
      <c r="BT2">
        <v>2.43941930388894E-3</v>
      </c>
      <c r="BU2">
        <v>1.60110911964627E-3</v>
      </c>
      <c r="BV2">
        <v>8.1047709021714598E-3</v>
      </c>
      <c r="BW2">
        <v>2.33934863421804E-2</v>
      </c>
      <c r="BX2">
        <v>-7.5920435318660804E-3</v>
      </c>
      <c r="BY2">
        <v>4.9759379418950297E-2</v>
      </c>
      <c r="BZ2">
        <v>3.1391741399227902E-3</v>
      </c>
      <c r="CA2">
        <v>-3.7183432590757498E-3</v>
      </c>
      <c r="CB2">
        <v>4.0449085146029601E-2</v>
      </c>
      <c r="CC2">
        <v>-7.1005648449083804E-3</v>
      </c>
      <c r="CD2">
        <v>-1.3509434873404299E-2</v>
      </c>
      <c r="CE2">
        <v>-1.3509434873404299E-2</v>
      </c>
      <c r="CF2">
        <v>-1.3509434873404299E-2</v>
      </c>
      <c r="CG2">
        <v>-1.3509434873404299E-2</v>
      </c>
      <c r="CH2" s="10">
        <v>6.8088882254948706E-5</v>
      </c>
      <c r="CI2">
        <v>-1.3509434873404299E-2</v>
      </c>
      <c r="CJ2">
        <v>1.08662036881661E-2</v>
      </c>
      <c r="CK2">
        <v>-7.92349375326766E-4</v>
      </c>
      <c r="CL2">
        <v>2.4884809413186899E-2</v>
      </c>
      <c r="CM2">
        <v>2.53271338966505E-3</v>
      </c>
      <c r="CN2">
        <v>6.49276679738958E-4</v>
      </c>
      <c r="CO2">
        <v>-8.1258082451076304E-3</v>
      </c>
      <c r="CP2">
        <v>-5.03687572885247E-4</v>
      </c>
      <c r="CQ2">
        <v>1.4790613453698901E-2</v>
      </c>
      <c r="CR2">
        <v>-1.2891556403712E-4</v>
      </c>
      <c r="CS2">
        <v>-1.3923680407332501E-3</v>
      </c>
      <c r="CT2">
        <v>-3.1524516160346002E-4</v>
      </c>
      <c r="CU2">
        <v>-6.9207196762321298E-3</v>
      </c>
      <c r="CV2">
        <v>-1.3509434873404299E-2</v>
      </c>
      <c r="CW2">
        <v>1.01923117176611E-4</v>
      </c>
      <c r="CX2">
        <v>-1.3509434873404299E-2</v>
      </c>
      <c r="CY2">
        <v>1.9043390480794401E-2</v>
      </c>
      <c r="CZ2">
        <v>6.6970817017903399E-3</v>
      </c>
      <c r="DA2">
        <v>-4.2723698126344301E-3</v>
      </c>
      <c r="DB2">
        <v>1.1202214462833799E-2</v>
      </c>
      <c r="DC2">
        <v>-1.3509434873404299E-2</v>
      </c>
      <c r="DD2">
        <v>-5.2972452191452904E-4</v>
      </c>
      <c r="DE2">
        <v>-1.3509434873404299E-2</v>
      </c>
      <c r="DF2">
        <v>3.3920441057883402E-3</v>
      </c>
      <c r="DG2">
        <v>-1.3509434873404299E-2</v>
      </c>
      <c r="DH2">
        <v>-2.0046648763202401E-3</v>
      </c>
      <c r="DI2">
        <v>-1.6416916377674299E-4</v>
      </c>
      <c r="DJ2">
        <v>-1.3509434873404299E-2</v>
      </c>
      <c r="DK2">
        <v>5.6605621856537403E-4</v>
      </c>
      <c r="DL2">
        <v>-1.3509434873404299E-2</v>
      </c>
      <c r="DM2">
        <v>-1.3509434873404299E-2</v>
      </c>
      <c r="DN2">
        <v>1.9096256392167301E-2</v>
      </c>
      <c r="DO2">
        <v>-1.3509434873404299E-2</v>
      </c>
      <c r="DP2">
        <v>-2.6708984561799399E-3</v>
      </c>
      <c r="DQ2">
        <v>-1.3509434873404299E-2</v>
      </c>
      <c r="DR2">
        <v>7.0127107502036198E-3</v>
      </c>
      <c r="DS2">
        <v>-1.3509434873404299E-2</v>
      </c>
      <c r="DT2">
        <v>-1.3509434873404299E-2</v>
      </c>
      <c r="DU2">
        <v>-2.4898697320949602E-3</v>
      </c>
      <c r="DV2">
        <v>3.2190835811756098E-4</v>
      </c>
      <c r="DW2">
        <v>9.8591456085452903E-3</v>
      </c>
      <c r="DX2">
        <v>-1.3509434873404299E-2</v>
      </c>
      <c r="DY2">
        <v>5.5227903170279598E-2</v>
      </c>
      <c r="DZ2">
        <v>1.4062761236623899E-2</v>
      </c>
      <c r="EA2">
        <v>5.3766120990779501E-2</v>
      </c>
      <c r="EB2">
        <v>2.9775956195040799E-2</v>
      </c>
      <c r="EC2">
        <v>7.8775155043320694E-2</v>
      </c>
      <c r="ED2">
        <v>2.7581438031877199E-2</v>
      </c>
      <c r="EE2">
        <v>6.5772328521276804E-2</v>
      </c>
      <c r="EF2">
        <v>7.26074920817557E-3</v>
      </c>
      <c r="EG2">
        <v>6.5588202595010497E-2</v>
      </c>
      <c r="EH2">
        <v>5.5162449085104899E-3</v>
      </c>
      <c r="EI2">
        <v>-1.3509434873404299E-2</v>
      </c>
      <c r="EJ2">
        <v>-1.83074319360447E-4</v>
      </c>
      <c r="EK2">
        <v>-1.3509434873404299E-2</v>
      </c>
      <c r="EL2">
        <v>1.49082166558871E-3</v>
      </c>
      <c r="EM2">
        <v>-1.3509434873404299E-2</v>
      </c>
      <c r="EN2">
        <v>-1.3509434873404299E-2</v>
      </c>
      <c r="EO2">
        <v>-1.3509434873404299E-2</v>
      </c>
      <c r="EP2">
        <v>-1.3509434873404299E-2</v>
      </c>
      <c r="EQ2">
        <v>-1.3509434873404299E-2</v>
      </c>
      <c r="ER2">
        <v>-1.3509434873404299E-2</v>
      </c>
      <c r="ES2">
        <v>-1.3509434873404299E-2</v>
      </c>
      <c r="ET2">
        <v>-1.3509434873404299E-2</v>
      </c>
      <c r="EU2">
        <v>-1.3509434873404299E-2</v>
      </c>
      <c r="EV2">
        <v>-1.3509434873404299E-2</v>
      </c>
      <c r="EW2">
        <v>7.3632599182682099E-2</v>
      </c>
      <c r="EX2">
        <v>-4.3827696848975099E-4</v>
      </c>
      <c r="EY2">
        <v>-1.3509434873404299E-2</v>
      </c>
      <c r="EZ2">
        <v>7.0546318141515799E-3</v>
      </c>
      <c r="FA2">
        <v>-1.3509434873404299E-2</v>
      </c>
      <c r="FB2">
        <v>-1.3509434873404299E-2</v>
      </c>
      <c r="FC2">
        <v>-6.3451265255809702E-4</v>
      </c>
      <c r="FD2">
        <v>-5.7156691836394704E-3</v>
      </c>
      <c r="FE2">
        <v>-1.3509434873404299E-2</v>
      </c>
      <c r="FF2">
        <v>-1.3509434873404299E-2</v>
      </c>
      <c r="FG2">
        <v>-1.3509434873404299E-2</v>
      </c>
      <c r="FH2">
        <v>-1.3509434873404299E-2</v>
      </c>
      <c r="FI2">
        <v>5.6593709768920104E-3</v>
      </c>
      <c r="FJ2">
        <v>2.2853115204934001E-2</v>
      </c>
      <c r="FK2">
        <v>1.42008259076247E-2</v>
      </c>
      <c r="FL2">
        <v>4.8522216647896698E-3</v>
      </c>
      <c r="FM2">
        <v>-1.3509434873404299E-2</v>
      </c>
      <c r="FN2">
        <v>-1.3509434873404299E-2</v>
      </c>
      <c r="FO2">
        <v>-1.3509434873404299E-2</v>
      </c>
      <c r="FP2">
        <v>5.59770957097976E-2</v>
      </c>
      <c r="FQ2">
        <v>2.60410354545112E-2</v>
      </c>
      <c r="FR2">
        <v>8.3486422197832894E-2</v>
      </c>
      <c r="FS2">
        <v>7.95978291114251E-2</v>
      </c>
      <c r="FT2">
        <v>5.8357787948737097E-2</v>
      </c>
      <c r="FU2">
        <v>0.18609685959418601</v>
      </c>
      <c r="FV2">
        <v>-1.3509434873404299E-2</v>
      </c>
      <c r="FW2">
        <v>6.4747420975659095E-2</v>
      </c>
      <c r="FX2">
        <v>-1.3509434873404299E-2</v>
      </c>
      <c r="FY2">
        <v>3.3391738393616997E-2</v>
      </c>
      <c r="FZ2">
        <v>0.282612249026651</v>
      </c>
      <c r="GA2">
        <v>-1.3509434873404299E-2</v>
      </c>
      <c r="GB2">
        <v>0.54002361280971301</v>
      </c>
      <c r="GC2">
        <v>-1.3509434873404299E-2</v>
      </c>
      <c r="GD2">
        <v>0.12225100475308701</v>
      </c>
      <c r="GE2">
        <v>0.12792456206923999</v>
      </c>
      <c r="GF2">
        <v>3.87271712025022E-2</v>
      </c>
      <c r="GG2">
        <v>-1.3509434873404299E-2</v>
      </c>
      <c r="GH2">
        <v>0.83517349132154495</v>
      </c>
      <c r="GI2">
        <v>-1.3509434873404299E-2</v>
      </c>
      <c r="GJ2">
        <v>3.1699524574493702E-2</v>
      </c>
      <c r="GK2">
        <v>-1.3509434873404299E-2</v>
      </c>
      <c r="GL2">
        <v>-1.3509434873404299E-2</v>
      </c>
      <c r="GM2">
        <v>0.23108407281500101</v>
      </c>
      <c r="GN2">
        <v>3.7944299040665402E-2</v>
      </c>
      <c r="GO2">
        <v>0.16156768309122699</v>
      </c>
      <c r="GP2">
        <v>-1.3509434873404299E-2</v>
      </c>
      <c r="GQ2">
        <v>-1.3509434873404299E-2</v>
      </c>
      <c r="GR2">
        <v>8.1625803855195495E-2</v>
      </c>
      <c r="GS2">
        <v>-1.3509434873404299E-2</v>
      </c>
      <c r="GT2">
        <v>0.14251257692814701</v>
      </c>
      <c r="GU2">
        <v>0.115227950169177</v>
      </c>
    </row>
    <row r="3" spans="1:203" x14ac:dyDescent="0.25">
      <c r="A3" t="s">
        <v>265</v>
      </c>
      <c r="B3" t="s">
        <v>65</v>
      </c>
      <c r="C3">
        <v>-5.0417142783149599E-2</v>
      </c>
      <c r="D3">
        <v>9.0026820913430006E-2</v>
      </c>
      <c r="E3">
        <v>-0.13869016270826501</v>
      </c>
      <c r="F3">
        <v>4.1394914620037603E-2</v>
      </c>
      <c r="G3">
        <v>-0.10957886498811301</v>
      </c>
      <c r="H3">
        <v>-0.14062186740934901</v>
      </c>
      <c r="I3">
        <v>0.36259137871038799</v>
      </c>
      <c r="J3">
        <v>-0.19465847071081599</v>
      </c>
      <c r="K3">
        <v>3.5518347067027001E-2</v>
      </c>
      <c r="L3">
        <v>-2.04573831124631E-2</v>
      </c>
      <c r="M3">
        <v>-0.34603512464601199</v>
      </c>
      <c r="N3">
        <v>-0.18126611838918999</v>
      </c>
      <c r="O3">
        <v>0.24996985333594801</v>
      </c>
      <c r="P3">
        <v>0.40765302962326999</v>
      </c>
      <c r="Q3">
        <v>0.30119511373518398</v>
      </c>
      <c r="R3">
        <v>0.183346237304395</v>
      </c>
      <c r="S3">
        <v>0.169832636151618</v>
      </c>
      <c r="T3">
        <v>0.36551031478310803</v>
      </c>
      <c r="U3">
        <v>2.5806314270301001E-2</v>
      </c>
      <c r="V3">
        <v>0.28211988126823101</v>
      </c>
      <c r="W3">
        <v>0.13798751037844201</v>
      </c>
      <c r="X3">
        <v>0.27116406415974598</v>
      </c>
      <c r="Y3">
        <v>0.36486939899342602</v>
      </c>
      <c r="Z3">
        <v>0.80340866173426495</v>
      </c>
      <c r="AA3">
        <v>0.75225906108345697</v>
      </c>
      <c r="AB3">
        <v>0.18105965631465601</v>
      </c>
      <c r="AC3">
        <v>-4.4935842091065797E-2</v>
      </c>
      <c r="AD3">
        <v>-9.5115683481762595E-2</v>
      </c>
      <c r="AE3">
        <v>0.12938687493647899</v>
      </c>
      <c r="AF3">
        <v>0.37262762160642698</v>
      </c>
      <c r="AG3">
        <v>9.8957184483626101E-2</v>
      </c>
      <c r="AH3">
        <v>-0.18386484039433099</v>
      </c>
      <c r="AI3">
        <v>-0.38240746665272601</v>
      </c>
      <c r="AJ3">
        <v>5.4834207345111498E-2</v>
      </c>
      <c r="AK3">
        <v>0.24973542911402399</v>
      </c>
      <c r="AL3">
        <v>0.137558592737931</v>
      </c>
      <c r="AM3">
        <v>1.61026043356612E-2</v>
      </c>
      <c r="AN3">
        <v>0.451973818854014</v>
      </c>
      <c r="AO3">
        <v>-8.3661259713375902E-2</v>
      </c>
      <c r="AP3">
        <v>-0.25241563678099399</v>
      </c>
      <c r="AQ3">
        <v>0.58763067354526</v>
      </c>
      <c r="AR3">
        <v>0.64029071936885096</v>
      </c>
      <c r="AS3">
        <v>0.36604096292344501</v>
      </c>
      <c r="AT3">
        <v>0.24003253835549801</v>
      </c>
      <c r="AU3">
        <v>-6.5229703694798399E-2</v>
      </c>
      <c r="AV3">
        <v>0.30515872884658402</v>
      </c>
      <c r="AW3">
        <v>-9.4777229519202297E-2</v>
      </c>
      <c r="AX3">
        <v>-0.15745286060537</v>
      </c>
      <c r="AY3">
        <v>-0.220795399594098</v>
      </c>
      <c r="AZ3">
        <v>-0.111771970800102</v>
      </c>
      <c r="BA3">
        <v>0.206662423488533</v>
      </c>
      <c r="BB3">
        <v>0.21647792926366299</v>
      </c>
      <c r="BC3">
        <v>-0.53253117660696503</v>
      </c>
      <c r="BD3">
        <v>-0.30763382820882801</v>
      </c>
      <c r="BE3">
        <v>-0.32622097981918302</v>
      </c>
      <c r="BF3">
        <v>0.317556123421601</v>
      </c>
      <c r="BG3">
        <v>0.27509446958362399</v>
      </c>
      <c r="BH3">
        <v>2.4921609233510202E-2</v>
      </c>
      <c r="BI3">
        <v>7.5632345786842095E-2</v>
      </c>
      <c r="BJ3">
        <v>0.149620297506359</v>
      </c>
      <c r="BK3">
        <v>-0.35430583244591202</v>
      </c>
      <c r="BL3">
        <v>-0.34884454326658199</v>
      </c>
      <c r="BM3">
        <v>-0.32214859836566301</v>
      </c>
      <c r="BN3">
        <v>-0.16205666754928799</v>
      </c>
      <c r="BO3">
        <v>-0.37267924720054602</v>
      </c>
      <c r="BP3">
        <v>-0.27622480053920301</v>
      </c>
      <c r="BQ3">
        <v>-0.23178368505969299</v>
      </c>
      <c r="BR3">
        <v>0.113139664135343</v>
      </c>
      <c r="BS3">
        <v>-0.170382611328151</v>
      </c>
      <c r="BT3">
        <v>2.41498888402653E-2</v>
      </c>
      <c r="BU3">
        <v>-0.25769006813261602</v>
      </c>
      <c r="BV3">
        <v>-8.1259677875999498E-2</v>
      </c>
      <c r="BW3">
        <v>-0.58047726255619603</v>
      </c>
      <c r="BX3">
        <v>-0.15767089022931899</v>
      </c>
      <c r="BY3">
        <v>-0.41659981176758398</v>
      </c>
      <c r="BZ3">
        <v>-0.133155123880214</v>
      </c>
      <c r="CA3">
        <v>-0.45183752128563198</v>
      </c>
      <c r="CB3">
        <v>-0.64660900528822496</v>
      </c>
      <c r="CC3">
        <v>-0.18275805175939699</v>
      </c>
      <c r="CD3">
        <v>-0.37449875231672503</v>
      </c>
      <c r="CE3">
        <v>-0.73459387385424602</v>
      </c>
      <c r="CF3">
        <v>-0.73741264957351305</v>
      </c>
      <c r="CG3">
        <v>-0.31658603702607901</v>
      </c>
      <c r="CH3">
        <v>-0.14156223025704201</v>
      </c>
      <c r="CI3">
        <v>-0.49483159892150802</v>
      </c>
      <c r="CJ3">
        <v>-0.29603940616666202</v>
      </c>
      <c r="CK3">
        <v>-0.24203562830944</v>
      </c>
      <c r="CL3">
        <v>-0.41707826999176401</v>
      </c>
      <c r="CM3">
        <v>-0.202069000627047</v>
      </c>
      <c r="CN3">
        <v>-0.31430187155348799</v>
      </c>
      <c r="CO3">
        <v>-0.47798375898740297</v>
      </c>
      <c r="CP3">
        <v>-0.37628499108631602</v>
      </c>
      <c r="CQ3">
        <v>-0.65110307043255</v>
      </c>
      <c r="CR3">
        <v>-0.45029428013136502</v>
      </c>
      <c r="CS3">
        <v>-0.48770668627305602</v>
      </c>
      <c r="CT3">
        <v>-0.134572732292179</v>
      </c>
      <c r="CU3">
        <v>-0.37227253243953301</v>
      </c>
      <c r="CV3">
        <v>1.3823838594808501E-2</v>
      </c>
      <c r="CW3">
        <v>-0.22838944248887899</v>
      </c>
      <c r="CX3">
        <v>-0.187159270586502</v>
      </c>
      <c r="CY3">
        <v>-6.9072808424499005E-2</v>
      </c>
      <c r="CZ3">
        <v>5.1784914025403098E-2</v>
      </c>
      <c r="DA3">
        <v>-4.7686755271274799E-2</v>
      </c>
      <c r="DB3">
        <v>-2.14434445287465E-2</v>
      </c>
      <c r="DC3">
        <v>-0.167387974019852</v>
      </c>
      <c r="DD3">
        <v>0.167612563963842</v>
      </c>
      <c r="DE3">
        <v>-5.4313427484273501E-2</v>
      </c>
      <c r="DF3">
        <v>-0.15775032363028599</v>
      </c>
      <c r="DG3">
        <v>4.0188762742121402E-2</v>
      </c>
      <c r="DH3">
        <v>0.22480539102907501</v>
      </c>
      <c r="DI3">
        <v>-7.7395963635233198E-2</v>
      </c>
      <c r="DJ3">
        <v>-4.7551494979891598E-2</v>
      </c>
      <c r="DK3">
        <v>3.1794918436954298E-2</v>
      </c>
      <c r="DL3">
        <v>-0.148175261916554</v>
      </c>
      <c r="DM3">
        <v>-8.3536832582999002E-2</v>
      </c>
      <c r="DN3">
        <v>-2.4663198340702502E-2</v>
      </c>
      <c r="DO3">
        <v>0.33056566027186102</v>
      </c>
      <c r="DP3">
        <v>0.17407020938625001</v>
      </c>
      <c r="DQ3">
        <v>5.7348287208928199E-2</v>
      </c>
      <c r="DR3">
        <v>6.3206798393227695E-2</v>
      </c>
      <c r="DS3">
        <v>0.16095052972365001</v>
      </c>
      <c r="DT3">
        <v>-0.44910971740643901</v>
      </c>
      <c r="DU3">
        <v>0.43844364238537398</v>
      </c>
      <c r="DV3">
        <v>0.24081925730408699</v>
      </c>
      <c r="DW3">
        <v>0.42297112194292402</v>
      </c>
      <c r="DX3">
        <v>0.22470223344111401</v>
      </c>
      <c r="DY3">
        <v>0.216733531480994</v>
      </c>
      <c r="DZ3">
        <v>-0.43288468042234701</v>
      </c>
      <c r="EA3">
        <v>0.202817890013127</v>
      </c>
      <c r="EB3">
        <v>-1.94561072686317E-2</v>
      </c>
      <c r="EC3">
        <v>6.4636849778914193E-2</v>
      </c>
      <c r="ED3">
        <v>-2.6339977417960899E-2</v>
      </c>
      <c r="EE3">
        <v>0.16943959290253999</v>
      </c>
      <c r="EF3">
        <v>3.40283217216923E-3</v>
      </c>
      <c r="EG3">
        <v>0.21294079595099799</v>
      </c>
      <c r="EH3">
        <v>0.154357017599978</v>
      </c>
      <c r="EI3">
        <v>-4.8592537960938598E-2</v>
      </c>
      <c r="EJ3">
        <v>-0.13706657298323399</v>
      </c>
      <c r="EK3">
        <v>0.141318549142709</v>
      </c>
      <c r="EL3">
        <v>0.171532443128637</v>
      </c>
      <c r="EM3">
        <v>-8.1640676516189198E-2</v>
      </c>
      <c r="EN3">
        <v>-0.299601855950695</v>
      </c>
      <c r="EO3">
        <v>-0.21123210315930699</v>
      </c>
      <c r="EP3">
        <v>-4.0148598779949002E-2</v>
      </c>
      <c r="EQ3">
        <v>-0.45211754482658401</v>
      </c>
      <c r="ER3">
        <v>-0.66688429194145504</v>
      </c>
      <c r="ES3">
        <v>0.23618972541617</v>
      </c>
      <c r="ET3">
        <v>-0.91662572451952795</v>
      </c>
      <c r="EU3">
        <v>-4.8432617500474097E-2</v>
      </c>
      <c r="EV3">
        <v>-0.18763992895985501</v>
      </c>
      <c r="EW3">
        <v>-0.52154275399205496</v>
      </c>
      <c r="EX3">
        <v>-0.19448125650296999</v>
      </c>
      <c r="EY3">
        <v>-0.31240527832586201</v>
      </c>
      <c r="EZ3">
        <v>0.14605882650562199</v>
      </c>
      <c r="FA3">
        <v>-0.18416497753508099</v>
      </c>
      <c r="FB3">
        <v>-5.5436973639781999E-2</v>
      </c>
      <c r="FC3">
        <v>-0.66605099888340302</v>
      </c>
      <c r="FD3">
        <v>-0.31161012925380399</v>
      </c>
      <c r="FE3">
        <v>-0.38559252360068502</v>
      </c>
      <c r="FF3">
        <v>-0.53104038017542698</v>
      </c>
      <c r="FG3">
        <v>-0.66558365654151797</v>
      </c>
      <c r="FH3">
        <v>0.184513081471503</v>
      </c>
      <c r="FI3">
        <v>0.138497533477246</v>
      </c>
      <c r="FJ3">
        <v>-0.10780384305502599</v>
      </c>
      <c r="FK3">
        <v>-0.201083471566261</v>
      </c>
      <c r="FL3">
        <v>0.124364536774869</v>
      </c>
      <c r="FM3">
        <v>-0.32395403988857302</v>
      </c>
      <c r="FN3">
        <v>0</v>
      </c>
      <c r="FO3">
        <v>0.326482004602548</v>
      </c>
      <c r="FP3">
        <v>0.53897642204676699</v>
      </c>
      <c r="FQ3">
        <v>-0.16208180567961999</v>
      </c>
      <c r="FR3">
        <v>3.02132454330605E-3</v>
      </c>
      <c r="FS3">
        <v>8.4606195360828508E-3</v>
      </c>
      <c r="FT3">
        <v>0.45103567593880201</v>
      </c>
      <c r="FU3">
        <v>0.61956449820417603</v>
      </c>
      <c r="FV3">
        <v>0.48468140159200102</v>
      </c>
      <c r="FW3">
        <v>0.41349183400619</v>
      </c>
      <c r="FX3">
        <v>0.96948967694829702</v>
      </c>
      <c r="FY3">
        <v>1.37403168549351</v>
      </c>
      <c r="FZ3">
        <v>0.71654219869546099</v>
      </c>
      <c r="GA3">
        <v>1.12300202134669</v>
      </c>
      <c r="GB3">
        <v>0.79569914339060499</v>
      </c>
      <c r="GC3">
        <v>0.96852949923123099</v>
      </c>
      <c r="GD3">
        <v>0.83942220484415597</v>
      </c>
      <c r="GE3">
        <v>0.94180136460763697</v>
      </c>
      <c r="GF3">
        <v>1.16506017676269</v>
      </c>
      <c r="GG3">
        <v>0.92902846537176598</v>
      </c>
      <c r="GH3">
        <v>0.55612655790523702</v>
      </c>
      <c r="GI3">
        <v>1.11962255042521</v>
      </c>
      <c r="GJ3">
        <v>0.93041981942151497</v>
      </c>
      <c r="GK3">
        <v>0.75867497725010502</v>
      </c>
      <c r="GL3">
        <v>0.622691321117819</v>
      </c>
      <c r="GM3">
        <v>1.35249401888451</v>
      </c>
      <c r="GN3">
        <v>1.2203907961903</v>
      </c>
      <c r="GO3">
        <v>1.73798331212438</v>
      </c>
      <c r="GP3">
        <v>-0.281490360488588</v>
      </c>
      <c r="GQ3">
        <v>0.28349009583019202</v>
      </c>
      <c r="GR3">
        <v>0.90723817883477598</v>
      </c>
      <c r="GS3">
        <v>0.83788245913517401</v>
      </c>
      <c r="GT3">
        <v>0.897359789171845</v>
      </c>
      <c r="GU3">
        <v>1.13999379147246</v>
      </c>
    </row>
    <row r="4" spans="1:203" x14ac:dyDescent="0.25">
      <c r="A4" t="s">
        <v>265</v>
      </c>
      <c r="B4" t="s">
        <v>56</v>
      </c>
      <c r="C4">
        <v>1.13836928276854E-2</v>
      </c>
      <c r="D4">
        <v>-0.11409055871388001</v>
      </c>
      <c r="E4">
        <v>1.8864985035087E-2</v>
      </c>
      <c r="F4">
        <v>-6.0649782438621097E-3</v>
      </c>
      <c r="G4">
        <v>-6.8666152811742695E-2</v>
      </c>
      <c r="H4">
        <v>-7.6643928246722198E-2</v>
      </c>
      <c r="I4">
        <v>3.1545946391483101E-2</v>
      </c>
      <c r="J4">
        <v>-1.29451332424381E-2</v>
      </c>
      <c r="K4">
        <v>-1.01665809902317E-2</v>
      </c>
      <c r="L4">
        <v>-1.9855580357971098E-2</v>
      </c>
      <c r="M4">
        <v>-0.146831806191936</v>
      </c>
      <c r="N4">
        <v>-5.7095706743816699E-2</v>
      </c>
      <c r="O4">
        <v>4.9434003792208303E-2</v>
      </c>
      <c r="P4">
        <v>6.4773235234160398E-2</v>
      </c>
      <c r="Q4">
        <v>3.1891725345866602E-2</v>
      </c>
      <c r="R4">
        <v>0.109948927935078</v>
      </c>
      <c r="S4">
        <v>0.13611567023475599</v>
      </c>
      <c r="T4">
        <v>4.87307473615319E-2</v>
      </c>
      <c r="U4">
        <v>2.29027414490834E-2</v>
      </c>
      <c r="V4">
        <v>4.0505255194932602E-2</v>
      </c>
      <c r="W4">
        <v>-2.6413845106619599E-3</v>
      </c>
      <c r="X4">
        <v>2.46149609734891E-2</v>
      </c>
      <c r="Y4">
        <v>-2.8904588547022499E-2</v>
      </c>
      <c r="Z4">
        <v>4.0079710909367801E-2</v>
      </c>
      <c r="AA4">
        <v>-5.5860262630885E-4</v>
      </c>
      <c r="AB4">
        <v>0.114800968481584</v>
      </c>
      <c r="AC4">
        <v>-0.11521351283484001</v>
      </c>
      <c r="AD4">
        <v>-4.8620054964289103E-2</v>
      </c>
      <c r="AE4">
        <v>-5.39027465365206E-2</v>
      </c>
      <c r="AF4">
        <v>0.200327882848509</v>
      </c>
      <c r="AG4">
        <v>9.0590226287396103E-2</v>
      </c>
      <c r="AH4">
        <v>-6.6722932582883102E-2</v>
      </c>
      <c r="AI4">
        <v>-3.2422717059195298E-2</v>
      </c>
      <c r="AJ4">
        <v>7.2157596010387196E-2</v>
      </c>
      <c r="AK4">
        <v>0.21621965302260401</v>
      </c>
      <c r="AL4">
        <v>0.13843766705965899</v>
      </c>
      <c r="AM4">
        <v>-3.6275871768274598E-2</v>
      </c>
      <c r="AN4">
        <v>0.148541047148252</v>
      </c>
      <c r="AO4">
        <v>6.8211398635845105E-2</v>
      </c>
      <c r="AP4">
        <v>-0.158125829462127</v>
      </c>
      <c r="AQ4">
        <v>7.7676602073744494E-2</v>
      </c>
      <c r="AR4">
        <v>0.18052140766258801</v>
      </c>
      <c r="AS4">
        <v>8.7483771068309901E-2</v>
      </c>
      <c r="AT4">
        <v>-2.83587594658582E-2</v>
      </c>
      <c r="AU4">
        <v>-1.8240561605275599E-2</v>
      </c>
      <c r="AV4">
        <v>0.13170806966241499</v>
      </c>
      <c r="AW4">
        <v>-9.2093047835278399E-2</v>
      </c>
      <c r="AX4">
        <v>-7.8650535609027405E-2</v>
      </c>
      <c r="AY4">
        <v>-0.12130216066748201</v>
      </c>
      <c r="AZ4">
        <v>3.21230460959828E-2</v>
      </c>
      <c r="BA4">
        <v>8.9164694107162198E-2</v>
      </c>
      <c r="BB4">
        <v>-3.50936682953914E-2</v>
      </c>
      <c r="BC4">
        <v>2.1934036998112201E-2</v>
      </c>
      <c r="BD4">
        <v>-0.115907816276915</v>
      </c>
      <c r="BE4">
        <v>-0.123215564284451</v>
      </c>
      <c r="BF4">
        <v>-9.8893966856842402E-2</v>
      </c>
      <c r="BG4">
        <v>3.05462194458038E-2</v>
      </c>
      <c r="BH4">
        <v>-3.0251593667258701E-3</v>
      </c>
      <c r="BI4">
        <v>-6.1240839525113604E-3</v>
      </c>
      <c r="BJ4">
        <v>9.5137034260850004E-2</v>
      </c>
      <c r="BK4">
        <v>-1.18935232783796E-2</v>
      </c>
      <c r="BL4">
        <v>0</v>
      </c>
      <c r="BM4">
        <v>-2.0828248227338399E-2</v>
      </c>
      <c r="BN4">
        <v>-2.0649507071360301E-2</v>
      </c>
      <c r="BO4">
        <v>1.96154134745853E-2</v>
      </c>
      <c r="BP4">
        <v>-6.0722235174856698E-2</v>
      </c>
      <c r="BQ4">
        <v>3.9070609021946902E-2</v>
      </c>
      <c r="BR4">
        <v>-5.5217313878977402E-2</v>
      </c>
      <c r="BS4">
        <v>-3.6723848934077603E-2</v>
      </c>
      <c r="BT4">
        <v>6.3355033873154998E-2</v>
      </c>
      <c r="BU4">
        <v>1.0129568125539799E-2</v>
      </c>
      <c r="BV4">
        <v>5.6594890628929098E-2</v>
      </c>
      <c r="BW4">
        <v>-0.153280094480365</v>
      </c>
      <c r="BX4">
        <v>-4.2817238635896098E-3</v>
      </c>
      <c r="BY4">
        <v>2.38567503911284E-2</v>
      </c>
      <c r="BZ4">
        <v>3.4323592208780798E-2</v>
      </c>
      <c r="CA4">
        <v>-1.7617938906293099E-2</v>
      </c>
      <c r="CB4">
        <v>-0.104510138438533</v>
      </c>
      <c r="CC4">
        <v>4.2566980785542698E-2</v>
      </c>
      <c r="CD4">
        <v>6.3940744545363096E-2</v>
      </c>
      <c r="CE4">
        <v>-2.50155360369336E-2</v>
      </c>
      <c r="CF4">
        <v>-0.158733928764207</v>
      </c>
      <c r="CG4">
        <v>9.5755090637892198E-2</v>
      </c>
      <c r="CH4">
        <v>5.6160697340037799E-2</v>
      </c>
      <c r="CI4">
        <v>2.4728524907626899E-2</v>
      </c>
      <c r="CJ4">
        <v>-6.2963447135223104E-3</v>
      </c>
      <c r="CK4">
        <v>-5.2627304580186596E-3</v>
      </c>
      <c r="CL4">
        <v>4.8637222750052E-2</v>
      </c>
      <c r="CM4">
        <v>-4.1303223788460602E-2</v>
      </c>
      <c r="CN4">
        <v>-2.5432639818848801E-2</v>
      </c>
      <c r="CO4">
        <v>-2.5701937975848198E-2</v>
      </c>
      <c r="CP4">
        <v>-2.6187647407125599E-2</v>
      </c>
      <c r="CQ4">
        <v>-8.7442323125511603E-2</v>
      </c>
      <c r="CR4">
        <v>9.1760952646674603E-3</v>
      </c>
      <c r="CS4">
        <v>-0.118946154788633</v>
      </c>
      <c r="CT4">
        <v>1.9444429813186101E-2</v>
      </c>
      <c r="CU4">
        <v>-8.3432662365070798E-2</v>
      </c>
      <c r="CV4">
        <v>-0.13713782224893301</v>
      </c>
      <c r="CW4">
        <v>7.9415163848922596E-2</v>
      </c>
      <c r="CX4">
        <v>9.3998713614450793E-2</v>
      </c>
      <c r="CY4">
        <v>0.13613706849011201</v>
      </c>
      <c r="CZ4">
        <v>6.12581460281134E-2</v>
      </c>
      <c r="DA4">
        <v>-1.96187884319209E-2</v>
      </c>
      <c r="DB4">
        <v>0.102457055983073</v>
      </c>
      <c r="DC4">
        <v>3.5927341067690001E-3</v>
      </c>
      <c r="DD4">
        <v>0.10907455576373901</v>
      </c>
      <c r="DE4">
        <v>0.24342720663678799</v>
      </c>
      <c r="DF4">
        <v>0.116326155091104</v>
      </c>
      <c r="DG4">
        <v>0.22009382767191299</v>
      </c>
      <c r="DH4">
        <v>0.108810224539415</v>
      </c>
      <c r="DI4">
        <v>-0.11817991923075399</v>
      </c>
      <c r="DJ4">
        <v>-0.102255684872092</v>
      </c>
      <c r="DK4">
        <v>5.1345934065532402E-2</v>
      </c>
      <c r="DL4">
        <v>5.5544627436429898E-2</v>
      </c>
      <c r="DM4">
        <v>6.9636466695690305E-2</v>
      </c>
      <c r="DN4">
        <v>0.110323115114035</v>
      </c>
      <c r="DO4">
        <v>0.105132749986487</v>
      </c>
      <c r="DP4">
        <v>0.123708555698451</v>
      </c>
      <c r="DQ4">
        <v>0.120051052785171</v>
      </c>
      <c r="DR4">
        <v>0.13179643779648301</v>
      </c>
      <c r="DS4">
        <v>3.3193059753287401E-4</v>
      </c>
      <c r="DT4">
        <v>1.71759815854019E-2</v>
      </c>
      <c r="DU4">
        <v>0.15414395369843001</v>
      </c>
      <c r="DV4">
        <v>-4.6764388547473799E-2</v>
      </c>
      <c r="DW4">
        <v>0.186993827355871</v>
      </c>
      <c r="DX4">
        <v>-2.0646999611704599E-2</v>
      </c>
      <c r="DY4">
        <v>0.29835547952805702</v>
      </c>
      <c r="DZ4">
        <v>-0.11234540567461999</v>
      </c>
      <c r="EA4">
        <v>0.15521147429960599</v>
      </c>
      <c r="EB4">
        <v>0.17060029928582099</v>
      </c>
      <c r="EC4">
        <v>0.195755770792337</v>
      </c>
      <c r="ED4">
        <v>0.207414204378469</v>
      </c>
      <c r="EE4">
        <v>5.80023936374017E-2</v>
      </c>
      <c r="EF4">
        <v>0.24568464886434599</v>
      </c>
      <c r="EG4">
        <v>0.131709811722026</v>
      </c>
      <c r="EH4">
        <v>0.232060261843132</v>
      </c>
      <c r="EI4">
        <v>2.0327607062761401E-2</v>
      </c>
      <c r="EJ4">
        <v>-3.5744164769140697E-2</v>
      </c>
      <c r="EK4">
        <v>0.18176963429982601</v>
      </c>
      <c r="EL4">
        <v>-6.8551158902822699E-3</v>
      </c>
      <c r="EM4">
        <v>7.3373035563177993E-2</v>
      </c>
      <c r="EN4">
        <v>-4.0961869378366503E-2</v>
      </c>
      <c r="EO4">
        <v>-5.95010793316708E-2</v>
      </c>
      <c r="EP4">
        <v>-0.112143818789627</v>
      </c>
      <c r="EQ4">
        <v>-0.13035857405169901</v>
      </c>
      <c r="ER4">
        <v>-0.26222821168559202</v>
      </c>
      <c r="ES4">
        <v>4.5951959423654397E-2</v>
      </c>
      <c r="ET4">
        <v>-0.20488559311513399</v>
      </c>
      <c r="EU4">
        <v>-8.0977369353501097E-2</v>
      </c>
      <c r="EV4">
        <v>2.46111054925949E-2</v>
      </c>
      <c r="EW4">
        <v>-9.2025787092177597E-2</v>
      </c>
      <c r="EX4">
        <v>-0.19713710774558199</v>
      </c>
      <c r="EY4">
        <v>-0.10303968414907599</v>
      </c>
      <c r="EZ4">
        <v>-0.124448014463442</v>
      </c>
      <c r="FA4">
        <v>-7.4864689409286506E-2</v>
      </c>
      <c r="FB4">
        <v>-9.6142822455202198E-2</v>
      </c>
      <c r="FC4">
        <v>-0.20969634996887199</v>
      </c>
      <c r="FD4">
        <v>-0.21834224644445399</v>
      </c>
      <c r="FE4">
        <v>-0.20772215103358399</v>
      </c>
      <c r="FF4">
        <v>-0.19398184579223399</v>
      </c>
      <c r="FG4">
        <v>-0.26222821168559202</v>
      </c>
      <c r="FH4">
        <v>-5.4046176278762098E-2</v>
      </c>
      <c r="FI4">
        <v>-0.13855884679036701</v>
      </c>
      <c r="FJ4">
        <v>-0.22586566160725399</v>
      </c>
      <c r="FK4">
        <v>-0.10103448512140201</v>
      </c>
      <c r="FL4">
        <v>-0.117468013722969</v>
      </c>
      <c r="FM4">
        <v>-0.103496466604305</v>
      </c>
      <c r="FN4">
        <v>-0.137399531225539</v>
      </c>
      <c r="FO4">
        <v>-0.14654771912967399</v>
      </c>
      <c r="FP4">
        <v>-0.12600257648150501</v>
      </c>
      <c r="FQ4">
        <v>2.90022247604238E-2</v>
      </c>
      <c r="FR4">
        <v>9.6708574424166999E-2</v>
      </c>
      <c r="FS4">
        <v>3.3204629677734403E-2</v>
      </c>
      <c r="FT4">
        <v>8.3007807146953001E-3</v>
      </c>
      <c r="FU4">
        <v>0.115703288835432</v>
      </c>
      <c r="FV4">
        <v>8.9097821056096892E-3</v>
      </c>
      <c r="FW4">
        <v>3.05085652356549E-2</v>
      </c>
      <c r="FX4">
        <v>-6.4843831590179105E-2</v>
      </c>
      <c r="FY4">
        <v>-0.12525752149875899</v>
      </c>
      <c r="FZ4">
        <v>-0.132875519232666</v>
      </c>
      <c r="GA4">
        <v>8.2221334318825195E-2</v>
      </c>
      <c r="GB4">
        <v>-0.26222821168559202</v>
      </c>
      <c r="GC4">
        <v>0.104099603412528</v>
      </c>
      <c r="GD4">
        <v>-0.12646777205910101</v>
      </c>
      <c r="GE4">
        <v>-8.5808957487991194E-2</v>
      </c>
      <c r="GF4">
        <v>7.39907318620497E-2</v>
      </c>
      <c r="GG4">
        <v>-1.3877580351816E-2</v>
      </c>
      <c r="GH4">
        <v>-0.105707638761175</v>
      </c>
      <c r="GI4">
        <v>0.11135956593304699</v>
      </c>
      <c r="GJ4">
        <v>-4.67369433503022E-2</v>
      </c>
      <c r="GK4">
        <v>-0.14536708446253899</v>
      </c>
      <c r="GL4">
        <v>0.188222084571364</v>
      </c>
      <c r="GM4">
        <v>-0.17642362542566101</v>
      </c>
      <c r="GN4">
        <v>2.5353658537545402E-2</v>
      </c>
      <c r="GO4">
        <v>7.0570786684291495E-2</v>
      </c>
      <c r="GP4">
        <v>-7.4389769656922997E-2</v>
      </c>
      <c r="GQ4">
        <v>6.1892604567547797E-2</v>
      </c>
      <c r="GR4">
        <v>0.51073691024083401</v>
      </c>
      <c r="GS4">
        <v>5.9035372667996501E-2</v>
      </c>
      <c r="GT4">
        <v>-0.10620619988404099</v>
      </c>
      <c r="GU4">
        <v>0.315517473370104</v>
      </c>
    </row>
    <row r="5" spans="1:203" x14ac:dyDescent="0.25">
      <c r="A5" t="s">
        <v>265</v>
      </c>
      <c r="B5" t="s">
        <v>41</v>
      </c>
      <c r="C5">
        <v>8.1795078344617897E-2</v>
      </c>
      <c r="D5">
        <v>7.0021891720254595E-2</v>
      </c>
      <c r="E5">
        <v>4.0643422926916702E-2</v>
      </c>
      <c r="F5">
        <v>-4.7839598449119003E-2</v>
      </c>
      <c r="G5">
        <v>-2.74864600403503E-2</v>
      </c>
      <c r="H5">
        <v>-4.68838979011389E-2</v>
      </c>
      <c r="I5">
        <v>6.7729715694029996E-2</v>
      </c>
      <c r="J5">
        <v>-1.8941451637857799E-2</v>
      </c>
      <c r="K5">
        <v>-5.1663869973537298E-4</v>
      </c>
      <c r="L5">
        <v>2.2087672162642E-2</v>
      </c>
      <c r="M5">
        <v>-9.6939839430036801E-3</v>
      </c>
      <c r="N5">
        <v>2.3170923740691001E-2</v>
      </c>
      <c r="O5">
        <v>6.75599094291717E-2</v>
      </c>
      <c r="P5">
        <v>7.2686703610071499E-2</v>
      </c>
      <c r="Q5">
        <v>-1.13702905053834E-2</v>
      </c>
      <c r="R5">
        <v>-4.0851423403957997E-2</v>
      </c>
      <c r="S5">
        <v>1.2498617858561E-2</v>
      </c>
      <c r="T5">
        <v>3.9271232305683197E-2</v>
      </c>
      <c r="U5">
        <v>-3.3056873047269703E-2</v>
      </c>
      <c r="V5">
        <v>1.01935192054233E-2</v>
      </c>
      <c r="W5">
        <v>1.20479849225563E-2</v>
      </c>
      <c r="X5">
        <v>-3.62581950149393E-2</v>
      </c>
      <c r="Y5">
        <v>0.252629884818868</v>
      </c>
      <c r="Z5">
        <v>-1.59607027331834E-2</v>
      </c>
      <c r="AA5">
        <v>1.68854363938085E-2</v>
      </c>
      <c r="AB5">
        <v>5.7365667806200199E-2</v>
      </c>
      <c r="AC5">
        <v>-5.0283292815199901E-2</v>
      </c>
      <c r="AD5">
        <v>-5.2552622906814998E-2</v>
      </c>
      <c r="AE5">
        <v>9.5732571105665604E-2</v>
      </c>
      <c r="AF5">
        <v>7.2418711198493704E-2</v>
      </c>
      <c r="AG5">
        <v>-8.4005328564360597E-3</v>
      </c>
      <c r="AH5">
        <v>-4.9502464854995702E-2</v>
      </c>
      <c r="AI5">
        <v>-9.0558673062978406E-2</v>
      </c>
      <c r="AJ5">
        <v>-6.9002599917914298E-2</v>
      </c>
      <c r="AK5">
        <v>-3.4027543828013103E-2</v>
      </c>
      <c r="AL5">
        <v>-3.4060698043969002E-2</v>
      </c>
      <c r="AM5">
        <v>1.57977798756566E-3</v>
      </c>
      <c r="AN5">
        <v>-4.0508489288773097E-2</v>
      </c>
      <c r="AO5">
        <v>9.6369893313107802E-2</v>
      </c>
      <c r="AP5">
        <v>7.6982882477997797E-2</v>
      </c>
      <c r="AQ5">
        <v>-4.9443023631673598E-2</v>
      </c>
      <c r="AR5">
        <v>4.6481081509890998E-2</v>
      </c>
      <c r="AS5">
        <v>3.3482606070479398E-2</v>
      </c>
      <c r="AT5">
        <v>1.80173622209105E-2</v>
      </c>
      <c r="AU5">
        <v>3.1220429366019601E-2</v>
      </c>
      <c r="AV5">
        <v>-0.12509038943665901</v>
      </c>
      <c r="AW5">
        <v>4.4295693513805396E-3</v>
      </c>
      <c r="AX5">
        <v>-1.37068244551683E-2</v>
      </c>
      <c r="AY5">
        <v>-0.12509038943665901</v>
      </c>
      <c r="AZ5">
        <v>-8.4600830215561997E-3</v>
      </c>
      <c r="BA5">
        <v>0.24040786173897699</v>
      </c>
      <c r="BB5">
        <v>4.82967796490405E-2</v>
      </c>
      <c r="BC5">
        <v>-7.8372068003348602E-2</v>
      </c>
      <c r="BD5">
        <v>-7.3917152156366406E-2</v>
      </c>
      <c r="BE5">
        <v>-4.4386000231558503E-2</v>
      </c>
      <c r="BF5">
        <v>0.14269369567096701</v>
      </c>
      <c r="BG5">
        <v>0.12588951022484299</v>
      </c>
      <c r="BH5">
        <v>9.1563498973489005E-2</v>
      </c>
      <c r="BI5">
        <v>0.12822250345776001</v>
      </c>
      <c r="BJ5">
        <v>0.11637389791133</v>
      </c>
      <c r="BK5">
        <v>-8.4949049937624699E-2</v>
      </c>
      <c r="BL5">
        <v>-6.1763793443375799E-2</v>
      </c>
      <c r="BM5">
        <v>-9.2334845282538006E-2</v>
      </c>
      <c r="BN5">
        <v>1.4953022569635901E-2</v>
      </c>
      <c r="BO5">
        <v>-2.1175828492186698E-2</v>
      </c>
      <c r="BP5">
        <v>-3.4725124328825102E-2</v>
      </c>
      <c r="BQ5">
        <v>-4.6915993191674499E-2</v>
      </c>
      <c r="BR5">
        <v>0.15280951749416899</v>
      </c>
      <c r="BS5">
        <v>7.88084770675124E-2</v>
      </c>
      <c r="BT5">
        <v>2.0266474345614099E-2</v>
      </c>
      <c r="BU5">
        <v>0.113537685958576</v>
      </c>
      <c r="BV5">
        <v>4.9274968552153998E-2</v>
      </c>
      <c r="BW5">
        <v>-0.12509038943665901</v>
      </c>
      <c r="BX5">
        <v>2.2773410964790401E-2</v>
      </c>
      <c r="BY5">
        <v>5.33520314438969E-2</v>
      </c>
      <c r="BZ5">
        <v>-1.5172058844168401E-2</v>
      </c>
      <c r="CA5">
        <v>-2.1768265170003E-2</v>
      </c>
      <c r="CB5">
        <v>-0.12509038943665901</v>
      </c>
      <c r="CC5">
        <v>2.6496314144926002E-2</v>
      </c>
      <c r="CD5">
        <v>3.16149411963264E-2</v>
      </c>
      <c r="CE5">
        <v>-4.3610877400366399E-2</v>
      </c>
      <c r="CF5">
        <v>2.79692113855869E-2</v>
      </c>
      <c r="CG5">
        <v>3.9869804736369197E-2</v>
      </c>
      <c r="CH5">
        <v>0.136875625483214</v>
      </c>
      <c r="CI5">
        <v>-4.91605452997518E-2</v>
      </c>
      <c r="CJ5">
        <v>-1.4904813051322401E-2</v>
      </c>
      <c r="CK5">
        <v>4.1767530240372601E-2</v>
      </c>
      <c r="CL5">
        <v>3.0463116648002E-3</v>
      </c>
      <c r="CM5">
        <v>0.104903804149131</v>
      </c>
      <c r="CN5">
        <v>7.90098123655281E-3</v>
      </c>
      <c r="CO5">
        <v>-3.06247832821256E-2</v>
      </c>
      <c r="CP5">
        <v>-4.2458254726437203E-2</v>
      </c>
      <c r="CQ5">
        <v>-5.4723289903897701E-2</v>
      </c>
      <c r="CR5">
        <v>9.9444845964738494E-3</v>
      </c>
      <c r="CS5">
        <v>5.5766577008736001E-3</v>
      </c>
      <c r="CT5">
        <v>4.0981790052020302E-2</v>
      </c>
      <c r="CU5">
        <v>-3.5890054155195299E-2</v>
      </c>
      <c r="CV5">
        <v>0</v>
      </c>
      <c r="CW5">
        <v>-3.0814408022085401E-2</v>
      </c>
      <c r="CX5">
        <v>-5.4380969484272498E-3</v>
      </c>
      <c r="CY5">
        <v>-9.8018876272946507E-3</v>
      </c>
      <c r="CZ5">
        <v>-2.6979095249283901E-2</v>
      </c>
      <c r="DA5">
        <v>-7.6631045042309495E-4</v>
      </c>
      <c r="DB5">
        <v>4.5480040812825202E-2</v>
      </c>
      <c r="DC5">
        <v>9.5258185206676792E-3</v>
      </c>
      <c r="DD5">
        <v>3.0588240270457999E-2</v>
      </c>
      <c r="DE5">
        <v>-1.20680779347842E-2</v>
      </c>
      <c r="DF5">
        <v>-4.0077112184386497E-2</v>
      </c>
      <c r="DG5">
        <v>-8.3186255009102997E-2</v>
      </c>
      <c r="DH5">
        <v>2.90868590819938E-2</v>
      </c>
      <c r="DI5">
        <v>3.1766954389890398E-2</v>
      </c>
      <c r="DJ5">
        <v>-3.7288164482717598E-3</v>
      </c>
      <c r="DK5">
        <v>4.8025031083926299E-2</v>
      </c>
      <c r="DL5">
        <v>-4.1320758848221298E-2</v>
      </c>
      <c r="DM5">
        <v>-2.7526159509037799E-2</v>
      </c>
      <c r="DN5">
        <v>-6.5867559932034697E-3</v>
      </c>
      <c r="DO5">
        <v>5.7622298017955299E-2</v>
      </c>
      <c r="DP5">
        <v>2.04259281434368E-2</v>
      </c>
      <c r="DQ5">
        <v>-0.12509038943665901</v>
      </c>
      <c r="DR5">
        <v>-6.3867193588757698E-2</v>
      </c>
      <c r="DS5">
        <v>-1.9737808605965398E-2</v>
      </c>
      <c r="DT5">
        <v>-7.6536395905923205E-2</v>
      </c>
      <c r="DU5">
        <v>7.7762954228493997E-2</v>
      </c>
      <c r="DV5">
        <v>5.1531118196202E-2</v>
      </c>
      <c r="DW5">
        <v>-3.3081922203247897E-2</v>
      </c>
      <c r="DX5">
        <v>-1.5444248516560699E-2</v>
      </c>
      <c r="DY5">
        <v>0.264667986043921</v>
      </c>
      <c r="DZ5">
        <v>0.30437054861542701</v>
      </c>
      <c r="EA5">
        <v>0.42124745842568401</v>
      </c>
      <c r="EB5">
        <v>0.14440290984905799</v>
      </c>
      <c r="EC5">
        <v>0.30826570641774897</v>
      </c>
      <c r="ED5">
        <v>3.9516207939483503E-2</v>
      </c>
      <c r="EE5">
        <v>0.104219741001913</v>
      </c>
      <c r="EF5">
        <v>0.19738590476401299</v>
      </c>
      <c r="EG5">
        <v>0.31197987638672298</v>
      </c>
      <c r="EH5">
        <v>0.18055838700999399</v>
      </c>
      <c r="EI5">
        <v>-5.1059523255808197E-2</v>
      </c>
      <c r="EJ5">
        <v>-3.29900526966024E-2</v>
      </c>
      <c r="EK5">
        <v>-0.12509038943665901</v>
      </c>
      <c r="EL5">
        <v>-6.5708282233205406E-2</v>
      </c>
      <c r="EM5">
        <v>-4.7127321262108203E-2</v>
      </c>
      <c r="EN5">
        <v>-1.23766696382803E-2</v>
      </c>
      <c r="EO5">
        <v>-4.3600219481249897E-2</v>
      </c>
      <c r="EP5">
        <v>2.4994003459306101E-2</v>
      </c>
      <c r="EQ5">
        <v>-4.4230731063799399E-2</v>
      </c>
      <c r="ER5">
        <v>-0.12509038943665901</v>
      </c>
      <c r="ES5">
        <v>2.7013622065771101E-2</v>
      </c>
      <c r="ET5">
        <v>-0.12509038943665901</v>
      </c>
      <c r="EU5">
        <v>-2.2693041109642601E-3</v>
      </c>
      <c r="EV5">
        <v>-9.9369683655906801E-2</v>
      </c>
      <c r="EW5">
        <v>-3.7948355380572701E-2</v>
      </c>
      <c r="EX5">
        <v>-4.7059026955179099E-2</v>
      </c>
      <c r="EY5">
        <v>-4.4667496400934304E-3</v>
      </c>
      <c r="EZ5">
        <v>-1.7363161391936902E-2</v>
      </c>
      <c r="FA5">
        <v>-9.7461053278651802E-2</v>
      </c>
      <c r="FB5">
        <v>-4.9117286236221303E-2</v>
      </c>
      <c r="FC5">
        <v>-8.2737006402653301E-2</v>
      </c>
      <c r="FD5">
        <v>-6.9947247179370203E-2</v>
      </c>
      <c r="FE5">
        <v>-0.104821219537565</v>
      </c>
      <c r="FF5">
        <v>-0.12509038943665901</v>
      </c>
      <c r="FG5">
        <v>-6.8987383644784406E-2</v>
      </c>
      <c r="FH5">
        <v>0.27734452929192799</v>
      </c>
      <c r="FI5">
        <v>5.3032952148333E-2</v>
      </c>
      <c r="FJ5">
        <v>-8.8727839358320904E-2</v>
      </c>
      <c r="FK5">
        <v>6.1856570048935099E-2</v>
      </c>
      <c r="FL5">
        <v>-4.6822733021543099E-2</v>
      </c>
      <c r="FM5">
        <v>-3.2991361068359502E-2</v>
      </c>
      <c r="FN5">
        <v>-8.6877566660512398E-3</v>
      </c>
      <c r="FO5">
        <v>0.15641235778717799</v>
      </c>
      <c r="FP5">
        <v>0.25475555339322198</v>
      </c>
      <c r="FQ5">
        <v>0.10685581113709899</v>
      </c>
      <c r="FR5">
        <v>0.15084264610372899</v>
      </c>
      <c r="FS5">
        <v>8.5988447103702695E-2</v>
      </c>
      <c r="FT5">
        <v>-5.3223166614517703E-2</v>
      </c>
      <c r="FU5">
        <v>0.15542192125965401</v>
      </c>
      <c r="FV5">
        <v>0.146047604354542</v>
      </c>
      <c r="FW5">
        <v>-0.12509038943665901</v>
      </c>
      <c r="FX5">
        <v>7.2293990658753707E-2</v>
      </c>
      <c r="FY5">
        <v>0.12165954531265</v>
      </c>
      <c r="FZ5">
        <v>4.5546366655920899E-2</v>
      </c>
      <c r="GA5">
        <v>0.26403407000754803</v>
      </c>
      <c r="GB5">
        <v>0.199299458682097</v>
      </c>
      <c r="GC5">
        <v>0.193403705677546</v>
      </c>
      <c r="GD5">
        <v>-5.5729083454145997E-2</v>
      </c>
      <c r="GE5">
        <v>-3.4353546905818197E-2</v>
      </c>
      <c r="GF5">
        <v>-2.2167191078546498E-2</v>
      </c>
      <c r="GG5">
        <v>-2.4410644874111601E-2</v>
      </c>
      <c r="GH5">
        <v>3.1430183487758001E-2</v>
      </c>
      <c r="GI5">
        <v>-6.6301770094770104E-2</v>
      </c>
      <c r="GJ5">
        <v>4.9303006295732602E-2</v>
      </c>
      <c r="GK5">
        <v>0.100625608695646</v>
      </c>
      <c r="GL5">
        <v>0.26805474190657702</v>
      </c>
      <c r="GM5">
        <v>-3.9285803176728203E-2</v>
      </c>
      <c r="GN5">
        <v>4.8238548043959602E-3</v>
      </c>
      <c r="GO5">
        <v>0.84337974574807195</v>
      </c>
      <c r="GP5">
        <v>-0.12509038943665901</v>
      </c>
      <c r="GQ5">
        <v>-0.12509038943665901</v>
      </c>
      <c r="GR5">
        <v>0.144523201670717</v>
      </c>
      <c r="GS5">
        <v>0.43290740119065102</v>
      </c>
      <c r="GT5">
        <v>3.09316223648918E-2</v>
      </c>
      <c r="GU5">
        <v>0.188910588492433</v>
      </c>
    </row>
    <row r="6" spans="1:203" x14ac:dyDescent="0.25">
      <c r="A6" t="s">
        <v>265</v>
      </c>
      <c r="B6" t="s">
        <v>58</v>
      </c>
      <c r="C6">
        <v>1.46354243278675E-2</v>
      </c>
      <c r="D6">
        <v>0</v>
      </c>
      <c r="E6">
        <v>0</v>
      </c>
      <c r="F6">
        <v>0</v>
      </c>
      <c r="G6">
        <v>1.4208763276931199E-2</v>
      </c>
      <c r="H6">
        <v>0</v>
      </c>
      <c r="I6">
        <v>4.3002275326349104E-3</v>
      </c>
      <c r="J6">
        <v>0</v>
      </c>
      <c r="K6">
        <v>0</v>
      </c>
      <c r="L6">
        <v>0</v>
      </c>
      <c r="M6">
        <v>0</v>
      </c>
      <c r="N6">
        <v>0</v>
      </c>
      <c r="O6">
        <v>5.0641116331505498E-3</v>
      </c>
      <c r="P6">
        <v>0</v>
      </c>
      <c r="Q6">
        <v>3.2425342548688799E-3</v>
      </c>
      <c r="R6">
        <v>1.0576214536158901E-2</v>
      </c>
      <c r="S6">
        <v>4.4419183999130996E-3</v>
      </c>
      <c r="T6">
        <v>6.0636001187966198E-3</v>
      </c>
      <c r="U6">
        <v>1.31654921573853E-2</v>
      </c>
      <c r="V6">
        <v>3.7323065883790299E-3</v>
      </c>
      <c r="W6">
        <v>0</v>
      </c>
      <c r="X6">
        <v>0</v>
      </c>
      <c r="Y6">
        <v>0</v>
      </c>
      <c r="Z6">
        <v>1.1309403182025401E-2</v>
      </c>
      <c r="AA6">
        <v>6.31886438995899E-3</v>
      </c>
      <c r="AB6">
        <v>0</v>
      </c>
      <c r="AC6">
        <v>0</v>
      </c>
      <c r="AD6">
        <v>0.129048626598295</v>
      </c>
      <c r="AE6">
        <v>3.2943804287297797E-2</v>
      </c>
      <c r="AF6">
        <v>0</v>
      </c>
      <c r="AG6">
        <v>7.5869708502670696E-3</v>
      </c>
      <c r="AH6">
        <v>1.5259361315440499E-2</v>
      </c>
      <c r="AI6">
        <v>0</v>
      </c>
      <c r="AJ6">
        <v>0</v>
      </c>
      <c r="AK6">
        <v>0</v>
      </c>
      <c r="AL6">
        <v>3.1235282130893899E-3</v>
      </c>
      <c r="AM6">
        <v>1.3147588645501199E-2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3.75607669004311E-2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9.0270765796307498E-3</v>
      </c>
      <c r="BF6">
        <v>0</v>
      </c>
      <c r="BG6">
        <v>1.9113447278532199E-2</v>
      </c>
      <c r="BH6">
        <v>0</v>
      </c>
      <c r="BI6">
        <v>0</v>
      </c>
      <c r="BJ6">
        <v>1.44632450213857E-2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9.7910916143284597E-3</v>
      </c>
      <c r="CB6">
        <v>0</v>
      </c>
      <c r="CC6">
        <v>0</v>
      </c>
      <c r="CD6">
        <v>9.6048432226643991E-3</v>
      </c>
      <c r="CE6">
        <v>0</v>
      </c>
      <c r="CF6">
        <v>5.2505858449128397E-2</v>
      </c>
      <c r="CG6">
        <v>1.4030931524829199E-2</v>
      </c>
      <c r="CH6">
        <v>0</v>
      </c>
      <c r="CI6">
        <v>0</v>
      </c>
      <c r="CJ6">
        <v>0</v>
      </c>
      <c r="CK6">
        <v>0</v>
      </c>
      <c r="CL6">
        <v>6.8095997582933504E-3</v>
      </c>
      <c r="CM6">
        <v>0</v>
      </c>
      <c r="CN6">
        <v>2.8436646698352299E-2</v>
      </c>
      <c r="CO6">
        <v>5.3836266282963697E-3</v>
      </c>
      <c r="CP6">
        <v>0</v>
      </c>
      <c r="CQ6">
        <v>0</v>
      </c>
      <c r="CR6">
        <v>6.6899988945009698E-3</v>
      </c>
      <c r="CS6">
        <v>6.0525071289282903E-3</v>
      </c>
      <c r="CT6">
        <v>2.6311524813294202E-3</v>
      </c>
      <c r="CU6">
        <v>6.58871519717193E-3</v>
      </c>
      <c r="CV6">
        <v>0</v>
      </c>
      <c r="CW6">
        <v>0</v>
      </c>
      <c r="CX6">
        <v>0</v>
      </c>
      <c r="CY6">
        <v>1.6277244037507101E-2</v>
      </c>
      <c r="CZ6">
        <v>1.00855817928894E-2</v>
      </c>
      <c r="DA6">
        <v>9.23706506076955E-3</v>
      </c>
      <c r="DB6">
        <v>6.1692898517059502E-3</v>
      </c>
      <c r="DC6">
        <v>0</v>
      </c>
      <c r="DD6">
        <v>1.29797103514897E-2</v>
      </c>
      <c r="DE6">
        <v>0</v>
      </c>
      <c r="DF6">
        <v>0</v>
      </c>
      <c r="DG6">
        <v>2.0918019283977199E-2</v>
      </c>
      <c r="DH6">
        <v>2.2983831576790001E-2</v>
      </c>
      <c r="DI6">
        <v>5.3072059178371302E-2</v>
      </c>
      <c r="DJ6">
        <v>0</v>
      </c>
      <c r="DK6">
        <v>1.6337597644773098E-2</v>
      </c>
      <c r="DL6">
        <v>4.2285408206485901E-2</v>
      </c>
      <c r="DM6">
        <v>0</v>
      </c>
      <c r="DN6">
        <v>2.4461922795338001E-2</v>
      </c>
      <c r="DO6">
        <v>1.11116282061034E-2</v>
      </c>
      <c r="DP6">
        <v>0</v>
      </c>
      <c r="DQ6">
        <v>5.7266947246919199E-2</v>
      </c>
      <c r="DR6">
        <v>2.0522145623608001E-2</v>
      </c>
      <c r="DS6">
        <v>0</v>
      </c>
      <c r="DT6">
        <v>0</v>
      </c>
      <c r="DU6">
        <v>0</v>
      </c>
      <c r="DV6">
        <v>0</v>
      </c>
      <c r="DW6">
        <v>9.2008467233410995E-2</v>
      </c>
      <c r="DX6">
        <v>0.109646140920098</v>
      </c>
      <c r="DY6">
        <v>0.41250428540740602</v>
      </c>
      <c r="DZ6">
        <v>1.5663560151103999</v>
      </c>
      <c r="EA6">
        <v>1.01017656424644</v>
      </c>
      <c r="EB6">
        <v>9.9360763094670096E-3</v>
      </c>
      <c r="EC6">
        <v>6.7541647380918403E-3</v>
      </c>
      <c r="ED6">
        <v>0.19126552214591899</v>
      </c>
      <c r="EE6">
        <v>9.22105449806691E-3</v>
      </c>
      <c r="EF6">
        <v>3.7389360331695397E-2</v>
      </c>
      <c r="EG6">
        <v>1.6032951399921301E-2</v>
      </c>
      <c r="EH6">
        <v>1.90256797819147E-2</v>
      </c>
      <c r="EI6">
        <v>0</v>
      </c>
      <c r="EJ6">
        <v>0</v>
      </c>
      <c r="EK6">
        <v>0</v>
      </c>
      <c r="EL6">
        <v>2.98961764881416E-2</v>
      </c>
      <c r="EM6">
        <v>1.12554008473427E-2</v>
      </c>
      <c r="EN6">
        <v>1.4333630969259201E-2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6.2454545287840897E-2</v>
      </c>
      <c r="EV6">
        <v>0</v>
      </c>
      <c r="EW6">
        <v>8.7142034056086407E-2</v>
      </c>
      <c r="EX6">
        <v>0</v>
      </c>
      <c r="EY6">
        <v>0</v>
      </c>
      <c r="EZ6">
        <v>3.0808652313646701E-2</v>
      </c>
      <c r="FA6">
        <v>0</v>
      </c>
      <c r="FB6">
        <v>4.5683061295495E-2</v>
      </c>
      <c r="FC6">
        <v>0</v>
      </c>
      <c r="FD6">
        <v>2.3465334310652199E-2</v>
      </c>
      <c r="FE6">
        <v>0</v>
      </c>
      <c r="FF6">
        <v>1.23008929587392E-2</v>
      </c>
      <c r="FG6">
        <v>0</v>
      </c>
      <c r="FH6">
        <v>3.6222929655255399E-2</v>
      </c>
      <c r="FI6">
        <v>1.9168805850296199E-2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3.1508877266188999E-2</v>
      </c>
      <c r="FT6">
        <v>0</v>
      </c>
      <c r="FU6">
        <v>0</v>
      </c>
      <c r="FV6">
        <v>6.3379303098850898E-2</v>
      </c>
      <c r="FW6">
        <v>0</v>
      </c>
      <c r="FX6">
        <v>0</v>
      </c>
      <c r="FY6">
        <v>4.6901173267021201E-2</v>
      </c>
      <c r="FZ6">
        <v>0</v>
      </c>
      <c r="GA6">
        <v>9.3378573072258803E-2</v>
      </c>
      <c r="GB6">
        <v>0</v>
      </c>
      <c r="GC6">
        <v>5.7358473785087599E-2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4.5208959447898003E-2</v>
      </c>
      <c r="GK6">
        <v>0</v>
      </c>
      <c r="GL6">
        <v>0</v>
      </c>
      <c r="GM6">
        <v>8.5804586259930801E-2</v>
      </c>
      <c r="GN6">
        <v>5.1453733914069703E-2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</row>
    <row r="7" spans="1:203" x14ac:dyDescent="0.25">
      <c r="A7" t="s">
        <v>265</v>
      </c>
      <c r="B7" t="s">
        <v>42</v>
      </c>
      <c r="C7">
        <v>-4.9593335660310697E-2</v>
      </c>
      <c r="D7">
        <v>-1.3574996796516E-2</v>
      </c>
      <c r="E7">
        <v>3.5925898224396902E-2</v>
      </c>
      <c r="F7">
        <v>3.3497167753102602E-2</v>
      </c>
      <c r="G7">
        <v>-3.28987867646496E-2</v>
      </c>
      <c r="H7">
        <v>-2.6903043534597999E-2</v>
      </c>
      <c r="I7">
        <v>2.5896599084369702E-2</v>
      </c>
      <c r="J7">
        <v>-2.2502920573926E-2</v>
      </c>
      <c r="K7">
        <v>2.9753980803623799E-2</v>
      </c>
      <c r="L7">
        <v>-2.3379773558353901E-2</v>
      </c>
      <c r="M7">
        <v>-4.0991274681558602E-2</v>
      </c>
      <c r="N7">
        <v>5.5097851064348197E-2</v>
      </c>
      <c r="O7">
        <v>-2.0743301028825E-2</v>
      </c>
      <c r="P7">
        <v>0</v>
      </c>
      <c r="Q7">
        <v>5.29093258561803E-2</v>
      </c>
      <c r="R7">
        <v>1.1940548633798201E-3</v>
      </c>
      <c r="S7">
        <v>-2.4020470058740501E-2</v>
      </c>
      <c r="T7">
        <v>1.9561740373148099E-3</v>
      </c>
      <c r="U7">
        <v>-3.7903819697008602E-2</v>
      </c>
      <c r="V7">
        <v>-1.60240828264703E-3</v>
      </c>
      <c r="W7">
        <v>1.8530148417473601E-2</v>
      </c>
      <c r="X7">
        <v>8.0551059638257101E-3</v>
      </c>
      <c r="Y7">
        <v>-1.94171767181162E-2</v>
      </c>
      <c r="Z7">
        <v>-1.9161967756994299E-2</v>
      </c>
      <c r="AA7">
        <v>-9.7159837508105397E-3</v>
      </c>
      <c r="AB7">
        <v>-1.37311665065083E-2</v>
      </c>
      <c r="AC7">
        <v>1.05783366332811E-2</v>
      </c>
      <c r="AD7">
        <v>8.3090065416658605E-3</v>
      </c>
      <c r="AE7">
        <v>-3.1284955700880399E-2</v>
      </c>
      <c r="AF7">
        <v>-6.4228759988178299E-2</v>
      </c>
      <c r="AG7">
        <v>-1.48030451545034E-2</v>
      </c>
      <c r="AH7">
        <v>-3.6187731185719101E-3</v>
      </c>
      <c r="AI7">
        <v>-2.9697043614497699E-2</v>
      </c>
      <c r="AJ7">
        <v>-3.6029405117246699E-2</v>
      </c>
      <c r="AK7">
        <v>-2.9975293115863E-2</v>
      </c>
      <c r="AL7">
        <v>1.50834988224572E-3</v>
      </c>
      <c r="AM7">
        <v>-3.79718014351276E-2</v>
      </c>
      <c r="AN7">
        <v>-7.0197075385235799E-3</v>
      </c>
      <c r="AO7">
        <v>-1.8700233932143599E-2</v>
      </c>
      <c r="AP7">
        <v>-1.13598147869609E-2</v>
      </c>
      <c r="AQ7">
        <v>-3.7052828638803298E-2</v>
      </c>
      <c r="AR7">
        <v>0.18721644035324</v>
      </c>
      <c r="AS7">
        <v>2.86227715789222E-3</v>
      </c>
      <c r="AT7">
        <v>5.3175606353651197E-4</v>
      </c>
      <c r="AU7">
        <v>4.6819999079478897E-2</v>
      </c>
      <c r="AV7">
        <v>-1.9894416353642499E-2</v>
      </c>
      <c r="AW7">
        <v>1.3743567375683099E-2</v>
      </c>
      <c r="AX7">
        <v>-2.66679930877473E-2</v>
      </c>
      <c r="AY7">
        <v>-3.2746401644149097E-2</v>
      </c>
      <c r="AZ7">
        <v>-3.4056685485405599E-3</v>
      </c>
      <c r="BA7">
        <v>1.24157991013563E-2</v>
      </c>
      <c r="BB7">
        <v>-2.65159350318913E-2</v>
      </c>
      <c r="BC7">
        <v>5.2911288058507699E-2</v>
      </c>
      <c r="BD7">
        <v>0.27261790389775797</v>
      </c>
      <c r="BE7">
        <v>0.25337886643678298</v>
      </c>
      <c r="BF7">
        <v>-4.0702343370996499E-2</v>
      </c>
      <c r="BG7">
        <v>2.7476910098335701E-2</v>
      </c>
      <c r="BH7">
        <v>-5.5379739050876203E-2</v>
      </c>
      <c r="BI7">
        <v>-4.0803393134045997E-2</v>
      </c>
      <c r="BJ7">
        <v>-5.70051200998625E-2</v>
      </c>
      <c r="BK7">
        <v>2.58109961726151E-3</v>
      </c>
      <c r="BL7">
        <v>-6.4228759988178299E-2</v>
      </c>
      <c r="BM7">
        <v>-3.1473215834057197E-2</v>
      </c>
      <c r="BN7">
        <v>1.6511493427154901E-3</v>
      </c>
      <c r="BO7">
        <v>-5.41124548941797E-2</v>
      </c>
      <c r="BP7">
        <v>-2.2305618821730499E-2</v>
      </c>
      <c r="BQ7">
        <v>-3.6487638846971898E-2</v>
      </c>
      <c r="BR7">
        <v>-4.8336977648267998E-2</v>
      </c>
      <c r="BS7">
        <v>-6.4228759988178299E-2</v>
      </c>
      <c r="BT7">
        <v>-4.0286170575117103E-2</v>
      </c>
      <c r="BU7">
        <v>-4.9118215995127702E-2</v>
      </c>
      <c r="BV7">
        <v>2.4920441630903799E-2</v>
      </c>
      <c r="BW7">
        <v>-2.7325838772593699E-2</v>
      </c>
      <c r="BX7">
        <v>-4.0477124774515198E-2</v>
      </c>
      <c r="BY7">
        <v>-1.8993651217687899E-2</v>
      </c>
      <c r="BZ7">
        <v>-4.7580150974851201E-2</v>
      </c>
      <c r="CA7">
        <v>-6.4228759988178299E-2</v>
      </c>
      <c r="CB7">
        <v>-6.4228759988178299E-2</v>
      </c>
      <c r="CC7">
        <v>-5.7819889959682402E-2</v>
      </c>
      <c r="CD7">
        <v>-5.4623916765513703E-2</v>
      </c>
      <c r="CE7">
        <v>-2.31659451913722E-2</v>
      </c>
      <c r="CF7">
        <v>-6.4228759988178299E-2</v>
      </c>
      <c r="CG7">
        <v>-5.7218340396298098E-2</v>
      </c>
      <c r="CH7">
        <v>-5.7446648589692298E-2</v>
      </c>
      <c r="CI7">
        <v>-1.4965305647486901E-2</v>
      </c>
      <c r="CJ7">
        <v>-4.5953032563554402E-2</v>
      </c>
      <c r="CK7">
        <v>-4.5143135216363102E-2</v>
      </c>
      <c r="CL7">
        <v>-1.8866737544044599E-2</v>
      </c>
      <c r="CM7">
        <v>-3.2186947744251397E-2</v>
      </c>
      <c r="CN7">
        <v>-6.4228759988178299E-2</v>
      </c>
      <c r="CO7">
        <v>-3.7231219782878501E-2</v>
      </c>
      <c r="CP7">
        <v>-3.8169228260288603E-2</v>
      </c>
      <c r="CQ7">
        <v>-6.4228759988178299E-2</v>
      </c>
      <c r="CR7">
        <v>-5.0848240678811302E-2</v>
      </c>
      <c r="CS7">
        <v>-5.5145477913282601E-2</v>
      </c>
      <c r="CT7">
        <v>-2.4358506944631101E-2</v>
      </c>
      <c r="CU7">
        <v>-5.1035306285297198E-2</v>
      </c>
      <c r="CV7">
        <v>6.0861629448480802E-2</v>
      </c>
      <c r="CW7">
        <v>1.1174654027807301E-2</v>
      </c>
      <c r="CX7">
        <v>9.3431634462439794E-2</v>
      </c>
      <c r="CY7">
        <v>0.18589879542672899</v>
      </c>
      <c r="CZ7">
        <v>6.5242287836484794E-2</v>
      </c>
      <c r="DA7">
        <v>3.66269306102276E-2</v>
      </c>
      <c r="DB7">
        <v>0.136438421207111</v>
      </c>
      <c r="DC7">
        <v>3.6512785662784999E-2</v>
      </c>
      <c r="DD7">
        <v>0.110877215856983</v>
      </c>
      <c r="DE7">
        <v>0.21731657747946001</v>
      </c>
      <c r="DF7">
        <v>0.104900980430143</v>
      </c>
      <c r="DG7">
        <v>4.4641128244439297E-2</v>
      </c>
      <c r="DH7">
        <v>9.4589968892707793E-2</v>
      </c>
      <c r="DI7">
        <v>8.7317859933068495E-2</v>
      </c>
      <c r="DJ7">
        <v>0.13350740099992001</v>
      </c>
      <c r="DK7">
        <v>7.7024824007187701E-2</v>
      </c>
      <c r="DL7">
        <v>8.37408548966357E-2</v>
      </c>
      <c r="DM7">
        <v>3.9740985943790101E-2</v>
      </c>
      <c r="DN7">
        <v>0.106073400825134</v>
      </c>
      <c r="DO7">
        <v>7.3672911919880901E-2</v>
      </c>
      <c r="DP7">
        <v>0.106741422546395</v>
      </c>
      <c r="DQ7">
        <v>0.102519216255989</v>
      </c>
      <c r="DR7">
        <v>0.14746588581248901</v>
      </c>
      <c r="DS7">
        <v>0.15275361974207699</v>
      </c>
      <c r="DT7">
        <v>-3.9843116520102501E-2</v>
      </c>
      <c r="DU7">
        <v>0.117883084440725</v>
      </c>
      <c r="DV7">
        <v>9.3488166984915799E-2</v>
      </c>
      <c r="DW7">
        <v>-4.0860179506228701E-2</v>
      </c>
      <c r="DX7">
        <v>-6.4228759988178299E-2</v>
      </c>
      <c r="DY7">
        <v>0.28153257551007599</v>
      </c>
      <c r="DZ7">
        <v>0.122132789829168</v>
      </c>
      <c r="EA7">
        <v>0.27629798523710603</v>
      </c>
      <c r="EB7">
        <v>0.110316515270984</v>
      </c>
      <c r="EC7">
        <v>0.109168034004826</v>
      </c>
      <c r="ED7">
        <v>8.8180979093353207E-2</v>
      </c>
      <c r="EE7">
        <v>0.130013127364978</v>
      </c>
      <c r="EF7">
        <v>4.1853905142850902E-2</v>
      </c>
      <c r="EG7">
        <v>7.6313005852274393E-2</v>
      </c>
      <c r="EH7">
        <v>0.145903190779203</v>
      </c>
      <c r="EI7">
        <v>8.1450692096964997E-2</v>
      </c>
      <c r="EJ7">
        <v>0.124728598514576</v>
      </c>
      <c r="EK7">
        <v>0.24402661972847101</v>
      </c>
      <c r="EL7">
        <v>6.7162010726857804E-2</v>
      </c>
      <c r="EM7">
        <v>4.6577279837195597E-2</v>
      </c>
      <c r="EN7">
        <v>3.4633103690452798E-2</v>
      </c>
      <c r="EO7">
        <v>3.8037651895016602E-3</v>
      </c>
      <c r="EP7">
        <v>-1.27552814664887E-2</v>
      </c>
      <c r="EQ7">
        <v>6.7640877645714706E-2</v>
      </c>
      <c r="ER7">
        <v>-6.4228759988178299E-2</v>
      </c>
      <c r="ES7">
        <v>-3.2757969249720797E-2</v>
      </c>
      <c r="ET7">
        <v>4.8687145028219803E-2</v>
      </c>
      <c r="EU7">
        <v>-6.4228759988178299E-2</v>
      </c>
      <c r="EV7">
        <v>-6.4228759988178299E-2</v>
      </c>
      <c r="EW7">
        <v>2.2913274067908201E-2</v>
      </c>
      <c r="EX7">
        <v>4.71359989752115E-2</v>
      </c>
      <c r="EY7">
        <v>-2.3158848185184201E-2</v>
      </c>
      <c r="EZ7">
        <v>2.7537800501620299E-2</v>
      </c>
      <c r="FA7">
        <v>4.4512382444374603E-2</v>
      </c>
      <c r="FB7">
        <v>1.17443432122596E-2</v>
      </c>
      <c r="FC7">
        <v>-2.5633478254379002E-2</v>
      </c>
      <c r="FD7">
        <v>-2.49801561061474E-2</v>
      </c>
      <c r="FE7">
        <v>-2.3485506778797301E-2</v>
      </c>
      <c r="FF7">
        <v>-5.1927867029439002E-2</v>
      </c>
      <c r="FG7">
        <v>-3.6005820335868001E-2</v>
      </c>
      <c r="FH7">
        <v>7.57262504177828E-3</v>
      </c>
      <c r="FI7">
        <v>8.5264974675043195E-2</v>
      </c>
      <c r="FJ7">
        <v>-2.7866209909840199E-2</v>
      </c>
      <c r="FK7">
        <v>-9.1602200535114905E-3</v>
      </c>
      <c r="FL7">
        <v>4.1060539541263097E-2</v>
      </c>
      <c r="FM7">
        <v>5.03037713354672E-2</v>
      </c>
      <c r="FN7">
        <v>1.9719455828971E-2</v>
      </c>
      <c r="FO7">
        <v>0.21727398723565799</v>
      </c>
      <c r="FP7">
        <v>-6.4228759988178299E-2</v>
      </c>
      <c r="FQ7">
        <v>0.114125141240828</v>
      </c>
      <c r="FR7">
        <v>0.211704275552209</v>
      </c>
      <c r="FS7">
        <v>5.9001585996941101E-2</v>
      </c>
      <c r="FT7">
        <v>-6.4228759988178299E-2</v>
      </c>
      <c r="FU7">
        <v>5.0112010837218002E-3</v>
      </c>
      <c r="FV7">
        <v>9.0712891181857602E-2</v>
      </c>
      <c r="FW7">
        <v>0.29421272122716102</v>
      </c>
      <c r="FX7">
        <v>0.133155620107234</v>
      </c>
      <c r="FY7">
        <v>7.2741930198654603E-2</v>
      </c>
      <c r="FZ7">
        <v>0.130164404221491</v>
      </c>
      <c r="GA7">
        <v>-6.4228759988178299E-2</v>
      </c>
      <c r="GB7">
        <v>-6.4228759988178299E-2</v>
      </c>
      <c r="GC7">
        <v>-6.8702862030906101E-3</v>
      </c>
      <c r="GD7">
        <v>5.1325459943346498E-3</v>
      </c>
      <c r="GE7">
        <v>-6.4228759988178299E-2</v>
      </c>
      <c r="GF7">
        <v>3.8694438369934303E-2</v>
      </c>
      <c r="GG7">
        <v>-6.4228759988178299E-2</v>
      </c>
      <c r="GH7">
        <v>-6.4228759988178299E-2</v>
      </c>
      <c r="GI7">
        <v>-5.4401406462893003E-3</v>
      </c>
      <c r="GJ7">
        <v>-1.90198005402803E-2</v>
      </c>
      <c r="GK7">
        <v>0.16148723814412699</v>
      </c>
      <c r="GL7">
        <v>0.26957209000412202</v>
      </c>
      <c r="GM7">
        <v>0.18036474770022701</v>
      </c>
      <c r="GN7">
        <v>-6.4228759988178299E-2</v>
      </c>
      <c r="GO7">
        <v>0.110848357976453</v>
      </c>
      <c r="GP7">
        <v>3.2460217186653602E-2</v>
      </c>
      <c r="GQ7">
        <v>-6.1035863587173998E-3</v>
      </c>
      <c r="GR7">
        <v>-6.4228759988178299E-2</v>
      </c>
      <c r="GS7">
        <v>1.14618218410492E-2</v>
      </c>
      <c r="GT7">
        <v>-6.4228759988178299E-2</v>
      </c>
      <c r="GU7">
        <v>0.18380627890988199</v>
      </c>
    </row>
    <row r="8" spans="1:203" x14ac:dyDescent="0.25">
      <c r="A8" t="s">
        <v>265</v>
      </c>
      <c r="B8" t="s">
        <v>50</v>
      </c>
      <c r="C8">
        <v>0</v>
      </c>
      <c r="D8">
        <v>0</v>
      </c>
      <c r="E8">
        <v>0</v>
      </c>
      <c r="F8">
        <v>9.1732852865526904E-2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5.2794717132847403E-3</v>
      </c>
      <c r="S8">
        <v>0</v>
      </c>
      <c r="T8">
        <v>3.03002937000407E-3</v>
      </c>
      <c r="U8">
        <v>0</v>
      </c>
      <c r="V8">
        <v>3.7323065883790299E-3</v>
      </c>
      <c r="W8">
        <v>0</v>
      </c>
      <c r="X8">
        <v>0</v>
      </c>
      <c r="Y8">
        <v>0</v>
      </c>
      <c r="Z8">
        <v>0</v>
      </c>
      <c r="AA8">
        <v>6.31886438995899E-3</v>
      </c>
      <c r="AB8">
        <v>8.4259948683704095E-3</v>
      </c>
      <c r="AC8">
        <v>0</v>
      </c>
      <c r="AD8">
        <v>3.6445436812843103E-2</v>
      </c>
      <c r="AE8">
        <v>0</v>
      </c>
      <c r="AF8">
        <v>0</v>
      </c>
      <c r="AG8">
        <v>3.7927064798579302E-3</v>
      </c>
      <c r="AH8">
        <v>1.5259361315440499E-2</v>
      </c>
      <c r="AI8">
        <v>0</v>
      </c>
      <c r="AJ8">
        <v>0</v>
      </c>
      <c r="AK8">
        <v>1.1432108844503901E-2</v>
      </c>
      <c r="AL8">
        <v>0</v>
      </c>
      <c r="AM8">
        <v>0</v>
      </c>
      <c r="AN8">
        <v>7.4870200836710601E-3</v>
      </c>
      <c r="AO8">
        <v>0</v>
      </c>
      <c r="AP8">
        <v>0</v>
      </c>
      <c r="AQ8">
        <v>0</v>
      </c>
      <c r="AR8">
        <v>0</v>
      </c>
      <c r="AS8">
        <v>6.0303600329792099E-3</v>
      </c>
      <c r="AT8">
        <v>5.8282828776126802E-3</v>
      </c>
      <c r="AU8">
        <v>1.2525951314517499E-2</v>
      </c>
      <c r="AV8">
        <v>0</v>
      </c>
      <c r="AW8">
        <v>0</v>
      </c>
      <c r="AX8">
        <v>0</v>
      </c>
      <c r="AY8">
        <v>0</v>
      </c>
      <c r="AZ8">
        <v>1.21615523208136E-2</v>
      </c>
      <c r="BA8">
        <v>0</v>
      </c>
      <c r="BB8">
        <v>0</v>
      </c>
      <c r="BC8">
        <v>0.21634340550234599</v>
      </c>
      <c r="BD8">
        <v>0.20271028174431299</v>
      </c>
      <c r="BE8">
        <v>0.15146435072052999</v>
      </c>
      <c r="BF8">
        <v>5.8694092379647398E-3</v>
      </c>
      <c r="BG8">
        <v>0</v>
      </c>
      <c r="BH8">
        <v>0</v>
      </c>
      <c r="BI8">
        <v>1.17211969580217E-2</v>
      </c>
      <c r="BJ8">
        <v>0</v>
      </c>
      <c r="BK8">
        <v>0.44274450915086</v>
      </c>
      <c r="BL8">
        <v>0.136089483102696</v>
      </c>
      <c r="BM8">
        <v>0.18958528052068799</v>
      </c>
      <c r="BN8">
        <v>3.2735531997218098E-2</v>
      </c>
      <c r="BO8">
        <v>5.7283490748758402E-2</v>
      </c>
      <c r="BP8">
        <v>0.17255406790479699</v>
      </c>
      <c r="BQ8">
        <v>4.1718165034429301E-2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0.26727530983544701</v>
      </c>
      <c r="CA8">
        <v>0</v>
      </c>
      <c r="CB8">
        <v>2.71617377064312E-2</v>
      </c>
      <c r="CC8">
        <v>1.2830009409659801E-2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6.0878938567810103E-3</v>
      </c>
      <c r="CK8">
        <v>0</v>
      </c>
      <c r="CL8">
        <v>0</v>
      </c>
      <c r="CM8">
        <v>0</v>
      </c>
      <c r="CN8">
        <v>7.06444202533686E-3</v>
      </c>
      <c r="CO8">
        <v>0</v>
      </c>
      <c r="CP8">
        <v>1.3005747300518899E-2</v>
      </c>
      <c r="CQ8">
        <v>0</v>
      </c>
      <c r="CR8">
        <v>6.6899988945009698E-3</v>
      </c>
      <c r="CS8">
        <v>0</v>
      </c>
      <c r="CT8">
        <v>0</v>
      </c>
      <c r="CU8">
        <v>0</v>
      </c>
      <c r="CV8">
        <v>0</v>
      </c>
      <c r="CW8">
        <v>0</v>
      </c>
      <c r="CX8">
        <v>7.7519470468175701E-3</v>
      </c>
      <c r="CY8">
        <v>0</v>
      </c>
      <c r="CZ8">
        <v>1.8804224864121599E-2</v>
      </c>
      <c r="DA8">
        <v>0</v>
      </c>
      <c r="DB8">
        <v>0</v>
      </c>
      <c r="DC8">
        <v>0</v>
      </c>
      <c r="DD8">
        <v>1.29797103514897E-2</v>
      </c>
      <c r="DE8">
        <v>0</v>
      </c>
      <c r="DF8">
        <v>0</v>
      </c>
      <c r="DG8">
        <v>2.0918019283977199E-2</v>
      </c>
      <c r="DH8">
        <v>0</v>
      </c>
      <c r="DI8">
        <v>2.6638582253932699E-2</v>
      </c>
      <c r="DJ8">
        <v>4.1423245775386398E-2</v>
      </c>
      <c r="DK8">
        <v>0</v>
      </c>
      <c r="DL8">
        <v>0</v>
      </c>
      <c r="DM8">
        <v>0</v>
      </c>
      <c r="DN8">
        <v>8.15910926275616E-3</v>
      </c>
      <c r="DO8">
        <v>1.7598733210542599E-2</v>
      </c>
      <c r="DP8">
        <v>5.4205028508883396E-3</v>
      </c>
      <c r="DQ8">
        <v>0</v>
      </c>
      <c r="DR8">
        <v>0</v>
      </c>
      <c r="DS8">
        <v>1.9384338209584798E-2</v>
      </c>
      <c r="DT8">
        <v>4.8553993530735799E-2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2.2659620083551098E-2</v>
      </c>
      <c r="EB8">
        <v>3.3084839266177501E-3</v>
      </c>
      <c r="EC8">
        <v>1.6929358735930801E-2</v>
      </c>
      <c r="ED8">
        <v>0</v>
      </c>
      <c r="EE8">
        <v>0</v>
      </c>
      <c r="EF8">
        <v>0</v>
      </c>
      <c r="EG8">
        <v>0</v>
      </c>
      <c r="EH8">
        <v>0</v>
      </c>
      <c r="EI8">
        <v>0.49711578290939401</v>
      </c>
      <c r="EJ8">
        <v>6.6062914466562095E-2</v>
      </c>
      <c r="EK8">
        <v>8.2429294737634995E-2</v>
      </c>
      <c r="EL8">
        <v>8.8471553045727902E-2</v>
      </c>
      <c r="EM8">
        <v>4.47833254195616E-2</v>
      </c>
      <c r="EN8">
        <v>0.62751025562187601</v>
      </c>
      <c r="EO8">
        <v>0.201514955444693</v>
      </c>
      <c r="EP8">
        <v>0.33223166105986901</v>
      </c>
      <c r="EQ8">
        <v>0.75764729256598295</v>
      </c>
      <c r="ER8">
        <v>0.61636997541187399</v>
      </c>
      <c r="ES8">
        <v>0.84593416987016001</v>
      </c>
      <c r="ET8">
        <v>0.61734259392825397</v>
      </c>
      <c r="EU8">
        <v>0.86665828945099399</v>
      </c>
      <c r="EV8">
        <v>1.40077797537279</v>
      </c>
      <c r="EW8">
        <v>1.9584037854547101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3.9550470327915498E-2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5.2236606075906397E-2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</row>
    <row r="9" spans="1:203" x14ac:dyDescent="0.25">
      <c r="A9" t="s">
        <v>265</v>
      </c>
      <c r="B9" t="s">
        <v>68</v>
      </c>
      <c r="C9">
        <v>0</v>
      </c>
      <c r="D9">
        <v>0</v>
      </c>
      <c r="E9">
        <v>3.3632743903665899E-2</v>
      </c>
      <c r="F9">
        <v>0.15337751385991599</v>
      </c>
      <c r="G9">
        <v>0</v>
      </c>
      <c r="H9">
        <v>0</v>
      </c>
      <c r="I9">
        <v>0</v>
      </c>
      <c r="J9">
        <v>0</v>
      </c>
      <c r="K9">
        <v>1.5903133661309899E-2</v>
      </c>
      <c r="L9">
        <v>0</v>
      </c>
      <c r="M9">
        <v>0</v>
      </c>
      <c r="N9">
        <v>0</v>
      </c>
      <c r="O9">
        <v>0</v>
      </c>
      <c r="P9">
        <v>0</v>
      </c>
      <c r="Q9">
        <v>6.4902654666500002E-3</v>
      </c>
      <c r="R9">
        <v>5.2794717132847403E-3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6.2515100865943602E-3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1.2525951314517499E-2</v>
      </c>
      <c r="AV9">
        <v>0</v>
      </c>
      <c r="AW9">
        <v>0</v>
      </c>
      <c r="AX9">
        <v>0</v>
      </c>
      <c r="AY9">
        <v>0</v>
      </c>
      <c r="AZ9">
        <v>1.21615523208136E-2</v>
      </c>
      <c r="BA9">
        <v>1.9379727975385199E-2</v>
      </c>
      <c r="BB9">
        <v>0</v>
      </c>
      <c r="BC9">
        <v>0</v>
      </c>
      <c r="BD9">
        <v>2.5676026128331399E-2</v>
      </c>
      <c r="BE9">
        <v>0</v>
      </c>
      <c r="BF9">
        <v>0</v>
      </c>
      <c r="BG9">
        <v>9.5552554654558097E-3</v>
      </c>
      <c r="BH9">
        <v>8.8490209373019799E-3</v>
      </c>
      <c r="BI9">
        <v>1.17211969580217E-2</v>
      </c>
      <c r="BJ9">
        <v>0</v>
      </c>
      <c r="BK9">
        <v>0.54310273034573198</v>
      </c>
      <c r="BL9">
        <v>0.45784319026012799</v>
      </c>
      <c r="BM9">
        <v>0.107805288039172</v>
      </c>
      <c r="BN9">
        <v>5.0195727331263602E-2</v>
      </c>
      <c r="BO9">
        <v>2.02939472149311E-2</v>
      </c>
      <c r="BP9">
        <v>0.21678354140155001</v>
      </c>
      <c r="BQ9">
        <v>0.164577919643285</v>
      </c>
      <c r="BR9">
        <v>0</v>
      </c>
      <c r="BS9">
        <v>0</v>
      </c>
      <c r="BT9">
        <v>0</v>
      </c>
      <c r="BU9">
        <v>0</v>
      </c>
      <c r="BV9">
        <v>7.1782853902550396E-3</v>
      </c>
      <c r="BW9">
        <v>0</v>
      </c>
      <c r="BX9">
        <v>0</v>
      </c>
      <c r="BY9">
        <v>2.9187170062934201E-2</v>
      </c>
      <c r="BZ9">
        <v>8.3122577333932905E-3</v>
      </c>
      <c r="CA9">
        <v>0</v>
      </c>
      <c r="CB9">
        <v>0</v>
      </c>
      <c r="CC9">
        <v>0</v>
      </c>
      <c r="CD9">
        <v>0</v>
      </c>
      <c r="CE9">
        <v>4.1062814796805902E-2</v>
      </c>
      <c r="CF9">
        <v>0</v>
      </c>
      <c r="CG9">
        <v>0</v>
      </c>
      <c r="CH9">
        <v>6.78211139848609E-3</v>
      </c>
      <c r="CI9">
        <v>0</v>
      </c>
      <c r="CJ9">
        <v>1.217980776546E-2</v>
      </c>
      <c r="CK9">
        <v>6.3552031023736003E-3</v>
      </c>
      <c r="CL9">
        <v>0</v>
      </c>
      <c r="CM9">
        <v>0</v>
      </c>
      <c r="CN9">
        <v>0</v>
      </c>
      <c r="CO9">
        <v>1.07752119738986E-2</v>
      </c>
      <c r="CP9">
        <v>6.4968529768992603E-3</v>
      </c>
      <c r="CQ9">
        <v>0</v>
      </c>
      <c r="CR9">
        <v>1.33805193093668E-2</v>
      </c>
      <c r="CS9">
        <v>6.0525071289282903E-3</v>
      </c>
      <c r="CT9">
        <v>0</v>
      </c>
      <c r="CU9">
        <v>2.64508624130508E-2</v>
      </c>
      <c r="CV9">
        <v>0</v>
      </c>
      <c r="CW9">
        <v>0</v>
      </c>
      <c r="CX9">
        <v>0</v>
      </c>
      <c r="CY9">
        <v>0</v>
      </c>
      <c r="CZ9">
        <v>6.7197869735300198E-3</v>
      </c>
      <c r="DA9">
        <v>0</v>
      </c>
      <c r="DB9">
        <v>0</v>
      </c>
      <c r="DC9">
        <v>8.34336673941183E-3</v>
      </c>
      <c r="DD9">
        <v>0</v>
      </c>
      <c r="DE9">
        <v>0</v>
      </c>
      <c r="DF9">
        <v>0</v>
      </c>
      <c r="DG9">
        <v>2.0918019283977199E-2</v>
      </c>
      <c r="DH9">
        <v>0</v>
      </c>
      <c r="DI9">
        <v>0</v>
      </c>
      <c r="DJ9">
        <v>0</v>
      </c>
      <c r="DK9">
        <v>5.4423778242924598E-3</v>
      </c>
      <c r="DL9">
        <v>0</v>
      </c>
      <c r="DM9">
        <v>0</v>
      </c>
      <c r="DN9">
        <v>0</v>
      </c>
      <c r="DO9">
        <v>0</v>
      </c>
      <c r="DP9">
        <v>3.7892026279066397E-2</v>
      </c>
      <c r="DQ9">
        <v>2.88563522838584E-2</v>
      </c>
      <c r="DR9">
        <v>4.0929127470529701E-2</v>
      </c>
      <c r="DS9">
        <v>0.105352580830694</v>
      </c>
      <c r="DT9">
        <v>2.4385643468075799E-2</v>
      </c>
      <c r="DU9">
        <v>0</v>
      </c>
      <c r="DV9">
        <v>1.3831343231521701E-2</v>
      </c>
      <c r="DW9">
        <v>2.3368580481949501E-2</v>
      </c>
      <c r="DX9">
        <v>0</v>
      </c>
      <c r="DY9">
        <v>4.1409918501526401E-2</v>
      </c>
      <c r="DZ9">
        <v>0</v>
      </c>
      <c r="EA9">
        <v>0</v>
      </c>
      <c r="EB9">
        <v>0</v>
      </c>
      <c r="EC9">
        <v>6.7541647380918403E-3</v>
      </c>
      <c r="ED9">
        <v>1.64443246438584E-2</v>
      </c>
      <c r="EE9">
        <v>1.84458232841446E-2</v>
      </c>
      <c r="EF9">
        <v>0</v>
      </c>
      <c r="EG9">
        <v>0</v>
      </c>
      <c r="EH9">
        <v>0</v>
      </c>
      <c r="EI9">
        <v>7.4030866180850904E-2</v>
      </c>
      <c r="EJ9">
        <v>7.3700733309015595E-2</v>
      </c>
      <c r="EK9">
        <v>8.2429294737634995E-2</v>
      </c>
      <c r="EL9">
        <v>1.50002565389928E-2</v>
      </c>
      <c r="EM9">
        <v>1.12554008473427E-2</v>
      </c>
      <c r="EN9">
        <v>0.92968927400659995</v>
      </c>
      <c r="EO9">
        <v>0.39038774214321698</v>
      </c>
      <c r="EP9">
        <v>0.101471458431645</v>
      </c>
      <c r="EQ9">
        <v>1.7050007897820301</v>
      </c>
      <c r="ER9">
        <v>1.77224345301525</v>
      </c>
      <c r="ES9">
        <v>0.57634821164452099</v>
      </c>
      <c r="ET9">
        <v>1.18953136639913</v>
      </c>
      <c r="EU9">
        <v>1.1437474755311501</v>
      </c>
      <c r="EV9">
        <v>1.59719702610429</v>
      </c>
      <c r="EW9">
        <v>1.5352014948249499</v>
      </c>
      <c r="EX9">
        <v>1.3071157904914201E-2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9.1907562565117992E-3</v>
      </c>
      <c r="FM9">
        <v>0</v>
      </c>
      <c r="FN9">
        <v>0</v>
      </c>
      <c r="FO9">
        <v>4.5626219586045902E-2</v>
      </c>
      <c r="FP9">
        <v>0</v>
      </c>
      <c r="FQ9">
        <v>0</v>
      </c>
      <c r="FR9">
        <v>4.91893856760552E-2</v>
      </c>
      <c r="FS9">
        <v>0.24437142217375199</v>
      </c>
      <c r="FT9">
        <v>0</v>
      </c>
      <c r="FU9">
        <v>0</v>
      </c>
      <c r="FV9">
        <v>0</v>
      </c>
      <c r="FW9">
        <v>7.8256855849063306E-2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7.5690581829227499E-2</v>
      </c>
      <c r="GT9">
        <v>7.9912928432615701E-2</v>
      </c>
      <c r="GU9">
        <v>0</v>
      </c>
    </row>
    <row r="10" spans="1:203" x14ac:dyDescent="0.25">
      <c r="A10" t="s">
        <v>265</v>
      </c>
      <c r="B10" t="s">
        <v>40</v>
      </c>
      <c r="C10">
        <v>-5.3586915695241898E-2</v>
      </c>
      <c r="D10">
        <v>-2.0636666271117699E-2</v>
      </c>
      <c r="E10">
        <v>-8.7011763284417495E-2</v>
      </c>
      <c r="F10">
        <v>-7.9985523903678205E-2</v>
      </c>
      <c r="G10">
        <v>-9.6903094168258597E-2</v>
      </c>
      <c r="H10">
        <v>-8.3318790734503004E-2</v>
      </c>
      <c r="I10">
        <v>-8.5277569244298995E-2</v>
      </c>
      <c r="J10">
        <v>-9.2865303044629394E-2</v>
      </c>
      <c r="K10">
        <v>-8.8936150123979194E-2</v>
      </c>
      <c r="L10">
        <v>-0.102131815948658</v>
      </c>
      <c r="M10">
        <v>-9.7407021881463704E-2</v>
      </c>
      <c r="N10">
        <v>-9.0250722894210003E-2</v>
      </c>
      <c r="O10">
        <v>-3.6616087081424303E-2</v>
      </c>
      <c r="P10">
        <v>-3.20135795694486E-2</v>
      </c>
      <c r="Q10">
        <v>-8.6059272231321704E-2</v>
      </c>
      <c r="R10">
        <v>-8.3325774848883802E-2</v>
      </c>
      <c r="S10">
        <v>-6.8792145862957399E-2</v>
      </c>
      <c r="T10">
        <v>-9.3247033272971694E-2</v>
      </c>
      <c r="U10">
        <v>-0.12064450718808301</v>
      </c>
      <c r="V10">
        <v>-6.5651874303520402E-2</v>
      </c>
      <c r="W10">
        <v>-7.9081386553818606E-2</v>
      </c>
      <c r="X10">
        <v>-4.2260860612449297E-2</v>
      </c>
      <c r="Y10">
        <v>-6.6901336027005098E-2</v>
      </c>
      <c r="Z10">
        <v>-8.80589100954598E-3</v>
      </c>
      <c r="AA10">
        <v>-6.9865071072550702E-2</v>
      </c>
      <c r="AB10">
        <v>-7.0146913706413405E-2</v>
      </c>
      <c r="AC10">
        <v>-8.2901774516181095E-2</v>
      </c>
      <c r="AD10">
        <v>-1.23554973728177E-2</v>
      </c>
      <c r="AE10">
        <v>8.2346179247971395E-3</v>
      </c>
      <c r="AF10">
        <v>-0.12064450718808301</v>
      </c>
      <c r="AG10">
        <v>-4.2262040165718398E-2</v>
      </c>
      <c r="AH10">
        <v>-4.5056582606420099E-2</v>
      </c>
      <c r="AI10">
        <v>-0.12064450718808301</v>
      </c>
      <c r="AJ10">
        <v>-6.4556717669338695E-2</v>
      </c>
      <c r="AK10">
        <v>-7.5001531171187005E-2</v>
      </c>
      <c r="AL10">
        <v>-7.6511061013182599E-2</v>
      </c>
      <c r="AM10">
        <v>-5.5284234975186503E-2</v>
      </c>
      <c r="AN10">
        <v>-4.5018817177060702E-2</v>
      </c>
      <c r="AO10">
        <v>-6.0084786726356199E-2</v>
      </c>
      <c r="AP10">
        <v>-6.7775561986866004E-2</v>
      </c>
      <c r="AQ10">
        <v>-3.1530211863681198E-2</v>
      </c>
      <c r="AR10">
        <v>-0.12064450718808301</v>
      </c>
      <c r="AS10">
        <v>-4.1177573272060702E-2</v>
      </c>
      <c r="AT10">
        <v>4.1859171009832302E-2</v>
      </c>
      <c r="AU10">
        <v>-4.6199379919915101E-2</v>
      </c>
      <c r="AV10">
        <v>-0.12064450718808301</v>
      </c>
      <c r="AW10">
        <v>-4.2672179824221897E-2</v>
      </c>
      <c r="AX10">
        <v>-8.3083740287652405E-2</v>
      </c>
      <c r="AY10">
        <v>9.12248953250622E-2</v>
      </c>
      <c r="AZ10">
        <v>-3.5481624751502502E-2</v>
      </c>
      <c r="BA10">
        <v>-8.2032801951756995E-2</v>
      </c>
      <c r="BB10">
        <v>-8.2931682231796394E-2</v>
      </c>
      <c r="BC10">
        <v>-7.3926185754772999E-2</v>
      </c>
      <c r="BD10">
        <v>2.05307467448228E-2</v>
      </c>
      <c r="BE10">
        <v>-5.7771202700780303E-2</v>
      </c>
      <c r="BF10">
        <v>7.2146002206283394E-2</v>
      </c>
      <c r="BG10">
        <v>0.15286333500308499</v>
      </c>
      <c r="BH10">
        <v>0.126545625205368</v>
      </c>
      <c r="BI10">
        <v>0.142117531044539</v>
      </c>
      <c r="BJ10">
        <v>8.4915862380428905E-2</v>
      </c>
      <c r="BK10">
        <v>-7.12367491460442E-4</v>
      </c>
      <c r="BL10">
        <v>6.6332091873699296E-4</v>
      </c>
      <c r="BM10">
        <v>-3.8776503070393299E-2</v>
      </c>
      <c r="BN10">
        <v>-3.3293914219032902E-3</v>
      </c>
      <c r="BO10">
        <v>5.6896318644498498E-2</v>
      </c>
      <c r="BP10">
        <v>9.0318676215431198E-3</v>
      </c>
      <c r="BQ10">
        <v>1.4858204249399499E-2</v>
      </c>
      <c r="BR10">
        <v>8.1201397473778195E-3</v>
      </c>
      <c r="BS10">
        <v>6.7952267237808603E-2</v>
      </c>
      <c r="BT10">
        <v>4.9768370374953397E-3</v>
      </c>
      <c r="BU10">
        <v>1.0282035693179501E-3</v>
      </c>
      <c r="BV10">
        <v>2.09563517662304E-2</v>
      </c>
      <c r="BW10">
        <v>2.34925281796282E-2</v>
      </c>
      <c r="BX10">
        <v>1.99317149846342E-2</v>
      </c>
      <c r="BY10">
        <v>7.8251285076472402E-2</v>
      </c>
      <c r="BZ10">
        <v>3.0466377216581599E-2</v>
      </c>
      <c r="CA10">
        <v>-9.1290283760570995E-2</v>
      </c>
      <c r="CB10">
        <v>1.16268769253295E-2</v>
      </c>
      <c r="CC10">
        <v>-3.2541818458062602E-2</v>
      </c>
      <c r="CD10">
        <v>0.13029176341149401</v>
      </c>
      <c r="CE10">
        <v>-0.12064450718808301</v>
      </c>
      <c r="CF10">
        <v>-6.8138648738954893E-2</v>
      </c>
      <c r="CG10">
        <v>7.6888455998239597E-2</v>
      </c>
      <c r="CH10">
        <v>-1.3452919605144199E-2</v>
      </c>
      <c r="CI10">
        <v>7.6753312472724503E-2</v>
      </c>
      <c r="CJ10">
        <v>3.5878408469908703E-2</v>
      </c>
      <c r="CK10">
        <v>7.3938422105695206E-2</v>
      </c>
      <c r="CL10">
        <v>-1.00741092574861E-2</v>
      </c>
      <c r="CM10">
        <v>0</v>
      </c>
      <c r="CN10">
        <v>7.3252094855504601E-2</v>
      </c>
      <c r="CO10">
        <v>-1.1896720374317099E-2</v>
      </c>
      <c r="CP10">
        <v>2.2217771861528901E-2</v>
      </c>
      <c r="CQ10">
        <v>3.2542874372714997E-2</v>
      </c>
      <c r="CR10">
        <v>1.7171089775084299E-2</v>
      </c>
      <c r="CS10">
        <v>-7.2641164947653894E-2</v>
      </c>
      <c r="CT10">
        <v>4.71005248105065E-2</v>
      </c>
      <c r="CU10">
        <v>-3.9379347173502201E-2</v>
      </c>
      <c r="CV10">
        <v>0.23129463821148799</v>
      </c>
      <c r="CW10">
        <v>1.5177110819846899E-4</v>
      </c>
      <c r="CX10">
        <v>-6.36785968886953E-3</v>
      </c>
      <c r="CY10">
        <v>-1.9804071316706202E-3</v>
      </c>
      <c r="CZ10">
        <v>-1.5590884897787601E-2</v>
      </c>
      <c r="DA10">
        <v>-7.4598056752750094E-2</v>
      </c>
      <c r="DB10">
        <v>2.1130152511774799E-2</v>
      </c>
      <c r="DC10">
        <v>-7.0441815812678596E-2</v>
      </c>
      <c r="DD10">
        <v>3.4690814845619103E-2</v>
      </c>
      <c r="DE10">
        <v>7.7240173420873096E-2</v>
      </c>
      <c r="DF10">
        <v>1.8565933786646901E-4</v>
      </c>
      <c r="DG10">
        <v>8.2576326075201795E-2</v>
      </c>
      <c r="DH10">
        <v>4.53584788347405E-3</v>
      </c>
      <c r="DI10">
        <v>1.8074157712006302E-2</v>
      </c>
      <c r="DJ10">
        <v>3.9328019625415898E-2</v>
      </c>
      <c r="DK10">
        <v>3.10435473768928E-3</v>
      </c>
      <c r="DL10">
        <v>3.8454183824874399E-3</v>
      </c>
      <c r="DM10">
        <v>5.0222441530654704E-3</v>
      </c>
      <c r="DN10">
        <v>1.4028736734497199E-2</v>
      </c>
      <c r="DO10">
        <v>2.8041641033383701E-2</v>
      </c>
      <c r="DP10">
        <v>-2.3444946969823001E-2</v>
      </c>
      <c r="DQ10">
        <v>4.6103469056084097E-2</v>
      </c>
      <c r="DR10">
        <v>2.0668733434047602E-2</v>
      </c>
      <c r="DS10">
        <v>-1.5291926357389799E-2</v>
      </c>
      <c r="DT10">
        <v>-9.6258863720007498E-2</v>
      </c>
      <c r="DU10">
        <v>7.1854939859863701E-2</v>
      </c>
      <c r="DV10">
        <v>5.2707672648682799E-2</v>
      </c>
      <c r="DW10">
        <v>0.16545912309777999</v>
      </c>
      <c r="DX10">
        <v>-1.0998366267984901E-2</v>
      </c>
      <c r="DY10">
        <v>-1.13200358407666E-2</v>
      </c>
      <c r="DZ10">
        <v>-9.3072311078055303E-2</v>
      </c>
      <c r="EA10">
        <v>-3.1400747163332202E-2</v>
      </c>
      <c r="EB10">
        <v>-2.21178691206457E-2</v>
      </c>
      <c r="EC10">
        <v>-3.3344727623558598E-2</v>
      </c>
      <c r="ED10">
        <v>1.5405515694569201E-2</v>
      </c>
      <c r="EE10">
        <v>9.1641962399876195E-2</v>
      </c>
      <c r="EF10">
        <v>-3.6222850156476097E-2</v>
      </c>
      <c r="EG10">
        <v>0.140796280939638</v>
      </c>
      <c r="EH10">
        <v>1.46566019552456E-2</v>
      </c>
      <c r="EI10">
        <v>2.5034944897059801E-2</v>
      </c>
      <c r="EJ10">
        <v>-1.5605651486225201E-2</v>
      </c>
      <c r="EK10">
        <v>-3.8215212450448399E-2</v>
      </c>
      <c r="EL10">
        <v>6.6701182644623297E-2</v>
      </c>
      <c r="EM10">
        <v>-9.8384673627094996E-3</v>
      </c>
      <c r="EN10">
        <v>-4.1496287026692801E-2</v>
      </c>
      <c r="EO10">
        <v>2.1941513867703901E-2</v>
      </c>
      <c r="EP10">
        <v>7.6750180401905094E-2</v>
      </c>
      <c r="EQ10">
        <v>-3.9784848815223699E-2</v>
      </c>
      <c r="ER10">
        <v>2.37841015657753E-2</v>
      </c>
      <c r="ES10">
        <v>2.049530112728E-3</v>
      </c>
      <c r="ET10">
        <v>-7.7286021716853398E-3</v>
      </c>
      <c r="EU10">
        <v>-5.81899619002424E-2</v>
      </c>
      <c r="EV10">
        <v>4.4218560523669901E-3</v>
      </c>
      <c r="EW10">
        <v>0.128940871498542</v>
      </c>
      <c r="EX10">
        <v>-6.8519268408737802E-2</v>
      </c>
      <c r="EY10">
        <v>-7.9574595385089306E-2</v>
      </c>
      <c r="EZ10">
        <v>-3.3067033748266098E-2</v>
      </c>
      <c r="FA10">
        <v>-3.8653283074415401E-2</v>
      </c>
      <c r="FB10">
        <v>5.6700697995191701E-2</v>
      </c>
      <c r="FC10">
        <v>-6.2784383698357302E-2</v>
      </c>
      <c r="FD10">
        <v>-4.1451911570924399E-2</v>
      </c>
      <c r="FE10">
        <v>-4.1242749368328002E-2</v>
      </c>
      <c r="FF10">
        <v>-3.5278423702932597E-2</v>
      </c>
      <c r="FG10">
        <v>-3.6993698726896201E-2</v>
      </c>
      <c r="FH10">
        <v>8.7537528218746094E-2</v>
      </c>
      <c r="FI10">
        <v>-6.3565329871326001E-2</v>
      </c>
      <c r="FJ10">
        <v>-1.34878884774139E-2</v>
      </c>
      <c r="FK10">
        <v>1.4494109068409E-2</v>
      </c>
      <c r="FL10">
        <v>-3.8628620988953803E-2</v>
      </c>
      <c r="FM10">
        <v>-9.7252375185077095E-2</v>
      </c>
      <c r="FN10">
        <v>-7.8294464503391295E-2</v>
      </c>
      <c r="FO10">
        <v>0.29801200986576398</v>
      </c>
      <c r="FP10">
        <v>0.40024654944875498</v>
      </c>
      <c r="FQ10">
        <v>3.5364174529598398E-2</v>
      </c>
      <c r="FR10">
        <v>0.23829227892167501</v>
      </c>
      <c r="FS10">
        <v>0.64400698351778096</v>
      </c>
      <c r="FT10">
        <v>0.211209689764706</v>
      </c>
      <c r="FU10">
        <v>0.47779898240883401</v>
      </c>
      <c r="FV10">
        <v>3.4297143981952397E-2</v>
      </c>
      <c r="FW10">
        <v>0.237796974027256</v>
      </c>
      <c r="FX10">
        <v>7.6739872907329407E-2</v>
      </c>
      <c r="FY10">
        <v>0.335713473578929</v>
      </c>
      <c r="FZ10">
        <v>0.52770252867854095</v>
      </c>
      <c r="GA10">
        <v>0.41251385948062103</v>
      </c>
      <c r="GB10">
        <v>0.50271514821574503</v>
      </c>
      <c r="GC10">
        <v>0.49150140962132799</v>
      </c>
      <c r="GD10">
        <v>0.54016915033534796</v>
      </c>
      <c r="GE10">
        <v>1.0918877268571401</v>
      </c>
      <c r="GF10">
        <v>0.70118458714418597</v>
      </c>
      <c r="GG10">
        <v>0.16424574768004199</v>
      </c>
      <c r="GH10">
        <v>0.84199332416321804</v>
      </c>
      <c r="GI10">
        <v>-5.0904423811410898E-3</v>
      </c>
      <c r="GJ10">
        <v>0.448686095175998</v>
      </c>
      <c r="GK10">
        <v>0.105071490944222</v>
      </c>
      <c r="GL10">
        <v>0.38521734939718599</v>
      </c>
      <c r="GM10">
        <v>0.91981828357109796</v>
      </c>
      <c r="GN10">
        <v>0.45120987473107599</v>
      </c>
      <c r="GO10">
        <v>0.48777710018280901</v>
      </c>
      <c r="GP10">
        <v>1.41204169395507</v>
      </c>
      <c r="GQ10">
        <v>1.3474370186045701</v>
      </c>
      <c r="GR10">
        <v>0.48846849620286897</v>
      </c>
      <c r="GS10">
        <v>0.34752715934835399</v>
      </c>
      <c r="GT10">
        <v>0.21692697727646501</v>
      </c>
      <c r="GU10">
        <v>0.53373106953790295</v>
      </c>
    </row>
    <row r="11" spans="1:203" s="11" customFormat="1" ht="15.75" thickBot="1" x14ac:dyDescent="0.3">
      <c r="A11" s="11" t="s">
        <v>265</v>
      </c>
      <c r="B11" s="11" t="s">
        <v>66</v>
      </c>
      <c r="C11" s="11">
        <v>-0.118584280709149</v>
      </c>
      <c r="D11" s="11">
        <v>-0.164687352612193</v>
      </c>
      <c r="E11" s="11">
        <v>-9.8961381165582799E-2</v>
      </c>
      <c r="F11" s="11">
        <v>-4.1468916924258997E-2</v>
      </c>
      <c r="G11" s="11">
        <v>-0.14422900967973801</v>
      </c>
      <c r="H11" s="11">
        <v>-0.103415533949845</v>
      </c>
      <c r="I11" s="11">
        <v>4.9948761436914103E-2</v>
      </c>
      <c r="J11" s="11">
        <v>-0.10171545839785701</v>
      </c>
      <c r="K11" s="11">
        <v>0.13923313602229401</v>
      </c>
      <c r="L11" s="11">
        <v>-6.1198075622516397E-2</v>
      </c>
      <c r="M11" s="11">
        <v>-0.195223100938756</v>
      </c>
      <c r="N11" s="11">
        <v>-8.7835379717795203E-2</v>
      </c>
      <c r="O11" s="11">
        <v>1.7254436051043001E-2</v>
      </c>
      <c r="P11" s="11">
        <v>-7.3565372937571802E-2</v>
      </c>
      <c r="Q11" s="11">
        <v>2.08720405452449E-3</v>
      </c>
      <c r="R11" s="11">
        <v>-0.109828216045132</v>
      </c>
      <c r="S11" s="11">
        <v>5.7248112612891498E-2</v>
      </c>
      <c r="T11" s="11">
        <v>7.1639337893393096E-4</v>
      </c>
      <c r="U11" s="11">
        <v>-2.0952643428851E-2</v>
      </c>
      <c r="V11" s="11">
        <v>3.4282599790246303E-2</v>
      </c>
      <c r="W11" s="11">
        <v>8.6446995235942806E-2</v>
      </c>
      <c r="X11" s="11">
        <v>-2.3204459685890001E-2</v>
      </c>
      <c r="Y11" s="11">
        <v>9.15728449209674E-2</v>
      </c>
      <c r="Z11" s="11">
        <v>0.119370781022606</v>
      </c>
      <c r="AA11" s="11">
        <v>8.5215242718197101E-4</v>
      </c>
      <c r="AB11" s="11">
        <v>4.8862983422653598E-2</v>
      </c>
      <c r="AC11" s="11">
        <v>-1.37886504862418E-2</v>
      </c>
      <c r="AD11" s="11">
        <v>-0.12098457130218</v>
      </c>
      <c r="AE11" s="11">
        <v>0.243008840471622</v>
      </c>
      <c r="AF11" s="11">
        <v>0.27946702721268901</v>
      </c>
      <c r="AG11" s="11">
        <v>0.12828760289909599</v>
      </c>
      <c r="AH11" s="11">
        <v>-1.1973455970596901E-2</v>
      </c>
      <c r="AI11" s="11">
        <v>1.36426781207898E-2</v>
      </c>
      <c r="AJ11" s="11">
        <v>0.29006861807881901</v>
      </c>
      <c r="AK11" s="11">
        <v>5.6867454235735498E-2</v>
      </c>
      <c r="AL11" s="11">
        <v>-3.88509714948886E-2</v>
      </c>
      <c r="AM11" s="11">
        <v>0.179463547322079</v>
      </c>
      <c r="AN11" s="11">
        <v>6.11257571931689E-2</v>
      </c>
      <c r="AO11" s="11">
        <v>-6.6749872851111502E-4</v>
      </c>
      <c r="AP11" s="11">
        <v>7.4400402577192604E-2</v>
      </c>
      <c r="AQ11" s="11">
        <v>2.3797791539349199E-2</v>
      </c>
      <c r="AR11" s="11">
        <v>-0.17679722726858199</v>
      </c>
      <c r="AS11" s="11">
        <v>4.1028365766495399E-2</v>
      </c>
      <c r="AT11" s="11">
        <v>0.109072298208335</v>
      </c>
      <c r="AU11" s="11">
        <v>0.109357166962693</v>
      </c>
      <c r="AV11" s="11">
        <v>0.240546340239468</v>
      </c>
      <c r="AW11" s="11">
        <v>9.9262994427714898E-2</v>
      </c>
      <c r="AX11" s="11">
        <v>9.8724575673819606E-2</v>
      </c>
      <c r="AY11" s="11">
        <v>0.18381810716633301</v>
      </c>
      <c r="AZ11" s="11">
        <v>0.110923553682819</v>
      </c>
      <c r="BA11" s="11">
        <v>0.22656060049368201</v>
      </c>
      <c r="BB11" s="11">
        <v>4.5061298770830802E-2</v>
      </c>
      <c r="BC11" s="11">
        <v>-0.187116249557505</v>
      </c>
      <c r="BD11" s="11">
        <v>7.0143338814991796E-2</v>
      </c>
      <c r="BE11" s="11">
        <v>-0.148499686500526</v>
      </c>
      <c r="BF11" s="11">
        <v>1.2344606654526399E-2</v>
      </c>
      <c r="BG11" s="11">
        <v>0.10834991606913499</v>
      </c>
      <c r="BH11" s="11">
        <v>7.5300766406983896E-2</v>
      </c>
      <c r="BI11" s="11">
        <v>0</v>
      </c>
      <c r="BJ11" s="11">
        <v>-2.3230906181169499E-2</v>
      </c>
      <c r="BK11" s="11">
        <v>-8.9678262797717706E-2</v>
      </c>
      <c r="BL11" s="11">
        <v>-0.101429437754602</v>
      </c>
      <c r="BM11" s="11">
        <v>-4.2415620356549298E-2</v>
      </c>
      <c r="BN11" s="11">
        <v>-2.1113373356086301E-2</v>
      </c>
      <c r="BO11" s="11">
        <v>-8.5466058526439098E-2</v>
      </c>
      <c r="BP11" s="11">
        <v>-8.9150665820366098E-2</v>
      </c>
      <c r="BQ11" s="11">
        <v>-3.24482837800429E-2</v>
      </c>
      <c r="BR11" s="11">
        <v>-2.4405346717650701E-2</v>
      </c>
      <c r="BS11" s="11">
        <v>1.1587918508521E-2</v>
      </c>
      <c r="BT11" s="11">
        <v>-4.1974414138394901E-3</v>
      </c>
      <c r="BU11" s="11">
        <v>-0.109717398931409</v>
      </c>
      <c r="BV11" s="11">
        <v>2.7093057356477299E-2</v>
      </c>
      <c r="BW11" s="11">
        <v>-4.5986142103888801E-2</v>
      </c>
      <c r="BX11" s="11">
        <v>-6.2810746482738197E-2</v>
      </c>
      <c r="BY11" s="11">
        <v>4.6570091383997198E-3</v>
      </c>
      <c r="BZ11" s="11">
        <v>-0.10848079739302</v>
      </c>
      <c r="CA11" s="11">
        <v>6.96167285785389E-2</v>
      </c>
      <c r="CB11" s="11">
        <v>-4.2624162848470599E-2</v>
      </c>
      <c r="CC11" s="11">
        <v>-2.5470709382265699E-2</v>
      </c>
      <c r="CD11" s="11">
        <v>-1.29999004394185E-2</v>
      </c>
      <c r="CE11" s="11">
        <v>-6.5574564037153393E-2</v>
      </c>
      <c r="CF11" s="11">
        <v>-0.11163559270691301</v>
      </c>
      <c r="CG11" s="11">
        <v>-5.6184237041735897E-2</v>
      </c>
      <c r="CH11" s="11">
        <v>-9.1771561772219498E-2</v>
      </c>
      <c r="CI11" s="11">
        <v>-5.6705498501516197E-2</v>
      </c>
      <c r="CJ11" s="11">
        <v>6.5793610407809205E-2</v>
      </c>
      <c r="CK11" s="11">
        <v>-3.6200594029844699E-2</v>
      </c>
      <c r="CL11" s="11">
        <v>-0.10584454065005899</v>
      </c>
      <c r="CM11" s="11">
        <v>-8.7821625459629807E-2</v>
      </c>
      <c r="CN11" s="11">
        <v>-2.5944195484043201E-2</v>
      </c>
      <c r="CO11" s="11">
        <v>-0.12586430104308099</v>
      </c>
      <c r="CP11" s="11">
        <v>-3.49039138081342E-2</v>
      </c>
      <c r="CQ11" s="11">
        <v>-4.93333182674442E-2</v>
      </c>
      <c r="CR11" s="11">
        <v>-7.21251276624221E-2</v>
      </c>
      <c r="CS11" s="11">
        <v>-0.127190428031003</v>
      </c>
      <c r="CT11" s="11">
        <v>-2.2485854486009399E-2</v>
      </c>
      <c r="CU11" s="11">
        <v>-0.101034083378473</v>
      </c>
      <c r="CV11" s="11">
        <v>8.7243951870412298E-2</v>
      </c>
      <c r="CW11" s="11">
        <v>-8.3760126795426895E-2</v>
      </c>
      <c r="CX11" s="11">
        <v>-3.7688017130863599E-3</v>
      </c>
      <c r="CY11" s="11">
        <v>1.59465307332591E-2</v>
      </c>
      <c r="CZ11" s="11">
        <v>-7.4555457832554198E-2</v>
      </c>
      <c r="DA11" s="11">
        <v>-0.118522090451374</v>
      </c>
      <c r="DB11" s="11">
        <v>-9.2789301263548202E-3</v>
      </c>
      <c r="DC11" s="11">
        <v>-0.12014423559666</v>
      </c>
      <c r="DD11" s="11">
        <v>-4.59699233227902E-2</v>
      </c>
      <c r="DE11" s="11">
        <v>-0.122195616131251</v>
      </c>
      <c r="DF11" s="11">
        <v>2.49353686142193E-2</v>
      </c>
      <c r="DG11" s="11">
        <v>-9.5487098706750095E-2</v>
      </c>
      <c r="DH11" s="11">
        <v>-5.5888401819051199E-2</v>
      </c>
      <c r="DI11" s="11">
        <v>2.50820522859409E-2</v>
      </c>
      <c r="DJ11" s="11">
        <v>0.13008147807765599</v>
      </c>
      <c r="DK11" s="11">
        <v>5.0890558323867602E-2</v>
      </c>
      <c r="DL11" s="11">
        <v>5.3077645592863099E-2</v>
      </c>
      <c r="DM11" s="11">
        <v>6.5874844743921093E-2</v>
      </c>
      <c r="DN11" s="11">
        <v>-3.0661206374931301E-2</v>
      </c>
      <c r="DO11" s="11">
        <v>-2.00144347867071E-2</v>
      </c>
      <c r="DP11" s="11">
        <v>-7.5473996847942995E-2</v>
      </c>
      <c r="DQ11" s="11">
        <v>-0.26469519352915899</v>
      </c>
      <c r="DR11" s="11">
        <v>-7.2505419096331195E-2</v>
      </c>
      <c r="DS11" s="11">
        <v>-0.11084757220258901</v>
      </c>
      <c r="DT11" s="11">
        <v>-0.24030955006108301</v>
      </c>
      <c r="DU11" s="11">
        <v>1.14381707552047E-2</v>
      </c>
      <c r="DV11" s="11">
        <v>4.5696087159802799E-2</v>
      </c>
      <c r="DW11" s="11">
        <v>6.5842822767631398E-2</v>
      </c>
      <c r="DX11" s="11">
        <v>4.50157784631698E-2</v>
      </c>
      <c r="DY11" s="11">
        <v>0.14780909187824701</v>
      </c>
      <c r="DZ11" s="11">
        <v>2.6007982314607599E-2</v>
      </c>
      <c r="EA11" s="11">
        <v>0.14165246793287101</v>
      </c>
      <c r="EB11" s="11">
        <v>0.34337775693426598</v>
      </c>
      <c r="EC11" s="11">
        <v>0.69315421134633104</v>
      </c>
      <c r="ED11" s="11">
        <v>6.5691237564941204E-2</v>
      </c>
      <c r="EE11" s="11">
        <v>0.33833328396833401</v>
      </c>
      <c r="EF11" s="11">
        <v>0.34259430848420303</v>
      </c>
      <c r="EG11" s="11">
        <v>0.225823039714241</v>
      </c>
      <c r="EH11" s="11">
        <v>0.22644806040248899</v>
      </c>
      <c r="EI11" s="11">
        <v>-0.20582463167229001</v>
      </c>
      <c r="EJ11" s="11">
        <v>-0.15965633782730099</v>
      </c>
      <c r="EK11" s="11">
        <v>0.17930265245625901</v>
      </c>
      <c r="EL11" s="11">
        <v>-8.30901849223461E-2</v>
      </c>
      <c r="EM11" s="11">
        <v>-0.13033727066557499</v>
      </c>
      <c r="EN11" s="11">
        <v>-0.18554697336776799</v>
      </c>
      <c r="EO11" s="11">
        <v>-0.13309775052393699</v>
      </c>
      <c r="EP11" s="11">
        <v>-0.114610800633194</v>
      </c>
      <c r="EQ11" s="11">
        <v>-0.223963266245438</v>
      </c>
      <c r="ER11" s="11">
        <v>-0.26469519352915899</v>
      </c>
      <c r="ES11" s="11">
        <v>1.6494199046369201E-2</v>
      </c>
      <c r="ET11" s="11">
        <v>-4.5478368088775797E-2</v>
      </c>
      <c r="EU11" s="11">
        <v>-0.26469519352915899</v>
      </c>
      <c r="EV11" s="11">
        <v>-0.23897448774840599</v>
      </c>
      <c r="EW11" s="11">
        <v>-1.5109814842533599E-2</v>
      </c>
      <c r="EX11" s="11">
        <v>-0.135153350309871</v>
      </c>
      <c r="EY11" s="11">
        <v>5.77032409990085E-3</v>
      </c>
      <c r="EZ11" s="11">
        <v>-1.6743438265217299E-2</v>
      </c>
      <c r="FA11" s="11">
        <v>0.101643011849471</v>
      </c>
      <c r="FB11" s="11">
        <v>-3.0476925774029499E-2</v>
      </c>
      <c r="FC11" s="11">
        <v>-0.20041823750156401</v>
      </c>
      <c r="FD11" s="11">
        <v>-0.127024402683727</v>
      </c>
      <c r="FE11" s="11">
        <v>-0.13881287108316301</v>
      </c>
      <c r="FF11" s="11">
        <v>-9.5608699104934705E-2</v>
      </c>
      <c r="FG11" s="11">
        <v>-8.4866554429495894E-2</v>
      </c>
      <c r="FH11" s="11">
        <v>0.15019254473386601</v>
      </c>
      <c r="FI11" s="11">
        <v>-0.226500971997323</v>
      </c>
      <c r="FJ11" s="11">
        <v>7.2509107560011402E-2</v>
      </c>
      <c r="FK11" s="11">
        <v>3.6701091830065799E-2</v>
      </c>
      <c r="FL11" s="11">
        <v>-3.5404300474270102E-2</v>
      </c>
      <c r="FM11" s="11">
        <v>-7.7938150054409003E-3</v>
      </c>
      <c r="FN11" s="11">
        <v>-4.86885776413492E-2</v>
      </c>
      <c r="FO11" s="11">
        <v>1.6807553694677801E-2</v>
      </c>
      <c r="FP11" s="11">
        <v>-0.12846955832507201</v>
      </c>
      <c r="FQ11" s="11">
        <v>-3.2748992955400798E-2</v>
      </c>
      <c r="FR11" s="11">
        <v>-3.17910064787836E-2</v>
      </c>
      <c r="FS11" s="11">
        <v>6.2758421289565797E-2</v>
      </c>
      <c r="FT11" s="11">
        <v>0.35331570714246502</v>
      </c>
      <c r="FU11" s="11">
        <v>0.27466387510552098</v>
      </c>
      <c r="FV11" s="11">
        <v>2.2918507755063201E-2</v>
      </c>
      <c r="FW11" s="11">
        <v>0.31009964048157201</v>
      </c>
      <c r="FX11" s="11">
        <v>0.32194741298688001</v>
      </c>
      <c r="FY11" s="11">
        <v>1.57664267455165</v>
      </c>
      <c r="FZ11" s="11">
        <v>0.77284059297966001</v>
      </c>
      <c r="GA11" s="11">
        <v>1.37769958675603</v>
      </c>
      <c r="GB11" s="11">
        <v>0.63640803407771696</v>
      </c>
      <c r="GC11" s="11">
        <v>0.21960655932746501</v>
      </c>
      <c r="GD11" s="11">
        <v>0.21943502893557101</v>
      </c>
      <c r="GE11" s="11">
        <v>0.14353419051288199</v>
      </c>
      <c r="GF11" s="11">
        <v>0.15680302682730801</v>
      </c>
      <c r="GG11" s="11">
        <v>1.15811015637452</v>
      </c>
      <c r="GH11" s="11">
        <v>0.261964913668079</v>
      </c>
      <c r="GI11" s="11">
        <v>0.10889258408947999</v>
      </c>
      <c r="GJ11" s="11">
        <v>2.15864705261931</v>
      </c>
      <c r="GK11" s="11">
        <v>1.4113478978731999</v>
      </c>
      <c r="GL11" s="11">
        <v>0.37651759490477599</v>
      </c>
      <c r="GM11" s="11">
        <v>0.191903432707176</v>
      </c>
      <c r="GN11" s="11">
        <v>0.31352118030590098</v>
      </c>
      <c r="GO11" s="11">
        <v>0.53341571791287201</v>
      </c>
      <c r="GP11" s="11">
        <v>3.3815226518616299</v>
      </c>
      <c r="GQ11" s="11">
        <v>2.7143383253295399</v>
      </c>
      <c r="GR11" s="11">
        <v>4.9183975782173001E-3</v>
      </c>
      <c r="GS11" s="11">
        <v>0.14421471694721799</v>
      </c>
      <c r="GT11" s="11">
        <v>1.98458613512728</v>
      </c>
      <c r="GU11" s="11">
        <v>1.44020449100174</v>
      </c>
    </row>
    <row r="12" spans="1:203" x14ac:dyDescent="0.25">
      <c r="A12" s="12" t="s">
        <v>266</v>
      </c>
      <c r="B12" t="s">
        <v>45</v>
      </c>
      <c r="C12">
        <v>-0.19887238183148501</v>
      </c>
      <c r="D12">
        <v>9.9622864263795796E-2</v>
      </c>
      <c r="E12">
        <v>-0.239586678001911</v>
      </c>
      <c r="F12">
        <v>-0.11945435134424801</v>
      </c>
      <c r="G12">
        <v>-0.28867125953047201</v>
      </c>
      <c r="H12">
        <v>-0.25615567195501798</v>
      </c>
      <c r="I12">
        <v>0.147458714621512</v>
      </c>
      <c r="J12">
        <v>-0.40314877491967899</v>
      </c>
      <c r="K12">
        <v>-1.21376186381529E-2</v>
      </c>
      <c r="L12">
        <v>-0.27199099847809699</v>
      </c>
      <c r="M12">
        <v>-0.35840991565291702</v>
      </c>
      <c r="N12">
        <v>-0.18599430796576699</v>
      </c>
      <c r="O12">
        <v>3.0309921788008599E-2</v>
      </c>
      <c r="P12">
        <v>-0.10601416153151599</v>
      </c>
      <c r="Q12">
        <v>2.7410028507914901E-2</v>
      </c>
      <c r="R12">
        <v>-0.19193246404940301</v>
      </c>
      <c r="S12">
        <v>5.5986696336174299E-2</v>
      </c>
      <c r="T12">
        <v>0.124693723593806</v>
      </c>
      <c r="U12">
        <v>-6.0830746329332303E-2</v>
      </c>
      <c r="V12">
        <v>5.9205683995602401E-2</v>
      </c>
      <c r="W12">
        <v>-5.0104086960749097E-2</v>
      </c>
      <c r="X12">
        <v>4.5325734494355001E-2</v>
      </c>
      <c r="Y12">
        <v>5.36874129350862E-2</v>
      </c>
      <c r="Z12">
        <v>-9.5240925152843797E-2</v>
      </c>
      <c r="AA12">
        <v>0</v>
      </c>
      <c r="AB12">
        <v>3.9658286527967802E-2</v>
      </c>
      <c r="AC12">
        <v>-0.40990962303463702</v>
      </c>
      <c r="AD12">
        <v>-0.48246590203651502</v>
      </c>
      <c r="AE12">
        <v>-0.11947251386289599</v>
      </c>
      <c r="AF12">
        <v>0.107126664134332</v>
      </c>
      <c r="AG12">
        <v>4.4738806985435602E-3</v>
      </c>
      <c r="AH12">
        <v>-0.10146442907176299</v>
      </c>
      <c r="AI12">
        <v>-1.8015991083584801E-2</v>
      </c>
      <c r="AJ12">
        <v>9.8272838566397597E-2</v>
      </c>
      <c r="AK12">
        <v>0.15773867515076001</v>
      </c>
      <c r="AL12">
        <v>-0.33672073627611299</v>
      </c>
      <c r="AM12">
        <v>9.4378983024578506E-2</v>
      </c>
      <c r="AN12">
        <v>-0.29365704729148501</v>
      </c>
      <c r="AO12">
        <v>-0.37733965600882402</v>
      </c>
      <c r="AP12">
        <v>-9.3786888169725996E-2</v>
      </c>
      <c r="AQ12">
        <v>-0.11316816839503099</v>
      </c>
      <c r="AR12">
        <v>-0.41139396381193799</v>
      </c>
      <c r="AS12">
        <v>-0.24704412254079999</v>
      </c>
      <c r="AT12">
        <v>3.1202473178485301E-2</v>
      </c>
      <c r="AU12">
        <v>0.110074645280025</v>
      </c>
      <c r="AV12">
        <v>0.22014985663943001</v>
      </c>
      <c r="AW12">
        <v>-0.208999178522041</v>
      </c>
      <c r="AX12">
        <v>1.08028503503738E-2</v>
      </c>
      <c r="AY12">
        <v>-1.09921751214071E-2</v>
      </c>
      <c r="AZ12">
        <v>-7.5959115363281302E-2</v>
      </c>
      <c r="BA12">
        <v>0.16553852083671799</v>
      </c>
      <c r="BB12">
        <v>3.50990856085725E-2</v>
      </c>
      <c r="BC12">
        <v>-8.1179378874409402E-2</v>
      </c>
      <c r="BD12">
        <v>-0.19001883966408101</v>
      </c>
      <c r="BE12">
        <v>5.5869090367837097E-2</v>
      </c>
      <c r="BF12">
        <v>0.108153061171223</v>
      </c>
      <c r="BG12">
        <v>-7.7230927325097495E-2</v>
      </c>
      <c r="BH12">
        <v>0.177671425793552</v>
      </c>
      <c r="BI12">
        <v>-1.50431116367566E-2</v>
      </c>
      <c r="BJ12">
        <v>0.23570581238285099</v>
      </c>
      <c r="BK12">
        <v>-0.182101461418263</v>
      </c>
      <c r="BL12">
        <v>6.8804486418367504E-3</v>
      </c>
      <c r="BM12">
        <v>-1.44870671804566E-2</v>
      </c>
      <c r="BN12">
        <v>-1.03794266375693E-2</v>
      </c>
      <c r="BO12">
        <v>-3.9389631690636598E-2</v>
      </c>
      <c r="BP12">
        <v>3.1169875657391401E-2</v>
      </c>
      <c r="BQ12">
        <v>6.42571934424324E-2</v>
      </c>
      <c r="BR12">
        <v>0.18392949382793899</v>
      </c>
      <c r="BS12">
        <v>0.15998051792842599</v>
      </c>
      <c r="BT12">
        <v>9.0069917724473397E-2</v>
      </c>
      <c r="BU12">
        <v>-0.18258339163826401</v>
      </c>
      <c r="BV12">
        <v>9.4597443469022699E-2</v>
      </c>
      <c r="BW12">
        <v>1.6825816786337201E-2</v>
      </c>
      <c r="BX12">
        <v>7.4541684960402005E-2</v>
      </c>
      <c r="BY12">
        <v>-6.9837883354824007E-2</v>
      </c>
      <c r="BZ12">
        <v>-1.8370798359004199E-2</v>
      </c>
      <c r="CA12">
        <v>-1.44633809333626E-2</v>
      </c>
      <c r="CB12">
        <v>0.269265209124956</v>
      </c>
      <c r="CC12">
        <v>6.0792694343408303E-2</v>
      </c>
      <c r="CD12">
        <v>-0.18334407932982</v>
      </c>
      <c r="CE12">
        <v>-0.267691421739087</v>
      </c>
      <c r="CF12">
        <v>-0.230930850979848</v>
      </c>
      <c r="CG12">
        <v>-9.5204365807858696E-2</v>
      </c>
      <c r="CH12">
        <v>-2.6269583119429001E-2</v>
      </c>
      <c r="CI12">
        <v>6.9532779027467101E-2</v>
      </c>
      <c r="CJ12">
        <v>-6.6142950868863806E-2</v>
      </c>
      <c r="CK12">
        <v>6.2681698325645394E-2</v>
      </c>
      <c r="CL12">
        <v>-0.134627709876945</v>
      </c>
      <c r="CM12">
        <v>0.16301250695490299</v>
      </c>
      <c r="CN12">
        <v>-0.20506962382640601</v>
      </c>
      <c r="CO12">
        <v>-3.6827878214835498E-2</v>
      </c>
      <c r="CP12">
        <v>-0.32108489046716898</v>
      </c>
      <c r="CQ12">
        <v>-6.3683564863006095E-2</v>
      </c>
      <c r="CR12">
        <v>0.31540843697188697</v>
      </c>
      <c r="CS12">
        <v>-0.40985781265698601</v>
      </c>
      <c r="CT12">
        <v>0.11199670761602699</v>
      </c>
      <c r="CU12">
        <v>-0.37780531992467398</v>
      </c>
      <c r="CV12">
        <v>-0.14603116378237599</v>
      </c>
      <c r="CW12">
        <v>0.13939763799518601</v>
      </c>
      <c r="CX12">
        <v>0.11563573812179</v>
      </c>
      <c r="CY12">
        <v>0.41699584280750301</v>
      </c>
      <c r="CZ12">
        <v>0.14060991585504101</v>
      </c>
      <c r="DA12">
        <v>-0.17680210375059299</v>
      </c>
      <c r="DB12">
        <v>0.19224249315933301</v>
      </c>
      <c r="DC12">
        <v>-0.103721706291212</v>
      </c>
      <c r="DD12">
        <v>0.32323750758216002</v>
      </c>
      <c r="DE12">
        <v>-1.86819550755793E-2</v>
      </c>
      <c r="DF12">
        <v>0.20078575735920001</v>
      </c>
      <c r="DG12">
        <v>5.4227566350831095E-4</v>
      </c>
      <c r="DH12">
        <v>7.3321010042095305E-2</v>
      </c>
      <c r="DI12">
        <v>0.21832192154121199</v>
      </c>
      <c r="DJ12">
        <v>7.4747603168901E-2</v>
      </c>
      <c r="DK12">
        <v>0.21198748027585801</v>
      </c>
      <c r="DL12">
        <v>7.1186950702501098E-2</v>
      </c>
      <c r="DM12">
        <v>0.12220987565371801</v>
      </c>
      <c r="DN12">
        <v>-0.10357648571907301</v>
      </c>
      <c r="DO12">
        <v>0.37854681651052502</v>
      </c>
      <c r="DP12">
        <v>0.156363021720344</v>
      </c>
      <c r="DQ12">
        <v>0.15843289528093099</v>
      </c>
      <c r="DR12">
        <v>-0.17218553761469299</v>
      </c>
      <c r="DS12">
        <v>0.12914741209713401</v>
      </c>
      <c r="DT12">
        <v>-0.46404143516246599</v>
      </c>
      <c r="DU12">
        <v>0.35477126832950201</v>
      </c>
      <c r="DV12">
        <v>0.25135698013028801</v>
      </c>
      <c r="DW12">
        <v>0.38577062128933798</v>
      </c>
      <c r="DX12">
        <v>0.15777676000179899</v>
      </c>
      <c r="DY12">
        <v>2.8306353582818401E-2</v>
      </c>
      <c r="DZ12">
        <v>-9.6437420502515803E-2</v>
      </c>
      <c r="EA12">
        <v>-7.0247999031765804E-2</v>
      </c>
      <c r="EB12">
        <v>0.181195636870391</v>
      </c>
      <c r="EC12">
        <v>0.174718832349014</v>
      </c>
      <c r="ED12">
        <v>-0.113060713168459</v>
      </c>
      <c r="EE12">
        <v>0.31166117808355398</v>
      </c>
      <c r="EF12">
        <v>0.19228518737880801</v>
      </c>
      <c r="EG12">
        <v>0.39025527280482197</v>
      </c>
      <c r="EH12">
        <v>0.28126023531066402</v>
      </c>
      <c r="EI12">
        <v>1.12519060753972E-2</v>
      </c>
      <c r="EJ12">
        <v>-0.18011216808448699</v>
      </c>
      <c r="EK12">
        <v>3.1194239051194401E-2</v>
      </c>
      <c r="EL12">
        <v>-0.107519009995611</v>
      </c>
      <c r="EM12">
        <v>-9.8870274201811603E-2</v>
      </c>
      <c r="EN12">
        <v>-0.31425493293025503</v>
      </c>
      <c r="EO12">
        <v>-0.40082024299241797</v>
      </c>
      <c r="EP12">
        <v>5.0845723302836397E-2</v>
      </c>
      <c r="EQ12">
        <v>-0.261853761210673</v>
      </c>
      <c r="ER12">
        <v>-0.65410792368264303</v>
      </c>
      <c r="ES12">
        <v>-6.1355859323635902E-2</v>
      </c>
      <c r="ET12">
        <v>-0.48986129008420298</v>
      </c>
      <c r="EU12">
        <v>-0.17390604161371001</v>
      </c>
      <c r="EV12">
        <v>-0.55855821434687003</v>
      </c>
      <c r="EW12">
        <v>-0.582214020704938</v>
      </c>
      <c r="EX12">
        <v>-0.61481939870909097</v>
      </c>
      <c r="EY12">
        <v>-0.55525659365360902</v>
      </c>
      <c r="EZ12">
        <v>-0.458869364089243</v>
      </c>
      <c r="FA12">
        <v>-0.235838916292161</v>
      </c>
      <c r="FB12">
        <v>-0.38189344702176697</v>
      </c>
      <c r="FC12">
        <v>-0.60434709559768995</v>
      </c>
      <c r="FD12">
        <v>-0.588334983791307</v>
      </c>
      <c r="FE12">
        <v>-0.59333396997812404</v>
      </c>
      <c r="FF12">
        <v>-0.66092154370433398</v>
      </c>
      <c r="FG12">
        <v>-0.497713642009602</v>
      </c>
      <c r="FH12">
        <v>0.25132182538668901</v>
      </c>
      <c r="FI12">
        <v>-0.11203058897915399</v>
      </c>
      <c r="FJ12">
        <v>-0.26773374192042498</v>
      </c>
      <c r="FK12">
        <v>-0.12989886153164901</v>
      </c>
      <c r="FL12">
        <v>-0.14860519028684299</v>
      </c>
      <c r="FM12">
        <v>-0.395748780095458</v>
      </c>
      <c r="FN12">
        <v>-0.336670010127954</v>
      </c>
      <c r="FO12">
        <v>0.12828837090548001</v>
      </c>
      <c r="FP12">
        <v>-7.0477244269023701E-2</v>
      </c>
      <c r="FQ12">
        <v>0.15167809799550999</v>
      </c>
      <c r="FR12">
        <v>-0.36400528238240198</v>
      </c>
      <c r="FS12">
        <v>-3.4666472959455102E-2</v>
      </c>
      <c r="FT12">
        <v>0.37349216610372199</v>
      </c>
      <c r="FU12">
        <v>0.450600491483372</v>
      </c>
      <c r="FV12">
        <v>0.444723223511091</v>
      </c>
      <c r="FW12">
        <v>0.60269456613666095</v>
      </c>
      <c r="FX12">
        <v>0.147643831960275</v>
      </c>
      <c r="FY12">
        <v>4.5908425041180003E-3</v>
      </c>
      <c r="FZ12">
        <v>6.6324783035751497E-2</v>
      </c>
      <c r="GA12">
        <v>5.7950687966837597E-2</v>
      </c>
      <c r="GB12">
        <v>1.6791131110460499E-2</v>
      </c>
      <c r="GC12">
        <v>0.18192602989777101</v>
      </c>
      <c r="GD12">
        <v>0.147487356993105</v>
      </c>
      <c r="GE12">
        <v>-0.15239620555072</v>
      </c>
      <c r="GF12">
        <v>0.172661439001982</v>
      </c>
      <c r="GG12">
        <v>0.27897408967704701</v>
      </c>
      <c r="GH12">
        <v>0.39211822747436798</v>
      </c>
      <c r="GI12">
        <v>0.14714299980537601</v>
      </c>
      <c r="GJ12">
        <v>0.35315844833079901</v>
      </c>
      <c r="GK12">
        <v>0.32758852440571201</v>
      </c>
      <c r="GL12">
        <v>0.19336956482454301</v>
      </c>
      <c r="GM12">
        <v>0.37179925453990698</v>
      </c>
      <c r="GN12">
        <v>0.29177876651176998</v>
      </c>
      <c r="GO12">
        <v>-0.53255695618673504</v>
      </c>
      <c r="GP12">
        <v>-0.237850183924151</v>
      </c>
      <c r="GQ12">
        <v>2.8831954322494802E-2</v>
      </c>
      <c r="GR12">
        <v>-9.4788247868662107E-2</v>
      </c>
      <c r="GS12">
        <v>0.13381909671604</v>
      </c>
      <c r="GT12">
        <v>0.50155693171522597</v>
      </c>
      <c r="GU12">
        <v>0.63626513366571902</v>
      </c>
    </row>
    <row r="13" spans="1:203" x14ac:dyDescent="0.25">
      <c r="A13" s="12" t="s">
        <v>266</v>
      </c>
      <c r="B13" t="s">
        <v>49</v>
      </c>
      <c r="C13">
        <v>0</v>
      </c>
      <c r="D13">
        <v>0</v>
      </c>
      <c r="E13">
        <v>0</v>
      </c>
      <c r="F13">
        <v>0</v>
      </c>
      <c r="G13">
        <v>9.4604715574068392E-3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1.0576214536158901E-2</v>
      </c>
      <c r="S13">
        <v>0</v>
      </c>
      <c r="T13">
        <v>0</v>
      </c>
      <c r="U13">
        <v>0</v>
      </c>
      <c r="V13">
        <v>3.7323065883790299E-3</v>
      </c>
      <c r="W13">
        <v>0</v>
      </c>
      <c r="X13">
        <v>1.0245265701745301E-2</v>
      </c>
      <c r="Y13">
        <v>1.79556643073071E-2</v>
      </c>
      <c r="Z13">
        <v>2.2590140246035301E-2</v>
      </c>
      <c r="AA13">
        <v>6.31886438995899E-3</v>
      </c>
      <c r="AB13">
        <v>3.8600791972852301E-2</v>
      </c>
      <c r="AC13">
        <v>0</v>
      </c>
      <c r="AD13">
        <v>0</v>
      </c>
      <c r="AE13">
        <v>0</v>
      </c>
      <c r="AF13">
        <v>0</v>
      </c>
      <c r="AG13">
        <v>3.7927064798579302E-3</v>
      </c>
      <c r="AH13">
        <v>0</v>
      </c>
      <c r="AI13">
        <v>0</v>
      </c>
      <c r="AJ13">
        <v>0</v>
      </c>
      <c r="AK13">
        <v>0</v>
      </c>
      <c r="AL13">
        <v>9.3839423043677508E-3</v>
      </c>
      <c r="AM13">
        <v>0</v>
      </c>
      <c r="AN13">
        <v>7.4870200836710601E-3</v>
      </c>
      <c r="AO13">
        <v>0</v>
      </c>
      <c r="AP13">
        <v>0</v>
      </c>
      <c r="AQ13">
        <v>1.3600204656404E-2</v>
      </c>
      <c r="AR13">
        <v>0</v>
      </c>
      <c r="AS13">
        <v>1.20745652530116E-2</v>
      </c>
      <c r="AT13">
        <v>0</v>
      </c>
      <c r="AU13">
        <v>8.6690884719904104E-2</v>
      </c>
      <c r="AV13">
        <v>0</v>
      </c>
      <c r="AW13">
        <v>2.6080051902211202E-2</v>
      </c>
      <c r="AX13">
        <v>0</v>
      </c>
      <c r="AY13">
        <v>0</v>
      </c>
      <c r="AZ13">
        <v>0</v>
      </c>
      <c r="BA13">
        <v>3.8611705236326399E-2</v>
      </c>
      <c r="BB13">
        <v>0</v>
      </c>
      <c r="BC13">
        <v>2.4747219795031101E-2</v>
      </c>
      <c r="BD13">
        <v>0</v>
      </c>
      <c r="BE13">
        <v>0</v>
      </c>
      <c r="BF13">
        <v>6.2537449680252599E-2</v>
      </c>
      <c r="BG13">
        <v>0.15485738505025901</v>
      </c>
      <c r="BH13">
        <v>6.6777982944423706E-2</v>
      </c>
      <c r="BI13">
        <v>0.123227675041939</v>
      </c>
      <c r="BJ13">
        <v>8.1586448360210506E-2</v>
      </c>
      <c r="BK13">
        <v>0</v>
      </c>
      <c r="BL13">
        <v>1.2673612243186701E-2</v>
      </c>
      <c r="BM13">
        <v>0</v>
      </c>
      <c r="BN13">
        <v>2.1778051134127899E-2</v>
      </c>
      <c r="BO13">
        <v>1.01163050939984E-2</v>
      </c>
      <c r="BP13">
        <v>1.35094348734042E-2</v>
      </c>
      <c r="BQ13">
        <v>0</v>
      </c>
      <c r="BR13">
        <v>1.5891782339910399E-2</v>
      </c>
      <c r="BS13">
        <v>0.19495112173527601</v>
      </c>
      <c r="BT13">
        <v>2.3942589413060999E-2</v>
      </c>
      <c r="BU13">
        <v>3.02497322441082E-2</v>
      </c>
      <c r="BV13">
        <v>1.4383032315429501E-2</v>
      </c>
      <c r="BW13">
        <v>0</v>
      </c>
      <c r="BX13">
        <v>9.3851934803791306E-3</v>
      </c>
      <c r="BY13">
        <v>2.2567639353850099E-2</v>
      </c>
      <c r="BZ13">
        <v>2.5008984255366701E-2</v>
      </c>
      <c r="CA13">
        <v>0</v>
      </c>
      <c r="CB13">
        <v>0</v>
      </c>
      <c r="CC13">
        <v>6.4088700284959804E-3</v>
      </c>
      <c r="CD13">
        <v>3.84891837572746E-2</v>
      </c>
      <c r="CE13">
        <v>0</v>
      </c>
      <c r="CF13">
        <v>0</v>
      </c>
      <c r="CG13">
        <v>5.7568111723462601E-2</v>
      </c>
      <c r="CH13">
        <v>6.78211139848609E-3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2.1282787282833698E-2</v>
      </c>
      <c r="CO13">
        <v>1.07752119738986E-2</v>
      </c>
      <c r="CP13">
        <v>0</v>
      </c>
      <c r="CQ13">
        <v>0</v>
      </c>
      <c r="CR13">
        <v>0</v>
      </c>
      <c r="CS13">
        <v>3.0247453288912399E-3</v>
      </c>
      <c r="CT13">
        <v>2.6311524813294202E-3</v>
      </c>
      <c r="CU13">
        <v>6.58871519717193E-3</v>
      </c>
      <c r="CV13">
        <v>0</v>
      </c>
      <c r="CW13">
        <v>0</v>
      </c>
      <c r="CX13">
        <v>3.8735477158884399E-3</v>
      </c>
      <c r="CY13">
        <v>0</v>
      </c>
      <c r="CZ13">
        <v>0</v>
      </c>
      <c r="DA13">
        <v>0</v>
      </c>
      <c r="DB13">
        <v>6.1692898517059502E-3</v>
      </c>
      <c r="DC13">
        <v>8.34336673941183E-3</v>
      </c>
      <c r="DD13">
        <v>0</v>
      </c>
      <c r="DE13">
        <v>0</v>
      </c>
      <c r="DF13">
        <v>8.4443325813148302E-3</v>
      </c>
      <c r="DG13">
        <v>0</v>
      </c>
      <c r="DH13">
        <v>0</v>
      </c>
      <c r="DI13">
        <v>1.3345265709627499E-2</v>
      </c>
      <c r="DJ13">
        <v>8.1860513388989406E-2</v>
      </c>
      <c r="DK13">
        <v>1.0888247348560601E-2</v>
      </c>
      <c r="DL13">
        <v>4.2285408206485901E-2</v>
      </c>
      <c r="DM13">
        <v>0</v>
      </c>
      <c r="DN13">
        <v>0</v>
      </c>
      <c r="DO13">
        <v>0</v>
      </c>
      <c r="DP13">
        <v>5.4205028508883396E-3</v>
      </c>
      <c r="DQ13">
        <v>0</v>
      </c>
      <c r="DR13">
        <v>0</v>
      </c>
      <c r="DS13">
        <v>9.7053090533551507E-3</v>
      </c>
      <c r="DT13">
        <v>0</v>
      </c>
      <c r="DU13">
        <v>2.19985893921067E-2</v>
      </c>
      <c r="DV13">
        <v>6.8734713259914801E-2</v>
      </c>
      <c r="DW13">
        <v>4.6488536704741699E-2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8.2235022621873505E-3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2.57207057807523E-2</v>
      </c>
      <c r="EW13">
        <v>0</v>
      </c>
      <c r="EX13">
        <v>1.3071157904914201E-2</v>
      </c>
      <c r="EY13">
        <v>0</v>
      </c>
      <c r="EZ13">
        <v>5.12241069499468E-2</v>
      </c>
      <c r="FA13">
        <v>2.7629336158007101E-2</v>
      </c>
      <c r="FB13">
        <v>1.52613175275901E-2</v>
      </c>
      <c r="FC13">
        <v>6.4386995846592698E-3</v>
      </c>
      <c r="FD13">
        <v>0</v>
      </c>
      <c r="FE13">
        <v>6.7335710001802402E-3</v>
      </c>
      <c r="FF13">
        <v>1.23008929587392E-2</v>
      </c>
      <c r="FG13">
        <v>0</v>
      </c>
      <c r="FH13">
        <v>0.174929487287286</v>
      </c>
      <c r="FI13">
        <v>0.13127004304119999</v>
      </c>
      <c r="FJ13">
        <v>3.6362550078338302E-2</v>
      </c>
      <c r="FK13">
        <v>0</v>
      </c>
      <c r="FL13">
        <v>5.1078360493749399E-2</v>
      </c>
      <c r="FM13">
        <v>6.9435212718035003E-2</v>
      </c>
      <c r="FN13">
        <v>6.3240923122203696E-2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0.19960629446759101</v>
      </c>
      <c r="FV13">
        <v>6.3379303098850898E-2</v>
      </c>
      <c r="FW13">
        <v>0</v>
      </c>
      <c r="FX13">
        <v>0</v>
      </c>
      <c r="FY13">
        <v>0.22251533884455499</v>
      </c>
      <c r="FZ13">
        <v>4.4082264709892398E-2</v>
      </c>
      <c r="GA13">
        <v>9.3378573072258803E-2</v>
      </c>
      <c r="GB13">
        <v>9.7264730807697694E-2</v>
      </c>
      <c r="GC13">
        <v>0.112847771065577</v>
      </c>
      <c r="GD13">
        <v>0.13576043962649101</v>
      </c>
      <c r="GE13">
        <v>9.0736842530840897E-2</v>
      </c>
      <c r="GF13">
        <v>0.10292319835811201</v>
      </c>
      <c r="GG13">
        <v>0</v>
      </c>
      <c r="GH13">
        <v>0.15652057292441701</v>
      </c>
      <c r="GI13">
        <v>0</v>
      </c>
      <c r="GJ13">
        <v>8.9305169025062803E-2</v>
      </c>
      <c r="GK13">
        <v>0</v>
      </c>
      <c r="GL13">
        <v>0.14179903714368</v>
      </c>
      <c r="GM13">
        <v>0</v>
      </c>
      <c r="GN13">
        <v>0.101379506055108</v>
      </c>
      <c r="GO13">
        <v>0</v>
      </c>
      <c r="GP13">
        <v>0.18783844202866901</v>
      </c>
      <c r="GQ13">
        <v>5.8125173629460798E-2</v>
      </c>
      <c r="GR13">
        <v>0.18480074443761499</v>
      </c>
      <c r="GS13">
        <v>0</v>
      </c>
      <c r="GT13">
        <v>0</v>
      </c>
      <c r="GU13">
        <v>0.128737385042582</v>
      </c>
    </row>
    <row r="14" spans="1:203" x14ac:dyDescent="0.25">
      <c r="A14" s="12" t="s">
        <v>266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6.1527325418437896E-3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3.03002937000407E-3</v>
      </c>
      <c r="U14">
        <v>0</v>
      </c>
      <c r="V14">
        <v>0</v>
      </c>
      <c r="W14">
        <v>0</v>
      </c>
      <c r="X14">
        <v>0</v>
      </c>
      <c r="Y14">
        <v>0</v>
      </c>
      <c r="Z14">
        <v>1.1309403182025401E-2</v>
      </c>
      <c r="AA14">
        <v>0</v>
      </c>
      <c r="AB14">
        <v>0</v>
      </c>
      <c r="AC14">
        <v>0</v>
      </c>
      <c r="AD14">
        <v>7.25377665298442E-2</v>
      </c>
      <c r="AE14">
        <v>0</v>
      </c>
      <c r="AF14">
        <v>0</v>
      </c>
      <c r="AG14">
        <v>3.7927064798579302E-3</v>
      </c>
      <c r="AH14">
        <v>0</v>
      </c>
      <c r="AI14">
        <v>0</v>
      </c>
      <c r="AJ14">
        <v>0</v>
      </c>
      <c r="AK14">
        <v>1.1432108844503901E-2</v>
      </c>
      <c r="AL14">
        <v>0</v>
      </c>
      <c r="AM14">
        <v>0</v>
      </c>
      <c r="AN14">
        <v>0</v>
      </c>
      <c r="AO14">
        <v>0</v>
      </c>
      <c r="AP14">
        <v>5.2868945201217502E-2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1.21615523208136E-2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8.8490209373019799E-3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7.1782853902550396E-3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6.4088700284959804E-3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1.41587115531434E-2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8.34336673941183E-3</v>
      </c>
      <c r="DD14">
        <v>4.3222088751450199E-3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1.0888247348560601E-2</v>
      </c>
      <c r="DL14">
        <v>0</v>
      </c>
      <c r="DM14">
        <v>0</v>
      </c>
      <c r="DN14">
        <v>0</v>
      </c>
      <c r="DO14">
        <v>0</v>
      </c>
      <c r="DP14">
        <v>5.4205028508883396E-3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0.20223898670267901</v>
      </c>
      <c r="DZ14">
        <v>1.29252809688579</v>
      </c>
      <c r="EA14">
        <v>0.64452892729758204</v>
      </c>
      <c r="EB14">
        <v>0</v>
      </c>
      <c r="EC14">
        <v>3.3741501835010202E-3</v>
      </c>
      <c r="ED14">
        <v>5.4102624947846803E-2</v>
      </c>
      <c r="EE14">
        <v>0</v>
      </c>
      <c r="EF14">
        <v>0</v>
      </c>
      <c r="EG14">
        <v>0</v>
      </c>
      <c r="EH14">
        <v>0</v>
      </c>
      <c r="EI14">
        <v>3.7325795057199899E-2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0.122821085325695</v>
      </c>
      <c r="EV14">
        <v>0</v>
      </c>
      <c r="EW14">
        <v>0</v>
      </c>
      <c r="EX14">
        <v>1.3071157904914201E-2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1.9168805850296199E-2</v>
      </c>
      <c r="FJ14">
        <v>0</v>
      </c>
      <c r="FK14">
        <v>2.77102607810287E-2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6.3379303098850898E-2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5.7358473785087599E-2</v>
      </c>
      <c r="GD14">
        <v>0</v>
      </c>
      <c r="GE14">
        <v>0.25759705158161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9.6688977174831797E-2</v>
      </c>
      <c r="GQ14">
        <v>0</v>
      </c>
      <c r="GR14">
        <v>0</v>
      </c>
      <c r="GS14">
        <v>0</v>
      </c>
      <c r="GT14">
        <v>0</v>
      </c>
      <c r="GU14">
        <v>0</v>
      </c>
    </row>
    <row r="15" spans="1:203" x14ac:dyDescent="0.25">
      <c r="A15" s="12" t="s">
        <v>266</v>
      </c>
      <c r="B15" t="s">
        <v>67</v>
      </c>
      <c r="C15">
        <v>8.5764116494072701E-2</v>
      </c>
      <c r="D15">
        <v>0.13454297385540501</v>
      </c>
      <c r="E15">
        <v>-0.24250077457258501</v>
      </c>
      <c r="F15">
        <v>-1.16995189540137E-2</v>
      </c>
      <c r="G15">
        <v>-0.122062255256255</v>
      </c>
      <c r="H15">
        <v>-7.5035367707509307E-2</v>
      </c>
      <c r="I15">
        <v>0.25758489794956801</v>
      </c>
      <c r="J15">
        <v>-0.123875597513439</v>
      </c>
      <c r="K15">
        <v>0.172696899416073</v>
      </c>
      <c r="L15">
        <v>0.16648526031937899</v>
      </c>
      <c r="M15">
        <v>-0.23132977480602501</v>
      </c>
      <c r="N15">
        <v>-0.27136712818186598</v>
      </c>
      <c r="O15">
        <v>3.8801592703055103E-2</v>
      </c>
      <c r="P15">
        <v>0.32423217034838198</v>
      </c>
      <c r="Q15">
        <v>1.12821961079733E-2</v>
      </c>
      <c r="R15">
        <v>0.31298034087443</v>
      </c>
      <c r="S15">
        <v>0.26965677567721602</v>
      </c>
      <c r="T15">
        <v>-2.38659256501806E-3</v>
      </c>
      <c r="U15">
        <v>3.1887471629724801E-2</v>
      </c>
      <c r="V15">
        <v>-5.33175066021793E-2</v>
      </c>
      <c r="W15">
        <v>-0.20952234810135301</v>
      </c>
      <c r="X15">
        <v>0.263327768678214</v>
      </c>
      <c r="Y15">
        <v>0.20903877849760699</v>
      </c>
      <c r="Z15">
        <v>8.73077211804653E-2</v>
      </c>
      <c r="AA15">
        <v>0.24371536218671999</v>
      </c>
      <c r="AB15">
        <v>0.304796292440421</v>
      </c>
      <c r="AC15">
        <v>-0.14266307927285399</v>
      </c>
      <c r="AD15">
        <v>-7.9058109092033299E-2</v>
      </c>
      <c r="AE15">
        <v>-0.16542054745176499</v>
      </c>
      <c r="AF15">
        <v>6.1956365749553301E-2</v>
      </c>
      <c r="AG15">
        <v>8.5547041102675206E-2</v>
      </c>
      <c r="AH15">
        <v>-0.215486636769847</v>
      </c>
      <c r="AI15">
        <v>-0.169636400046139</v>
      </c>
      <c r="AJ15">
        <v>7.8247823996200894E-2</v>
      </c>
      <c r="AK15">
        <v>0.10769196006967401</v>
      </c>
      <c r="AL15">
        <v>0.13084941824286001</v>
      </c>
      <c r="AM15">
        <v>-2.2433383798388599E-2</v>
      </c>
      <c r="AN15">
        <v>0.129748315261737</v>
      </c>
      <c r="AO15">
        <v>4.7263322251007399E-2</v>
      </c>
      <c r="AP15">
        <v>-0.45326705801453099</v>
      </c>
      <c r="AQ15">
        <v>2.1953671597500501E-2</v>
      </c>
      <c r="AR15">
        <v>3.1279018321319199E-2</v>
      </c>
      <c r="AS15">
        <v>0.129780719587273</v>
      </c>
      <c r="AT15">
        <v>5.7680155067260999E-2</v>
      </c>
      <c r="AU15">
        <v>3.1291501431611003E-2</v>
      </c>
      <c r="AV15">
        <v>0.185898916253076</v>
      </c>
      <c r="AW15">
        <v>0.13998754893408399</v>
      </c>
      <c r="AX15">
        <v>0.16025900704256801</v>
      </c>
      <c r="AY15">
        <v>-0.26853258891220599</v>
      </c>
      <c r="AZ15">
        <v>-3.49675818621537E-2</v>
      </c>
      <c r="BA15">
        <v>0.31282105159900297</v>
      </c>
      <c r="BB15">
        <v>2.31083922929439E-2</v>
      </c>
      <c r="BC15">
        <v>-1.52538237904444E-3</v>
      </c>
      <c r="BD15">
        <v>-1.1499160688232399E-2</v>
      </c>
      <c r="BE15">
        <v>0.14191674481167901</v>
      </c>
      <c r="BF15">
        <v>0.49168128340621198</v>
      </c>
      <c r="BG15">
        <v>0.36637288056899098</v>
      </c>
      <c r="BH15">
        <v>0.45102796023052999</v>
      </c>
      <c r="BI15">
        <v>0.38228401608185703</v>
      </c>
      <c r="BJ15">
        <v>0.65628302353999901</v>
      </c>
      <c r="BK15">
        <v>-9.9711602745036695E-2</v>
      </c>
      <c r="BL15">
        <v>-8.2241682571999902E-2</v>
      </c>
      <c r="BM15">
        <v>-0.185026655275847</v>
      </c>
      <c r="BN15">
        <v>3.1171590820259699E-2</v>
      </c>
      <c r="BO15">
        <v>0.19684528619384201</v>
      </c>
      <c r="BP15">
        <v>0.118746652972992</v>
      </c>
      <c r="BQ15">
        <v>0.171625300436653</v>
      </c>
      <c r="BR15">
        <v>0.37722062737869999</v>
      </c>
      <c r="BS15">
        <v>0.22964710044747</v>
      </c>
      <c r="BT15">
        <v>0.39702090719491501</v>
      </c>
      <c r="BU15">
        <v>0.160921090318219</v>
      </c>
      <c r="BV15">
        <v>9.3523111065723794E-2</v>
      </c>
      <c r="BW15">
        <v>-0.31070863157836898</v>
      </c>
      <c r="BX15">
        <v>0.21460279604996199</v>
      </c>
      <c r="BY15">
        <v>-1.1817583238232499E-2</v>
      </c>
      <c r="BZ15">
        <v>0.36284785687388998</v>
      </c>
      <c r="CA15">
        <v>0.13994776398528699</v>
      </c>
      <c r="CB15">
        <v>-0.32534131733343802</v>
      </c>
      <c r="CC15">
        <v>0.196448564007948</v>
      </c>
      <c r="CD15">
        <v>-3.7802761603558002E-3</v>
      </c>
      <c r="CE15">
        <v>0.210044208689323</v>
      </c>
      <c r="CF15">
        <v>-0.17374917241849899</v>
      </c>
      <c r="CG15">
        <v>0.19439612444419499</v>
      </c>
      <c r="CH15">
        <v>0.150386672377711</v>
      </c>
      <c r="CI15">
        <v>-5.5380877371194098E-2</v>
      </c>
      <c r="CJ15">
        <v>9.2251170422868994E-3</v>
      </c>
      <c r="CK15">
        <v>-2.2821589172201499E-2</v>
      </c>
      <c r="CL15">
        <v>0.43555476977512098</v>
      </c>
      <c r="CM15">
        <v>-8.3517370297461896E-3</v>
      </c>
      <c r="CN15">
        <v>7.4809053730552494E-2</v>
      </c>
      <c r="CO15">
        <v>0.11241644958052099</v>
      </c>
      <c r="CP15">
        <v>8.4951050962947097E-2</v>
      </c>
      <c r="CQ15">
        <v>-0.14547026931374499</v>
      </c>
      <c r="CR15">
        <v>-9.0986506828174399E-2</v>
      </c>
      <c r="CS15">
        <v>-2.6516900828034099E-2</v>
      </c>
      <c r="CT15">
        <v>0.10453440003185301</v>
      </c>
      <c r="CU15">
        <v>6.4053083223158905E-2</v>
      </c>
      <c r="CV15">
        <v>-6.8806688426916299E-2</v>
      </c>
      <c r="CW15">
        <v>-0.23496642832351999</v>
      </c>
      <c r="CX15">
        <v>-0.18606452669717699</v>
      </c>
      <c r="CY15">
        <v>-0.159519190027896</v>
      </c>
      <c r="CZ15">
        <v>-0.108945002971744</v>
      </c>
      <c r="DA15">
        <v>-0.141440080889005</v>
      </c>
      <c r="DB15">
        <v>-0.14173687021266301</v>
      </c>
      <c r="DC15">
        <v>-0.24158327569507199</v>
      </c>
      <c r="DD15">
        <v>-6.7214435002740006E-2</v>
      </c>
      <c r="DE15">
        <v>0.37051442607718199</v>
      </c>
      <c r="DF15">
        <v>-0.20140341342471399</v>
      </c>
      <c r="DG15">
        <v>-0.29963278303419699</v>
      </c>
      <c r="DH15">
        <v>5.0392801990274301E-2</v>
      </c>
      <c r="DI15">
        <v>-0.155005843011746</v>
      </c>
      <c r="DJ15">
        <v>-0.36311446104883799</v>
      </c>
      <c r="DK15">
        <v>9.7792819499114593E-3</v>
      </c>
      <c r="DL15">
        <v>0.12161387708747699</v>
      </c>
      <c r="DM15">
        <v>-0.37975955598720801</v>
      </c>
      <c r="DN15">
        <v>-0.167221221239713</v>
      </c>
      <c r="DO15">
        <v>-1.5971967144632698E-2</v>
      </c>
      <c r="DP15">
        <v>-0.16810398291570899</v>
      </c>
      <c r="DQ15">
        <v>-0.34329057387087702</v>
      </c>
      <c r="DR15">
        <v>0</v>
      </c>
      <c r="DS15">
        <v>-0.174034042974786</v>
      </c>
      <c r="DT15">
        <v>-0.33475992125569898</v>
      </c>
      <c r="DU15">
        <v>0.60901199368211401</v>
      </c>
      <c r="DV15">
        <v>0.32039841701997801</v>
      </c>
      <c r="DW15">
        <v>0.28711273454523301</v>
      </c>
      <c r="DX15">
        <v>-0.119216261235241</v>
      </c>
      <c r="DY15">
        <v>-0.44347641622582801</v>
      </c>
      <c r="DZ15">
        <v>-0.98830745180002399</v>
      </c>
      <c r="EA15">
        <v>-0.73664817500901902</v>
      </c>
      <c r="EB15">
        <v>-1.8970852915708099E-2</v>
      </c>
      <c r="EC15">
        <v>2.8986592441459701E-2</v>
      </c>
      <c r="ED15">
        <v>-0.27500213785983901</v>
      </c>
      <c r="EE15">
        <v>-0.25954608291107401</v>
      </c>
      <c r="EF15">
        <v>3.0333877087042899E-2</v>
      </c>
      <c r="EG15">
        <v>-0.208565382171709</v>
      </c>
      <c r="EH15">
        <v>-0.22442323534554801</v>
      </c>
      <c r="EI15">
        <v>-0.19001501448493599</v>
      </c>
      <c r="EJ15">
        <v>-0.32337806958082399</v>
      </c>
      <c r="EK15">
        <v>-0.114528993361496</v>
      </c>
      <c r="EL15">
        <v>-0.268020902591036</v>
      </c>
      <c r="EM15">
        <v>-0.249151938371309</v>
      </c>
      <c r="EN15">
        <v>-0.38533814177848902</v>
      </c>
      <c r="EO15">
        <v>-0.30109699956332597</v>
      </c>
      <c r="EP15">
        <v>-0.32053125248633402</v>
      </c>
      <c r="EQ15">
        <v>-0.467809002179077</v>
      </c>
      <c r="ER15">
        <v>-0.56886979504101298</v>
      </c>
      <c r="ES15">
        <v>-0.19883876628910899</v>
      </c>
      <c r="ET15">
        <v>-0.116308379007193</v>
      </c>
      <c r="EU15">
        <v>-0.15727602357750001</v>
      </c>
      <c r="EV15">
        <v>-0.30829520588961401</v>
      </c>
      <c r="EW15">
        <v>-0.39536373329671598</v>
      </c>
      <c r="EX15">
        <v>-0.466805669316955</v>
      </c>
      <c r="EY15">
        <v>-0.47683744528835398</v>
      </c>
      <c r="EZ15">
        <v>-0.25852867981449001</v>
      </c>
      <c r="FA15">
        <v>-0.30037827509113602</v>
      </c>
      <c r="FB15">
        <v>-0.33068380927230001</v>
      </c>
      <c r="FC15">
        <v>-0.666607138322314</v>
      </c>
      <c r="FD15">
        <v>-0.53561150871234298</v>
      </c>
      <c r="FE15">
        <v>-0.67163135820719799</v>
      </c>
      <c r="FF15">
        <v>-0.66537955782214697</v>
      </c>
      <c r="FG15">
        <v>-0.76398896724229204</v>
      </c>
      <c r="FH15">
        <v>-4.1892661731726899E-2</v>
      </c>
      <c r="FI15">
        <v>-1.42616581914505E-2</v>
      </c>
      <c r="FJ15">
        <v>-0.43502574023241802</v>
      </c>
      <c r="FK15">
        <v>-0.36887702972296799</v>
      </c>
      <c r="FL15">
        <v>-0.240860908487604</v>
      </c>
      <c r="FM15">
        <v>-0.45499882259359797</v>
      </c>
      <c r="FN15">
        <v>-9.7983428787733098E-2</v>
      </c>
      <c r="FO15">
        <v>0.37724270991977599</v>
      </c>
      <c r="FP15">
        <v>1.0170349907588101</v>
      </c>
      <c r="FQ15">
        <v>-0.11612038033710199</v>
      </c>
      <c r="FR15">
        <v>0.64277806048908803</v>
      </c>
      <c r="FS15">
        <v>0.51595712885344602</v>
      </c>
      <c r="FT15">
        <v>0.54340606602292596</v>
      </c>
      <c r="FU15">
        <v>0.61955636683748505</v>
      </c>
      <c r="FV15">
        <v>0.77340660986494403</v>
      </c>
      <c r="FW15">
        <v>0.610552799985142</v>
      </c>
      <c r="FX15">
        <v>0.47357457553625698</v>
      </c>
      <c r="FY15">
        <v>0.36225974342226702</v>
      </c>
      <c r="FZ15">
        <v>0.35117944595469103</v>
      </c>
      <c r="GA15">
        <v>-5.7756104542064597E-2</v>
      </c>
      <c r="GB15">
        <v>0.26926017915411898</v>
      </c>
      <c r="GC15">
        <v>0.24895991596061001</v>
      </c>
      <c r="GD15">
        <v>0.35528228850510002</v>
      </c>
      <c r="GE15">
        <v>7.1850226924147595E-2</v>
      </c>
      <c r="GF15">
        <v>0.31791602336205799</v>
      </c>
      <c r="GG15">
        <v>0.50767100601715898</v>
      </c>
      <c r="GH15">
        <v>7.7231648716984694E-2</v>
      </c>
      <c r="GI15">
        <v>0.22857672660103101</v>
      </c>
      <c r="GJ15">
        <v>0.33031517698095197</v>
      </c>
      <c r="GK15">
        <v>0.38957677476547897</v>
      </c>
      <c r="GL15">
        <v>0.43596756943313802</v>
      </c>
      <c r="GM15">
        <v>-5.6178375877619098E-2</v>
      </c>
      <c r="GN15">
        <v>0.148966281471239</v>
      </c>
      <c r="GO15">
        <v>4.9433146215601499E-2</v>
      </c>
      <c r="GP15">
        <v>-5.8239930416716101E-2</v>
      </c>
      <c r="GQ15">
        <v>0.229270040648996</v>
      </c>
      <c r="GR15">
        <v>0.83990585530543405</v>
      </c>
      <c r="GS15">
        <v>0.53067771099647099</v>
      </c>
      <c r="GT15">
        <v>0.983212964445217</v>
      </c>
      <c r="GU15">
        <v>0.26008069704056402</v>
      </c>
    </row>
    <row r="16" spans="1:203" x14ac:dyDescent="0.25">
      <c r="A16" s="12" t="s">
        <v>266</v>
      </c>
      <c r="B16" t="s">
        <v>72</v>
      </c>
      <c r="C16">
        <v>0.13240564789763901</v>
      </c>
      <c r="D16">
        <v>0.184496471489697</v>
      </c>
      <c r="E16">
        <v>-1.2180882287201201E-2</v>
      </c>
      <c r="F16">
        <v>0.168152780776821</v>
      </c>
      <c r="G16">
        <v>0.215635721729034</v>
      </c>
      <c r="H16">
        <v>0.27192793442580099</v>
      </c>
      <c r="I16">
        <v>0.10064215537462499</v>
      </c>
      <c r="J16">
        <v>0.18726457508852601</v>
      </c>
      <c r="K16">
        <v>0.24727917009906999</v>
      </c>
      <c r="L16">
        <v>0.29809965936495803</v>
      </c>
      <c r="M16">
        <v>1.9686600450542501E-2</v>
      </c>
      <c r="N16">
        <v>0.149527533355791</v>
      </c>
      <c r="O16">
        <v>0.16708612192075101</v>
      </c>
      <c r="P16">
        <v>0.24634758611592</v>
      </c>
      <c r="Q16">
        <v>0.105868393357212</v>
      </c>
      <c r="R16">
        <v>0.48344063703111301</v>
      </c>
      <c r="S16">
        <v>0.61905821957208895</v>
      </c>
      <c r="T16">
        <v>0.20691178474595001</v>
      </c>
      <c r="U16">
        <v>0.28097919208730998</v>
      </c>
      <c r="V16">
        <v>8.1179093729481094E-2</v>
      </c>
      <c r="W16">
        <v>3.9296111479428499E-2</v>
      </c>
      <c r="X16">
        <v>0.31385986501907098</v>
      </c>
      <c r="Y16">
        <v>8.1752389602013795E-2</v>
      </c>
      <c r="Z16">
        <v>0.28007103561554503</v>
      </c>
      <c r="AA16">
        <v>0.17618515690601</v>
      </c>
      <c r="AB16">
        <v>0.25888056433067902</v>
      </c>
      <c r="AC16">
        <v>0.43301631140337099</v>
      </c>
      <c r="AD16">
        <v>0.20803608123134201</v>
      </c>
      <c r="AE16">
        <v>0.493879125759218</v>
      </c>
      <c r="AF16">
        <v>0.44303060040279302</v>
      </c>
      <c r="AG16">
        <v>0.57496433486298704</v>
      </c>
      <c r="AH16">
        <v>0.50516237652047502</v>
      </c>
      <c r="AI16">
        <v>0.311716809414603</v>
      </c>
      <c r="AJ16">
        <v>0.41740514284045399</v>
      </c>
      <c r="AK16">
        <v>0.56612909782589205</v>
      </c>
      <c r="AL16">
        <v>0.42706323757980502</v>
      </c>
      <c r="AM16">
        <v>0.49521598655363303</v>
      </c>
      <c r="AN16">
        <v>0.280919099325037</v>
      </c>
      <c r="AO16">
        <v>0.127608627653408</v>
      </c>
      <c r="AP16">
        <v>0.33152803133659597</v>
      </c>
      <c r="AQ16">
        <v>0.33012246262354999</v>
      </c>
      <c r="AR16">
        <v>0.49661153649490702</v>
      </c>
      <c r="AS16">
        <v>0.24602686553672401</v>
      </c>
      <c r="AT16">
        <v>0.33809111966470601</v>
      </c>
      <c r="AU16">
        <v>0.44254488834866601</v>
      </c>
      <c r="AV16">
        <v>0.320442784474742</v>
      </c>
      <c r="AW16">
        <v>0.27954325032129701</v>
      </c>
      <c r="AX16">
        <v>0.30967133090626803</v>
      </c>
      <c r="AY16">
        <v>0.26687920854862301</v>
      </c>
      <c r="AZ16">
        <v>0.23680691077353799</v>
      </c>
      <c r="BA16">
        <v>0.55399644199940501</v>
      </c>
      <c r="BB16">
        <v>0.163153027680562</v>
      </c>
      <c r="BC16">
        <v>0.19707584105082099</v>
      </c>
      <c r="BD16">
        <v>0.195892171275178</v>
      </c>
      <c r="BE16">
        <v>0.12514272410791799</v>
      </c>
      <c r="BF16">
        <v>0.16618740181621799</v>
      </c>
      <c r="BG16">
        <v>0.105666147334694</v>
      </c>
      <c r="BH16">
        <v>0.22176427203516799</v>
      </c>
      <c r="BI16">
        <v>0.14138847468596299</v>
      </c>
      <c r="BJ16">
        <v>0.184832465029522</v>
      </c>
      <c r="BK16">
        <v>2.4541050013442499E-2</v>
      </c>
      <c r="BL16">
        <v>-4.9617865600081398E-2</v>
      </c>
      <c r="BM16">
        <v>1.80109682282057E-2</v>
      </c>
      <c r="BN16">
        <v>-2.77502538490376E-2</v>
      </c>
      <c r="BO16">
        <v>1.10113040350038E-2</v>
      </c>
      <c r="BP16">
        <v>-8.1098155148139006E-2</v>
      </c>
      <c r="BQ16">
        <v>1.2212655079114501E-2</v>
      </c>
      <c r="BR16">
        <v>6.2053210259572299E-2</v>
      </c>
      <c r="BS16">
        <v>8.4897921301099605E-2</v>
      </c>
      <c r="BT16">
        <v>9.7044077789817704E-2</v>
      </c>
      <c r="BU16">
        <v>0.106989407452916</v>
      </c>
      <c r="BV16">
        <v>-6.18208553236081E-2</v>
      </c>
      <c r="BW16">
        <v>8.3376027491505397E-2</v>
      </c>
      <c r="BX16">
        <v>-9.4947852280668002E-3</v>
      </c>
      <c r="BY16">
        <v>3.07822824747193E-2</v>
      </c>
      <c r="BZ16">
        <v>0.128078164542659</v>
      </c>
      <c r="CA16">
        <v>0.24861233531983301</v>
      </c>
      <c r="CB16">
        <v>6.3600362784900596E-2</v>
      </c>
      <c r="CC16">
        <v>5.04668395482053E-2</v>
      </c>
      <c r="CD16">
        <v>3.5949548350550302E-2</v>
      </c>
      <c r="CE16">
        <v>0</v>
      </c>
      <c r="CF16">
        <v>-0.158786476463427</v>
      </c>
      <c r="CG16">
        <v>0.10739256689571</v>
      </c>
      <c r="CH16">
        <v>3.4009262172317797E-2</v>
      </c>
      <c r="CI16">
        <v>4.0980333984761398E-2</v>
      </c>
      <c r="CJ16">
        <v>8.6906666577753304E-3</v>
      </c>
      <c r="CK16">
        <v>1.0908693487868401E-2</v>
      </c>
      <c r="CL16">
        <v>6.9960826445752099E-3</v>
      </c>
      <c r="CM16">
        <v>-0.106453337000701</v>
      </c>
      <c r="CN16">
        <v>-9.7152020181825796E-3</v>
      </c>
      <c r="CO16">
        <v>-3.5120184036099802E-2</v>
      </c>
      <c r="CP16">
        <v>3.0036516920454E-2</v>
      </c>
      <c r="CQ16">
        <v>1.2094649697571701E-2</v>
      </c>
      <c r="CR16">
        <v>4.2624110706302497E-3</v>
      </c>
      <c r="CS16">
        <v>-3.2636757213061002E-2</v>
      </c>
      <c r="CT16">
        <v>-9.5370092838534606E-2</v>
      </c>
      <c r="CU16">
        <v>3.33214171954999E-2</v>
      </c>
      <c r="CV16">
        <v>-9.3467651649959696E-2</v>
      </c>
      <c r="CW16">
        <v>-0.18332663686662701</v>
      </c>
      <c r="CX16">
        <v>-0.17038333782089399</v>
      </c>
      <c r="CY16">
        <v>-0.18029171390804699</v>
      </c>
      <c r="CZ16">
        <v>-0.15157712031325701</v>
      </c>
      <c r="DA16">
        <v>-0.12439128399742</v>
      </c>
      <c r="DB16">
        <v>-0.22495874515637401</v>
      </c>
      <c r="DC16">
        <v>-0.16729511935317401</v>
      </c>
      <c r="DD16">
        <v>-0.21242944792978599</v>
      </c>
      <c r="DE16">
        <v>-0.16934649988776601</v>
      </c>
      <c r="DF16">
        <v>-0.20465465765705201</v>
      </c>
      <c r="DG16">
        <v>-0.12645785120229699</v>
      </c>
      <c r="DH16">
        <v>4.8402973202229603E-2</v>
      </c>
      <c r="DI16">
        <v>-0.258774018107302</v>
      </c>
      <c r="DJ16">
        <v>-9.2396393846603503E-2</v>
      </c>
      <c r="DK16">
        <v>-0.16975229593809499</v>
      </c>
      <c r="DL16">
        <v>-0.187356151715102</v>
      </c>
      <c r="DM16">
        <v>-9.6513193287796603E-2</v>
      </c>
      <c r="DN16">
        <v>-0.15965053125284301</v>
      </c>
      <c r="DO16">
        <v>-0.11583329218751599</v>
      </c>
      <c r="DP16">
        <v>-0.14713414416679599</v>
      </c>
      <c r="DQ16">
        <v>-0.145098101041506</v>
      </c>
      <c r="DR16">
        <v>-0.218683513792095</v>
      </c>
      <c r="DS16">
        <v>-0.120898515776019</v>
      </c>
      <c r="DT16">
        <v>-0.17835309239661201</v>
      </c>
      <c r="DU16">
        <v>-0.150611979395191</v>
      </c>
      <c r="DV16">
        <v>-8.76577775096999E-2</v>
      </c>
      <c r="DW16">
        <v>-0.131509804677477</v>
      </c>
      <c r="DX16">
        <v>-0.31184607728567298</v>
      </c>
      <c r="DY16">
        <v>-0.186821479447915</v>
      </c>
      <c r="DZ16">
        <v>-0.284273881175645</v>
      </c>
      <c r="EA16">
        <v>-0.26676329114518899</v>
      </c>
      <c r="EB16">
        <v>0.16707207628562001</v>
      </c>
      <c r="EC16">
        <v>0.114078292394436</v>
      </c>
      <c r="ED16">
        <v>-0.12874785946640599</v>
      </c>
      <c r="EE16">
        <v>-0.21947102856801001</v>
      </c>
      <c r="EF16">
        <v>4.7907083251819402E-2</v>
      </c>
      <c r="EG16">
        <v>-0.123691111007581</v>
      </c>
      <c r="EH16">
        <v>-4.2648646246254099E-2</v>
      </c>
      <c r="EI16">
        <v>-0.201705329605984</v>
      </c>
      <c r="EJ16">
        <v>-0.125973793757298</v>
      </c>
      <c r="EK16">
        <v>-7.5629158991024001E-2</v>
      </c>
      <c r="EL16">
        <v>-0.11072902225398901</v>
      </c>
      <c r="EM16">
        <v>-0.12384689935210499</v>
      </c>
      <c r="EN16">
        <v>-0.24671038953041299</v>
      </c>
      <c r="EO16">
        <v>-0.150599651815711</v>
      </c>
      <c r="EP16">
        <v>-0.210374618854028</v>
      </c>
      <c r="EQ16">
        <v>-0.27111415000195199</v>
      </c>
      <c r="ER16">
        <v>-0.28229391609086701</v>
      </c>
      <c r="ES16">
        <v>-0.21904839972229201</v>
      </c>
      <c r="ET16">
        <v>-0.145007765589097</v>
      </c>
      <c r="EU16">
        <v>-0.31184607728567298</v>
      </c>
      <c r="EV16">
        <v>-0.21110732199142801</v>
      </c>
      <c r="EW16">
        <v>5.6857836233498403E-2</v>
      </c>
      <c r="EX16">
        <v>-0.12901846519471699</v>
      </c>
      <c r="EY16">
        <v>-7.7769475639646701E-2</v>
      </c>
      <c r="EZ16">
        <v>-2.3425273403354301E-2</v>
      </c>
      <c r="FA16">
        <v>-4.8147008258826E-2</v>
      </c>
      <c r="FB16">
        <v>-0.107273180676726</v>
      </c>
      <c r="FC16">
        <v>-0.12764927024466</v>
      </c>
      <c r="FD16">
        <v>-0.21984752130007501</v>
      </c>
      <c r="FE16">
        <v>-0.23244431946591801</v>
      </c>
      <c r="FF16">
        <v>-0.219422565282271</v>
      </c>
      <c r="FG16">
        <v>-0.283623137633363</v>
      </c>
      <c r="FH16">
        <v>0.38367915296402</v>
      </c>
      <c r="FI16">
        <v>0.109732274761816</v>
      </c>
      <c r="FJ16">
        <v>6.14495822590721E-2</v>
      </c>
      <c r="FK16">
        <v>0.12909609343332601</v>
      </c>
      <c r="FL16">
        <v>1.5534272168995099E-2</v>
      </c>
      <c r="FM16">
        <v>-1.3406632885591701E-2</v>
      </c>
      <c r="FN16">
        <v>0.113228491089747</v>
      </c>
      <c r="FO16">
        <v>-0.26621985769962703</v>
      </c>
      <c r="FP16">
        <v>0.123910794390568</v>
      </c>
      <c r="FQ16">
        <v>-0.155837395567992</v>
      </c>
      <c r="FR16">
        <v>-0.123064690724277</v>
      </c>
      <c r="FS16">
        <v>0.106483163618444</v>
      </c>
      <c r="FT16">
        <v>-0.17109986922675999</v>
      </c>
      <c r="FU16">
        <v>-0.17614723332861301</v>
      </c>
      <c r="FV16">
        <v>-0.27991104247486998</v>
      </c>
      <c r="FW16">
        <v>-0.158929922255164</v>
      </c>
      <c r="FX16">
        <v>-0.11446169719026</v>
      </c>
      <c r="FY16">
        <v>-4.8105773343226702E-2</v>
      </c>
      <c r="FZ16">
        <v>1.5885461756607999E-2</v>
      </c>
      <c r="GA16">
        <v>7.7278382158533901E-2</v>
      </c>
      <c r="GB16">
        <v>-3.61323594283171E-2</v>
      </c>
      <c r="GC16">
        <v>-9.3127552384082796E-2</v>
      </c>
      <c r="GD16">
        <v>-0.24248477130316001</v>
      </c>
      <c r="GE16">
        <v>-0.135426823088073</v>
      </c>
      <c r="GF16">
        <v>-0.20892287892756101</v>
      </c>
      <c r="GG16">
        <v>-0.31184607728567298</v>
      </c>
      <c r="GH16">
        <v>-0.23165501310375999</v>
      </c>
      <c r="GI16">
        <v>-0.25305745794378398</v>
      </c>
      <c r="GJ16">
        <v>-0.137452681553282</v>
      </c>
      <c r="GK16">
        <v>-8.6130079153368094E-2</v>
      </c>
      <c r="GL16">
        <v>2.1954772706627199E-2</v>
      </c>
      <c r="GM16">
        <v>-0.31184607728567298</v>
      </c>
      <c r="GN16">
        <v>-0.161973665004013</v>
      </c>
      <c r="GO16">
        <v>-0.13676895932104199</v>
      </c>
      <c r="GP16">
        <v>-0.31184607728567298</v>
      </c>
      <c r="GQ16">
        <v>-0.19738760316394799</v>
      </c>
      <c r="GR16">
        <v>-0.21671083855707399</v>
      </c>
      <c r="GS16">
        <v>-9.4628790941622201E-2</v>
      </c>
      <c r="GT16">
        <v>-0.23193314885305799</v>
      </c>
      <c r="GU16">
        <v>-0.31184607728567298</v>
      </c>
    </row>
    <row r="17" spans="1:203" x14ac:dyDescent="0.25">
      <c r="A17" s="12" t="s">
        <v>266</v>
      </c>
      <c r="B17" t="s">
        <v>62</v>
      </c>
      <c r="C17">
        <v>3.8095183449727302E-2</v>
      </c>
      <c r="D17">
        <v>1.17601597679927E-2</v>
      </c>
      <c r="E17">
        <v>-8.3197463176345604E-2</v>
      </c>
      <c r="F17">
        <v>-1.36273143095331E-2</v>
      </c>
      <c r="G17">
        <v>-2.7504246469258E-2</v>
      </c>
      <c r="H17">
        <v>-1.9994358370106099E-2</v>
      </c>
      <c r="I17">
        <v>4.5275186865990497E-2</v>
      </c>
      <c r="J17">
        <v>5.1460937356945402E-2</v>
      </c>
      <c r="K17">
        <v>1.6198791626389202E-2</v>
      </c>
      <c r="L17">
        <v>-4.5436381409656598E-2</v>
      </c>
      <c r="M17">
        <v>-0.136957790971034</v>
      </c>
      <c r="N17">
        <v>-0.122947584965996</v>
      </c>
      <c r="O17">
        <v>-3.3395654292000701E-3</v>
      </c>
      <c r="P17">
        <v>4.90295990583344E-2</v>
      </c>
      <c r="Q17">
        <v>2.44860221916629E-2</v>
      </c>
      <c r="R17">
        <v>-5.0440824138142605E-4</v>
      </c>
      <c r="S17">
        <v>-1.7876614912527702E-2</v>
      </c>
      <c r="T17">
        <v>-4.0471983712287597E-3</v>
      </c>
      <c r="U17">
        <v>-6.5075511546800802E-2</v>
      </c>
      <c r="V17">
        <v>3.11553965964317E-3</v>
      </c>
      <c r="W17">
        <v>-3.8312166055189001E-2</v>
      </c>
      <c r="X17">
        <v>-3.7487551962177297E-2</v>
      </c>
      <c r="Y17">
        <v>8.3368116600084002E-2</v>
      </c>
      <c r="Z17">
        <v>4.4020136591858598E-2</v>
      </c>
      <c r="AA17">
        <v>-7.3735508787253407E-2</v>
      </c>
      <c r="AB17">
        <v>0.160414533674128</v>
      </c>
      <c r="AC17">
        <v>-1.1415368448281101E-3</v>
      </c>
      <c r="AD17">
        <v>8.4796914423775002E-2</v>
      </c>
      <c r="AE17">
        <v>-0.117959156002186</v>
      </c>
      <c r="AF17">
        <v>1.4156979246232101E-2</v>
      </c>
      <c r="AG17">
        <v>-6.05772196173998E-2</v>
      </c>
      <c r="AH17">
        <v>-6.9358275644222103E-2</v>
      </c>
      <c r="AI17">
        <v>-0.114894435354465</v>
      </c>
      <c r="AJ17">
        <v>-9.9677533748219097E-2</v>
      </c>
      <c r="AK17">
        <v>-4.7084557238876001E-2</v>
      </c>
      <c r="AL17">
        <v>2.9363632751530699E-2</v>
      </c>
      <c r="AM17">
        <v>-1.31316879672995E-2</v>
      </c>
      <c r="AN17">
        <v>4.3156967468485699E-2</v>
      </c>
      <c r="AO17">
        <v>-4.86757127956109E-2</v>
      </c>
      <c r="AP17">
        <v>-0.130483176187703</v>
      </c>
      <c r="AQ17">
        <v>-8.0793899637577299E-2</v>
      </c>
      <c r="AR17">
        <v>-1.17806504423708E-2</v>
      </c>
      <c r="AS17">
        <v>1.8542647637900901E-2</v>
      </c>
      <c r="AT17">
        <v>1.8280454267450098E-2</v>
      </c>
      <c r="AU17">
        <v>2.5427068351640301E-2</v>
      </c>
      <c r="AV17">
        <v>-9.5528965247518596E-2</v>
      </c>
      <c r="AW17">
        <v>8.5310929053470305E-2</v>
      </c>
      <c r="AX17">
        <v>2.2555468764365701E-4</v>
      </c>
      <c r="AY17">
        <v>0.162366362926914</v>
      </c>
      <c r="AZ17">
        <v>-6.1668553609375898E-2</v>
      </c>
      <c r="BA17">
        <v>0.11350870327863</v>
      </c>
      <c r="BB17">
        <v>4.3782422001279499E-2</v>
      </c>
      <c r="BC17">
        <v>-8.1473580781843899E-2</v>
      </c>
      <c r="BD17">
        <v>-5.6717413180702503E-2</v>
      </c>
      <c r="BE17">
        <v>-3.5537108242785102E-2</v>
      </c>
      <c r="BF17">
        <v>0.26683928988404698</v>
      </c>
      <c r="BG17">
        <v>0.18478689839561899</v>
      </c>
      <c r="BH17">
        <v>0.23788352914878499</v>
      </c>
      <c r="BI17">
        <v>0.108774774222793</v>
      </c>
      <c r="BJ17">
        <v>0.24507561654260299</v>
      </c>
      <c r="BK17">
        <v>-1.38047470739949E-2</v>
      </c>
      <c r="BL17">
        <v>1.37090425456048E-2</v>
      </c>
      <c r="BM17">
        <v>-5.9185659208253298E-2</v>
      </c>
      <c r="BN17">
        <v>-1.8451176658196799E-2</v>
      </c>
      <c r="BO17">
        <v>2.77645764866787E-2</v>
      </c>
      <c r="BP17">
        <v>2.54372663326651E-2</v>
      </c>
      <c r="BQ17">
        <v>3.4016676232124503E-2</v>
      </c>
      <c r="BR17">
        <v>0.23198345952000801</v>
      </c>
      <c r="BS17">
        <v>6.2559181190512E-2</v>
      </c>
      <c r="BT17">
        <v>0.22778495389155001</v>
      </c>
      <c r="BU17">
        <v>-3.0986942653960299E-2</v>
      </c>
      <c r="BV17">
        <v>1.23812092946198E-2</v>
      </c>
      <c r="BW17">
        <v>4.9354308567825599E-2</v>
      </c>
      <c r="BX17">
        <v>4.4025806477726699E-2</v>
      </c>
      <c r="BY17">
        <v>2.9218309960638601E-2</v>
      </c>
      <c r="BZ17">
        <v>7.0267595168160807E-2</v>
      </c>
      <c r="CA17">
        <v>8.5280487370679198E-2</v>
      </c>
      <c r="CB17">
        <v>-7.6849486556486907E-2</v>
      </c>
      <c r="CC17">
        <v>-1.44615326143604E-2</v>
      </c>
      <c r="CD17">
        <v>0.106263922588582</v>
      </c>
      <c r="CE17">
        <v>-6.2074426274174803E-2</v>
      </c>
      <c r="CF17">
        <v>-0.13084626293979201</v>
      </c>
      <c r="CG17">
        <v>8.9292531415244306E-2</v>
      </c>
      <c r="CH17">
        <v>2.2237106661856999E-2</v>
      </c>
      <c r="CI17">
        <v>6.51171482750548E-3</v>
      </c>
      <c r="CJ17">
        <v>-1.9126323258431499E-2</v>
      </c>
      <c r="CK17">
        <v>1.12308079048578E-2</v>
      </c>
      <c r="CL17">
        <v>5.3596135541789901E-2</v>
      </c>
      <c r="CM17">
        <v>0</v>
      </c>
      <c r="CN17">
        <v>0.106571457767258</v>
      </c>
      <c r="CO17">
        <v>8.6648011833101696E-2</v>
      </c>
      <c r="CP17">
        <v>1.04726887272915E-2</v>
      </c>
      <c r="CQ17">
        <v>-5.7582744787973997E-2</v>
      </c>
      <c r="CR17">
        <v>-2.5434295717185199E-2</v>
      </c>
      <c r="CS17">
        <v>-8.1430939611137898E-2</v>
      </c>
      <c r="CT17">
        <v>4.3349025896890298E-2</v>
      </c>
      <c r="CU17">
        <v>5.4802640607372097E-2</v>
      </c>
      <c r="CV17">
        <v>-0.18335212138892101</v>
      </c>
      <c r="CW17">
        <v>-8.1300943185972294E-2</v>
      </c>
      <c r="CX17">
        <v>-5.1633288124323197E-2</v>
      </c>
      <c r="CY17">
        <v>-6.9445679116432499E-2</v>
      </c>
      <c r="CZ17">
        <v>-6.7856557388955005E-2</v>
      </c>
      <c r="DA17">
        <v>-0.109841427422268</v>
      </c>
      <c r="DB17">
        <v>-1.8983141062651299E-2</v>
      </c>
      <c r="DC17">
        <v>-9.1056660889313704E-2</v>
      </c>
      <c r="DD17">
        <v>-3.7704807812658198E-2</v>
      </c>
      <c r="DE17">
        <v>5.1168738185507698E-2</v>
      </c>
      <c r="DF17">
        <v>-6.7559156411072893E-2</v>
      </c>
      <c r="DG17">
        <v>1.9868711874364502E-2</v>
      </c>
      <c r="DH17">
        <v>7.7051603362216906E-2</v>
      </c>
      <c r="DI17">
        <v>-0.15671353913498801</v>
      </c>
      <c r="DJ17">
        <v>-0.18335212138892101</v>
      </c>
      <c r="DK17">
        <v>-1.4422141189014699E-2</v>
      </c>
      <c r="DL17">
        <v>5.9051426491640302E-2</v>
      </c>
      <c r="DM17">
        <v>-8.8415962425236194E-2</v>
      </c>
      <c r="DN17">
        <v>-4.73059310667154E-2</v>
      </c>
      <c r="DO17">
        <v>-7.1596993006489196E-2</v>
      </c>
      <c r="DP17">
        <v>-3.9149289405704599E-2</v>
      </c>
      <c r="DQ17">
        <v>-7.0540515403110904E-2</v>
      </c>
      <c r="DR17">
        <v>-2.2277695891827199E-2</v>
      </c>
      <c r="DS17">
        <v>-4.4305503007165202E-2</v>
      </c>
      <c r="DT17">
        <v>5.1346259972409498E-2</v>
      </c>
      <c r="DU17">
        <v>0.16446677701638601</v>
      </c>
      <c r="DV17">
        <v>-4.4654420994401497E-3</v>
      </c>
      <c r="DW17">
        <v>-4.674298216397E-2</v>
      </c>
      <c r="DX17">
        <v>-7.3705980468822194E-2</v>
      </c>
      <c r="DY17">
        <v>0.194861454307975</v>
      </c>
      <c r="DZ17">
        <v>8.2740121303753994E-2</v>
      </c>
      <c r="EA17">
        <v>0.14571157114842501</v>
      </c>
      <c r="EB17">
        <v>0.144031488183579</v>
      </c>
      <c r="EC17">
        <v>0.25402932927840699</v>
      </c>
      <c r="ED17">
        <v>4.5330379350891098E-2</v>
      </c>
      <c r="EE17">
        <v>-5.9599908293182201E-3</v>
      </c>
      <c r="EF17">
        <v>-2.9510871876331401E-2</v>
      </c>
      <c r="EG17">
        <v>-4.2810355548467897E-2</v>
      </c>
      <c r="EH17">
        <v>5.8247133829812095E-4</v>
      </c>
      <c r="EI17">
        <v>6.5736091486375395E-2</v>
      </c>
      <c r="EJ17">
        <v>-2.49192670655555E-2</v>
      </c>
      <c r="EK17">
        <v>-0.18335212138892101</v>
      </c>
      <c r="EL17">
        <v>-3.78394063162385E-2</v>
      </c>
      <c r="EM17">
        <v>-7.2546081563546902E-2</v>
      </c>
      <c r="EN17">
        <v>-0.126444789648781</v>
      </c>
      <c r="EO17">
        <v>-9.4012086020084595E-2</v>
      </c>
      <c r="EP17">
        <v>-3.3267728492955402E-2</v>
      </c>
      <c r="EQ17">
        <v>-8.2647244152363894E-2</v>
      </c>
      <c r="ER17">
        <v>-6.7163378496589404E-2</v>
      </c>
      <c r="ES17">
        <v>-6.0658084088109403E-2</v>
      </c>
      <c r="ET17">
        <v>-7.0436216372522703E-2</v>
      </c>
      <c r="EU17">
        <v>5.4527125093989402E-2</v>
      </c>
      <c r="EV17">
        <v>1.2800899964563701E-2</v>
      </c>
      <c r="EW17">
        <v>-0.18335212138892101</v>
      </c>
      <c r="EX17">
        <v>-0.105320758907441</v>
      </c>
      <c r="EY17">
        <v>8.7113396240138904E-2</v>
      </c>
      <c r="EZ17">
        <v>3.3601250024855499E-2</v>
      </c>
      <c r="FA17">
        <v>4.0114008873846797E-3</v>
      </c>
      <c r="FB17">
        <v>-6.2183730442962097E-2</v>
      </c>
      <c r="FC17">
        <v>-0.13833282349666601</v>
      </c>
      <c r="FD17">
        <v>-7.0320193714978496E-2</v>
      </c>
      <c r="FE17">
        <v>-9.2851427034926201E-2</v>
      </c>
      <c r="FF17">
        <v>-8.5928208017392704E-2</v>
      </c>
      <c r="FG17">
        <v>-0.15512918173661</v>
      </c>
      <c r="FH17">
        <v>-5.6415535324825301E-2</v>
      </c>
      <c r="FI17">
        <v>-3.3858386725699199E-2</v>
      </c>
      <c r="FJ17">
        <v>-4.17111314360245E-2</v>
      </c>
      <c r="FK17">
        <v>0.107917498811843</v>
      </c>
      <c r="FL17">
        <v>-3.8591923426297997E-2</v>
      </c>
      <c r="FM17">
        <v>-2.4620376307634299E-2</v>
      </c>
      <c r="FN17">
        <v>-4.66976628158964E-2</v>
      </c>
      <c r="FO17">
        <v>0.45888957964637</v>
      </c>
      <c r="FP17">
        <v>0.48833789658916998</v>
      </c>
      <c r="FQ17">
        <v>-4.9982201599141803E-3</v>
      </c>
      <c r="FR17">
        <v>0.25485402612392899</v>
      </c>
      <c r="FS17">
        <v>0.422315223667935</v>
      </c>
      <c r="FT17">
        <v>0.14850207556386899</v>
      </c>
      <c r="FU17">
        <v>0.30386067571550601</v>
      </c>
      <c r="FV17">
        <v>0.32232706507359998</v>
      </c>
      <c r="FW17">
        <v>-3.0435966358411899E-2</v>
      </c>
      <c r="FX17">
        <v>7.5134528937000095E-2</v>
      </c>
      <c r="FY17">
        <v>0.12065209882129201</v>
      </c>
      <c r="FZ17">
        <v>0.23980948340569599</v>
      </c>
      <c r="GA17">
        <v>0.27938965061369497</v>
      </c>
      <c r="GB17">
        <v>0.174711957620409</v>
      </c>
      <c r="GC17">
        <v>8.5967568269638597E-2</v>
      </c>
      <c r="GD17">
        <v>0.47746153613451098</v>
      </c>
      <c r="GE17">
        <v>0.151382853757806</v>
      </c>
      <c r="GF17">
        <v>0.44147881190160998</v>
      </c>
      <c r="GG17">
        <v>0.41731548202076701</v>
      </c>
      <c r="GH17">
        <v>0.74097512407023802</v>
      </c>
      <c r="GI17">
        <v>0.217998883824818</v>
      </c>
      <c r="GJ17">
        <v>0.22495471821270399</v>
      </c>
      <c r="GK17">
        <v>0.144286620454389</v>
      </c>
      <c r="GL17">
        <v>0.18541934200410601</v>
      </c>
      <c r="GM17">
        <v>0.31152350677884499</v>
      </c>
      <c r="GN17">
        <v>0.25555819721296502</v>
      </c>
      <c r="GO17">
        <v>-8.2750034242892699E-3</v>
      </c>
      <c r="GP17">
        <v>4.4863206397480603E-3</v>
      </c>
      <c r="GQ17">
        <v>-6.8893647267195698E-2</v>
      </c>
      <c r="GR17">
        <v>0.133834720513021</v>
      </c>
      <c r="GS17">
        <v>-3.53579293274323E-2</v>
      </c>
      <c r="GT17">
        <v>0.21934884721817999</v>
      </c>
      <c r="GU17">
        <v>0.28014031554636698</v>
      </c>
    </row>
    <row r="18" spans="1:203" x14ac:dyDescent="0.25">
      <c r="A18" s="12" t="s">
        <v>266</v>
      </c>
      <c r="B18" t="s">
        <v>57</v>
      </c>
      <c r="C18">
        <v>5.8881800630536503E-2</v>
      </c>
      <c r="D18">
        <v>-0.157541932081641</v>
      </c>
      <c r="E18">
        <v>-0.31898957393855099</v>
      </c>
      <c r="F18">
        <v>-0.12157652965011401</v>
      </c>
      <c r="G18">
        <v>0.129777719721555</v>
      </c>
      <c r="H18">
        <v>0.15392199785541799</v>
      </c>
      <c r="I18">
        <v>0.21506400892078101</v>
      </c>
      <c r="J18">
        <v>6.5099724265374997E-2</v>
      </c>
      <c r="K18">
        <v>0.13417745925418201</v>
      </c>
      <c r="L18">
        <v>8.7275702671517894E-2</v>
      </c>
      <c r="M18">
        <v>-0.110740533070727</v>
      </c>
      <c r="N18">
        <v>-9.7312983710319698E-2</v>
      </c>
      <c r="O18">
        <v>8.8501261074177703E-2</v>
      </c>
      <c r="P18">
        <v>-3.5007808344334201E-2</v>
      </c>
      <c r="Q18">
        <v>0.180557459077681</v>
      </c>
      <c r="R18">
        <v>3.6102173424174301E-2</v>
      </c>
      <c r="S18">
        <v>2.8971270188983999E-2</v>
      </c>
      <c r="T18">
        <v>6.8542986035438194E-2</v>
      </c>
      <c r="U18">
        <v>5.6720628827636899E-2</v>
      </c>
      <c r="V18">
        <v>9.4467024928849799E-2</v>
      </c>
      <c r="W18">
        <v>0.114328530878645</v>
      </c>
      <c r="X18">
        <v>0.134772974168167</v>
      </c>
      <c r="Y18">
        <v>0.13577351751245401</v>
      </c>
      <c r="Z18">
        <v>0</v>
      </c>
      <c r="AA18">
        <v>0.13634380271110899</v>
      </c>
      <c r="AB18">
        <v>3.39702490416883E-2</v>
      </c>
      <c r="AC18">
        <v>-7.5282867886910895E-2</v>
      </c>
      <c r="AD18">
        <v>-0.37937549100336299</v>
      </c>
      <c r="AE18">
        <v>3.8714758443634201E-2</v>
      </c>
      <c r="AF18">
        <v>0.16068835338614301</v>
      </c>
      <c r="AG18">
        <v>0.10717478181437</v>
      </c>
      <c r="AH18">
        <v>-0.103281553978152</v>
      </c>
      <c r="AI18">
        <v>5.8489387293433698E-2</v>
      </c>
      <c r="AJ18">
        <v>0.151551908762766</v>
      </c>
      <c r="AK18">
        <v>9.1811261656547002E-2</v>
      </c>
      <c r="AL18">
        <v>1.83201690088634E-2</v>
      </c>
      <c r="AM18">
        <v>0.14863671895014299</v>
      </c>
      <c r="AN18">
        <v>0.10003948562279399</v>
      </c>
      <c r="AO18">
        <v>-0.106520573172871</v>
      </c>
      <c r="AP18">
        <v>0.18541073020410501</v>
      </c>
      <c r="AQ18">
        <v>1.31472892135715E-2</v>
      </c>
      <c r="AR18">
        <v>-0.12450478925774</v>
      </c>
      <c r="AS18">
        <v>-0.103019304944862</v>
      </c>
      <c r="AT18">
        <v>0.11960987075198</v>
      </c>
      <c r="AU18">
        <v>-3.4080317973358899E-2</v>
      </c>
      <c r="AV18">
        <v>0.34797203155870599</v>
      </c>
      <c r="AW18">
        <v>-6.9915602734671498E-2</v>
      </c>
      <c r="AX18">
        <v>-0.21155885604483701</v>
      </c>
      <c r="AY18">
        <v>-0.10430746839484401</v>
      </c>
      <c r="AZ18">
        <v>-0.100647848723441</v>
      </c>
      <c r="BA18">
        <v>-5.2372047718714398E-2</v>
      </c>
      <c r="BB18">
        <v>9.6876324592205798E-2</v>
      </c>
      <c r="BC18">
        <v>6.5334983797530499E-2</v>
      </c>
      <c r="BD18">
        <v>-2.8497609185542199E-3</v>
      </c>
      <c r="BE18">
        <v>0.28925245027157898</v>
      </c>
      <c r="BF18">
        <v>0.30841963237529602</v>
      </c>
      <c r="BG18">
        <v>0.313738338775645</v>
      </c>
      <c r="BH18">
        <v>0.27452757841071201</v>
      </c>
      <c r="BI18">
        <v>0.30140671023582999</v>
      </c>
      <c r="BJ18">
        <v>0.403411152645546</v>
      </c>
      <c r="BK18">
        <v>2.3044872092741E-2</v>
      </c>
      <c r="BL18">
        <v>-8.6535584439887805E-2</v>
      </c>
      <c r="BM18">
        <v>8.3189872639686593E-2</v>
      </c>
      <c r="BN18">
        <v>0.13792063821973599</v>
      </c>
      <c r="BO18">
        <v>8.7446375902820006E-2</v>
      </c>
      <c r="BP18">
        <v>0.30536094158594401</v>
      </c>
      <c r="BQ18">
        <v>0.28181123784309098</v>
      </c>
      <c r="BR18">
        <v>0.32493860224139698</v>
      </c>
      <c r="BS18">
        <v>0.17469254999892</v>
      </c>
      <c r="BT18">
        <v>0.23844773060944299</v>
      </c>
      <c r="BU18">
        <v>0.20308196774916801</v>
      </c>
      <c r="BV18">
        <v>0.181399578487285</v>
      </c>
      <c r="BW18">
        <v>0.21935506095150301</v>
      </c>
      <c r="BX18">
        <v>0.29567534174281901</v>
      </c>
      <c r="BY18">
        <v>0.23933971131943901</v>
      </c>
      <c r="BZ18">
        <v>0.20847106740819599</v>
      </c>
      <c r="CA18">
        <v>0.11137014395219499</v>
      </c>
      <c r="CB18">
        <v>2.74701689438498E-2</v>
      </c>
      <c r="CC18">
        <v>0.18665784344984199</v>
      </c>
      <c r="CD18">
        <v>-8.0083879795487297E-4</v>
      </c>
      <c r="CE18">
        <v>1.03525887202545E-2</v>
      </c>
      <c r="CF18">
        <v>0.105424154224861</v>
      </c>
      <c r="CG18">
        <v>7.1864485172936201E-3</v>
      </c>
      <c r="CH18">
        <v>0.21578809368792401</v>
      </c>
      <c r="CI18">
        <v>0.212992308691835</v>
      </c>
      <c r="CJ18">
        <v>0.22484477728860799</v>
      </c>
      <c r="CK18">
        <v>0.32108185672427503</v>
      </c>
      <c r="CL18">
        <v>0.28128878740319402</v>
      </c>
      <c r="CM18">
        <v>0.203301447368299</v>
      </c>
      <c r="CN18">
        <v>0.15149466716687399</v>
      </c>
      <c r="CO18">
        <v>0.228754376449923</v>
      </c>
      <c r="CP18">
        <v>0.146380887973835</v>
      </c>
      <c r="CQ18">
        <v>1.26039261548429E-2</v>
      </c>
      <c r="CR18">
        <v>0.19647634788492199</v>
      </c>
      <c r="CS18">
        <v>0.19653546946039499</v>
      </c>
      <c r="CT18">
        <v>0.39728654360683602</v>
      </c>
      <c r="CU18">
        <v>0.10870332906891</v>
      </c>
      <c r="CV18">
        <v>-0.60822470948208696</v>
      </c>
      <c r="CW18">
        <v>-0.49194837520413198</v>
      </c>
      <c r="CX18">
        <v>-0.42094717847723701</v>
      </c>
      <c r="CY18">
        <v>-0.48434080008740699</v>
      </c>
      <c r="CZ18">
        <v>-0.39762028104702002</v>
      </c>
      <c r="DA18">
        <v>-0.53082866494260605</v>
      </c>
      <c r="DB18">
        <v>-0.44901142956318302</v>
      </c>
      <c r="DC18">
        <v>-0.51535529650490297</v>
      </c>
      <c r="DD18">
        <v>-0.50490683169709605</v>
      </c>
      <c r="DE18">
        <v>-0.48252903870367297</v>
      </c>
      <c r="DF18">
        <v>-0.39709872779310801</v>
      </c>
      <c r="DG18">
        <v>-0.51201144097662299</v>
      </c>
      <c r="DH18">
        <v>-0.20431635953611799</v>
      </c>
      <c r="DI18">
        <v>-0.389389869322606</v>
      </c>
      <c r="DJ18">
        <v>-0.41185950208920602</v>
      </c>
      <c r="DK18">
        <v>-0.21957691369163601</v>
      </c>
      <c r="DL18">
        <v>-0.195201181458557</v>
      </c>
      <c r="DM18">
        <v>-0.43323317866018701</v>
      </c>
      <c r="DN18">
        <v>-0.360714439129804</v>
      </c>
      <c r="DO18">
        <v>-0.29537238943946398</v>
      </c>
      <c r="DP18">
        <v>-0.43534998409702003</v>
      </c>
      <c r="DQ18">
        <v>-0.27287229183531198</v>
      </c>
      <c r="DR18">
        <v>-0.403270577159136</v>
      </c>
      <c r="DS18">
        <v>-0.34331249163574201</v>
      </c>
      <c r="DT18">
        <v>-0.500378032666419</v>
      </c>
      <c r="DU18">
        <v>0.14062871588776901</v>
      </c>
      <c r="DV18">
        <v>8.9594160276123103E-2</v>
      </c>
      <c r="DW18">
        <v>4.4333154224289904E-3</v>
      </c>
      <c r="DX18">
        <v>-0.34688177462408398</v>
      </c>
      <c r="DY18">
        <v>-0.34113361263652497</v>
      </c>
      <c r="DZ18">
        <v>-0.363269723865494</v>
      </c>
      <c r="EA18">
        <v>-0.38638300045555002</v>
      </c>
      <c r="EB18">
        <v>0.29682869618681101</v>
      </c>
      <c r="EC18">
        <v>0.38627806945236998</v>
      </c>
      <c r="ED18">
        <v>-0.32582573641635698</v>
      </c>
      <c r="EE18">
        <v>-0.36113258899054501</v>
      </c>
      <c r="EF18">
        <v>-3.6239504033608601E-2</v>
      </c>
      <c r="EG18">
        <v>-0.25838134303570598</v>
      </c>
      <c r="EH18">
        <v>-0.34883180913677397</v>
      </c>
      <c r="EI18">
        <v>-0.119418681100136</v>
      </c>
      <c r="EJ18">
        <v>-0.361962146980919</v>
      </c>
      <c r="EK18">
        <v>-0.51401217674773902</v>
      </c>
      <c r="EL18">
        <v>-0.38711295039677102</v>
      </c>
      <c r="EM18">
        <v>-0.40648176662445001</v>
      </c>
      <c r="EN18">
        <v>-0.24432099146407801</v>
      </c>
      <c r="EO18">
        <v>-0.48504150883139602</v>
      </c>
      <c r="EP18">
        <v>-0.37589657137028998</v>
      </c>
      <c r="EQ18">
        <v>-8.0927050253367994E-2</v>
      </c>
      <c r="ER18">
        <v>-0.56536773920415495</v>
      </c>
      <c r="ES18">
        <v>-0.39521549783749899</v>
      </c>
      <c r="ET18">
        <v>-0.47300948397445403</v>
      </c>
      <c r="EU18">
        <v>-0.55485141543466998</v>
      </c>
      <c r="EV18">
        <v>-0.54339429521421201</v>
      </c>
      <c r="EW18">
        <v>-0.15348712463988101</v>
      </c>
      <c r="EX18">
        <v>-0.68889449192333596</v>
      </c>
      <c r="EY18">
        <v>-0.48653932987536902</v>
      </c>
      <c r="EZ18">
        <v>-0.59953350492672597</v>
      </c>
      <c r="FA18">
        <v>-0.61610359482297095</v>
      </c>
      <c r="FB18">
        <v>-0.54122335905105401</v>
      </c>
      <c r="FC18">
        <v>-0.63777727348166702</v>
      </c>
      <c r="FD18">
        <v>-0.68924084290781096</v>
      </c>
      <c r="FE18">
        <v>-0.62968007762329203</v>
      </c>
      <c r="FF18">
        <v>-0.69530674854605201</v>
      </c>
      <c r="FG18">
        <v>-0.720473551254455</v>
      </c>
      <c r="FH18">
        <v>-0.50097956647784103</v>
      </c>
      <c r="FI18">
        <v>-0.34947446288135497</v>
      </c>
      <c r="FJ18">
        <v>-0.43740404481439799</v>
      </c>
      <c r="FK18">
        <v>-0.38230724426790902</v>
      </c>
      <c r="FL18">
        <v>-0.508354589666414</v>
      </c>
      <c r="FM18">
        <v>-0.398758373646599</v>
      </c>
      <c r="FN18">
        <v>-0.53799175721692905</v>
      </c>
      <c r="FO18">
        <v>-8.56160238641204E-2</v>
      </c>
      <c r="FP18">
        <v>-0.325074012173938</v>
      </c>
      <c r="FQ18">
        <v>-0.16610637435054201</v>
      </c>
      <c r="FR18">
        <v>-0.51679762637719195</v>
      </c>
      <c r="FS18">
        <v>-0.55316263209137395</v>
      </c>
      <c r="FT18">
        <v>0.27427270788736502</v>
      </c>
      <c r="FU18">
        <v>1.0438399580731601</v>
      </c>
      <c r="FV18">
        <v>0.29869758212338199</v>
      </c>
      <c r="FW18">
        <v>0.49664195675425599</v>
      </c>
      <c r="FX18">
        <v>0.34376180730371703</v>
      </c>
      <c r="FY18">
        <v>-4.2450830829931299E-2</v>
      </c>
      <c r="FZ18">
        <v>-8.0379219055541698E-2</v>
      </c>
      <c r="GA18">
        <v>-0.231218664988912</v>
      </c>
      <c r="GB18">
        <v>-0.28144645911914901</v>
      </c>
      <c r="GC18">
        <v>0.97358900790983505</v>
      </c>
      <c r="GD18">
        <v>0.78750076660287105</v>
      </c>
      <c r="GE18">
        <v>0.186711816900965</v>
      </c>
      <c r="GF18">
        <v>0.69524518355041598</v>
      </c>
      <c r="GG18">
        <v>0.25792084019477801</v>
      </c>
      <c r="GH18">
        <v>0.240753993840396</v>
      </c>
      <c r="GI18">
        <v>3.2488744370751999E-3</v>
      </c>
      <c r="GJ18">
        <v>-0.29198476823887598</v>
      </c>
      <c r="GK18">
        <v>-0.27871084313702998</v>
      </c>
      <c r="GL18">
        <v>-0.25528025618889899</v>
      </c>
      <c r="GM18">
        <v>0.52324909708739298</v>
      </c>
      <c r="GN18">
        <v>0.25763480099061797</v>
      </c>
      <c r="GO18">
        <v>-0.184309054546688</v>
      </c>
      <c r="GP18">
        <v>0.29791588141904002</v>
      </c>
      <c r="GQ18">
        <v>0.14802466369759101</v>
      </c>
      <c r="GR18">
        <v>0.646279678957704</v>
      </c>
      <c r="GS18">
        <v>0.65086396847615602</v>
      </c>
      <c r="GT18">
        <v>0.67998308110283101</v>
      </c>
      <c r="GU18">
        <v>0.65945457870454605</v>
      </c>
    </row>
    <row r="19" spans="1:203" x14ac:dyDescent="0.25">
      <c r="A19" s="12" t="s">
        <v>266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3.03002937000407E-3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1.2525951314517499E-2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9.0270765796307498E-3</v>
      </c>
      <c r="BF19">
        <v>0</v>
      </c>
      <c r="BG19">
        <v>0</v>
      </c>
      <c r="BH19">
        <v>8.8490209373019799E-3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1.08661557070425E-2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1.51105439930505E-2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6.1692898517059502E-3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1.3345265709627499E-2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7.1867222822141405E-2</v>
      </c>
      <c r="FU19">
        <v>6.9239961071900002E-2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0.60843733875496997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0.18783844202866901</v>
      </c>
      <c r="GQ19">
        <v>0</v>
      </c>
      <c r="GR19">
        <v>9.5135238728599497E-2</v>
      </c>
      <c r="GS19">
        <v>0</v>
      </c>
      <c r="GT19">
        <v>0.15602201180155101</v>
      </c>
      <c r="GU19">
        <v>0.128737385042582</v>
      </c>
    </row>
    <row r="20" spans="1:203" x14ac:dyDescent="0.25">
      <c r="A20" s="12" t="s">
        <v>266</v>
      </c>
      <c r="B20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5.2794717132847403E-3</v>
      </c>
      <c r="S20">
        <v>4.4419183999130996E-3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3.7927064798579302E-3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1.5249781064427601E-2</v>
      </c>
      <c r="AP20">
        <v>0</v>
      </c>
      <c r="AQ20">
        <v>1.3600204656404E-2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1.30513861531439E-2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1.5891782339910399E-2</v>
      </c>
      <c r="BS20">
        <v>0</v>
      </c>
      <c r="BT20">
        <v>0</v>
      </c>
      <c r="BU20">
        <v>1.51105439930505E-2</v>
      </c>
      <c r="BV20">
        <v>0</v>
      </c>
      <c r="BW20">
        <v>0</v>
      </c>
      <c r="BX20">
        <v>0</v>
      </c>
      <c r="BY20">
        <v>0</v>
      </c>
      <c r="BZ20">
        <v>8.3122577333932905E-3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2.0522145623608001E-2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2.2659620083551098E-2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0.112504451974031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9.7264730807697694E-2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8.0191064181913393E-2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0.433852516739199</v>
      </c>
      <c r="GQ20">
        <v>0.32412081625313999</v>
      </c>
      <c r="GR20">
        <v>0.49973994654409398</v>
      </c>
      <c r="GS20">
        <v>0.18884313047909801</v>
      </c>
      <c r="GT20">
        <v>0</v>
      </c>
      <c r="GU20">
        <v>0</v>
      </c>
    </row>
    <row r="21" spans="1:203" x14ac:dyDescent="0.25">
      <c r="A21" s="12" t="s">
        <v>266</v>
      </c>
      <c r="B2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4.4419183999130996E-3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1.2673612243186701E-2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9.7910916143284597E-3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3.3084839266177501E-3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7.1867222822141405E-2</v>
      </c>
      <c r="FU21">
        <v>0.13569884395706</v>
      </c>
      <c r="FV21">
        <v>0</v>
      </c>
      <c r="FW21">
        <v>0</v>
      </c>
      <c r="FX21">
        <v>0</v>
      </c>
      <c r="FY21">
        <v>4.6901173267021201E-2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0.15652057292441701</v>
      </c>
      <c r="GI21">
        <v>0.170440120992989</v>
      </c>
      <c r="GJ21">
        <v>0</v>
      </c>
      <c r="GK21">
        <v>0</v>
      </c>
      <c r="GL21">
        <v>0</v>
      </c>
      <c r="GM21">
        <v>0.16718479444846801</v>
      </c>
      <c r="GN21">
        <v>5.1453733914069703E-2</v>
      </c>
      <c r="GO21">
        <v>0</v>
      </c>
      <c r="GP21">
        <v>0</v>
      </c>
      <c r="GQ21">
        <v>0</v>
      </c>
      <c r="GR21">
        <v>9.5135238728599497E-2</v>
      </c>
      <c r="GS21">
        <v>7.5690581829227499E-2</v>
      </c>
      <c r="GT21">
        <v>0.19892684662712301</v>
      </c>
      <c r="GU21">
        <v>0</v>
      </c>
    </row>
    <row r="22" spans="1:203" x14ac:dyDescent="0.25">
      <c r="A22" s="12" t="s">
        <v>266</v>
      </c>
      <c r="B22" t="s">
        <v>55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8.4259948683704095E-3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1.5249781064427601E-2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1.1271270651848299E-2</v>
      </c>
      <c r="BZ22">
        <v>8.3122577333932905E-3</v>
      </c>
      <c r="CA22">
        <v>9.7910916143284597E-3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6.0878938567810103E-3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1.33805193093668E-2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1.4333630969259201E-2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9.0136651364423698E-2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7.9912928432615701E-2</v>
      </c>
      <c r="GU22">
        <v>0.24803503889806</v>
      </c>
    </row>
    <row r="23" spans="1:203" x14ac:dyDescent="0.25">
      <c r="A23" s="12" t="s">
        <v>266</v>
      </c>
      <c r="B23" t="s">
        <v>51</v>
      </c>
      <c r="C23">
        <v>5.8508572473857899E-2</v>
      </c>
      <c r="D23">
        <v>0</v>
      </c>
      <c r="E23">
        <v>0</v>
      </c>
      <c r="F23">
        <v>0.101980318071776</v>
      </c>
      <c r="G23">
        <v>0.103413989638605</v>
      </c>
      <c r="H23">
        <v>8.7852439667613302E-2</v>
      </c>
      <c r="I23">
        <v>0.108026010543168</v>
      </c>
      <c r="J23">
        <v>8.3790722082788302E-2</v>
      </c>
      <c r="K23">
        <v>0.109322514348889</v>
      </c>
      <c r="L23">
        <v>7.5026644051157707E-2</v>
      </c>
      <c r="M23">
        <v>6.9472092590402795E-2</v>
      </c>
      <c r="N23">
        <v>0</v>
      </c>
      <c r="O23">
        <v>0.148708110151034</v>
      </c>
      <c r="P23">
        <v>7.8953366200573305E-2</v>
      </c>
      <c r="Q23">
        <v>0.102085767590117</v>
      </c>
      <c r="R23">
        <v>7.3195111821053399E-2</v>
      </c>
      <c r="S23">
        <v>9.9193815949848593E-2</v>
      </c>
      <c r="T23">
        <v>0.12130156608043199</v>
      </c>
      <c r="U23">
        <v>0.11827660984212</v>
      </c>
      <c r="V23">
        <v>9.1778380194476206E-2</v>
      </c>
      <c r="W23">
        <v>2.7750246050329701E-2</v>
      </c>
      <c r="X23">
        <v>8.2716988739834796E-2</v>
      </c>
      <c r="Y23">
        <v>5.3743171161078303E-2</v>
      </c>
      <c r="Z23">
        <v>0</v>
      </c>
      <c r="AA23">
        <v>2.2690880907303101E-2</v>
      </c>
      <c r="AB23">
        <v>2.5266236020631602E-2</v>
      </c>
      <c r="AC23">
        <v>0</v>
      </c>
      <c r="AD23">
        <v>9.3491560839257998E-2</v>
      </c>
      <c r="AE23">
        <v>0</v>
      </c>
      <c r="AF23">
        <v>0</v>
      </c>
      <c r="AG23">
        <v>0.12886359529663099</v>
      </c>
      <c r="AH23">
        <v>7.5587924581663399E-2</v>
      </c>
      <c r="AI23">
        <v>0.134588319343658</v>
      </c>
      <c r="AJ23">
        <v>2.8199354870931299E-2</v>
      </c>
      <c r="AK23">
        <v>3.4253466872315001E-2</v>
      </c>
      <c r="AL23">
        <v>9.6181953393196296E-2</v>
      </c>
      <c r="AM23">
        <v>9.1246207906726703E-2</v>
      </c>
      <c r="AN23">
        <v>0.137314144126195</v>
      </c>
      <c r="AO23">
        <v>0.119988231512329</v>
      </c>
      <c r="AP23">
        <v>0</v>
      </c>
      <c r="AQ23">
        <v>5.4255037793303998E-2</v>
      </c>
      <c r="AR23">
        <v>0</v>
      </c>
      <c r="AS23">
        <v>7.0705147600911095E-2</v>
      </c>
      <c r="AT23">
        <v>1.7520464688335999E-2</v>
      </c>
      <c r="AU23">
        <v>0</v>
      </c>
      <c r="AV23">
        <v>0</v>
      </c>
      <c r="AW23">
        <v>1.30513861531439E-2</v>
      </c>
      <c r="AX23">
        <v>0</v>
      </c>
      <c r="AY23">
        <v>3.14823583440293E-2</v>
      </c>
      <c r="AZ23">
        <v>0.116630306415103</v>
      </c>
      <c r="BA23">
        <v>1.9379727975385199E-2</v>
      </c>
      <c r="BB23">
        <v>3.7712824956287E-2</v>
      </c>
      <c r="BC23">
        <v>1.56308638051923E-2</v>
      </c>
      <c r="BD23">
        <v>1.28606424480537E-2</v>
      </c>
      <c r="BE23">
        <v>0</v>
      </c>
      <c r="BF23">
        <v>8.2348358883328296E-2</v>
      </c>
      <c r="BG23">
        <v>8.3753463338962095E-2</v>
      </c>
      <c r="BH23">
        <v>0</v>
      </c>
      <c r="BI23">
        <v>2.3425366854132101E-2</v>
      </c>
      <c r="BJ23">
        <v>7.2236398883157001E-3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9.3851934803791306E-3</v>
      </c>
      <c r="BY23">
        <v>0</v>
      </c>
      <c r="BZ23">
        <v>0</v>
      </c>
      <c r="CA23">
        <v>0</v>
      </c>
      <c r="CB23">
        <v>0</v>
      </c>
      <c r="CC23">
        <v>6.4088700284959804E-3</v>
      </c>
      <c r="CD23">
        <v>0</v>
      </c>
      <c r="CE23">
        <v>0</v>
      </c>
      <c r="CF23">
        <v>0</v>
      </c>
      <c r="CG23">
        <v>7.01041959188008E-3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6.4968529768992603E-3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3.3579248546552701E-3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1.3831343231521701E-2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5.14734785216895E-2</v>
      </c>
      <c r="EQ23">
        <v>0</v>
      </c>
      <c r="ER23">
        <v>0</v>
      </c>
      <c r="ES23">
        <v>0</v>
      </c>
      <c r="ET23">
        <v>0</v>
      </c>
      <c r="EU23">
        <v>6.2454545287840897E-2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1.52613175275901E-2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0.55196069928859504</v>
      </c>
      <c r="FP23">
        <v>0.13622563520408701</v>
      </c>
      <c r="FQ23">
        <v>0</v>
      </c>
      <c r="FR23">
        <v>0.27593303554038801</v>
      </c>
      <c r="FS23">
        <v>0.110781180324343</v>
      </c>
      <c r="FT23">
        <v>0</v>
      </c>
      <c r="FU23">
        <v>0</v>
      </c>
      <c r="FV23">
        <v>3.1935034810802697E-2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5.1453733914069703E-2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7.9912928432615701E-2</v>
      </c>
      <c r="GU23">
        <v>0</v>
      </c>
    </row>
    <row r="24" spans="1:203" s="11" customFormat="1" ht="15.75" thickBot="1" x14ac:dyDescent="0.3">
      <c r="A24" s="11" t="s">
        <v>266</v>
      </c>
      <c r="B24" s="11" t="s">
        <v>44</v>
      </c>
      <c r="C24" s="11">
        <v>0.110872976078513</v>
      </c>
      <c r="D24" s="11">
        <v>0.19511228115691301</v>
      </c>
      <c r="E24" s="11">
        <v>0</v>
      </c>
      <c r="F24" s="11">
        <v>1.01478034458435E-2</v>
      </c>
      <c r="G24" s="11">
        <v>6.0329574525342898E-2</v>
      </c>
      <c r="H24" s="11">
        <v>0</v>
      </c>
      <c r="I24" s="11">
        <v>8.6084769192775693E-3</v>
      </c>
      <c r="J24" s="11">
        <v>1.3870503405422899E-2</v>
      </c>
      <c r="K24" s="11">
        <v>0</v>
      </c>
      <c r="L24" s="11">
        <v>3.2004771609824199E-2</v>
      </c>
      <c r="M24" s="11">
        <v>0</v>
      </c>
      <c r="N24" s="11">
        <v>0</v>
      </c>
      <c r="O24" s="11">
        <v>0</v>
      </c>
      <c r="P24" s="11">
        <v>0</v>
      </c>
      <c r="Q24" s="11">
        <v>1.95330916624901E-2</v>
      </c>
      <c r="R24" s="11">
        <v>5.2794717132847403E-3</v>
      </c>
      <c r="S24" s="11">
        <v>0</v>
      </c>
      <c r="T24" s="11">
        <v>0</v>
      </c>
      <c r="U24" s="11">
        <v>2.6324940291169802E-2</v>
      </c>
      <c r="V24" s="11">
        <v>5.1184115036450997E-2</v>
      </c>
      <c r="W24" s="11">
        <v>0</v>
      </c>
      <c r="X24" s="11">
        <v>1.0245265701745301E-2</v>
      </c>
      <c r="Y24" s="11">
        <v>0</v>
      </c>
      <c r="Z24" s="11">
        <v>8.9688813385846E-2</v>
      </c>
      <c r="AA24" s="11">
        <v>3.8035861941312303E-2</v>
      </c>
      <c r="AB24" s="11">
        <v>8.4259948683704095E-3</v>
      </c>
      <c r="AC24" s="11">
        <v>0</v>
      </c>
      <c r="AD24" s="11">
        <v>0</v>
      </c>
      <c r="AE24" s="11">
        <v>0</v>
      </c>
      <c r="AF24" s="11">
        <v>0</v>
      </c>
      <c r="AG24" s="11">
        <v>2.2779538213398998E-2</v>
      </c>
      <c r="AH24" s="11">
        <v>0</v>
      </c>
      <c r="AI24" s="11">
        <v>6.84576860344559E-2</v>
      </c>
      <c r="AJ24" s="11">
        <v>0</v>
      </c>
      <c r="AK24" s="11">
        <v>2.2849887563510501E-2</v>
      </c>
      <c r="AL24" s="11">
        <v>4.9527398912367999E-3</v>
      </c>
      <c r="AM24" s="11">
        <v>0</v>
      </c>
      <c r="AN24" s="11">
        <v>7.4870200836710601E-3</v>
      </c>
      <c r="AO24" s="11">
        <v>1.5249781064427601E-2</v>
      </c>
      <c r="AP24" s="11">
        <v>5.2868945201217502E-2</v>
      </c>
      <c r="AQ24" s="11">
        <v>5.4255037793303998E-2</v>
      </c>
      <c r="AR24" s="11">
        <v>0.17157147094655001</v>
      </c>
      <c r="AS24" s="11">
        <v>0</v>
      </c>
      <c r="AT24" s="11">
        <v>2.3384315624741501E-2</v>
      </c>
      <c r="AU24" s="11">
        <v>0</v>
      </c>
      <c r="AV24" s="11">
        <v>4.4334343634535797E-2</v>
      </c>
      <c r="AW24" s="11">
        <v>0</v>
      </c>
      <c r="AX24" s="11">
        <v>1.8836203801506801E-2</v>
      </c>
      <c r="AY24" s="11">
        <v>0</v>
      </c>
      <c r="AZ24" s="11">
        <v>0</v>
      </c>
      <c r="BA24" s="11">
        <v>1.9379727975385199E-2</v>
      </c>
      <c r="BB24" s="11">
        <v>0</v>
      </c>
      <c r="BC24" s="11">
        <v>6.2176580914284199E-2</v>
      </c>
      <c r="BD24" s="11">
        <v>0.11840550169592</v>
      </c>
      <c r="BE24" s="11">
        <v>0.17414143490474299</v>
      </c>
      <c r="BF24" s="11">
        <v>5.8694092379647398E-3</v>
      </c>
      <c r="BG24" s="11">
        <v>0</v>
      </c>
      <c r="BH24" s="11">
        <v>0</v>
      </c>
      <c r="BI24" s="11">
        <v>0</v>
      </c>
      <c r="BJ24" s="11">
        <v>0</v>
      </c>
      <c r="BK24" s="11">
        <v>0.190419447404853</v>
      </c>
      <c r="BL24" s="11">
        <v>0.110816867723978</v>
      </c>
      <c r="BM24" s="11">
        <v>0.215495705497495</v>
      </c>
      <c r="BN24" s="11">
        <v>0.101341056358702</v>
      </c>
      <c r="BO24" s="11">
        <v>9.9480561935049103E-2</v>
      </c>
      <c r="BP24" s="11">
        <v>0.152246839170328</v>
      </c>
      <c r="BQ24" s="11">
        <v>0.167060714878629</v>
      </c>
      <c r="BR24" s="11">
        <v>0</v>
      </c>
      <c r="BS24" s="11">
        <v>0</v>
      </c>
      <c r="BT24" s="11">
        <v>0</v>
      </c>
      <c r="BU24" s="11">
        <v>0</v>
      </c>
      <c r="BV24" s="11">
        <v>0.170419131886651</v>
      </c>
      <c r="BW24" s="11">
        <v>0.178799029649122</v>
      </c>
      <c r="BX24" s="11">
        <v>0.15410707721635999</v>
      </c>
      <c r="BY24" s="11">
        <v>0.18723204761446799</v>
      </c>
      <c r="BZ24" s="11">
        <v>0.292416228784525</v>
      </c>
      <c r="CA24" s="11">
        <v>9.7910916143284597E-3</v>
      </c>
      <c r="CB24" s="11">
        <v>0.207683063574889</v>
      </c>
      <c r="CC24" s="11">
        <v>2.5708971484595802E-2</v>
      </c>
      <c r="CD24" s="11">
        <v>0</v>
      </c>
      <c r="CE24" s="11">
        <v>0</v>
      </c>
      <c r="CF24" s="11">
        <v>0</v>
      </c>
      <c r="CG24" s="11">
        <v>1.4030931524829199E-2</v>
      </c>
      <c r="CH24" s="11">
        <v>4.77528139481148E-2</v>
      </c>
      <c r="CI24" s="11">
        <v>7.5929844136907204E-2</v>
      </c>
      <c r="CJ24" s="11">
        <v>9.9970577917726205E-2</v>
      </c>
      <c r="CK24" s="11">
        <v>0.105648520070006</v>
      </c>
      <c r="CL24" s="11">
        <v>0.211493896439892</v>
      </c>
      <c r="CM24" s="11">
        <v>0.30963155639692003</v>
      </c>
      <c r="CN24" s="11">
        <v>5.4327365485039601E-2</v>
      </c>
      <c r="CO24" s="11">
        <v>0.14346189152792399</v>
      </c>
      <c r="CP24" s="11">
        <v>0.123822388883605</v>
      </c>
      <c r="CQ24" s="11">
        <v>0.34371356578470202</v>
      </c>
      <c r="CR24" s="11">
        <v>0.44080063560637101</v>
      </c>
      <c r="CS24" s="11">
        <v>0.21913303016002</v>
      </c>
      <c r="CT24" s="11">
        <v>0.365603373938237</v>
      </c>
      <c r="CU24" s="11">
        <v>8.4077763978742795E-2</v>
      </c>
      <c r="CV24" s="11">
        <v>0</v>
      </c>
      <c r="CW24" s="11">
        <v>0</v>
      </c>
      <c r="CX24" s="11">
        <v>3.8735477158884399E-3</v>
      </c>
      <c r="CY24" s="11">
        <v>0</v>
      </c>
      <c r="CZ24" s="11">
        <v>6.7197869735300198E-3</v>
      </c>
      <c r="DA24" s="11">
        <v>0</v>
      </c>
      <c r="DB24" s="11">
        <v>6.1692898517059502E-3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L24" s="11">
        <v>0</v>
      </c>
      <c r="DM24" s="11">
        <v>0</v>
      </c>
      <c r="DN24" s="11">
        <v>8.15910926275616E-3</v>
      </c>
      <c r="DO24" s="11">
        <v>0</v>
      </c>
      <c r="DP24" s="11">
        <v>0</v>
      </c>
      <c r="DQ24" s="11">
        <v>0</v>
      </c>
      <c r="DR24" s="11">
        <v>0</v>
      </c>
      <c r="DS24" s="11">
        <v>9.7053090533551507E-3</v>
      </c>
      <c r="DT24" s="11">
        <v>0</v>
      </c>
      <c r="DU24" s="11">
        <v>1.1019565141308999E-2</v>
      </c>
      <c r="DV24" s="11">
        <v>0</v>
      </c>
      <c r="DW24" s="11">
        <v>4.6488536704741699E-2</v>
      </c>
      <c r="DX24" s="11">
        <v>0</v>
      </c>
      <c r="DY24" s="11">
        <v>0</v>
      </c>
      <c r="DZ24" s="11">
        <v>0</v>
      </c>
      <c r="EA24" s="11">
        <v>4.5082786140484603E-2</v>
      </c>
      <c r="EB24" s="11">
        <v>3.3084839266177501E-3</v>
      </c>
      <c r="EC24" s="11">
        <v>1.01400400972239E-2</v>
      </c>
      <c r="ED24" s="11">
        <v>0</v>
      </c>
      <c r="EE24" s="11">
        <v>9.22105449806691E-3</v>
      </c>
      <c r="EF24" s="11">
        <v>1.03570302641841E-2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1">
        <v>0</v>
      </c>
      <c r="EU24" s="11">
        <v>0</v>
      </c>
      <c r="EV24" s="11">
        <v>0</v>
      </c>
      <c r="EW24" s="11">
        <v>0</v>
      </c>
      <c r="EX24" s="11">
        <v>0</v>
      </c>
      <c r="EY24" s="11">
        <v>0</v>
      </c>
      <c r="EZ24" s="11">
        <v>0</v>
      </c>
      <c r="FA24" s="11">
        <v>0</v>
      </c>
      <c r="FB24" s="11">
        <v>1.52613175275901E-2</v>
      </c>
      <c r="FC24" s="11">
        <v>6.4386995846592698E-3</v>
      </c>
      <c r="FD24" s="11">
        <v>7.7937656897646796E-3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2.77102607810287E-2</v>
      </c>
      <c r="FL24" s="11">
        <v>9.1907562565117992E-3</v>
      </c>
      <c r="FM24" s="11">
        <v>2.3392132003006098E-2</v>
      </c>
      <c r="FN24" s="11">
        <v>2.12712330592272E-2</v>
      </c>
      <c r="FO24" s="11">
        <v>4.5626219586045902E-2</v>
      </c>
      <c r="FP24" s="11">
        <v>0</v>
      </c>
      <c r="FQ24" s="11">
        <v>0</v>
      </c>
      <c r="FR24" s="11">
        <v>0</v>
      </c>
      <c r="FS24" s="11">
        <v>3.1508877266188999E-2</v>
      </c>
      <c r="FT24" s="11">
        <v>0</v>
      </c>
      <c r="FU24" s="11">
        <v>0</v>
      </c>
      <c r="FV24" s="11">
        <v>3.1935034810802697E-2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5.7358473785087599E-2</v>
      </c>
      <c r="GD24" s="11">
        <v>0</v>
      </c>
      <c r="GE24" s="11">
        <v>0.17641925419760099</v>
      </c>
      <c r="GF24" s="11">
        <v>5.2236606075906397E-2</v>
      </c>
      <c r="GG24" s="11">
        <v>0.19541055783102801</v>
      </c>
      <c r="GH24" s="11">
        <v>0</v>
      </c>
      <c r="GI24" s="11">
        <v>0.40135100521373801</v>
      </c>
      <c r="GJ24" s="11">
        <v>0</v>
      </c>
      <c r="GK24" s="11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9.6688977174831797E-2</v>
      </c>
      <c r="GQ24" s="11">
        <v>0</v>
      </c>
      <c r="GR24" s="11">
        <v>0</v>
      </c>
      <c r="GS24" s="11">
        <v>0</v>
      </c>
      <c r="GT24" s="11">
        <v>7.9912928432615701E-2</v>
      </c>
      <c r="GU24" s="11">
        <v>0.128737385042582</v>
      </c>
    </row>
    <row r="25" spans="1:203" x14ac:dyDescent="0.25">
      <c r="A25" s="12" t="s">
        <v>267</v>
      </c>
      <c r="B25" t="s">
        <v>60</v>
      </c>
      <c r="C25">
        <v>0.162001346747706</v>
      </c>
      <c r="D25">
        <v>0.184636142481026</v>
      </c>
      <c r="E25">
        <v>-2.9492622875836601E-2</v>
      </c>
      <c r="F25">
        <v>0.21372020416590201</v>
      </c>
      <c r="G25">
        <v>0.33072734850103003</v>
      </c>
      <c r="H25">
        <v>0.43763706178004502</v>
      </c>
      <c r="I25">
        <v>0.30406325001210099</v>
      </c>
      <c r="J25">
        <v>0.51809395449613405</v>
      </c>
      <c r="K25">
        <v>0.21850828948723</v>
      </c>
      <c r="L25">
        <v>0.31545219795880802</v>
      </c>
      <c r="M25">
        <v>0.26325021549683197</v>
      </c>
      <c r="N25">
        <v>0.14671509791057799</v>
      </c>
      <c r="O25">
        <v>0.100628100954867</v>
      </c>
      <c r="P25">
        <v>0.12232818448248101</v>
      </c>
      <c r="Q25">
        <v>0.13869987020734501</v>
      </c>
      <c r="R25">
        <v>0.67739166272293405</v>
      </c>
      <c r="S25">
        <v>0.13396289243086501</v>
      </c>
      <c r="T25">
        <v>5.3552647607877202E-2</v>
      </c>
      <c r="U25">
        <v>0.31963389524473101</v>
      </c>
      <c r="V25">
        <v>0.14657321341125801</v>
      </c>
      <c r="W25">
        <v>3.2398346549851402E-2</v>
      </c>
      <c r="X25">
        <v>0.255444063642913</v>
      </c>
      <c r="Y25">
        <v>0.314814085826362</v>
      </c>
      <c r="Z25">
        <v>0.329129360610598</v>
      </c>
      <c r="AA25">
        <v>0.28491219221210201</v>
      </c>
      <c r="AB25">
        <v>0.248656773633332</v>
      </c>
      <c r="AC25">
        <v>-0.120419338617953</v>
      </c>
      <c r="AD25">
        <v>0.30574152934219001</v>
      </c>
      <c r="AE25">
        <v>-0.12983346985267799</v>
      </c>
      <c r="AF25">
        <v>2.2826653957400901E-3</v>
      </c>
      <c r="AG25">
        <v>-0.12542403194105001</v>
      </c>
      <c r="AH25">
        <v>-0.119638510657749</v>
      </c>
      <c r="AI25">
        <v>-9.3424185646695093E-2</v>
      </c>
      <c r="AJ25">
        <v>-0.11155184759871099</v>
      </c>
      <c r="AK25">
        <v>-0.138207892444559</v>
      </c>
      <c r="AL25">
        <v>0.55746737114690703</v>
      </c>
      <c r="AM25">
        <v>-0.15589787020708701</v>
      </c>
      <c r="AN25">
        <v>0.447535972093557</v>
      </c>
      <c r="AO25">
        <v>0.73207304199531198</v>
      </c>
      <c r="AP25">
        <v>6.8468366752443702E-3</v>
      </c>
      <c r="AQ25">
        <v>0.41041244360447898</v>
      </c>
      <c r="AR25">
        <v>5.6218765102005901E-2</v>
      </c>
      <c r="AS25">
        <v>0.40632091469495502</v>
      </c>
      <c r="AT25">
        <v>0.33860832907347599</v>
      </c>
      <c r="AU25">
        <v>0.52257660890091095</v>
      </c>
      <c r="AV25">
        <v>1.8381536648892499E-2</v>
      </c>
      <c r="AW25">
        <v>0.52285076950687503</v>
      </c>
      <c r="AX25">
        <v>0.31346238914188301</v>
      </c>
      <c r="AY25">
        <v>0.27703006523891199</v>
      </c>
      <c r="AZ25">
        <v>1.08055261292697E-2</v>
      </c>
      <c r="BA25">
        <v>0.25225110294909497</v>
      </c>
      <c r="BB25">
        <v>9.2233615442589206E-2</v>
      </c>
      <c r="BC25">
        <v>2.1116970262933299E-2</v>
      </c>
      <c r="BD25">
        <v>0.20601417935498301</v>
      </c>
      <c r="BE25">
        <v>0.11803529065748899</v>
      </c>
      <c r="BF25">
        <v>0.257885831192255</v>
      </c>
      <c r="BG25">
        <v>0.57447244334307901</v>
      </c>
      <c r="BH25">
        <v>0.27715665425598301</v>
      </c>
      <c r="BI25">
        <v>0.52361304067826397</v>
      </c>
      <c r="BJ25">
        <v>0.344474706227824</v>
      </c>
      <c r="BK25">
        <v>0.19374022780785399</v>
      </c>
      <c r="BL25">
        <v>0.16435304563979999</v>
      </c>
      <c r="BM25">
        <v>-0.113358431121722</v>
      </c>
      <c r="BN25">
        <v>0.19679150050328501</v>
      </c>
      <c r="BO25">
        <v>0.43409010771793799</v>
      </c>
      <c r="BP25">
        <v>0.29337901483032303</v>
      </c>
      <c r="BQ25">
        <v>0.15631801970481701</v>
      </c>
      <c r="BR25">
        <v>0.205834848392521</v>
      </c>
      <c r="BS25">
        <v>0.30728753695347499</v>
      </c>
      <c r="BT25">
        <v>0.28995021260785903</v>
      </c>
      <c r="BU25">
        <v>0.42614534257361403</v>
      </c>
      <c r="BV25">
        <v>0.17639683366445399</v>
      </c>
      <c r="BW25">
        <v>-0.15832351402382799</v>
      </c>
      <c r="BX25">
        <v>0.26077807695789401</v>
      </c>
      <c r="BY25">
        <v>0.29944659287602499</v>
      </c>
      <c r="BZ25">
        <v>0.61398310722850902</v>
      </c>
      <c r="CA25">
        <v>0.24673462380597599</v>
      </c>
      <c r="CB25">
        <v>-3.7508361992353897E-2</v>
      </c>
      <c r="CC25">
        <v>0.221824842051601</v>
      </c>
      <c r="CD25">
        <v>0.558018183985586</v>
      </c>
      <c r="CE25">
        <v>0.53912902596189505</v>
      </c>
      <c r="CF25">
        <v>0.194378359038579</v>
      </c>
      <c r="CG25">
        <v>0.72764990593438095</v>
      </c>
      <c r="CH25">
        <v>0.185329011277787</v>
      </c>
      <c r="CI25">
        <v>-0.119296591102505</v>
      </c>
      <c r="CJ25">
        <v>0.256058485854534</v>
      </c>
      <c r="CK25">
        <v>0.137738913016348</v>
      </c>
      <c r="CL25">
        <v>0.71314284811220896</v>
      </c>
      <c r="CM25">
        <v>6.19030162381035E-2</v>
      </c>
      <c r="CN25">
        <v>0.66539807816957097</v>
      </c>
      <c r="CO25">
        <v>0.327332462284111</v>
      </c>
      <c r="CP25">
        <v>0.76663473002094795</v>
      </c>
      <c r="CQ25">
        <v>-0.16692638691230899</v>
      </c>
      <c r="CR25">
        <v>-6.8029535390434298E-2</v>
      </c>
      <c r="CS25">
        <v>0.46032074671178103</v>
      </c>
      <c r="CT25">
        <v>0.156087764996544</v>
      </c>
      <c r="CU25">
        <v>0.32646885760633998</v>
      </c>
      <c r="CV25">
        <v>-7.01360458027534E-2</v>
      </c>
      <c r="CW25">
        <v>-4.8086204854383099E-2</v>
      </c>
      <c r="CX25">
        <v>-0.12177727602472201</v>
      </c>
      <c r="CY25">
        <v>-0.13826331440365899</v>
      </c>
      <c r="CZ25">
        <v>-0.10952101707907</v>
      </c>
      <c r="DA25">
        <v>-9.4370744641006699E-2</v>
      </c>
      <c r="DB25">
        <v>-0.13585899068983101</v>
      </c>
      <c r="DC25">
        <v>-6.7651658789285404E-2</v>
      </c>
      <c r="DD25">
        <v>-0.12993902966906001</v>
      </c>
      <c r="DE25">
        <v>2.1004453524898398E-2</v>
      </c>
      <c r="DF25">
        <v>0</v>
      </c>
      <c r="DG25">
        <v>-9.8382091560357907E-3</v>
      </c>
      <c r="DH25">
        <v>-0.10389376590494701</v>
      </c>
      <c r="DI25">
        <v>-0.129012900695503</v>
      </c>
      <c r="DJ25">
        <v>-0.15380318946402599</v>
      </c>
      <c r="DK25">
        <v>-2.5870636960221901E-2</v>
      </c>
      <c r="DL25">
        <v>-0.19522643523941199</v>
      </c>
      <c r="DM25">
        <v>-8.4870188973613106E-2</v>
      </c>
      <c r="DN25">
        <v>-4.4402259250017201E-2</v>
      </c>
      <c r="DO25">
        <v>-0.13994084818142299</v>
      </c>
      <c r="DP25">
        <v>-6.4883793776207094E-2</v>
      </c>
      <c r="DQ25">
        <v>-3.9544236840426197E-2</v>
      </c>
      <c r="DR25">
        <v>-3.0366608065848901E-3</v>
      </c>
      <c r="DS25">
        <v>-2.6635259831386801E-2</v>
      </c>
      <c r="DT25">
        <v>0.106279141521067</v>
      </c>
      <c r="DU25">
        <v>5.6407970800107898E-2</v>
      </c>
      <c r="DV25">
        <v>2.4822476085250901E-3</v>
      </c>
      <c r="DW25">
        <v>-3.6647262565337901E-2</v>
      </c>
      <c r="DX25">
        <v>4.6354776834474802E-2</v>
      </c>
      <c r="DY25">
        <v>-9.7084468257470205E-2</v>
      </c>
      <c r="DZ25">
        <v>-0.16765423912938399</v>
      </c>
      <c r="EA25">
        <v>-4.1370321938461602E-2</v>
      </c>
      <c r="EB25">
        <v>0.21562552125342699</v>
      </c>
      <c r="EC25">
        <v>0.178736698993611</v>
      </c>
      <c r="ED25">
        <v>-6.25725795818564E-2</v>
      </c>
      <c r="EE25">
        <v>-8.8177429455173303E-2</v>
      </c>
      <c r="EF25">
        <v>-4.3274513537964999E-2</v>
      </c>
      <c r="EG25">
        <v>-0.100620189399325</v>
      </c>
      <c r="EH25">
        <v>-7.7586007844826096E-2</v>
      </c>
      <c r="EI25">
        <v>-4.95469831542691E-2</v>
      </c>
      <c r="EJ25">
        <v>-7.7301597156238702E-2</v>
      </c>
      <c r="EK25">
        <v>-6.6370883123795896E-2</v>
      </c>
      <c r="EL25">
        <v>-7.8048832670536E-2</v>
      </c>
      <c r="EM25">
        <v>-6.72010074818713E-2</v>
      </c>
      <c r="EN25">
        <v>-0.107912628930027</v>
      </c>
      <c r="EO25">
        <v>-3.1745209419415901E-2</v>
      </c>
      <c r="EP25">
        <v>-0.19522643523941199</v>
      </c>
      <c r="EQ25">
        <v>-0.102740693612036</v>
      </c>
      <c r="ER25">
        <v>-0.19522643523941199</v>
      </c>
      <c r="ES25">
        <v>-0.102428757676031</v>
      </c>
      <c r="ET25">
        <v>-2.8388123542836E-2</v>
      </c>
      <c r="EU25">
        <v>-0.13277188995157199</v>
      </c>
      <c r="EV25">
        <v>-0.14414988013338101</v>
      </c>
      <c r="EW25">
        <v>-0.108084401183326</v>
      </c>
      <c r="EX25">
        <v>-8.3861676276022701E-2</v>
      </c>
      <c r="EY25">
        <v>-7.46027954428468E-2</v>
      </c>
      <c r="EZ25">
        <v>-2.01136618393018E-2</v>
      </c>
      <c r="FA25">
        <v>-0.16759709908140499</v>
      </c>
      <c r="FB25">
        <v>-0.13438209831612</v>
      </c>
      <c r="FC25">
        <v>-0.119694385699306</v>
      </c>
      <c r="FD25">
        <v>-8.5583902250628605E-2</v>
      </c>
      <c r="FE25">
        <v>-2.3683053353629999E-2</v>
      </c>
      <c r="FF25">
        <v>-0.15843109344142101</v>
      </c>
      <c r="FG25">
        <v>-0.16700349558710201</v>
      </c>
      <c r="FH25">
        <v>-5.4096162495959103E-2</v>
      </c>
      <c r="FI25">
        <v>-2.45703150271235E-2</v>
      </c>
      <c r="FJ25">
        <v>-3.3681808056611702E-2</v>
      </c>
      <c r="FK25">
        <v>-3.40327086752229E-2</v>
      </c>
      <c r="FL25">
        <v>-4.52625079973401E-2</v>
      </c>
      <c r="FM25">
        <v>8.2537235087304095E-2</v>
      </c>
      <c r="FN25">
        <v>-5.8571976666387998E-2</v>
      </c>
      <c r="FO25">
        <v>-0.105089783874989</v>
      </c>
      <c r="FP25">
        <v>0.16087924270993101</v>
      </c>
      <c r="FQ25">
        <v>3.6719765334345497E-2</v>
      </c>
      <c r="FR25">
        <v>-0.19522643523941199</v>
      </c>
      <c r="FS25">
        <v>0.27897056713951002</v>
      </c>
      <c r="FT25">
        <v>-0.19522643523941199</v>
      </c>
      <c r="FU25">
        <v>6.5938244142635799E-2</v>
      </c>
      <c r="FV25">
        <v>-7.0360314088880299E-2</v>
      </c>
      <c r="FW25">
        <v>9.7510341681834103E-2</v>
      </c>
      <c r="FX25">
        <v>6.3260215086508406E-2</v>
      </c>
      <c r="FY25">
        <v>-0.14832526197239099</v>
      </c>
      <c r="FZ25">
        <v>-0.15114417052952001</v>
      </c>
      <c r="GA25">
        <v>-0.19522643523941199</v>
      </c>
      <c r="GB25">
        <v>-9.7961704431714897E-2</v>
      </c>
      <c r="GC25">
        <v>-2.8630444929737101E-2</v>
      </c>
      <c r="GD25">
        <v>-0.12586512925689899</v>
      </c>
      <c r="GE25">
        <v>0.13950853990731399</v>
      </c>
      <c r="GF25">
        <v>-4.3069467936717197E-2</v>
      </c>
      <c r="GG25">
        <v>-9.45466906768649E-2</v>
      </c>
      <c r="GH25">
        <v>-0.19522643523941199</v>
      </c>
      <c r="GI25">
        <v>-4.7346529499062602E-2</v>
      </c>
      <c r="GJ25">
        <v>2.0264833095877101E-2</v>
      </c>
      <c r="GK25">
        <v>3.0489562892892699E-2</v>
      </c>
      <c r="GL25">
        <v>-5.3427398095732499E-2</v>
      </c>
      <c r="GM25">
        <v>4.9367072448992799E-2</v>
      </c>
      <c r="GN25">
        <v>-0.14377270132534301</v>
      </c>
      <c r="GO25">
        <v>-0.19522643523941199</v>
      </c>
      <c r="GP25">
        <v>-7.3879932107435899E-3</v>
      </c>
      <c r="GQ25">
        <v>-0.13710126160995201</v>
      </c>
      <c r="GR25">
        <v>-0.100091196510813</v>
      </c>
      <c r="GS25">
        <v>-0.11953585341018499</v>
      </c>
      <c r="GT25">
        <v>-0.115313506806797</v>
      </c>
      <c r="GU25">
        <v>-0.19522643523941199</v>
      </c>
    </row>
    <row r="26" spans="1:203" x14ac:dyDescent="0.25">
      <c r="A26" s="12" t="s">
        <v>267</v>
      </c>
      <c r="B26" t="s">
        <v>70</v>
      </c>
      <c r="C26">
        <v>0.118809291212565</v>
      </c>
      <c r="D26">
        <v>-0.16176600251204401</v>
      </c>
      <c r="E26">
        <v>-0.28986316285737401</v>
      </c>
      <c r="F26">
        <v>4.9295595357386202E-2</v>
      </c>
      <c r="G26">
        <v>6.5539790907974405E-2</v>
      </c>
      <c r="H26">
        <v>0.12074293046378499</v>
      </c>
      <c r="I26">
        <v>2.40600793417312E-2</v>
      </c>
      <c r="J26">
        <v>-7.8553900796148698E-2</v>
      </c>
      <c r="K26">
        <v>0.20224696371578499</v>
      </c>
      <c r="L26">
        <v>0</v>
      </c>
      <c r="M26">
        <v>0.14156699318702701</v>
      </c>
      <c r="N26">
        <v>-5.2919233951164803E-2</v>
      </c>
      <c r="O26">
        <v>6.2807458259586904E-2</v>
      </c>
      <c r="P26">
        <v>0.17617097797700401</v>
      </c>
      <c r="Q26">
        <v>-4.4542249304471097E-3</v>
      </c>
      <c r="R26">
        <v>0.238226981285041</v>
      </c>
      <c r="S26">
        <v>-7.8883472141608499E-2</v>
      </c>
      <c r="T26">
        <v>4.3879664088576603E-2</v>
      </c>
      <c r="U26">
        <v>6.4568677326409902E-3</v>
      </c>
      <c r="V26">
        <v>1.0652868562831701E-2</v>
      </c>
      <c r="W26">
        <v>-0.123746476191904</v>
      </c>
      <c r="X26">
        <v>9.5428704755439298E-2</v>
      </c>
      <c r="Y26">
        <v>0.44276922853261302</v>
      </c>
      <c r="Z26">
        <v>0.24228375787120901</v>
      </c>
      <c r="AA26">
        <v>0.20758165702391701</v>
      </c>
      <c r="AB26">
        <v>0.48645658769879102</v>
      </c>
      <c r="AC26">
        <v>-7.2427802692730303E-2</v>
      </c>
      <c r="AD26">
        <v>0.159998451953513</v>
      </c>
      <c r="AE26">
        <v>-1.4149306287790001E-2</v>
      </c>
      <c r="AF26">
        <v>2.0924445431857199E-2</v>
      </c>
      <c r="AG26">
        <v>-9.1627773453422601E-2</v>
      </c>
      <c r="AH26">
        <v>1.3298445569914901E-2</v>
      </c>
      <c r="AI26">
        <v>-0.127072789042561</v>
      </c>
      <c r="AJ26">
        <v>2.7034933843830201E-2</v>
      </c>
      <c r="AK26">
        <v>-0.120487193782882</v>
      </c>
      <c r="AL26">
        <v>6.1584254780588099E-2</v>
      </c>
      <c r="AM26">
        <v>-9.9258123283384597E-3</v>
      </c>
      <c r="AN26">
        <v>0.13542154317736299</v>
      </c>
      <c r="AO26">
        <v>6.9126687688806698E-2</v>
      </c>
      <c r="AP26">
        <v>-3.60913798426118E-2</v>
      </c>
      <c r="AQ26">
        <v>0.182260033835281</v>
      </c>
      <c r="AR26">
        <v>8.5871335679222699E-2</v>
      </c>
      <c r="AS26">
        <v>0.18658579626418001</v>
      </c>
      <c r="AT26">
        <v>2.1073523047883701E-2</v>
      </c>
      <c r="AU26">
        <v>0.51873994972504101</v>
      </c>
      <c r="AV26">
        <v>0.440191803843756</v>
      </c>
      <c r="AW26">
        <v>0.427231585974709</v>
      </c>
      <c r="AX26">
        <v>0.46580839941229801</v>
      </c>
      <c r="AY26">
        <v>0.30597766571492402</v>
      </c>
      <c r="AZ26">
        <v>9.7474826705363001E-3</v>
      </c>
      <c r="BA26">
        <v>0.223282813070661</v>
      </c>
      <c r="BB26">
        <v>-4.7121791368968102E-2</v>
      </c>
      <c r="BC26">
        <v>2.0575314367826399E-2</v>
      </c>
      <c r="BD26">
        <v>0.17419136900531501</v>
      </c>
      <c r="BE26">
        <v>4.3585818072493197E-2</v>
      </c>
      <c r="BF26">
        <v>0.32504876996579901</v>
      </c>
      <c r="BG26">
        <v>0.33741468758351301</v>
      </c>
      <c r="BH26">
        <v>0.498456661255333</v>
      </c>
      <c r="BI26">
        <v>0.42071693049030501</v>
      </c>
      <c r="BJ26">
        <v>0.59555110614691897</v>
      </c>
      <c r="BK26">
        <v>-2.9298150384176502E-2</v>
      </c>
      <c r="BL26">
        <v>5.9129929574234803E-2</v>
      </c>
      <c r="BM26">
        <v>1.7662792203646301E-2</v>
      </c>
      <c r="BN26">
        <v>0.15383521639831799</v>
      </c>
      <c r="BO26">
        <v>0.26888152793699299</v>
      </c>
      <c r="BP26">
        <v>0.29601306082531198</v>
      </c>
      <c r="BQ26">
        <v>0.244478596567863</v>
      </c>
      <c r="BR26">
        <v>0.28018488631708</v>
      </c>
      <c r="BS26">
        <v>0.43366145743268197</v>
      </c>
      <c r="BT26">
        <v>0.42432571816848902</v>
      </c>
      <c r="BU26">
        <v>0.56427538754944595</v>
      </c>
      <c r="BV26">
        <v>0.13313302855616399</v>
      </c>
      <c r="BW26">
        <v>-7.7059058364984598E-2</v>
      </c>
      <c r="BX26">
        <v>0.31676274824800699</v>
      </c>
      <c r="BY26">
        <v>0.10394477454376801</v>
      </c>
      <c r="BZ26">
        <v>0.68258687628540804</v>
      </c>
      <c r="CA26">
        <v>0.10020549574843</v>
      </c>
      <c r="CB26">
        <v>-0.12465903582339501</v>
      </c>
      <c r="CC26">
        <v>0.23876866208238301</v>
      </c>
      <c r="CD26">
        <v>0.32506524092235201</v>
      </c>
      <c r="CE26">
        <v>0.433169210284852</v>
      </c>
      <c r="CF26">
        <v>0.15038571285444</v>
      </c>
      <c r="CG26">
        <v>0.44312742175452902</v>
      </c>
      <c r="CH26">
        <v>0.35172938732930398</v>
      </c>
      <c r="CI26">
        <v>8.9005237823655298E-2</v>
      </c>
      <c r="CJ26">
        <v>1.0773059657825599E-2</v>
      </c>
      <c r="CK26">
        <v>0.21237266672190999</v>
      </c>
      <c r="CL26">
        <v>0.42222249184967198</v>
      </c>
      <c r="CM26">
        <v>0.17535156317063499</v>
      </c>
      <c r="CN26">
        <v>0.578133986272377</v>
      </c>
      <c r="CO26">
        <v>0.233684932836625</v>
      </c>
      <c r="CP26">
        <v>0.39945963227076597</v>
      </c>
      <c r="CQ26">
        <v>-6.4751274699760802E-2</v>
      </c>
      <c r="CR26">
        <v>7.8701328753706806E-3</v>
      </c>
      <c r="CS26">
        <v>0.30041498205856199</v>
      </c>
      <c r="CT26">
        <v>0.20660804573983901</v>
      </c>
      <c r="CU26">
        <v>0.29774054298786801</v>
      </c>
      <c r="CV26">
        <v>-0.17237233123346499</v>
      </c>
      <c r="CW26">
        <v>-0.27592997547614201</v>
      </c>
      <c r="CX26">
        <v>-0.20900614643665699</v>
      </c>
      <c r="CY26">
        <v>-0.23821418361254501</v>
      </c>
      <c r="CZ26">
        <v>-0.289818552586044</v>
      </c>
      <c r="DA26">
        <v>-0.30166366300800501</v>
      </c>
      <c r="DB26">
        <v>-0.25902242272404302</v>
      </c>
      <c r="DC26">
        <v>-0.18679676801047199</v>
      </c>
      <c r="DD26">
        <v>-0.24937074582083399</v>
      </c>
      <c r="DE26">
        <v>-0.17739694453931801</v>
      </c>
      <c r="DF26">
        <v>-0.17906134786259501</v>
      </c>
      <c r="DG26">
        <v>-0.230364022280762</v>
      </c>
      <c r="DH26">
        <v>-0.11492980661284601</v>
      </c>
      <c r="DI26">
        <v>-0.23858580838920701</v>
      </c>
      <c r="DJ26">
        <v>-0.31545503789357099</v>
      </c>
      <c r="DK26">
        <v>-5.2110572288969502E-2</v>
      </c>
      <c r="DL26">
        <v>-0.11447473578839699</v>
      </c>
      <c r="DM26">
        <v>-0.324758597097418</v>
      </c>
      <c r="DN26">
        <v>-0.26602840562444102</v>
      </c>
      <c r="DO26">
        <v>-0.25784187816371701</v>
      </c>
      <c r="DP26">
        <v>-0.324392099117914</v>
      </c>
      <c r="DQ26">
        <v>-0.328021931385099</v>
      </c>
      <c r="DR26">
        <v>-0.35687828366895802</v>
      </c>
      <c r="DS26">
        <v>-0.28948449425055101</v>
      </c>
      <c r="DT26">
        <v>-0.33249264020088198</v>
      </c>
      <c r="DU26">
        <v>1.9575081939728501E-2</v>
      </c>
      <c r="DV26">
        <v>0.116540852917511</v>
      </c>
      <c r="DW26">
        <v>0.144938582396171</v>
      </c>
      <c r="DX26">
        <v>-5.9336115880746299E-4</v>
      </c>
      <c r="DY26">
        <v>-0.207434623886044</v>
      </c>
      <c r="DZ26">
        <v>-0.22224349025777901</v>
      </c>
      <c r="EA26">
        <v>-0.119697927872587</v>
      </c>
      <c r="EB26">
        <v>0.23572315210474101</v>
      </c>
      <c r="EC26">
        <v>0.33982859676775901</v>
      </c>
      <c r="ED26">
        <v>-0.171777939828686</v>
      </c>
      <c r="EE26">
        <v>-0.19963003586133299</v>
      </c>
      <c r="EF26">
        <v>1.44702474769886E-2</v>
      </c>
      <c r="EG26">
        <v>-0.14776298684522299</v>
      </c>
      <c r="EH26">
        <v>-9.5486141770537297E-2</v>
      </c>
      <c r="EI26">
        <v>-0.28284741748810699</v>
      </c>
      <c r="EJ26">
        <v>-0.343551923114914</v>
      </c>
      <c r="EK26">
        <v>-0.35687828366895802</v>
      </c>
      <c r="EL26">
        <v>-0.27441138679720301</v>
      </c>
      <c r="EM26">
        <v>-0.305598360969909</v>
      </c>
      <c r="EN26">
        <v>-0.34254465269969803</v>
      </c>
      <c r="EO26">
        <v>-0.32154878192227099</v>
      </c>
      <c r="EP26">
        <v>-0.30540480514726798</v>
      </c>
      <c r="EQ26">
        <v>-0.35687828366895802</v>
      </c>
      <c r="ER26">
        <v>-0.32732612247415199</v>
      </c>
      <c r="ES26">
        <v>-0.32540749293049998</v>
      </c>
      <c r="ET26">
        <v>-0.24396237865256001</v>
      </c>
      <c r="EU26">
        <v>-0.35687828366895802</v>
      </c>
      <c r="EV26">
        <v>-0.30580172856292598</v>
      </c>
      <c r="EW26">
        <v>-0.26973624961287102</v>
      </c>
      <c r="EX26">
        <v>-0.28421452328121999</v>
      </c>
      <c r="EY26">
        <v>-0.197689756132442</v>
      </c>
      <c r="EZ26">
        <v>-0.120343173578997</v>
      </c>
      <c r="FA26">
        <v>-0.15445671779394199</v>
      </c>
      <c r="FB26">
        <v>-0.220707150921197</v>
      </c>
      <c r="FC26">
        <v>-0.29526426523303301</v>
      </c>
      <c r="FD26">
        <v>-0.30834544951035298</v>
      </c>
      <c r="FE26">
        <v>-0.29140121883049602</v>
      </c>
      <c r="FF26">
        <v>-0.33231241263436301</v>
      </c>
      <c r="FG26">
        <v>-0.35687828366895802</v>
      </c>
      <c r="FH26">
        <v>-3.3669908828455802E-2</v>
      </c>
      <c r="FI26">
        <v>-0.12538882155459899</v>
      </c>
      <c r="FJ26">
        <v>-6.4166258518334698E-2</v>
      </c>
      <c r="FK26">
        <v>-7.9957675532901007E-2</v>
      </c>
      <c r="FL26">
        <v>-0.22843698599173501</v>
      </c>
      <c r="FM26">
        <v>-0.28744307095092198</v>
      </c>
      <c r="FN26">
        <v>-0.220223825095933</v>
      </c>
      <c r="FO26">
        <v>-0.13932830588137801</v>
      </c>
      <c r="FP26">
        <v>-0.22065264846487101</v>
      </c>
      <c r="FQ26">
        <v>-0.156291785249589</v>
      </c>
      <c r="FR26">
        <v>-0.25988242659771998</v>
      </c>
      <c r="FS26">
        <v>-0.23364793768383799</v>
      </c>
      <c r="FT26">
        <v>0.25244005319525098</v>
      </c>
      <c r="FU26">
        <v>5.3743006823815498E-2</v>
      </c>
      <c r="FV26">
        <v>6.6709665430509005E-2</v>
      </c>
      <c r="FW26">
        <v>0.10066645443014501</v>
      </c>
      <c r="FX26">
        <v>0.287374568667423</v>
      </c>
      <c r="FY26">
        <v>3.1414689770720497E-2</v>
      </c>
      <c r="FZ26">
        <v>6.6283321125658698E-2</v>
      </c>
      <c r="GA26">
        <v>-0.26349971059669902</v>
      </c>
      <c r="GB26">
        <v>-8.1164565811601599E-2</v>
      </c>
      <c r="GC26">
        <v>8.2707577860156797E-2</v>
      </c>
      <c r="GD26">
        <v>-0.28751697768644502</v>
      </c>
      <c r="GE26">
        <v>5.1351100373082499E-2</v>
      </c>
      <c r="GF26">
        <v>2.2492133137797601E-2</v>
      </c>
      <c r="GG26">
        <v>1.2822460198618499E-2</v>
      </c>
      <c r="GH26">
        <v>-0.12751857158364199</v>
      </c>
      <c r="GI26">
        <v>7.1791141432205205E-2</v>
      </c>
      <c r="GJ26">
        <v>-2.3322774856404702E-2</v>
      </c>
      <c r="GK26">
        <v>-0.35687828366895802</v>
      </c>
      <c r="GL26">
        <v>9.3572012587998396E-2</v>
      </c>
      <c r="GM26">
        <v>-6.8687812389715303E-2</v>
      </c>
      <c r="GN26">
        <v>6.5170096411997294E-2</v>
      </c>
      <c r="GO26">
        <v>0.119559943228846</v>
      </c>
      <c r="GP26">
        <v>-0.35687828366895802</v>
      </c>
      <c r="GQ26">
        <v>-0.242419809547233</v>
      </c>
      <c r="GR26">
        <v>-8.7264692561581494E-2</v>
      </c>
      <c r="GS26">
        <v>0.16852444213849899</v>
      </c>
      <c r="GT26">
        <v>-5.8646574196540603E-2</v>
      </c>
      <c r="GU26">
        <v>0.38547426400417301</v>
      </c>
    </row>
    <row r="27" spans="1:203" x14ac:dyDescent="0.25">
      <c r="A27" s="12" t="s">
        <v>267</v>
      </c>
      <c r="B27" t="s">
        <v>48</v>
      </c>
      <c r="C27">
        <v>-8.6518752290286691E-3</v>
      </c>
      <c r="D27">
        <v>1.27365987860775E-2</v>
      </c>
      <c r="E27">
        <v>-3.7917164405584798E-2</v>
      </c>
      <c r="F27">
        <v>-1.7610217945995401E-2</v>
      </c>
      <c r="G27">
        <v>-9.3914121733556805E-3</v>
      </c>
      <c r="H27">
        <v>-9.9926714124556199E-3</v>
      </c>
      <c r="I27">
        <v>3.00086592825228E-2</v>
      </c>
      <c r="J27">
        <v>-2.4046661000161899E-2</v>
      </c>
      <c r="K27">
        <v>-2.2014030744274798E-2</v>
      </c>
      <c r="L27">
        <v>5.5327253737638103E-3</v>
      </c>
      <c r="M27">
        <v>-1.46796790989652E-2</v>
      </c>
      <c r="N27">
        <v>-3.7917164405584798E-2</v>
      </c>
      <c r="O27">
        <v>4.3146083271194097E-2</v>
      </c>
      <c r="P27">
        <v>3.24055185410883E-2</v>
      </c>
      <c r="Q27">
        <v>2.1807146411689401E-2</v>
      </c>
      <c r="R27">
        <v>-5.9843206638533904E-4</v>
      </c>
      <c r="S27">
        <v>-1.5643257353253101E-2</v>
      </c>
      <c r="T27">
        <v>5.2442849618685401E-2</v>
      </c>
      <c r="U27">
        <v>1.47087699502698E-2</v>
      </c>
      <c r="V27">
        <v>9.4640025811351704E-3</v>
      </c>
      <c r="W27">
        <v>-2.40211171735344E-2</v>
      </c>
      <c r="X27">
        <v>1.35799826117394E-2</v>
      </c>
      <c r="Y27">
        <v>2.47475260006806E-2</v>
      </c>
      <c r="Z27">
        <v>0.102394968143072</v>
      </c>
      <c r="AA27">
        <v>3.2037828596573802E-2</v>
      </c>
      <c r="AB27">
        <v>3.4293657864855102E-2</v>
      </c>
      <c r="AC27">
        <v>3.6889932215874201E-2</v>
      </c>
      <c r="AD27">
        <v>-3.7917164405584798E-2</v>
      </c>
      <c r="AE27">
        <v>2.7475800981149899E-2</v>
      </c>
      <c r="AF27">
        <v>-3.7917164405584798E-2</v>
      </c>
      <c r="AG27">
        <v>-1.50047690656854E-3</v>
      </c>
      <c r="AH27">
        <v>-7.4704060896885298E-3</v>
      </c>
      <c r="AI27">
        <v>-3.38544803190433E-3</v>
      </c>
      <c r="AJ27">
        <v>-9.7178095346534005E-3</v>
      </c>
      <c r="AK27">
        <v>5.3145681203061103E-2</v>
      </c>
      <c r="AL27">
        <v>1.12673309401983E-2</v>
      </c>
      <c r="AM27">
        <v>1.4445691609637301E-2</v>
      </c>
      <c r="AN27">
        <v>-7.8677475909823703E-3</v>
      </c>
      <c r="AO27">
        <v>2.26425560561423E-2</v>
      </c>
      <c r="AP27">
        <v>-3.7917164405584798E-2</v>
      </c>
      <c r="AQ27">
        <v>4.3322290825696601E-2</v>
      </c>
      <c r="AR27">
        <v>4.9980801854992297E-2</v>
      </c>
      <c r="AS27">
        <v>-1.52785550613897E-3</v>
      </c>
      <c r="AT27">
        <v>3.12945313140144E-3</v>
      </c>
      <c r="AU27">
        <v>8.0222619180679203E-2</v>
      </c>
      <c r="AV27">
        <v>0.15868442289301701</v>
      </c>
      <c r="AW27">
        <v>0.18534126513145699</v>
      </c>
      <c r="AX27">
        <v>0.254082888548404</v>
      </c>
      <c r="AY27">
        <v>8.5499378604967396E-2</v>
      </c>
      <c r="AZ27">
        <v>2.2905927034052798E-2</v>
      </c>
      <c r="BA27">
        <v>1.97818282051638E-2</v>
      </c>
      <c r="BB27">
        <v>-3.7917164405584798E-2</v>
      </c>
      <c r="BC27">
        <v>2.4259416508698999E-2</v>
      </c>
      <c r="BD27">
        <v>1.32560728747078E-2</v>
      </c>
      <c r="BE27">
        <v>-1.98782687256513E-2</v>
      </c>
      <c r="BF27">
        <v>7.2476595987938805E-2</v>
      </c>
      <c r="BG27">
        <v>8.2544728379006102E-2</v>
      </c>
      <c r="BH27">
        <v>2.3738383817119301E-2</v>
      </c>
      <c r="BI27">
        <v>4.3779249455840101E-2</v>
      </c>
      <c r="BJ27">
        <v>0.103294339179253</v>
      </c>
      <c r="BK27">
        <v>2.22417509344951E-3</v>
      </c>
      <c r="BL27">
        <v>-1.2574124206036499E-2</v>
      </c>
      <c r="BM27">
        <v>-3.7917164405584798E-2</v>
      </c>
      <c r="BN27">
        <v>2.7962744925308699E-2</v>
      </c>
      <c r="BO27">
        <v>-7.38430124483097E-3</v>
      </c>
      <c r="BP27">
        <v>0</v>
      </c>
      <c r="BQ27">
        <v>3.8010006288444502E-3</v>
      </c>
      <c r="BR27">
        <v>0.100406222691782</v>
      </c>
      <c r="BS27">
        <v>8.9985147402378493E-3</v>
      </c>
      <c r="BT27">
        <v>4.3711899504789702E-2</v>
      </c>
      <c r="BU27">
        <v>-3.7917164405584798E-2</v>
      </c>
      <c r="BV27">
        <v>-1.6302958630009402E-2</v>
      </c>
      <c r="BW27">
        <v>3.5293787957749498E-2</v>
      </c>
      <c r="BX27">
        <v>2.7923211426813799E-2</v>
      </c>
      <c r="BY27">
        <v>4.1503868928482297E-2</v>
      </c>
      <c r="BZ27">
        <v>3.8843609071475202E-3</v>
      </c>
      <c r="CA27">
        <v>6.9226358921858503E-3</v>
      </c>
      <c r="CB27">
        <v>-3.7917164405584798E-2</v>
      </c>
      <c r="CC27">
        <v>-5.75043291798287E-3</v>
      </c>
      <c r="CD27">
        <v>1.0223191943207701E-2</v>
      </c>
      <c r="CE27">
        <v>3.1456503912213598E-3</v>
      </c>
      <c r="CF27">
        <v>-3.7917164405584798E-2</v>
      </c>
      <c r="CG27">
        <v>5.5207992119944101E-2</v>
      </c>
      <c r="CH27">
        <v>-2.43396406499258E-2</v>
      </c>
      <c r="CI27">
        <v>-3.7917164405584798E-2</v>
      </c>
      <c r="CJ27">
        <v>-1.32978608321427E-3</v>
      </c>
      <c r="CK27">
        <v>3.1379551608160601E-4</v>
      </c>
      <c r="CL27">
        <v>3.3655376890645299E-3</v>
      </c>
      <c r="CM27">
        <v>-5.87535216165794E-3</v>
      </c>
      <c r="CN27">
        <v>4.5748269871264499E-2</v>
      </c>
      <c r="CO27">
        <v>-5.4963843247025799E-3</v>
      </c>
      <c r="CP27">
        <v>2.75893580948323E-2</v>
      </c>
      <c r="CQ27">
        <v>1.8477749718397302E-2</v>
      </c>
      <c r="CR27">
        <v>1.95330365339604E-2</v>
      </c>
      <c r="CS27">
        <v>-2.2763306346308201E-2</v>
      </c>
      <c r="CT27">
        <v>2.4096891968239699E-3</v>
      </c>
      <c r="CU27">
        <v>-3.1328449208412899E-2</v>
      </c>
      <c r="CV27">
        <v>2.5725453779690901E-2</v>
      </c>
      <c r="CW27">
        <v>-2.4305806415003999E-2</v>
      </c>
      <c r="CX27">
        <v>-1.6221535300068399E-2</v>
      </c>
      <c r="CY27">
        <v>-1.3501923050950101E-2</v>
      </c>
      <c r="CZ27">
        <v>-2.1088213208000799E-2</v>
      </c>
      <c r="DA27">
        <v>-1.9457031411593901E-2</v>
      </c>
      <c r="DB27">
        <v>-1.9392030634486301E-2</v>
      </c>
      <c r="DC27">
        <v>-2.9573797666173102E-2</v>
      </c>
      <c r="DD27">
        <v>1.1390940046884701E-3</v>
      </c>
      <c r="DE27">
        <v>1.8884685002065998E-2</v>
      </c>
      <c r="DF27">
        <v>-1.2545780833148799E-2</v>
      </c>
      <c r="DG27">
        <v>-3.7917164405584798E-2</v>
      </c>
      <c r="DH27">
        <v>-3.4797191561701901E-3</v>
      </c>
      <c r="DI27">
        <v>-2.4571898695957401E-2</v>
      </c>
      <c r="DJ27">
        <v>3.50608136980152E-3</v>
      </c>
      <c r="DK27">
        <v>-1.0670467477282401E-2</v>
      </c>
      <c r="DL27">
        <v>-3.7917164405584798E-2</v>
      </c>
      <c r="DM27">
        <v>-5.7974778340449803E-3</v>
      </c>
      <c r="DN27">
        <v>-5.3114731400136003E-3</v>
      </c>
      <c r="DO27">
        <v>-9.2503104148122205E-3</v>
      </c>
      <c r="DP27">
        <v>-1.30845824923725E-2</v>
      </c>
      <c r="DQ27">
        <v>-9.0608121217263804E-3</v>
      </c>
      <c r="DR27">
        <v>-3.7917164405584798E-2</v>
      </c>
      <c r="DS27">
        <v>7.4737387385165604E-4</v>
      </c>
      <c r="DT27">
        <v>-1.35315209375091E-2</v>
      </c>
      <c r="DU27">
        <v>2.76011006582789E-2</v>
      </c>
      <c r="DV27">
        <v>3.08175488543302E-2</v>
      </c>
      <c r="DW27">
        <v>-1.4548583923635301E-2</v>
      </c>
      <c r="DX27">
        <v>-3.7917164405584798E-2</v>
      </c>
      <c r="DY27">
        <v>3.49275409594159E-3</v>
      </c>
      <c r="DZ27">
        <v>9.6717629005593803E-2</v>
      </c>
      <c r="EA27">
        <v>9.4611562188684301E-2</v>
      </c>
      <c r="EB27">
        <v>3.08965466605997E-2</v>
      </c>
      <c r="EC27">
        <v>0.12817972760999199</v>
      </c>
      <c r="ED27">
        <v>-5.0391703740370799E-3</v>
      </c>
      <c r="EE27">
        <v>-1.9471341121440101E-2</v>
      </c>
      <c r="EF27">
        <v>3.84728269863696E-3</v>
      </c>
      <c r="EG27">
        <v>9.8577957776070698E-3</v>
      </c>
      <c r="EH27">
        <v>-7.4571591569993099E-3</v>
      </c>
      <c r="EI27">
        <v>3.6113701775266099E-2</v>
      </c>
      <c r="EJ27">
        <v>-2.4590803851541099E-2</v>
      </c>
      <c r="EK27">
        <v>-3.7917164405584798E-2</v>
      </c>
      <c r="EL27">
        <v>-8.0209879174433993E-3</v>
      </c>
      <c r="EM27">
        <v>-4.2705476816423697E-3</v>
      </c>
      <c r="EN27">
        <v>1.8990167334555001E-2</v>
      </c>
      <c r="EO27">
        <v>3.0531599313651501E-3</v>
      </c>
      <c r="EP27">
        <v>1.3556314116104799E-2</v>
      </c>
      <c r="EQ27">
        <v>2.81476287813628E-3</v>
      </c>
      <c r="ER27">
        <v>2.0843409060265598E-2</v>
      </c>
      <c r="ES27">
        <v>2.4479282611701E-2</v>
      </c>
      <c r="ET27">
        <v>1.9425454164872999E-2</v>
      </c>
      <c r="EU27">
        <v>-3.7917164405584798E-2</v>
      </c>
      <c r="EV27">
        <v>1.3159390700446401E-2</v>
      </c>
      <c r="EW27">
        <v>-3.7917164405584798E-2</v>
      </c>
      <c r="EX27">
        <v>1.4208074373760701E-2</v>
      </c>
      <c r="EY27">
        <v>-3.7917164405584798E-2</v>
      </c>
      <c r="EZ27">
        <v>-1.12725559432885E-3</v>
      </c>
      <c r="FA27">
        <v>-1.02878282475777E-2</v>
      </c>
      <c r="FB27">
        <v>5.5714742291044103E-2</v>
      </c>
      <c r="FC27">
        <v>-3.7917164405584798E-2</v>
      </c>
      <c r="FD27">
        <v>-6.5741312834642204E-3</v>
      </c>
      <c r="FE27">
        <v>-3.7917164405584798E-2</v>
      </c>
      <c r="FF27">
        <v>-2.5616271446845602E-2</v>
      </c>
      <c r="FG27">
        <v>-3.7917164405584798E-2</v>
      </c>
      <c r="FH27">
        <v>-1.69423475032956E-3</v>
      </c>
      <c r="FI27">
        <v>-3.7917164405584798E-2</v>
      </c>
      <c r="FJ27">
        <v>-3.7917164405584798E-2</v>
      </c>
      <c r="FK27">
        <v>-3.7917164405584798E-2</v>
      </c>
      <c r="FL27">
        <v>-1.9555507867390898E-2</v>
      </c>
      <c r="FM27">
        <v>8.6178519862417508E-3</v>
      </c>
      <c r="FN27">
        <v>-1.6645931346357602E-2</v>
      </c>
      <c r="FO27">
        <v>-3.7917164405584798E-2</v>
      </c>
      <c r="FP27">
        <v>3.1569366177616999E-2</v>
      </c>
      <c r="FQ27">
        <v>-3.7917164405584798E-2</v>
      </c>
      <c r="FR27">
        <v>-3.7917164405584798E-2</v>
      </c>
      <c r="FS27">
        <v>5.5190099579244402E-2</v>
      </c>
      <c r="FT27">
        <v>3.3950058416556399E-2</v>
      </c>
      <c r="FU27">
        <v>9.7781679551474807E-2</v>
      </c>
      <c r="FV27">
        <v>5.6433523365536802E-2</v>
      </c>
      <c r="FW27">
        <v>-3.7917164405584798E-2</v>
      </c>
      <c r="FX27">
        <v>0.159467215689828</v>
      </c>
      <c r="FY27">
        <v>-3.7917164405584798E-2</v>
      </c>
      <c r="FZ27">
        <v>4.9266069431505098E-2</v>
      </c>
      <c r="GA27">
        <v>-3.7917164405584798E-2</v>
      </c>
      <c r="GB27">
        <v>0.15104072016733</v>
      </c>
      <c r="GC27">
        <v>7.4930606659992294E-2</v>
      </c>
      <c r="GD27">
        <v>-3.7917164405584798E-2</v>
      </c>
      <c r="GE27">
        <v>-3.7917164405584798E-2</v>
      </c>
      <c r="GF27">
        <v>-3.7917164405584798E-2</v>
      </c>
      <c r="GG27">
        <v>-3.7917164405584798E-2</v>
      </c>
      <c r="GH27">
        <v>-3.7917164405584798E-2</v>
      </c>
      <c r="GI27">
        <v>-3.7917164405584798E-2</v>
      </c>
      <c r="GJ27">
        <v>7.2917950423132E-3</v>
      </c>
      <c r="GK27">
        <v>-3.7917164405584798E-2</v>
      </c>
      <c r="GL27">
        <v>0.103881872738095</v>
      </c>
      <c r="GM27">
        <v>0.20667634328282</v>
      </c>
      <c r="GN27">
        <v>0.111955247876075</v>
      </c>
      <c r="GO27">
        <v>-3.7917164405584798E-2</v>
      </c>
      <c r="GP27">
        <v>-3.7917164405584798E-2</v>
      </c>
      <c r="GQ27">
        <v>0.108712267500226</v>
      </c>
      <c r="GR27">
        <v>-3.7917164405584798E-2</v>
      </c>
      <c r="GS27">
        <v>3.7773417423642597E-2</v>
      </c>
      <c r="GT27">
        <v>-3.7917164405584798E-2</v>
      </c>
      <c r="GU27">
        <v>9.0820220636996796E-2</v>
      </c>
    </row>
    <row r="28" spans="1:203" x14ac:dyDescent="0.25">
      <c r="A28" s="12" t="s">
        <v>267</v>
      </c>
      <c r="B28" t="s">
        <v>64</v>
      </c>
      <c r="C28">
        <v>5.2082699332197203E-2</v>
      </c>
      <c r="D28">
        <v>1.6131876821616601E-2</v>
      </c>
      <c r="E28">
        <v>-0.127771599102773</v>
      </c>
      <c r="F28">
        <v>-0.118987504033828</v>
      </c>
      <c r="G28">
        <v>3.14012162589654E-2</v>
      </c>
      <c r="H28">
        <v>0.280844135005832</v>
      </c>
      <c r="I28">
        <v>0.29849381531136099</v>
      </c>
      <c r="J28">
        <v>-5.4743490459259497E-2</v>
      </c>
      <c r="K28">
        <v>7.3234426919397702E-2</v>
      </c>
      <c r="L28">
        <v>6.5630024888017294E-2</v>
      </c>
      <c r="M28">
        <v>-0.138346730403381</v>
      </c>
      <c r="N28">
        <v>0.11401586430336</v>
      </c>
      <c r="O28">
        <v>5.6700915563101403E-2</v>
      </c>
      <c r="P28">
        <v>1.2045830976813599E-3</v>
      </c>
      <c r="Q28">
        <v>0.211380802909444</v>
      </c>
      <c r="R28">
        <v>-6.3683561860798099E-3</v>
      </c>
      <c r="S28">
        <v>-0.12273070047722801</v>
      </c>
      <c r="T28">
        <v>0.173189607776604</v>
      </c>
      <c r="U28">
        <v>-8.3694062631594096E-2</v>
      </c>
      <c r="V28">
        <v>0.232795608315709</v>
      </c>
      <c r="W28">
        <v>0.18551203599015101</v>
      </c>
      <c r="X28">
        <v>1.83541612471216E-3</v>
      </c>
      <c r="Y28">
        <v>0.16360339478055999</v>
      </c>
      <c r="Z28">
        <v>0.10457784206382099</v>
      </c>
      <c r="AA28">
        <v>0.24106256068985399</v>
      </c>
      <c r="AB28">
        <v>3.18317636006284E-2</v>
      </c>
      <c r="AC28">
        <v>-0.282555148048455</v>
      </c>
      <c r="AD28">
        <v>-0.40407711876608299</v>
      </c>
      <c r="AE28">
        <v>-0.187692500218304</v>
      </c>
      <c r="AF28">
        <v>-1.5346034018485801E-3</v>
      </c>
      <c r="AG28">
        <v>-1.1708092404623401E-2</v>
      </c>
      <c r="AH28">
        <v>-4.23600874241487E-2</v>
      </c>
      <c r="AI28">
        <v>-0.11345051771393901</v>
      </c>
      <c r="AJ28">
        <v>-0.238075074634513</v>
      </c>
      <c r="AK28">
        <v>-5.5423933660710398E-2</v>
      </c>
      <c r="AL28">
        <v>-5.4627763797205603E-2</v>
      </c>
      <c r="AM28">
        <v>-0.202778205630393</v>
      </c>
      <c r="AN28">
        <v>-0.14682959623621999</v>
      </c>
      <c r="AO28">
        <v>-0.20195334513588301</v>
      </c>
      <c r="AP28">
        <v>-2.32704026424045E-2</v>
      </c>
      <c r="AQ28">
        <v>-1.9894238991649299E-2</v>
      </c>
      <c r="AR28">
        <v>0.30011466344166499</v>
      </c>
      <c r="AS28">
        <v>-5.1533357366060698E-2</v>
      </c>
      <c r="AT28">
        <v>-5.57072133338175E-2</v>
      </c>
      <c r="AU28">
        <v>4.7056376019764298E-2</v>
      </c>
      <c r="AV28">
        <v>-0.25297271482137401</v>
      </c>
      <c r="AW28">
        <v>-0.16961237062825399</v>
      </c>
      <c r="AX28">
        <v>-0.101768297835636</v>
      </c>
      <c r="AY28">
        <v>-1.4509603064575501E-2</v>
      </c>
      <c r="AZ28">
        <v>-7.1835974293097904E-2</v>
      </c>
      <c r="BA28">
        <v>7.15288850445331E-2</v>
      </c>
      <c r="BB28">
        <v>-0.40960888795551098</v>
      </c>
      <c r="BC28">
        <v>-0.235169039222002</v>
      </c>
      <c r="BD28">
        <v>-0.17984738497636901</v>
      </c>
      <c r="BE28">
        <v>-8.8659111582901698E-2</v>
      </c>
      <c r="BF28">
        <v>0.85304231434837796</v>
      </c>
      <c r="BG28">
        <v>0.83514533303798999</v>
      </c>
      <c r="BH28">
        <v>0.75790484196555896</v>
      </c>
      <c r="BI28">
        <v>0.53086301658455304</v>
      </c>
      <c r="BJ28">
        <v>0.79731959603539504</v>
      </c>
      <c r="BK28">
        <v>-0.13688830981354599</v>
      </c>
      <c r="BL28">
        <v>-0.13234498884034099</v>
      </c>
      <c r="BM28">
        <v>-3.0656891134177602E-2</v>
      </c>
      <c r="BN28">
        <v>0.14035898931207899</v>
      </c>
      <c r="BO28">
        <v>0.12509940842366099</v>
      </c>
      <c r="BP28">
        <v>0.11801106516645</v>
      </c>
      <c r="BQ28">
        <v>0.20506050697838099</v>
      </c>
      <c r="BR28">
        <v>0.55741603717280597</v>
      </c>
      <c r="BS28">
        <v>0.32250382033782099</v>
      </c>
      <c r="BT28">
        <v>0.23884723732973601</v>
      </c>
      <c r="BU28">
        <v>-6.1503401594249704E-3</v>
      </c>
      <c r="BV28">
        <v>-3.2083169123936002E-2</v>
      </c>
      <c r="BW28">
        <v>8.1088304432602898E-2</v>
      </c>
      <c r="BX28">
        <v>5.85393644080556E-2</v>
      </c>
      <c r="BY28">
        <v>0.123124303857542</v>
      </c>
      <c r="BZ28">
        <v>0.178885924503943</v>
      </c>
      <c r="CA28">
        <v>-9.5491930662137306E-2</v>
      </c>
      <c r="CB28">
        <v>-5.9347978716138998E-2</v>
      </c>
      <c r="CC28">
        <v>0.15338651466251199</v>
      </c>
      <c r="CD28">
        <v>1.96885566326979E-2</v>
      </c>
      <c r="CE28">
        <v>-8.8056600197507408E-3</v>
      </c>
      <c r="CF28">
        <v>0.36238953898005699</v>
      </c>
      <c r="CG28">
        <v>0.13295391323450101</v>
      </c>
      <c r="CH28">
        <v>0.20505395822887601</v>
      </c>
      <c r="CI28">
        <v>6.6725358466549797E-2</v>
      </c>
      <c r="CJ28">
        <v>-9.7786991000274506E-2</v>
      </c>
      <c r="CK28">
        <v>0.38177957149331598</v>
      </c>
      <c r="CL28">
        <v>3.7857162405359301E-2</v>
      </c>
      <c r="CM28">
        <v>0.46836521761744698</v>
      </c>
      <c r="CN28">
        <v>0.174615387784641</v>
      </c>
      <c r="CO28">
        <v>3.6285236303907398E-2</v>
      </c>
      <c r="CP28">
        <v>-5.1393073824362999E-2</v>
      </c>
      <c r="CQ28">
        <v>5.7286911396157297E-2</v>
      </c>
      <c r="CR28">
        <v>8.7132729852537297E-2</v>
      </c>
      <c r="CS28">
        <v>0.159464270936054</v>
      </c>
      <c r="CT28">
        <v>0.27599929025377601</v>
      </c>
      <c r="CU28">
        <v>7.6371462237679003E-2</v>
      </c>
      <c r="CV28">
        <v>-0.25146809312699903</v>
      </c>
      <c r="CW28">
        <v>-1.46091865647594E-2</v>
      </c>
      <c r="CX28">
        <v>-0.125903455678608</v>
      </c>
      <c r="CY28">
        <v>-0.11607555988641401</v>
      </c>
      <c r="CZ28">
        <v>-5.5033763399323497E-2</v>
      </c>
      <c r="DA28">
        <v>9.9194835122917296E-2</v>
      </c>
      <c r="DB28">
        <v>9.6346021602538301E-2</v>
      </c>
      <c r="DC28">
        <v>-6.6524024075902702E-2</v>
      </c>
      <c r="DD28">
        <v>4.3741550442018301E-2</v>
      </c>
      <c r="DE28">
        <v>0.13937381938436</v>
      </c>
      <c r="DF28">
        <v>7.5415518182364499E-2</v>
      </c>
      <c r="DG28">
        <v>-0.120590714110482</v>
      </c>
      <c r="DH28">
        <v>-0.117180317704443</v>
      </c>
      <c r="DI28">
        <v>-0.187238473060546</v>
      </c>
      <c r="DJ28">
        <v>-7.6788305710625299E-3</v>
      </c>
      <c r="DK28">
        <v>0.13516085083615501</v>
      </c>
      <c r="DL28">
        <v>-0.249839063968297</v>
      </c>
      <c r="DM28">
        <v>3.1163126763733102E-3</v>
      </c>
      <c r="DN28">
        <v>-0.14615309889859299</v>
      </c>
      <c r="DO28">
        <v>7.50634481992489E-2</v>
      </c>
      <c r="DP28">
        <v>-0.17279632084759999</v>
      </c>
      <c r="DQ28">
        <v>-0.18686869445428</v>
      </c>
      <c r="DR28">
        <v>-0.247799635000165</v>
      </c>
      <c r="DS28">
        <v>-0.25367692291257399</v>
      </c>
      <c r="DT28">
        <v>-0.13917459368818</v>
      </c>
      <c r="DU28">
        <v>0.272586323382564</v>
      </c>
      <c r="DV28">
        <v>0.124522059768698</v>
      </c>
      <c r="DW28">
        <v>0.24088219172012301</v>
      </c>
      <c r="DX28">
        <v>0.493273578489132</v>
      </c>
      <c r="DY28">
        <v>-0.16087226102416799</v>
      </c>
      <c r="DZ28">
        <v>-0.626523093985068</v>
      </c>
      <c r="EA28">
        <v>-0.42462346156937403</v>
      </c>
      <c r="EB28">
        <v>0.23883349685934999</v>
      </c>
      <c r="EC28">
        <v>0.41854037027931101</v>
      </c>
      <c r="ED28">
        <v>-6.0253503523856403E-2</v>
      </c>
      <c r="EE28">
        <v>9.8124799910526403E-2</v>
      </c>
      <c r="EF28">
        <v>9.0347854348417606E-2</v>
      </c>
      <c r="EG28">
        <v>6.7936753968855401E-2</v>
      </c>
      <c r="EH28">
        <v>-1.0041086474425E-2</v>
      </c>
      <c r="EI28">
        <v>-0.54107336163262398</v>
      </c>
      <c r="EJ28">
        <v>-0.416038050433512</v>
      </c>
      <c r="EK28">
        <v>-0.224086031773406</v>
      </c>
      <c r="EL28">
        <v>-0.40998245759625701</v>
      </c>
      <c r="EM28">
        <v>-0.27513368235031499</v>
      </c>
      <c r="EN28">
        <v>-0.54470654392219198</v>
      </c>
      <c r="EO28">
        <v>-0.55449266493889104</v>
      </c>
      <c r="EP28">
        <v>-0.85361182176636596</v>
      </c>
      <c r="EQ28">
        <v>-0.68120030151868405</v>
      </c>
      <c r="ER28">
        <v>-0.84731264324823097</v>
      </c>
      <c r="ES28">
        <v>-0.57124847202903595</v>
      </c>
      <c r="ET28">
        <v>-0.79014062711174404</v>
      </c>
      <c r="EU28">
        <v>-0.42643414840485899</v>
      </c>
      <c r="EV28">
        <v>-0.71163189193748</v>
      </c>
      <c r="EW28">
        <v>-0.64921219053703805</v>
      </c>
      <c r="EX28">
        <v>-0.69556698189767996</v>
      </c>
      <c r="EY28">
        <v>-0.77618304274479599</v>
      </c>
      <c r="EZ28">
        <v>-0.52685722074463004</v>
      </c>
      <c r="FA28">
        <v>-0.51973158354682802</v>
      </c>
      <c r="FB28">
        <v>-0.49807603964899699</v>
      </c>
      <c r="FC28">
        <v>-0.78566511260725702</v>
      </c>
      <c r="FD28">
        <v>-0.70341893911125197</v>
      </c>
      <c r="FE28">
        <v>-0.88825083332440102</v>
      </c>
      <c r="FF28">
        <v>-0.75077027857107903</v>
      </c>
      <c r="FG28">
        <v>-0.79424899241241298</v>
      </c>
      <c r="FH28">
        <v>-0.36378807823530601</v>
      </c>
      <c r="FI28">
        <v>-0.294879140796867</v>
      </c>
      <c r="FJ28">
        <v>-0.55331619979504199</v>
      </c>
      <c r="FK28">
        <v>-0.47352377945711899</v>
      </c>
      <c r="FL28">
        <v>-0.43223633121277899</v>
      </c>
      <c r="FM28">
        <v>-0.630674328697584</v>
      </c>
      <c r="FN28">
        <v>-0.77880472697431402</v>
      </c>
      <c r="FO28">
        <v>0</v>
      </c>
      <c r="FP28">
        <v>0.33122944162535201</v>
      </c>
      <c r="FQ28">
        <v>-0.35173087316009899</v>
      </c>
      <c r="FR28">
        <v>-0.27265911763485901</v>
      </c>
      <c r="FS28">
        <v>0.12627791291041501</v>
      </c>
      <c r="FT28">
        <v>0.643078725263586</v>
      </c>
      <c r="FU28">
        <v>0.49784781809421003</v>
      </c>
      <c r="FV28">
        <v>0.63726890619658205</v>
      </c>
      <c r="FW28">
        <v>0.73362987688446402</v>
      </c>
      <c r="FX28">
        <v>0.223189717447623</v>
      </c>
      <c r="FY28">
        <v>0.37442244630515598</v>
      </c>
      <c r="FZ28">
        <v>0.43265898872265901</v>
      </c>
      <c r="GA28">
        <v>0.25242218067303801</v>
      </c>
      <c r="GB28">
        <v>0.46876304617285502</v>
      </c>
      <c r="GC28">
        <v>0.82700532393371895</v>
      </c>
      <c r="GD28">
        <v>0.86843082969169005</v>
      </c>
      <c r="GE28">
        <v>1.19414909581785</v>
      </c>
      <c r="GF28">
        <v>1.19661035388629</v>
      </c>
      <c r="GG28">
        <v>0.49899332501685101</v>
      </c>
      <c r="GH28">
        <v>0.22045312765181399</v>
      </c>
      <c r="GI28">
        <v>0.593988457823171</v>
      </c>
      <c r="GJ28">
        <v>0.94604779055698895</v>
      </c>
      <c r="GK28">
        <v>0.66255993280771397</v>
      </c>
      <c r="GL28">
        <v>0.52104761845786696</v>
      </c>
      <c r="GM28">
        <v>0.76392007397844497</v>
      </c>
      <c r="GN28">
        <v>0.40952720278689703</v>
      </c>
      <c r="GO28">
        <v>0.56156427445852597</v>
      </c>
      <c r="GP28">
        <v>-6.53481242309433E-2</v>
      </c>
      <c r="GQ28">
        <v>0.13482774491900201</v>
      </c>
      <c r="GR28">
        <v>0.82688198091148801</v>
      </c>
      <c r="GS28">
        <v>0.72077746796015396</v>
      </c>
      <c r="GT28">
        <v>0.60022709057844703</v>
      </c>
      <c r="GU28">
        <v>0.51514494280790801</v>
      </c>
    </row>
    <row r="29" spans="1:203" x14ac:dyDescent="0.25">
      <c r="A29" s="12" t="s">
        <v>267</v>
      </c>
      <c r="B29" t="s">
        <v>59</v>
      </c>
      <c r="C29">
        <v>2.7091033308969701E-2</v>
      </c>
      <c r="D29">
        <v>-0.12914067128064499</v>
      </c>
      <c r="E29">
        <v>-0.112779313660724</v>
      </c>
      <c r="F29">
        <v>-2.4665563700163599E-2</v>
      </c>
      <c r="G29">
        <v>-3.4114241969761601E-2</v>
      </c>
      <c r="H29">
        <v>-7.1682802961635594E-2</v>
      </c>
      <c r="I29">
        <v>3.7524730024354601E-2</v>
      </c>
      <c r="J29">
        <v>5.8616443707518199E-3</v>
      </c>
      <c r="K29">
        <v>-6.1539863902243801E-2</v>
      </c>
      <c r="L29">
        <v>-4.3479536359523598E-2</v>
      </c>
      <c r="M29">
        <v>-6.4398028978651795E-2</v>
      </c>
      <c r="N29">
        <v>-6.0467823419780603E-2</v>
      </c>
      <c r="O29">
        <v>4.4305091920017999E-3</v>
      </c>
      <c r="P29">
        <v>9.6030488942979299E-4</v>
      </c>
      <c r="Q29">
        <v>3.5963829236816298E-2</v>
      </c>
      <c r="R29">
        <v>-6.9024471169874604E-2</v>
      </c>
      <c r="S29">
        <v>-4.02834983012305E-2</v>
      </c>
      <c r="T29">
        <v>3.5251624503855397E-2</v>
      </c>
      <c r="U29">
        <v>-7.4636544841649902E-2</v>
      </c>
      <c r="V29">
        <v>2.62667832294276E-2</v>
      </c>
      <c r="W29">
        <v>-8.3382881753440802E-2</v>
      </c>
      <c r="X29">
        <v>2.6503364945951301E-2</v>
      </c>
      <c r="Y29">
        <v>5.2044583743528203E-2</v>
      </c>
      <c r="Z29">
        <v>0.117301602049669</v>
      </c>
      <c r="AA29">
        <v>3.7394717892771899E-2</v>
      </c>
      <c r="AB29">
        <v>1.9350066025381502E-2</v>
      </c>
      <c r="AC29">
        <v>-0.104987337850848</v>
      </c>
      <c r="AD29">
        <v>5.4028361611468401E-2</v>
      </c>
      <c r="AE29">
        <v>-8.2428766420172203E-2</v>
      </c>
      <c r="AF29">
        <v>-0.179794434472307</v>
      </c>
      <c r="AG29">
        <v>-3.1699389635482897E-2</v>
      </c>
      <c r="AH29">
        <v>-7.4452888210669102E-2</v>
      </c>
      <c r="AI29">
        <v>1.8775697873960401E-2</v>
      </c>
      <c r="AJ29">
        <v>-1.5082295106306201E-2</v>
      </c>
      <c r="AK29">
        <v>3.3773586710287599E-3</v>
      </c>
      <c r="AL29">
        <v>-1.26174078375468E-2</v>
      </c>
      <c r="AM29">
        <v>0</v>
      </c>
      <c r="AN29">
        <v>-3.6605867526320897E-2</v>
      </c>
      <c r="AO29">
        <v>-5.1206150813284598E-2</v>
      </c>
      <c r="AP29">
        <v>-7.5692052248842706E-2</v>
      </c>
      <c r="AQ29">
        <v>2.9581593438952202E-3</v>
      </c>
      <c r="AR29">
        <v>-8.2229635257572795E-3</v>
      </c>
      <c r="AS29">
        <v>8.4582477335219994E-2</v>
      </c>
      <c r="AT29">
        <v>1.9729308449866499E-2</v>
      </c>
      <c r="AU29">
        <v>0.16673773409678899</v>
      </c>
      <c r="AV29">
        <v>0.41766233809436998</v>
      </c>
      <c r="AW29">
        <v>0.59097625586429903</v>
      </c>
      <c r="AX29">
        <v>0.90596040413559498</v>
      </c>
      <c r="AY29">
        <v>0.38659406644493</v>
      </c>
      <c r="AZ29">
        <v>-8.2459444588203604E-2</v>
      </c>
      <c r="BA29">
        <v>3.6223107035393699E-2</v>
      </c>
      <c r="BB29">
        <v>-0.14208160951602</v>
      </c>
      <c r="BC29">
        <v>3.0360511155596698E-2</v>
      </c>
      <c r="BD29">
        <v>0.18548953115424399</v>
      </c>
      <c r="BE29">
        <v>1.5453595226841E-2</v>
      </c>
      <c r="BF29">
        <v>0.34479489795864599</v>
      </c>
      <c r="BG29">
        <v>0.36922942558467298</v>
      </c>
      <c r="BH29">
        <v>0.25440344805230403</v>
      </c>
      <c r="BI29">
        <v>0.331631515744364</v>
      </c>
      <c r="BJ29">
        <v>0.35884479846290301</v>
      </c>
      <c r="BK29">
        <v>-1.79608289766604E-2</v>
      </c>
      <c r="BL29">
        <v>7.5065082467970598E-2</v>
      </c>
      <c r="BM29">
        <v>0.10106473241135901</v>
      </c>
      <c r="BN29">
        <v>6.6678972906596301E-2</v>
      </c>
      <c r="BO29">
        <v>-1.0617732496082799E-2</v>
      </c>
      <c r="BP29">
        <v>6.2065458017705202E-2</v>
      </c>
      <c r="BQ29">
        <v>0.11261890082081</v>
      </c>
      <c r="BR29">
        <v>0.171545630419078</v>
      </c>
      <c r="BS29">
        <v>0.14185006249242199</v>
      </c>
      <c r="BT29">
        <v>0.14929093224946999</v>
      </c>
      <c r="BU29">
        <v>0.136728758287498</v>
      </c>
      <c r="BV29">
        <v>2.6468563100909E-2</v>
      </c>
      <c r="BW29">
        <v>-0.106583482108973</v>
      </c>
      <c r="BX29">
        <v>0.13245036130905699</v>
      </c>
      <c r="BY29">
        <v>0.16283392528808499</v>
      </c>
      <c r="BZ29">
        <v>0.23271152553421401</v>
      </c>
      <c r="CA29">
        <v>0.14508822389711501</v>
      </c>
      <c r="CB29">
        <v>9.0730576532923102E-2</v>
      </c>
      <c r="CC29">
        <v>0.12500075799882701</v>
      </c>
      <c r="CD29">
        <v>0.14731777740042601</v>
      </c>
      <c r="CE29">
        <v>0.23171264485944601</v>
      </c>
      <c r="CF29">
        <v>-2.67348336500614E-2</v>
      </c>
      <c r="CG29">
        <v>4.6900408967428003E-2</v>
      </c>
      <c r="CH29">
        <v>0.17054820128530801</v>
      </c>
      <c r="CI29">
        <v>5.3689983986429997E-2</v>
      </c>
      <c r="CJ29">
        <v>0.114711482538061</v>
      </c>
      <c r="CK29">
        <v>0.108619757913577</v>
      </c>
      <c r="CL29">
        <v>8.8343842840897593E-2</v>
      </c>
      <c r="CM29">
        <v>0.20858838449043199</v>
      </c>
      <c r="CN29">
        <v>0.12233644079518401</v>
      </c>
      <c r="CO29">
        <v>0.16019792158469501</v>
      </c>
      <c r="CP29">
        <v>5.1167096858359101E-2</v>
      </c>
      <c r="CQ29">
        <v>5.4571018290815197E-2</v>
      </c>
      <c r="CR29">
        <v>9.4394443271475698E-2</v>
      </c>
      <c r="CS29">
        <v>-7.42054191079786E-3</v>
      </c>
      <c r="CT29">
        <v>0.180133658565578</v>
      </c>
      <c r="CU29">
        <v>3.0013023965805002E-2</v>
      </c>
      <c r="CV29">
        <v>-0.116151816287032</v>
      </c>
      <c r="CW29">
        <v>-0.112219580070755</v>
      </c>
      <c r="CX29">
        <v>-0.12676002393904301</v>
      </c>
      <c r="CY29">
        <v>-0.101800999544501</v>
      </c>
      <c r="CZ29">
        <v>-0.13242687261688499</v>
      </c>
      <c r="DA29">
        <v>-0.17055736941153701</v>
      </c>
      <c r="DB29">
        <v>-0.105386947482348</v>
      </c>
      <c r="DC29">
        <v>-0.116273661422459</v>
      </c>
      <c r="DD29">
        <v>-0.10498272597086</v>
      </c>
      <c r="DE29">
        <v>-0.104189244554484</v>
      </c>
      <c r="DF29">
        <v>-0.14594044371569201</v>
      </c>
      <c r="DG29">
        <v>-1.05863396498986E-2</v>
      </c>
      <c r="DH29">
        <v>-6.39582423309039E-2</v>
      </c>
      <c r="DI29">
        <v>-0.15315585221837499</v>
      </c>
      <c r="DJ29">
        <v>-9.7933921083317804E-2</v>
      </c>
      <c r="DK29">
        <v>-8.9088370390466298E-2</v>
      </c>
      <c r="DL29">
        <v>-9.60248038838694E-2</v>
      </c>
      <c r="DM29">
        <v>-3.8924836986093801E-2</v>
      </c>
      <c r="DN29">
        <v>-0.106545020935568</v>
      </c>
      <c r="DO29">
        <v>-0.14654186662136301</v>
      </c>
      <c r="DP29">
        <v>-0.144145742361658</v>
      </c>
      <c r="DQ29">
        <v>-0.122527487225388</v>
      </c>
      <c r="DR29">
        <v>-9.8387894713427002E-2</v>
      </c>
      <c r="DS29">
        <v>-0.16041009626272201</v>
      </c>
      <c r="DT29">
        <v>-6.9734611274484007E-2</v>
      </c>
      <c r="DU29">
        <v>0.22664653152657299</v>
      </c>
      <c r="DV29">
        <v>5.2111807195901798E-2</v>
      </c>
      <c r="DW29">
        <v>0.230517741387748</v>
      </c>
      <c r="DX29">
        <v>0.30917503890354098</v>
      </c>
      <c r="DY29">
        <v>-2.8091985922828199E-2</v>
      </c>
      <c r="DZ29">
        <v>-7.1460719635530995E-2</v>
      </c>
      <c r="EA29">
        <v>-4.7265707878038001E-2</v>
      </c>
      <c r="EB29">
        <v>-3.6783708357272299E-3</v>
      </c>
      <c r="EC29">
        <v>2.6736590385353001E-2</v>
      </c>
      <c r="ED29">
        <v>-0.12228563657769199</v>
      </c>
      <c r="EE29">
        <v>-1.16874796331884E-2</v>
      </c>
      <c r="EF29">
        <v>-7.8224977583767702E-2</v>
      </c>
      <c r="EG29">
        <v>-8.5188188632220302E-2</v>
      </c>
      <c r="EH29">
        <v>4.7983807394068496E-3</v>
      </c>
      <c r="EI29">
        <v>-0.14246863941510701</v>
      </c>
      <c r="EJ29">
        <v>-7.4755578770448999E-2</v>
      </c>
      <c r="EK29">
        <v>-0.179794434472307</v>
      </c>
      <c r="EL29">
        <v>-0.135104888248963</v>
      </c>
      <c r="EM29">
        <v>-0.14614781774836499</v>
      </c>
      <c r="EN29">
        <v>-0.108834798725006</v>
      </c>
      <c r="EO29">
        <v>-0.138824110135357</v>
      </c>
      <c r="EP29">
        <v>-7.8322976040661796E-2</v>
      </c>
      <c r="EQ29">
        <v>-0.13906250718858601</v>
      </c>
      <c r="ER29">
        <v>-0.150242273277501</v>
      </c>
      <c r="ES29">
        <v>-0.117397987455021</v>
      </c>
      <c r="ET29">
        <v>-6.6878529455909094E-2</v>
      </c>
      <c r="EU29">
        <v>-0.117339889184466</v>
      </c>
      <c r="EV29">
        <v>-0.10371548777025</v>
      </c>
      <c r="EW29">
        <v>-0.179794434472307</v>
      </c>
      <c r="EX29">
        <v>-0.14066095000453999</v>
      </c>
      <c r="EY29">
        <v>-9.8530643540995999E-2</v>
      </c>
      <c r="EZ29">
        <v>-0.128570327522361</v>
      </c>
      <c r="FA29">
        <v>-0.124837647411147</v>
      </c>
      <c r="FB29">
        <v>-0.103821331271869</v>
      </c>
      <c r="FC29">
        <v>-0.13744105143830099</v>
      </c>
      <c r="FD29">
        <v>-0.14383031883008901</v>
      </c>
      <c r="FE29">
        <v>-0.14589859191893201</v>
      </c>
      <c r="FF29">
        <v>-0.14299909267431599</v>
      </c>
      <c r="FG29">
        <v>-0.15157149481999699</v>
      </c>
      <c r="FH29">
        <v>-7.3032313834886897E-2</v>
      </c>
      <c r="FI29">
        <v>-3.7848952526371701E-2</v>
      </c>
      <c r="FJ29">
        <v>-5.2394505188192303E-2</v>
      </c>
      <c r="FK29">
        <v>7.1525250132870597E-3</v>
      </c>
      <c r="FL29">
        <v>-8.8760597468292596E-2</v>
      </c>
      <c r="FM29">
        <v>-5.2243569609585899E-2</v>
      </c>
      <c r="FN29">
        <v>-3.4784603426270502E-2</v>
      </c>
      <c r="FO29">
        <v>0.20158265656451799</v>
      </c>
      <c r="FP29">
        <v>0.14229199957962299</v>
      </c>
      <c r="FQ29">
        <v>-6.2252728515023399E-2</v>
      </c>
      <c r="FR29">
        <v>-9.6616333102555498E-3</v>
      </c>
      <c r="FS29">
        <v>5.9773595353898597E-2</v>
      </c>
      <c r="FT29">
        <v>1.0614521935338299</v>
      </c>
      <c r="FU29">
        <v>1.46174564615192</v>
      </c>
      <c r="FV29">
        <v>0.81291766476832195</v>
      </c>
      <c r="FW29">
        <v>1.01582855553802</v>
      </c>
      <c r="FX29">
        <v>0.83696684643393304</v>
      </c>
      <c r="FY29">
        <v>0.27656354629470498</v>
      </c>
      <c r="FZ29">
        <v>0.18537997460952499</v>
      </c>
      <c r="GA29">
        <v>0.39318546306031898</v>
      </c>
      <c r="GB29">
        <v>0.17826964453702199</v>
      </c>
      <c r="GC29">
        <v>3.8924090429283097E-2</v>
      </c>
      <c r="GD29">
        <v>1.9654498749897099E-2</v>
      </c>
      <c r="GE29">
        <v>-8.9057591941466396E-2</v>
      </c>
      <c r="GF29">
        <v>-2.76374671696119E-2</v>
      </c>
      <c r="GG29">
        <v>1.4887546941870899</v>
      </c>
      <c r="GH29">
        <v>1.00394841156901</v>
      </c>
      <c r="GI29">
        <v>1.1544937512103599</v>
      </c>
      <c r="GJ29">
        <v>0.50674341717667104</v>
      </c>
      <c r="GK29">
        <v>0.57923677004345797</v>
      </c>
      <c r="GL29">
        <v>0.70379346562942902</v>
      </c>
      <c r="GM29">
        <v>1.18205966581142</v>
      </c>
      <c r="GN29">
        <v>0.80444472830608205</v>
      </c>
      <c r="GO29">
        <v>0.29664379242549599</v>
      </c>
      <c r="GP29">
        <v>-8.3105457297475399E-2</v>
      </c>
      <c r="GQ29">
        <v>4.2426390122485502E-2</v>
      </c>
      <c r="GR29">
        <v>1.52247100088246</v>
      </c>
      <c r="GS29">
        <v>1.72232033723272</v>
      </c>
      <c r="GT29">
        <v>1.4257227602197999</v>
      </c>
      <c r="GU29">
        <v>1.7423376271839901</v>
      </c>
    </row>
    <row r="30" spans="1:203" x14ac:dyDescent="0.25">
      <c r="A30" s="12" t="s">
        <v>267</v>
      </c>
      <c r="B30" t="s">
        <v>61</v>
      </c>
      <c r="C30">
        <v>0</v>
      </c>
      <c r="D30">
        <v>1.8339841597986298E-2</v>
      </c>
      <c r="E30">
        <v>-1.4652878507395901E-2</v>
      </c>
      <c r="F30">
        <v>-1.7180205714020501E-4</v>
      </c>
      <c r="G30">
        <v>-5.2328075500748E-2</v>
      </c>
      <c r="H30">
        <v>-3.0153452614273699E-2</v>
      </c>
      <c r="I30">
        <v>1.55353745861205E-2</v>
      </c>
      <c r="J30">
        <v>-8.1667999318979306E-2</v>
      </c>
      <c r="K30">
        <v>-3.4250669295920202E-2</v>
      </c>
      <c r="L30">
        <v>-1.56233249795578E-2</v>
      </c>
      <c r="M30">
        <v>-1.2195906728576501E-2</v>
      </c>
      <c r="N30">
        <v>-8.1667999318979306E-2</v>
      </c>
      <c r="O30">
        <v>1.5464813504556699E-2</v>
      </c>
      <c r="P30">
        <v>4.6243928947878203E-2</v>
      </c>
      <c r="Q30">
        <v>-2.9165775397984001E-2</v>
      </c>
      <c r="R30">
        <v>-2.4910000097556399E-2</v>
      </c>
      <c r="S30">
        <v>-2.3423620165355701E-2</v>
      </c>
      <c r="T30">
        <v>1.9065609965610601E-3</v>
      </c>
      <c r="U30">
        <v>-3.44980677659159E-2</v>
      </c>
      <c r="V30">
        <v>-2.6675366434416301E-2</v>
      </c>
      <c r="W30">
        <v>-5.3917753268649699E-2</v>
      </c>
      <c r="X30">
        <v>6.5998505774372204E-2</v>
      </c>
      <c r="Y30">
        <v>6.2349360110815398E-2</v>
      </c>
      <c r="Z30">
        <v>-3.0048323086932598E-2</v>
      </c>
      <c r="AA30">
        <v>-4.9991809120002E-2</v>
      </c>
      <c r="AB30">
        <v>2.7570757204503901E-2</v>
      </c>
      <c r="AC30">
        <v>-6.8609026975201002E-3</v>
      </c>
      <c r="AD30">
        <v>-4.5222562506136203E-2</v>
      </c>
      <c r="AE30">
        <v>9.6257613927436106E-2</v>
      </c>
      <c r="AF30">
        <v>0.11584110131617301</v>
      </c>
      <c r="AG30">
        <v>2.25745417890524E-2</v>
      </c>
      <c r="AH30">
        <v>2.64998533979686E-3</v>
      </c>
      <c r="AI30">
        <v>-8.1667999318979306E-2</v>
      </c>
      <c r="AJ30">
        <v>2.9300633983816601E-2</v>
      </c>
      <c r="AK30">
        <v>-6.6478623277639497E-3</v>
      </c>
      <c r="AL30">
        <v>-1.5930889448555401E-2</v>
      </c>
      <c r="AM30">
        <v>2.2467574758375901E-2</v>
      </c>
      <c r="AN30">
        <v>3.04975803355521E-2</v>
      </c>
      <c r="AO30">
        <v>-2.1108278857252E-2</v>
      </c>
      <c r="AP30">
        <v>2.2434382904485101E-2</v>
      </c>
      <c r="AQ30">
        <v>-2.7412961525675201E-2</v>
      </c>
      <c r="AR30">
        <v>-8.1667999318979306E-2</v>
      </c>
      <c r="AS30">
        <v>-1.09628517180682E-2</v>
      </c>
      <c r="AT30">
        <v>-4.9806277041692902E-3</v>
      </c>
      <c r="AU30">
        <v>-1.9513902997434399E-2</v>
      </c>
      <c r="AV30">
        <v>-8.1667999318979306E-2</v>
      </c>
      <c r="AW30">
        <v>-1.44354666472233E-2</v>
      </c>
      <c r="AX30">
        <v>8.4007469293509995E-2</v>
      </c>
      <c r="AY30">
        <v>1.15082241160387E-2</v>
      </c>
      <c r="AZ30">
        <v>-2.0844907879341599E-2</v>
      </c>
      <c r="BA30">
        <v>0.218143438020756</v>
      </c>
      <c r="BB30">
        <v>-4.3955174362692299E-2</v>
      </c>
      <c r="BC30">
        <v>0.186414714116625</v>
      </c>
      <c r="BD30">
        <v>4.4966708889238899E-2</v>
      </c>
      <c r="BE30">
        <v>5.3687343351601698E-2</v>
      </c>
      <c r="BF30">
        <v>4.4295761331150901E-2</v>
      </c>
      <c r="BG30">
        <v>0.10997443116715</v>
      </c>
      <c r="BH30">
        <v>4.2466839108781698E-2</v>
      </c>
      <c r="BI30">
        <v>7.9865158909865702E-2</v>
      </c>
      <c r="BJ30">
        <v>4.14408358695472E-2</v>
      </c>
      <c r="BK30">
        <v>5.1501056624610402E-2</v>
      </c>
      <c r="BL30">
        <v>7.22930639593031E-2</v>
      </c>
      <c r="BM30">
        <v>2.6137288720192699E-2</v>
      </c>
      <c r="BN30">
        <v>1.88636139004467E-3</v>
      </c>
      <c r="BO30">
        <v>0.14547129458367</v>
      </c>
      <c r="BP30">
        <v>0.115585855301835</v>
      </c>
      <c r="BQ30">
        <v>1.6660531551098399E-2</v>
      </c>
      <c r="BR30">
        <v>4.7096647616481899E-2</v>
      </c>
      <c r="BS30">
        <v>9.1598465244912095E-2</v>
      </c>
      <c r="BT30">
        <v>4.3953344906599398E-2</v>
      </c>
      <c r="BU30">
        <v>0.10149553542446001</v>
      </c>
      <c r="BV30">
        <v>7.0803111985143996E-2</v>
      </c>
      <c r="BW30">
        <v>1.25156709944233E-2</v>
      </c>
      <c r="BX30">
        <v>0.11854719287759</v>
      </c>
      <c r="BY30">
        <v>8.7124503230638806E-2</v>
      </c>
      <c r="BZ30">
        <v>0.122158415161824</v>
      </c>
      <c r="CA30">
        <v>0.273461104590138</v>
      </c>
      <c r="CB30">
        <v>0.22647516664010101</v>
      </c>
      <c r="CC30">
        <v>5.9347012034030498E-2</v>
      </c>
      <c r="CD30">
        <v>0.198210686408021</v>
      </c>
      <c r="CE30">
        <v>0.10148415786485999</v>
      </c>
      <c r="CF30">
        <v>2.1826283602405901E-2</v>
      </c>
      <c r="CG30">
        <v>9.4764268709385494E-2</v>
      </c>
      <c r="CH30">
        <v>0.112599930788385</v>
      </c>
      <c r="CI30">
        <v>0.144357182201857</v>
      </c>
      <c r="CJ30">
        <v>5.06115218488912E-2</v>
      </c>
      <c r="CK30">
        <v>9.1711085034366396E-2</v>
      </c>
      <c r="CL30">
        <v>0.149607159319669</v>
      </c>
      <c r="CM30">
        <v>8.6063717710496201E-2</v>
      </c>
      <c r="CN30">
        <v>0.18252632108170999</v>
      </c>
      <c r="CO30">
        <v>8.7466184517057094E-2</v>
      </c>
      <c r="CP30">
        <v>0.112156810797233</v>
      </c>
      <c r="CQ30">
        <v>5.2139774609068698E-2</v>
      </c>
      <c r="CR30">
        <v>0.151133391654142</v>
      </c>
      <c r="CS30">
        <v>-1.87998767462845E-2</v>
      </c>
      <c r="CT30">
        <v>9.7333996788368404E-2</v>
      </c>
      <c r="CU30">
        <v>-4.0283930439805401E-4</v>
      </c>
      <c r="CV30">
        <v>-8.1667999318979306E-2</v>
      </c>
      <c r="CW30">
        <v>-4.0979747985241698E-2</v>
      </c>
      <c r="CX30">
        <v>-4.5966748928512997E-2</v>
      </c>
      <c r="CY30">
        <v>4.4603558795243397E-3</v>
      </c>
      <c r="CZ30">
        <v>-2.4050949994358601E-2</v>
      </c>
      <c r="DA30">
        <v>-2.6453378658026501E-2</v>
      </c>
      <c r="DB30">
        <v>-2.5938604408514501E-2</v>
      </c>
      <c r="DC30">
        <v>-2.5125073677211E-2</v>
      </c>
      <c r="DD30">
        <v>-9.4257878842993904E-3</v>
      </c>
      <c r="DE30">
        <v>1.2677001161199099E-2</v>
      </c>
      <c r="DF30">
        <v>2.0497477430521299E-2</v>
      </c>
      <c r="DG30">
        <v>0.100074979035538</v>
      </c>
      <c r="DH30">
        <v>-1.3019847945199101E-2</v>
      </c>
      <c r="DI30">
        <v>8.4828801833145798E-2</v>
      </c>
      <c r="DJ30">
        <v>-4.0244753543592998E-2</v>
      </c>
      <c r="DK30">
        <v>-1.6131408673763201E-2</v>
      </c>
      <c r="DL30">
        <v>-8.1667999318979306E-2</v>
      </c>
      <c r="DM30">
        <v>-4.9548312747439302E-2</v>
      </c>
      <c r="DN30">
        <v>-1.9908482471786101E-2</v>
      </c>
      <c r="DO30">
        <v>7.1486963802604803E-2</v>
      </c>
      <c r="DP30">
        <v>-2.98132068396522E-2</v>
      </c>
      <c r="DQ30">
        <v>3.5791654519672601E-3</v>
      </c>
      <c r="DR30">
        <v>-4.0738871848449702E-2</v>
      </c>
      <c r="DS30">
        <v>3.3113835074336601E-2</v>
      </c>
      <c r="DT30">
        <v>-9.1574507325308408E-3</v>
      </c>
      <c r="DU30">
        <v>-2.06363165178504E-2</v>
      </c>
      <c r="DV30">
        <v>-1.29332860590644E-2</v>
      </c>
      <c r="DW30">
        <v>-1.23015952008559E-2</v>
      </c>
      <c r="DX30">
        <v>-2.59507534948249E-2</v>
      </c>
      <c r="DY30">
        <v>-6.7807834867841602E-2</v>
      </c>
      <c r="DZ30">
        <v>-5.4095803208951403E-2</v>
      </c>
      <c r="EA30">
        <v>-3.6585213178494599E-2</v>
      </c>
      <c r="EB30">
        <v>0.10894444436058399</v>
      </c>
      <c r="EC30">
        <v>0.17229717015221599</v>
      </c>
      <c r="ED30">
        <v>-6.5223674675120802E-2</v>
      </c>
      <c r="EE30">
        <v>1.4533557030749901E-3</v>
      </c>
      <c r="EF30">
        <v>-2.93226609981296E-2</v>
      </c>
      <c r="EG30">
        <v>2.8347354051008598E-2</v>
      </c>
      <c r="EH30">
        <v>-3.9759595944343203E-2</v>
      </c>
      <c r="EI30">
        <v>6.4011452766163907E-2</v>
      </c>
      <c r="EJ30">
        <v>-2.10355352098693E-2</v>
      </c>
      <c r="EK30">
        <v>7.9378589479529194E-2</v>
      </c>
      <c r="EL30">
        <v>-3.6978453095635203E-2</v>
      </c>
      <c r="EM30">
        <v>-5.9197209710775599E-2</v>
      </c>
      <c r="EN30">
        <v>-2.47606675788394E-2</v>
      </c>
      <c r="EO30">
        <v>-6.7960068483700398E-2</v>
      </c>
      <c r="EP30">
        <v>1.9803459112666299E-2</v>
      </c>
      <c r="EQ30">
        <v>-8.1667999318979306E-2</v>
      </c>
      <c r="ER30">
        <v>-2.2907425853128899E-2</v>
      </c>
      <c r="ES30">
        <v>-8.1667999318979306E-2</v>
      </c>
      <c r="ET30">
        <v>-8.1667999318979306E-2</v>
      </c>
      <c r="EU30">
        <v>-8.1667999318979306E-2</v>
      </c>
      <c r="EV30">
        <v>-8.1667999318979306E-2</v>
      </c>
      <c r="EW30">
        <v>5.4740347371071097E-3</v>
      </c>
      <c r="EX30">
        <v>-4.2534514851211902E-2</v>
      </c>
      <c r="EY30">
        <v>-4.0598087515985301E-2</v>
      </c>
      <c r="EZ30">
        <v>-5.0859347005332602E-2</v>
      </c>
      <c r="FA30">
        <v>3.2322479468877398E-4</v>
      </c>
      <c r="FB30">
        <v>-5.11791374158398E-2</v>
      </c>
      <c r="FC30">
        <v>-4.3072717585179998E-2</v>
      </c>
      <c r="FD30">
        <v>-7.3874233629214595E-2</v>
      </c>
      <c r="FE30">
        <v>-7.4934428318799096E-2</v>
      </c>
      <c r="FF30">
        <v>-6.9367106360240002E-2</v>
      </c>
      <c r="FG30">
        <v>-8.1667999318979306E-2</v>
      </c>
      <c r="FH30">
        <v>-9.8666142890227702E-3</v>
      </c>
      <c r="FI30">
        <v>-4.34737777871438E-2</v>
      </c>
      <c r="FJ30">
        <v>2.5488619391690202E-2</v>
      </c>
      <c r="FK30">
        <v>4.17796780342148E-4</v>
      </c>
      <c r="FL30">
        <v>-5.4155130162719001E-2</v>
      </c>
      <c r="FM30">
        <v>-5.8275867315973097E-2</v>
      </c>
      <c r="FN30">
        <v>-3.9317956634286999E-2</v>
      </c>
      <c r="FO30">
        <v>0.25515504942203499</v>
      </c>
      <c r="FP30">
        <v>5.4557635885107099E-2</v>
      </c>
      <c r="FQ30">
        <v>-2.9414381256200901E-3</v>
      </c>
      <c r="FR30">
        <v>0.19426503622140801</v>
      </c>
      <c r="FS30">
        <v>0.32581451463744499</v>
      </c>
      <c r="FT30">
        <v>5.9078208739933802E-2</v>
      </c>
      <c r="FU30">
        <v>-8.1667999318979306E-2</v>
      </c>
      <c r="FV30">
        <v>-1.8288696220128301E-2</v>
      </c>
      <c r="FW30">
        <v>-8.1667999318979306E-2</v>
      </c>
      <c r="FX30">
        <v>5.23956985085577E-2</v>
      </c>
      <c r="FY30">
        <v>-3.4766826051958001E-2</v>
      </c>
      <c r="FZ30">
        <v>5.5152345181106099E-3</v>
      </c>
      <c r="GA30">
        <v>-8.1667999318979306E-2</v>
      </c>
      <c r="GB30">
        <v>0.107289885253935</v>
      </c>
      <c r="GC30">
        <v>0.13705052558261099</v>
      </c>
      <c r="GD30">
        <v>5.4092440307511598E-2</v>
      </c>
      <c r="GE30">
        <v>-8.1667999318979306E-2</v>
      </c>
      <c r="GF30">
        <v>2.1255199039133199E-2</v>
      </c>
      <c r="GG30">
        <v>-8.1667999318979306E-2</v>
      </c>
      <c r="GH30">
        <v>7.4852573605437595E-2</v>
      </c>
      <c r="GI30">
        <v>8.8772121674009705E-2</v>
      </c>
      <c r="GJ30">
        <v>5.06803082674099E-2</v>
      </c>
      <c r="GK30">
        <v>0.144047998813326</v>
      </c>
      <c r="GL30">
        <v>-9.2203820075287303E-3</v>
      </c>
      <c r="GM30">
        <v>0.41320762884878698</v>
      </c>
      <c r="GN30">
        <v>0.41354551930216499</v>
      </c>
      <c r="GO30">
        <v>9.3409118645652101E-2</v>
      </c>
      <c r="GP30">
        <v>-8.1667999318979306E-2</v>
      </c>
      <c r="GQ30">
        <v>-8.1667999318979306E-2</v>
      </c>
      <c r="GR30">
        <v>-8.1667999318979306E-2</v>
      </c>
      <c r="GS30">
        <v>-8.1667999318979306E-2</v>
      </c>
      <c r="GT30">
        <v>-1.75507088636368E-3</v>
      </c>
      <c r="GU30">
        <v>0.166367039579081</v>
      </c>
    </row>
    <row r="31" spans="1:203" x14ac:dyDescent="0.25">
      <c r="A31" s="12" t="s">
        <v>267</v>
      </c>
      <c r="B31" t="s">
        <v>52</v>
      </c>
      <c r="C31">
        <v>-7.2413958566957901E-3</v>
      </c>
      <c r="D31">
        <v>-3.6506685033251898E-2</v>
      </c>
      <c r="E31">
        <v>-2.8739411295862099E-3</v>
      </c>
      <c r="F31">
        <v>-1.6199738573662501E-2</v>
      </c>
      <c r="G31">
        <v>-2.7046213475845099E-2</v>
      </c>
      <c r="H31">
        <v>-3.8873861996994402E-3</v>
      </c>
      <c r="I31">
        <v>-1.9257679945586099E-2</v>
      </c>
      <c r="J31">
        <v>-3.6506685033251898E-2</v>
      </c>
      <c r="K31">
        <v>-3.6506685033251898E-2</v>
      </c>
      <c r="L31">
        <v>-2.4183047333814E-2</v>
      </c>
      <c r="M31">
        <v>-1.3269199726632401E-2</v>
      </c>
      <c r="N31">
        <v>-6.1129007393786001E-3</v>
      </c>
      <c r="O31">
        <v>-1.1182965564428E-2</v>
      </c>
      <c r="P31">
        <v>-2.6806525315866501E-3</v>
      </c>
      <c r="Q31">
        <v>-2.3505379846173399E-2</v>
      </c>
      <c r="R31">
        <v>-3.6506685033251898E-2</v>
      </c>
      <c r="S31">
        <v>-9.7587550177842507E-3</v>
      </c>
      <c r="T31">
        <v>-1.8273454598208599E-2</v>
      </c>
      <c r="U31">
        <v>-3.6506685033251898E-2</v>
      </c>
      <c r="V31">
        <v>-1.0262119314853799E-2</v>
      </c>
      <c r="W31">
        <v>-2.26106378012015E-2</v>
      </c>
      <c r="X31">
        <v>7.9456033674287496E-2</v>
      </c>
      <c r="Y31">
        <v>-3.6506685033251898E-2</v>
      </c>
      <c r="Z31">
        <v>-3.6506685033251898E-2</v>
      </c>
      <c r="AA31">
        <v>-3.0187820643292899E-2</v>
      </c>
      <c r="AB31">
        <v>-1.12404490126205E-2</v>
      </c>
      <c r="AC31">
        <v>-3.6506685033251898E-2</v>
      </c>
      <c r="AD31">
        <v>7.1782324782013504E-2</v>
      </c>
      <c r="AE31">
        <v>-3.6506685033251898E-2</v>
      </c>
      <c r="AF31">
        <v>-3.6506685033251898E-2</v>
      </c>
      <c r="AG31">
        <v>-1.3727146819853099E-2</v>
      </c>
      <c r="AH31">
        <v>-6.0599267173554704E-3</v>
      </c>
      <c r="AI31">
        <v>-1.9749686595714202E-3</v>
      </c>
      <c r="AJ31">
        <v>-8.3073301623205094E-3</v>
      </c>
      <c r="AK31">
        <v>-3.6506685033251898E-2</v>
      </c>
      <c r="AL31">
        <v>-8.2348810324015306E-3</v>
      </c>
      <c r="AM31">
        <v>-2.33590963877509E-2</v>
      </c>
      <c r="AN31">
        <v>-3.6506685033251898E-2</v>
      </c>
      <c r="AO31">
        <v>9.0218410227827402E-3</v>
      </c>
      <c r="AP31">
        <v>1.6362260167965301E-2</v>
      </c>
      <c r="AQ31">
        <v>-3.6506685033251898E-2</v>
      </c>
      <c r="AR31">
        <v>-3.6506685033251898E-2</v>
      </c>
      <c r="AS31">
        <v>-1.23022791736164E-2</v>
      </c>
      <c r="AT31">
        <v>-3.6506685033251898E-2</v>
      </c>
      <c r="AU31">
        <v>-2.39807337187345E-2</v>
      </c>
      <c r="AV31">
        <v>3.3366956877952103E-2</v>
      </c>
      <c r="AW31">
        <v>0.16443650963152001</v>
      </c>
      <c r="AX31">
        <v>-1.7670481231745E-2</v>
      </c>
      <c r="AY31">
        <v>-5.0243266892227101E-3</v>
      </c>
      <c r="AZ31">
        <v>-2.4345132712438398E-2</v>
      </c>
      <c r="BA31">
        <v>2.1050202030745502E-3</v>
      </c>
      <c r="BB31">
        <v>-3.6506685033251898E-2</v>
      </c>
      <c r="BC31">
        <v>0.12610207385981601</v>
      </c>
      <c r="BD31">
        <v>9.3898906370735308E-3</v>
      </c>
      <c r="BE31">
        <v>4.4197704171848602E-2</v>
      </c>
      <c r="BF31">
        <v>0.20860212209866899</v>
      </c>
      <c r="BG31">
        <v>0.15676864112125299</v>
      </c>
      <c r="BH31">
        <v>7.8953602168259404E-2</v>
      </c>
      <c r="BI31">
        <v>0.15773434181679899</v>
      </c>
      <c r="BJ31">
        <v>0.1059818726408</v>
      </c>
      <c r="BK31">
        <v>5.1386200770659397E-2</v>
      </c>
      <c r="BL31">
        <v>3.9472977591666902E-2</v>
      </c>
      <c r="BM31">
        <v>-3.7511408791308901E-3</v>
      </c>
      <c r="BN31">
        <v>1.3689042298011499E-2</v>
      </c>
      <c r="BO31">
        <v>4.6137295120129498E-2</v>
      </c>
      <c r="BP31">
        <v>2.8933586422141399E-2</v>
      </c>
      <c r="BQ31">
        <v>4.7564601564813298E-2</v>
      </c>
      <c r="BR31">
        <v>1.1345525623186E-2</v>
      </c>
      <c r="BS31">
        <v>2.59836305823451E-2</v>
      </c>
      <c r="BT31">
        <v>7.4206639428167201E-2</v>
      </c>
      <c r="BU31">
        <v>8.9106341612611804E-3</v>
      </c>
      <c r="BV31">
        <v>1.8599497496337401E-2</v>
      </c>
      <c r="BW31">
        <v>-3.6506685033251898E-2</v>
      </c>
      <c r="BX31">
        <v>0.13225961284217699</v>
      </c>
      <c r="BY31">
        <v>0.219044398964552</v>
      </c>
      <c r="BZ31">
        <v>9.5741099455230905E-2</v>
      </c>
      <c r="CA31">
        <v>5.1387865402121799E-2</v>
      </c>
      <c r="CB31">
        <v>-9.3449473268206306E-3</v>
      </c>
      <c r="CC31">
        <v>5.8168848670331598E-2</v>
      </c>
      <c r="CD31">
        <v>7.5468670965471593E-2</v>
      </c>
      <c r="CE31">
        <v>0.107775146690021</v>
      </c>
      <c r="CF31">
        <v>-3.6506685033251898E-2</v>
      </c>
      <c r="CG31">
        <v>5.5406072214390999E-2</v>
      </c>
      <c r="CH31">
        <v>5.3868106520062901E-2</v>
      </c>
      <c r="CI31">
        <v>-3.6506685033251898E-2</v>
      </c>
      <c r="CJ31">
        <v>7.4725038618553896E-2</v>
      </c>
      <c r="CK31">
        <v>3.10984803520525E-2</v>
      </c>
      <c r="CL31">
        <v>3.28634330815901E-2</v>
      </c>
      <c r="CM31">
        <v>5.2552928134831998E-2</v>
      </c>
      <c r="CN31">
        <v>3.6725998529256197E-2</v>
      </c>
      <c r="CO31">
        <v>4.6009365262952399E-2</v>
      </c>
      <c r="CP31">
        <v>5.9429138577573003E-2</v>
      </c>
      <c r="CQ31">
        <v>-8.2066367061489499E-3</v>
      </c>
      <c r="CR31">
        <v>1.03341764793018E-2</v>
      </c>
      <c r="CS31">
        <v>1.0974963052800799E-2</v>
      </c>
      <c r="CT31">
        <v>1.18995487081503E-2</v>
      </c>
      <c r="CU31">
        <v>-3.40322222475989E-3</v>
      </c>
      <c r="CV31">
        <v>-3.6506685033251898E-2</v>
      </c>
      <c r="CW31">
        <v>-2.28953270426712E-2</v>
      </c>
      <c r="CX31">
        <v>-1.3192764306097201E-2</v>
      </c>
      <c r="CY31">
        <v>2.04564358025019E-2</v>
      </c>
      <c r="CZ31">
        <v>1.0860876822170301E-2</v>
      </c>
      <c r="DA31">
        <v>-3.6506685033251898E-2</v>
      </c>
      <c r="DB31">
        <v>-1.17950356970141E-2</v>
      </c>
      <c r="DC31">
        <v>-1.1447953893949999E-2</v>
      </c>
      <c r="DD31">
        <v>-1.05081435085636E-2</v>
      </c>
      <c r="DE31">
        <v>3.9098504884571603E-2</v>
      </c>
      <c r="DF31">
        <v>2.2870787088706199E-2</v>
      </c>
      <c r="DG31">
        <v>5.3974493943042103E-3</v>
      </c>
      <c r="DH31">
        <v>-2.5001915036168099E-2</v>
      </c>
      <c r="DI31">
        <v>-2.3161419323624501E-2</v>
      </c>
      <c r="DJ31">
        <v>-3.6506685033251898E-2</v>
      </c>
      <c r="DK31">
        <v>1.03288291296457E-2</v>
      </c>
      <c r="DL31">
        <v>-3.6506685033251898E-2</v>
      </c>
      <c r="DM31">
        <v>-2.0385708299073699E-2</v>
      </c>
      <c r="DN31">
        <v>8.9962417984763808E-3</v>
      </c>
      <c r="DO31">
        <v>-3.2541171823078298E-3</v>
      </c>
      <c r="DP31">
        <v>-4.0205004822086903E-3</v>
      </c>
      <c r="DQ31">
        <v>-7.6503327493934997E-3</v>
      </c>
      <c r="DR31">
        <v>4.42244243727758E-3</v>
      </c>
      <c r="DS31">
        <v>7.7775469603700697E-3</v>
      </c>
      <c r="DT31">
        <v>-3.6506685033251898E-2</v>
      </c>
      <c r="DU31">
        <v>-3.56915746971938E-3</v>
      </c>
      <c r="DV31">
        <v>-3.6506685033251898E-2</v>
      </c>
      <c r="DW31">
        <v>0.134825085243959</v>
      </c>
      <c r="DX31">
        <v>7.3139455886846394E-2</v>
      </c>
      <c r="DY31">
        <v>4.9032334682744504E-3</v>
      </c>
      <c r="DZ31">
        <v>-3.6506685033251898E-2</v>
      </c>
      <c r="EA31">
        <v>-3.6506685033251898E-2</v>
      </c>
      <c r="EB31">
        <v>5.3876117538031202E-3</v>
      </c>
      <c r="EC31">
        <v>-5.9285213207793796E-3</v>
      </c>
      <c r="ED31">
        <v>3.7409698139686601E-2</v>
      </c>
      <c r="EE31">
        <v>-1.8060861749107301E-2</v>
      </c>
      <c r="EF31">
        <v>-1.57365009516723E-2</v>
      </c>
      <c r="EG31">
        <v>1.1268275149940001E-2</v>
      </c>
      <c r="EH31">
        <v>0</v>
      </c>
      <c r="EI31">
        <v>-3.6506685033251898E-2</v>
      </c>
      <c r="EJ31">
        <v>1.64559058570839E-2</v>
      </c>
      <c r="EK31">
        <v>0.124539903765257</v>
      </c>
      <c r="EL31">
        <v>6.6365024340501899E-2</v>
      </c>
      <c r="EM31">
        <v>8.2766403863099303E-3</v>
      </c>
      <c r="EN31">
        <v>2.0400646706888001E-2</v>
      </c>
      <c r="EO31">
        <v>1.8019437528807199E-2</v>
      </c>
      <c r="EP31">
        <v>1.4966793488437701E-2</v>
      </c>
      <c r="EQ31">
        <v>-3.6506685033251898E-2</v>
      </c>
      <c r="ER31">
        <v>2.22538884325983E-2</v>
      </c>
      <c r="ES31">
        <v>7.3839319642792001E-2</v>
      </c>
      <c r="ET31">
        <v>2.0835933537205802E-2</v>
      </c>
      <c r="EU31">
        <v>2.5947860254588902E-2</v>
      </c>
      <c r="EV31">
        <v>4.0897886647187501E-3</v>
      </c>
      <c r="EW31">
        <v>5.0635349022834598E-2</v>
      </c>
      <c r="EX31">
        <v>-3.6506685033251898E-2</v>
      </c>
      <c r="EY31">
        <v>-3.6506685033251898E-2</v>
      </c>
      <c r="EZ31">
        <v>-2.62120894920157E-2</v>
      </c>
      <c r="FA31">
        <v>-8.8773488752446998E-3</v>
      </c>
      <c r="FB31">
        <v>-2.1245367505661899E-2</v>
      </c>
      <c r="FC31">
        <v>-3.6506685033251898E-2</v>
      </c>
      <c r="FD31">
        <v>-2.0891124051370499E-2</v>
      </c>
      <c r="FE31">
        <v>-2.9773114033071701E-2</v>
      </c>
      <c r="FF31">
        <v>-3.6506685033251898E-2</v>
      </c>
      <c r="FG31">
        <v>-3.6506685033251898E-2</v>
      </c>
      <c r="FH31">
        <v>-2.8375537799675598E-4</v>
      </c>
      <c r="FI31">
        <v>-3.6506685033251898E-2</v>
      </c>
      <c r="FJ31">
        <v>-3.6506685033251898E-2</v>
      </c>
      <c r="FK31">
        <v>1.8561854901414699E-2</v>
      </c>
      <c r="FL31">
        <v>-1.8145028495058099E-2</v>
      </c>
      <c r="FM31">
        <v>1.00283313585746E-2</v>
      </c>
      <c r="FN31">
        <v>-1.5235451974024599E-2</v>
      </c>
      <c r="FO31">
        <v>0.18104329275432701</v>
      </c>
      <c r="FP31">
        <v>0.86895440577140803</v>
      </c>
      <c r="FQ31">
        <v>0.291741637828631</v>
      </c>
      <c r="FR31">
        <v>1.1728271988018</v>
      </c>
      <c r="FS31">
        <v>5.6600578951577198E-2</v>
      </c>
      <c r="FT31">
        <v>3.5360537788889299E-2</v>
      </c>
      <c r="FU31">
        <v>-3.6506685033251898E-2</v>
      </c>
      <c r="FV31">
        <v>5.78440027378695E-2</v>
      </c>
      <c r="FW31">
        <v>4.1750170815811297E-2</v>
      </c>
      <c r="FX31">
        <v>0.16087769506216101</v>
      </c>
      <c r="FY31">
        <v>-3.6506685033251898E-2</v>
      </c>
      <c r="FZ31">
        <v>-3.6506685033251898E-2</v>
      </c>
      <c r="GA31">
        <v>0.14503778092781799</v>
      </c>
      <c r="GB31">
        <v>-3.6506685033251898E-2</v>
      </c>
      <c r="GC31">
        <v>0.28198741008095302</v>
      </c>
      <c r="GD31">
        <v>3.2854620949261198E-2</v>
      </c>
      <c r="GE31">
        <v>0.63544094158523301</v>
      </c>
      <c r="GF31">
        <v>0.52837383065797905</v>
      </c>
      <c r="GG31">
        <v>6.4173059529295404E-2</v>
      </c>
      <c r="GH31">
        <v>-3.6506685033251898E-2</v>
      </c>
      <c r="GI31">
        <v>0.133933435959737</v>
      </c>
      <c r="GJ31">
        <v>8.7022744146460704E-3</v>
      </c>
      <c r="GK31">
        <v>-3.6506685033251898E-2</v>
      </c>
      <c r="GL31">
        <v>0.10529235211042801</v>
      </c>
      <c r="GM31">
        <v>0.13067810941521599</v>
      </c>
      <c r="GN31">
        <v>0.113365727248408</v>
      </c>
      <c r="GO31">
        <v>-3.6506685033251898E-2</v>
      </c>
      <c r="GP31">
        <v>0.15133175699541701</v>
      </c>
      <c r="GQ31">
        <v>2.1618488596209001E-2</v>
      </c>
      <c r="GR31">
        <v>5.8628553695347599E-2</v>
      </c>
      <c r="GS31">
        <v>3.9183896795975698E-2</v>
      </c>
      <c r="GT31">
        <v>-3.6506685033251898E-2</v>
      </c>
      <c r="GU31">
        <v>9.22307000093298E-2</v>
      </c>
    </row>
    <row r="32" spans="1:203" ht="15.75" customHeight="1" x14ac:dyDescent="0.25">
      <c r="A32" s="12" t="s">
        <v>267</v>
      </c>
      <c r="B32" t="s">
        <v>43</v>
      </c>
      <c r="C32">
        <v>2.7104553402979101E-2</v>
      </c>
      <c r="D32">
        <v>0.19690735664811501</v>
      </c>
      <c r="E32">
        <v>-0.30790825659265098</v>
      </c>
      <c r="F32">
        <v>8.8598550592925707E-3</v>
      </c>
      <c r="G32">
        <v>-0.22074612496726301</v>
      </c>
      <c r="H32">
        <v>-7.4708825638977502E-2</v>
      </c>
      <c r="I32">
        <v>0.22815323641145999</v>
      </c>
      <c r="J32">
        <v>-9.8588020923627805E-3</v>
      </c>
      <c r="K32">
        <v>0.11425701363461099</v>
      </c>
      <c r="L32">
        <v>1.0582631157037699E-2</v>
      </c>
      <c r="M32">
        <v>-0.12857527085189199</v>
      </c>
      <c r="N32">
        <v>-0.118166415438117</v>
      </c>
      <c r="O32">
        <v>2.8147217547935002E-2</v>
      </c>
      <c r="P32">
        <v>2.8444620295482101E-2</v>
      </c>
      <c r="Q32">
        <v>0.149968902013875</v>
      </c>
      <c r="R32">
        <v>9.7497926965142007E-2</v>
      </c>
      <c r="S32">
        <v>0.14091702058388</v>
      </c>
      <c r="T32">
        <v>0.10998142617394099</v>
      </c>
      <c r="U32">
        <v>0.203972459215431</v>
      </c>
      <c r="V32">
        <v>0.21012168084171901</v>
      </c>
      <c r="W32">
        <v>6.8760631788044896E-2</v>
      </c>
      <c r="X32">
        <v>0.28295618520058602</v>
      </c>
      <c r="Y32">
        <v>8.6830272526711799E-2</v>
      </c>
      <c r="Z32">
        <v>0.255318316693665</v>
      </c>
      <c r="AA32">
        <v>0.27746568686186202</v>
      </c>
      <c r="AB32">
        <v>5.4489018388254602E-2</v>
      </c>
      <c r="AC32">
        <v>0.17267210267855099</v>
      </c>
      <c r="AD32">
        <v>-0.13063219408778201</v>
      </c>
      <c r="AE32">
        <v>0.29424426912554702</v>
      </c>
      <c r="AF32">
        <v>0.20762398637231</v>
      </c>
      <c r="AG32">
        <v>0.116210142425868</v>
      </c>
      <c r="AH32">
        <v>-1.17026982861897E-2</v>
      </c>
      <c r="AI32">
        <v>4.7056606583301602E-2</v>
      </c>
      <c r="AJ32">
        <v>-1.9759750455277499E-2</v>
      </c>
      <c r="AK32">
        <v>0.12958078373804099</v>
      </c>
      <c r="AL32">
        <v>0.117484888199421</v>
      </c>
      <c r="AM32">
        <v>0.14052946947863401</v>
      </c>
      <c r="AN32">
        <v>4.9401792730183899E-2</v>
      </c>
      <c r="AO32">
        <v>9.58536013147884E-2</v>
      </c>
      <c r="AP32">
        <v>5.8008715402658E-3</v>
      </c>
      <c r="AQ32">
        <v>0.30170477101703802</v>
      </c>
      <c r="AR32">
        <v>0.24415379517906299</v>
      </c>
      <c r="AS32">
        <v>0.12349567775555501</v>
      </c>
      <c r="AT32">
        <v>6.1665757507402802E-2</v>
      </c>
      <c r="AU32">
        <v>1.8602759974493101E-2</v>
      </c>
      <c r="AV32">
        <v>-0.159496478724591</v>
      </c>
      <c r="AW32">
        <v>2.79968746611748E-2</v>
      </c>
      <c r="AX32">
        <v>-4.9008995508158099E-2</v>
      </c>
      <c r="AY32">
        <v>-6.4749579684276595E-2</v>
      </c>
      <c r="AZ32">
        <v>-2.8525660632454899E-2</v>
      </c>
      <c r="BA32">
        <v>8.0981973841787892E-3</v>
      </c>
      <c r="BB32">
        <v>4.0893714705417E-2</v>
      </c>
      <c r="BC32">
        <v>-7.4235545092203301E-2</v>
      </c>
      <c r="BD32">
        <v>-5.2957782339417503E-2</v>
      </c>
      <c r="BE32">
        <v>-0.16172445494538801</v>
      </c>
      <c r="BF32">
        <v>0.17853536561014099</v>
      </c>
      <c r="BG32">
        <v>0.27645076421806197</v>
      </c>
      <c r="BH32">
        <v>0.14822008299932801</v>
      </c>
      <c r="BI32">
        <v>0.142843677637046</v>
      </c>
      <c r="BJ32">
        <v>0.27835898298482997</v>
      </c>
      <c r="BK32">
        <v>-9.7783106258886907E-2</v>
      </c>
      <c r="BL32">
        <v>-0.133977378189682</v>
      </c>
      <c r="BM32">
        <v>-2.67707427181566E-2</v>
      </c>
      <c r="BN32">
        <v>-8.0366207838686698E-2</v>
      </c>
      <c r="BO32">
        <v>-0.112328333402647</v>
      </c>
      <c r="BP32">
        <v>3.04754638887169E-2</v>
      </c>
      <c r="BQ32">
        <v>-7.6696041581446994E-2</v>
      </c>
      <c r="BR32">
        <v>0.42689470282403102</v>
      </c>
      <c r="BS32">
        <v>0.12782134857543201</v>
      </c>
      <c r="BT32">
        <v>0.19866958928858</v>
      </c>
      <c r="BU32">
        <v>0.198612896916318</v>
      </c>
      <c r="BV32">
        <v>-3.5587437869381199E-2</v>
      </c>
      <c r="BW32">
        <v>-0.16108032607647901</v>
      </c>
      <c r="BX32">
        <v>-4.92027623574917E-2</v>
      </c>
      <c r="BY32">
        <v>0</v>
      </c>
      <c r="BZ32">
        <v>2.0974902832523502E-2</v>
      </c>
      <c r="CA32">
        <v>5.9498620393436197E-3</v>
      </c>
      <c r="CB32">
        <v>5.3581364207115401E-2</v>
      </c>
      <c r="CC32">
        <v>-4.6129085077868601E-2</v>
      </c>
      <c r="CD32">
        <v>4.2423623595774403E-2</v>
      </c>
      <c r="CE32">
        <v>-0.33883025347336199</v>
      </c>
      <c r="CF32">
        <v>-0.121409329316405</v>
      </c>
      <c r="CG32">
        <v>0.112346807703175</v>
      </c>
      <c r="CH32">
        <v>7.1456284604192094E-2</v>
      </c>
      <c r="CI32">
        <v>-7.0034590250537598E-2</v>
      </c>
      <c r="CJ32">
        <v>-6.7113594062925302E-2</v>
      </c>
      <c r="CK32">
        <v>-7.1526247256682801E-2</v>
      </c>
      <c r="CL32">
        <v>-3.6067686685988698E-2</v>
      </c>
      <c r="CM32">
        <v>0.13027525241843499</v>
      </c>
      <c r="CN32">
        <v>-2.3158144745759699E-2</v>
      </c>
      <c r="CO32">
        <v>-0.113939724184563</v>
      </c>
      <c r="CP32">
        <v>-1.48867093444003E-2</v>
      </c>
      <c r="CQ32">
        <v>-0.17797281915985599</v>
      </c>
      <c r="CR32">
        <v>8.3199478242359601E-3</v>
      </c>
      <c r="CS32">
        <v>-0.224501887866429</v>
      </c>
      <c r="CT32">
        <v>5.9230085998438001E-2</v>
      </c>
      <c r="CU32">
        <v>-0.209442104547577</v>
      </c>
      <c r="CV32">
        <v>-0.33501755915144898</v>
      </c>
      <c r="CW32">
        <v>-0.39253309418655502</v>
      </c>
      <c r="CX32">
        <v>-0.32671648403569298</v>
      </c>
      <c r="CY32">
        <v>-0.32042123075143802</v>
      </c>
      <c r="CZ32">
        <v>-0.36892376286954098</v>
      </c>
      <c r="DA32">
        <v>-0.41406149815277499</v>
      </c>
      <c r="DB32">
        <v>-0.27785437558868198</v>
      </c>
      <c r="DC32">
        <v>-0.32404952903972201</v>
      </c>
      <c r="DD32">
        <v>-0.35001130543121101</v>
      </c>
      <c r="DE32">
        <v>-0.24387705982379701</v>
      </c>
      <c r="DF32">
        <v>-0.330657059270547</v>
      </c>
      <c r="DG32">
        <v>-0.31750905516170802</v>
      </c>
      <c r="DH32">
        <v>-0.186872013524402</v>
      </c>
      <c r="DI32">
        <v>-0.35476339830639902</v>
      </c>
      <c r="DJ32">
        <v>-0.33874637559972098</v>
      </c>
      <c r="DK32">
        <v>-0.260169870484592</v>
      </c>
      <c r="DL32">
        <v>-0.21770440070754701</v>
      </c>
      <c r="DM32">
        <v>-0.36517178962442298</v>
      </c>
      <c r="DN32">
        <v>-0.33214341874219</v>
      </c>
      <c r="DO32">
        <v>-0.26852449790507099</v>
      </c>
      <c r="DP32">
        <v>-0.34049928416438602</v>
      </c>
      <c r="DQ32">
        <v>-0.32013380361578903</v>
      </c>
      <c r="DR32">
        <v>-0.32702633964915401</v>
      </c>
      <c r="DS32">
        <v>-0.33042965004529101</v>
      </c>
      <c r="DT32">
        <v>-0.38759740000165999</v>
      </c>
      <c r="DU32">
        <v>0.21669430856647801</v>
      </c>
      <c r="DV32">
        <v>-4.0630720373162503E-2</v>
      </c>
      <c r="DW32">
        <v>0.318891247360924</v>
      </c>
      <c r="DX32">
        <v>0.46494487087353698</v>
      </c>
      <c r="DY32">
        <v>-0.32953053528840898</v>
      </c>
      <c r="DZ32">
        <v>-0.29946670238030398</v>
      </c>
      <c r="EA32">
        <v>-0.25205150545490301</v>
      </c>
      <c r="EB32">
        <v>4.6826211800233102E-2</v>
      </c>
      <c r="EC32">
        <v>0.15707685263143201</v>
      </c>
      <c r="ED32">
        <v>-0.339036230719231</v>
      </c>
      <c r="EE32">
        <v>-0.26799235217916301</v>
      </c>
      <c r="EF32">
        <v>-0.21555311194961799</v>
      </c>
      <c r="EG32">
        <v>-0.304445630455214</v>
      </c>
      <c r="EH32">
        <v>-0.28618138831485701</v>
      </c>
      <c r="EI32">
        <v>6.4111277324590396E-3</v>
      </c>
      <c r="EJ32">
        <v>-0.25339686280412999</v>
      </c>
      <c r="EK32">
        <v>-0.29906135978959902</v>
      </c>
      <c r="EL32">
        <v>-0.306376127543462</v>
      </c>
      <c r="EM32">
        <v>-0.32758829360488001</v>
      </c>
      <c r="EN32">
        <v>8.9308056600903296E-3</v>
      </c>
      <c r="EO32">
        <v>-0.22387450718346599</v>
      </c>
      <c r="EP32">
        <v>-0.17170577232628101</v>
      </c>
      <c r="EQ32">
        <v>0.105479925135126</v>
      </c>
      <c r="ER32">
        <v>-0.27153828571991301</v>
      </c>
      <c r="ES32">
        <v>-0.30800393708567803</v>
      </c>
      <c r="ET32">
        <v>9.4869555179833602E-4</v>
      </c>
      <c r="EU32">
        <v>-0.2455210427043</v>
      </c>
      <c r="EV32">
        <v>-0.38402900188605099</v>
      </c>
      <c r="EW32">
        <v>1.17260362503926</v>
      </c>
      <c r="EX32">
        <v>-0.26456238109095898</v>
      </c>
      <c r="EY32">
        <v>-0.18964243095904801</v>
      </c>
      <c r="EZ32">
        <v>-0.26281941857549801</v>
      </c>
      <c r="FA32">
        <v>-0.22161148112028001</v>
      </c>
      <c r="FB32">
        <v>-0.28529585307648497</v>
      </c>
      <c r="FC32">
        <v>-0.37284629850754503</v>
      </c>
      <c r="FD32">
        <v>-0.396975950612109</v>
      </c>
      <c r="FE32">
        <v>-0.41249461162208101</v>
      </c>
      <c r="FF32">
        <v>-0.42331260679011701</v>
      </c>
      <c r="FG32">
        <v>-0.38785083792498298</v>
      </c>
      <c r="FH32">
        <v>-0.25192591318127799</v>
      </c>
      <c r="FI32">
        <v>-0.13196442086948701</v>
      </c>
      <c r="FJ32">
        <v>-3.8870554952467898E-2</v>
      </c>
      <c r="FK32">
        <v>2.2855879984365501E-2</v>
      </c>
      <c r="FL32">
        <v>4.1303387874116001E-4</v>
      </c>
      <c r="FM32">
        <v>-7.2141562388154503E-3</v>
      </c>
      <c r="FN32">
        <v>4.3151106522780799E-2</v>
      </c>
      <c r="FO32">
        <v>0.30987978121045101</v>
      </c>
      <c r="FP32">
        <v>-0.138021514536178</v>
      </c>
      <c r="FQ32">
        <v>-0.28175404735910098</v>
      </c>
      <c r="FR32">
        <v>-7.7616799803901002E-2</v>
      </c>
      <c r="FS32">
        <v>-0.249029112047746</v>
      </c>
      <c r="FT32">
        <v>1.8067538546036701</v>
      </c>
      <c r="FU32">
        <v>2.2943326158340098</v>
      </c>
      <c r="FV32">
        <v>0.81615334105597803</v>
      </c>
      <c r="FW32">
        <v>1.2540494666200299</v>
      </c>
      <c r="FX32">
        <v>0.96256089567837999</v>
      </c>
      <c r="FY32">
        <v>0.74252571148537305</v>
      </c>
      <c r="FZ32">
        <v>0.392421179226356</v>
      </c>
      <c r="GA32">
        <v>0.57877711350662697</v>
      </c>
      <c r="GB32">
        <v>0.60691812969571102</v>
      </c>
      <c r="GC32">
        <v>0.67804642292138595</v>
      </c>
      <c r="GD32">
        <v>0.26542973120084401</v>
      </c>
      <c r="GE32">
        <v>0.498400222091538</v>
      </c>
      <c r="GF32">
        <v>0.14282501891546001</v>
      </c>
      <c r="GG32">
        <v>1.3168764516540401</v>
      </c>
      <c r="GH32">
        <v>1.87830222818437</v>
      </c>
      <c r="GI32">
        <v>1.4337084130942399</v>
      </c>
      <c r="GJ32">
        <v>1.3718505583099601</v>
      </c>
      <c r="GK32">
        <v>1.45252750902783</v>
      </c>
      <c r="GL32">
        <v>1.1676585247542499</v>
      </c>
      <c r="GM32">
        <v>1.8269436641871899</v>
      </c>
      <c r="GN32">
        <v>1.711948136011</v>
      </c>
      <c r="GO32">
        <v>0.73909234118525302</v>
      </c>
      <c r="GP32">
        <v>6.04175155604951E-2</v>
      </c>
      <c r="GQ32">
        <v>0.23217938622762799</v>
      </c>
      <c r="GR32">
        <v>1.5885189143835099</v>
      </c>
      <c r="GS32">
        <v>2.40772186699387</v>
      </c>
      <c r="GT32">
        <v>1.7510333737181001</v>
      </c>
      <c r="GU32">
        <v>2.0205357360827501</v>
      </c>
    </row>
    <row r="33" spans="1:203" x14ac:dyDescent="0.25">
      <c r="A33" s="12" t="s">
        <v>267</v>
      </c>
      <c r="B33" t="s">
        <v>54</v>
      </c>
      <c r="C33">
        <v>-1.31012092822353E-2</v>
      </c>
      <c r="D33">
        <v>-3.0024310134700399E-2</v>
      </c>
      <c r="E33">
        <v>-0.13003215105166599</v>
      </c>
      <c r="F33">
        <v>4.5025644088909503E-3</v>
      </c>
      <c r="G33">
        <v>-5.7076274841037299E-2</v>
      </c>
      <c r="H33">
        <v>-1.7032493953041999E-2</v>
      </c>
      <c r="I33">
        <v>1.3052628366634201E-2</v>
      </c>
      <c r="J33">
        <v>-4.6241428968877701E-2</v>
      </c>
      <c r="K33">
        <v>-6.7000479463969295E-2</v>
      </c>
      <c r="L33">
        <v>1.33126947463648E-2</v>
      </c>
      <c r="M33">
        <v>-1.46357455580107E-2</v>
      </c>
      <c r="N33">
        <v>-3.9987328853550198E-2</v>
      </c>
      <c r="O33">
        <v>-4.5797582806139997E-3</v>
      </c>
      <c r="P33">
        <v>1.2251342774403999E-2</v>
      </c>
      <c r="Q33">
        <v>-6.5017384453101498E-2</v>
      </c>
      <c r="R33">
        <v>3.77917934954069E-2</v>
      </c>
      <c r="S33">
        <v>-7.2895901933348606E-2</v>
      </c>
      <c r="T33">
        <v>0</v>
      </c>
      <c r="U33">
        <v>-6.4264557319989299E-2</v>
      </c>
      <c r="V33">
        <v>-3.2780115834214203E-2</v>
      </c>
      <c r="W33">
        <v>-2.0006787022621899E-2</v>
      </c>
      <c r="X33">
        <v>-2.0224173465610999E-2</v>
      </c>
      <c r="Y33" s="10">
        <v>-1.8376549135898701E-5</v>
      </c>
      <c r="Z33">
        <v>2.57942906534065E-2</v>
      </c>
      <c r="AA33">
        <v>-1.77368599725924E-2</v>
      </c>
      <c r="AB33">
        <v>-5.4337427070736903E-2</v>
      </c>
      <c r="AC33">
        <v>1.6982547799085802E-2</v>
      </c>
      <c r="AD33">
        <v>1.36784711753128E-2</v>
      </c>
      <c r="AE33">
        <v>-6.4639185664931195E-2</v>
      </c>
      <c r="AF33">
        <v>-2.8876943282062899E-2</v>
      </c>
      <c r="AG33">
        <v>1.6465172457598501E-2</v>
      </c>
      <c r="AH33">
        <v>-8.4468872350950797E-2</v>
      </c>
      <c r="AI33">
        <v>3.6805337821280502E-2</v>
      </c>
      <c r="AJ33">
        <v>7.9462824857857006E-3</v>
      </c>
      <c r="AK33">
        <v>-3.8969305443020102E-2</v>
      </c>
      <c r="AL33">
        <v>-2.54237992093241E-2</v>
      </c>
      <c r="AM33">
        <v>7.59852186487735E-2</v>
      </c>
      <c r="AN33">
        <v>1.6390063331741301E-2</v>
      </c>
      <c r="AO33">
        <v>-2.4798675361347701E-2</v>
      </c>
      <c r="AP33">
        <v>2.3773244646370401E-2</v>
      </c>
      <c r="AQ33">
        <v>-4.87926958203845E-2</v>
      </c>
      <c r="AR33">
        <v>-4.2134184791088998E-2</v>
      </c>
      <c r="AS33">
        <v>-2.97779892448451E-2</v>
      </c>
      <c r="AT33">
        <v>-1.12372551143254E-2</v>
      </c>
      <c r="AU33">
        <v>-5.5587023783497697E-2</v>
      </c>
      <c r="AV33">
        <v>-0.13003215105166599</v>
      </c>
      <c r="AW33">
        <v>-2.62438370450945E-2</v>
      </c>
      <c r="AX33">
        <v>-4.4571741922330398E-2</v>
      </c>
      <c r="AY33">
        <v>2.3238328569703301E-2</v>
      </c>
      <c r="AZ33">
        <v>-3.7749219930062701E-2</v>
      </c>
      <c r="BA33">
        <v>5.7465240010983402E-2</v>
      </c>
      <c r="BB33">
        <v>5.9108342430647401E-2</v>
      </c>
      <c r="BC33">
        <v>0.34833875168327999</v>
      </c>
      <c r="BD33">
        <v>2.86569501925273E-2</v>
      </c>
      <c r="BE33">
        <v>2.4418701016501499E-2</v>
      </c>
      <c r="BF33">
        <v>9.1925893583658005E-2</v>
      </c>
      <c r="BG33">
        <v>8.4101658252676501E-2</v>
      </c>
      <c r="BH33">
        <v>0.12917090126719999</v>
      </c>
      <c r="BI33">
        <v>0.10994651884454899</v>
      </c>
      <c r="BJ33">
        <v>7.3069214107840702E-2</v>
      </c>
      <c r="BK33">
        <v>-3.6625860175647999E-2</v>
      </c>
      <c r="BL33">
        <v>3.91070678705056E-3</v>
      </c>
      <c r="BM33">
        <v>-5.4957185491612701E-2</v>
      </c>
      <c r="BN33">
        <v>4.6393212225000702E-2</v>
      </c>
      <c r="BO33">
        <v>8.0915679339839206E-3</v>
      </c>
      <c r="BP33">
        <v>-1.5698535420296301E-2</v>
      </c>
      <c r="BQ33">
        <v>5.6409810963085602E-2</v>
      </c>
      <c r="BR33">
        <v>0.140895147159567</v>
      </c>
      <c r="BS33">
        <v>0.106975719708888</v>
      </c>
      <c r="BT33">
        <v>9.2304142154547103E-2</v>
      </c>
      <c r="BU33">
        <v>-5.4195439089534003E-2</v>
      </c>
      <c r="BV33">
        <v>1.5328777222857101E-2</v>
      </c>
      <c r="BW33">
        <v>-5.6821198688331603E-2</v>
      </c>
      <c r="BX33">
        <v>3.5534331021417398E-2</v>
      </c>
      <c r="BY33">
        <v>-3.9167113559571899E-2</v>
      </c>
      <c r="BZ33">
        <v>1.59830420518942E-2</v>
      </c>
      <c r="CA33">
        <v>0.12986150957286599</v>
      </c>
      <c r="CB33">
        <v>2.7685922195392398E-2</v>
      </c>
      <c r="CC33">
        <v>4.3926175785115602E-2</v>
      </c>
      <c r="CD33">
        <v>0.15639090064840799</v>
      </c>
      <c r="CE33">
        <v>1.42496806716065E-2</v>
      </c>
      <c r="CF33">
        <v>7.1255485301705501E-2</v>
      </c>
      <c r="CG33">
        <v>1.8741143823239599E-3</v>
      </c>
      <c r="CH33">
        <v>6.3709560837463203E-3</v>
      </c>
      <c r="CI33">
        <v>0.103452267407071</v>
      </c>
      <c r="CJ33">
        <v>2.6955750185182498E-2</v>
      </c>
      <c r="CK33">
        <v>-2.2684383241174499E-2</v>
      </c>
      <c r="CL33">
        <v>-1.0425523359338201E-2</v>
      </c>
      <c r="CM33">
        <v>-5.0240511658332203E-2</v>
      </c>
      <c r="CN33">
        <v>-1.5279187960205101E-2</v>
      </c>
      <c r="CO33">
        <v>1.01656893466589E-2</v>
      </c>
      <c r="CP33">
        <v>2.6340445003851801E-2</v>
      </c>
      <c r="CQ33">
        <v>-4.2627744507193997E-3</v>
      </c>
      <c r="CR33">
        <v>1.4483714807016801E-2</v>
      </c>
      <c r="CS33">
        <v>-6.0988765896212799E-2</v>
      </c>
      <c r="CT33">
        <v>-1.0685172261848E-3</v>
      </c>
      <c r="CU33">
        <v>-4.9917753416402498E-2</v>
      </c>
      <c r="CV33">
        <v>-0.13003215105166599</v>
      </c>
      <c r="CW33">
        <v>-3.5756169637092501E-2</v>
      </c>
      <c r="CX33">
        <v>-1.9081682526792799E-2</v>
      </c>
      <c r="CY33">
        <v>1.9168327730886701E-2</v>
      </c>
      <c r="CZ33">
        <v>-5.5119544571272799E-3</v>
      </c>
      <c r="DA33">
        <v>-1.47767352638039E-2</v>
      </c>
      <c r="DB33">
        <v>-1.44520407043588E-2</v>
      </c>
      <c r="DC33">
        <v>-4.9672626066496001E-2</v>
      </c>
      <c r="DD33">
        <v>-4.7172360356013701E-2</v>
      </c>
      <c r="DE33">
        <v>3.0987798423330201E-2</v>
      </c>
      <c r="DF33">
        <v>-1.0665661283155801E-2</v>
      </c>
      <c r="DG33">
        <v>-5.4728189834130803E-2</v>
      </c>
      <c r="DH33">
        <v>-1.6110794139697699E-2</v>
      </c>
      <c r="DI33">
        <v>-2.2484093428082001E-2</v>
      </c>
      <c r="DJ33">
        <v>0.17629539270892</v>
      </c>
      <c r="DK33">
        <v>-9.9246099274576793E-3</v>
      </c>
      <c r="DL33">
        <v>-5.5422254810951997E-3</v>
      </c>
      <c r="DM33">
        <v>-3.5095992087981497E-2</v>
      </c>
      <c r="DN33">
        <v>-4.7290523136022299E-2</v>
      </c>
      <c r="DO33">
        <v>1.2348447103589601E-2</v>
      </c>
      <c r="DP33">
        <v>-3.8212492224525801E-2</v>
      </c>
      <c r="DQ33">
        <v>9.9419939206524897E-3</v>
      </c>
      <c r="DR33">
        <v>2.2852965105964601E-2</v>
      </c>
      <c r="DS33">
        <v>-9.7455763889269399E-3</v>
      </c>
      <c r="DT33">
        <v>-5.7521602465217599E-2</v>
      </c>
      <c r="DU33">
        <v>4.7758467490052199E-2</v>
      </c>
      <c r="DV33">
        <v>4.3320028785100301E-2</v>
      </c>
      <c r="DW33">
        <v>7.1853493051780695E-2</v>
      </c>
      <c r="DX33">
        <v>0.13181327556089401</v>
      </c>
      <c r="DY33">
        <v>-7.2835330466703404E-3</v>
      </c>
      <c r="DZ33">
        <v>4.6026423595125496E-3</v>
      </c>
      <c r="EA33">
        <v>-2.8039666162683701E-2</v>
      </c>
      <c r="EB33">
        <v>-2.1150560081077399E-3</v>
      </c>
      <c r="EC33">
        <v>5.1657794384422598E-2</v>
      </c>
      <c r="ED33">
        <v>-7.2523353157050496E-2</v>
      </c>
      <c r="EE33">
        <v>5.1214654186080198E-2</v>
      </c>
      <c r="EF33">
        <v>5.08304389313586E-2</v>
      </c>
      <c r="EG33">
        <v>-4.7055056122844103E-3</v>
      </c>
      <c r="EH33">
        <v>-1.39888580709973E-2</v>
      </c>
      <c r="EI33">
        <v>-0.13003215105166599</v>
      </c>
      <c r="EJ33">
        <v>-2.27999584158779E-2</v>
      </c>
      <c r="EK33">
        <v>3.10144377468425E-2</v>
      </c>
      <c r="EL33">
        <v>-1.8780687443807901E-2</v>
      </c>
      <c r="EM33">
        <v>4.3257718119181898E-3</v>
      </c>
      <c r="EN33">
        <v>-9.2457677205642005E-3</v>
      </c>
      <c r="EO33">
        <v>-8.4553867650318994E-3</v>
      </c>
      <c r="EP33">
        <v>2.0052241844299101E-2</v>
      </c>
      <c r="EQ33">
        <v>-8.93002237679449E-2</v>
      </c>
      <c r="ER33">
        <v>-1.38434081593347E-2</v>
      </c>
      <c r="ES33">
        <v>5.1012941355074698E-2</v>
      </c>
      <c r="ET33">
        <v>-7.2689532481208297E-2</v>
      </c>
      <c r="EU33">
        <v>-6.7577605763825099E-2</v>
      </c>
      <c r="EV33">
        <v>-7.8955595945634699E-2</v>
      </c>
      <c r="EW33">
        <v>-4.2890116995579597E-2</v>
      </c>
      <c r="EX33">
        <v>-9.0898666583898502E-2</v>
      </c>
      <c r="EY33">
        <v>-4.8768360120354702E-2</v>
      </c>
      <c r="EZ33">
        <v>-2.6478767310518798E-2</v>
      </c>
      <c r="FA33">
        <v>-7.5075363990506197E-2</v>
      </c>
      <c r="FB33">
        <v>-9.0651231675180202E-2</v>
      </c>
      <c r="FC33">
        <v>-9.1436869317866695E-2</v>
      </c>
      <c r="FD33">
        <v>-7.4889008794377196E-2</v>
      </c>
      <c r="FE33">
        <v>-0.10976298115257201</v>
      </c>
      <c r="FF33">
        <v>-9.3236809253674904E-2</v>
      </c>
      <c r="FG33">
        <v>-4.6381342590478797E-2</v>
      </c>
      <c r="FH33">
        <v>4.4897336235619999E-2</v>
      </c>
      <c r="FI33">
        <v>3.7560689567486497E-2</v>
      </c>
      <c r="FJ33">
        <v>-9.3669600973327799E-2</v>
      </c>
      <c r="FK33">
        <v>5.6914808433928203E-2</v>
      </c>
      <c r="FL33">
        <v>-5.7052778364675101E-2</v>
      </c>
      <c r="FM33">
        <v>-2.47827864761812E-2</v>
      </c>
      <c r="FN33">
        <v>-6.6791227929462293E-2</v>
      </c>
      <c r="FO33">
        <v>0.93600139477035504</v>
      </c>
      <c r="FP33">
        <v>-6.0545620468464102E-2</v>
      </c>
      <c r="FQ33">
        <v>0.101914049522092</v>
      </c>
      <c r="FR33">
        <v>-8.08427653756109E-2</v>
      </c>
      <c r="FS33">
        <v>5.2169644196591002E-2</v>
      </c>
      <c r="FT33">
        <v>0.318218886163875</v>
      </c>
      <c r="FU33">
        <v>0.46841133854525202</v>
      </c>
      <c r="FV33">
        <v>0.16919558701031201</v>
      </c>
      <c r="FW33">
        <v>0.35252333164164601</v>
      </c>
      <c r="FX33">
        <v>0.27724244161549</v>
      </c>
      <c r="FY33">
        <v>0.213322887660223</v>
      </c>
      <c r="FZ33">
        <v>0.181955772135213</v>
      </c>
      <c r="GA33">
        <v>0.29005456359336301</v>
      </c>
      <c r="GB33">
        <v>0.42350089663145102</v>
      </c>
      <c r="GC33">
        <v>0.37991838554920099</v>
      </c>
      <c r="GD33">
        <v>0.24630083457807</v>
      </c>
      <c r="GE33">
        <v>0.65893226262944105</v>
      </c>
      <c r="GF33">
        <v>0.84705031400150999</v>
      </c>
      <c r="GG33">
        <v>0.32030020342992699</v>
      </c>
      <c r="GH33">
        <v>0.92887838874005502</v>
      </c>
      <c r="GI33">
        <v>0.54958843911032496</v>
      </c>
      <c r="GJ33">
        <v>0.24127049436212999</v>
      </c>
      <c r="GK33">
        <v>0.55128828093432403</v>
      </c>
      <c r="GL33">
        <v>0.32041814520528999</v>
      </c>
      <c r="GM33">
        <v>0.57197400436409596</v>
      </c>
      <c r="GN33">
        <v>0.441822230867493</v>
      </c>
      <c r="GO33">
        <v>0.82097319733971497</v>
      </c>
      <c r="GP33">
        <v>0.42017233964954998</v>
      </c>
      <c r="GQ33">
        <v>0.41661729139402598</v>
      </c>
      <c r="GR33">
        <v>0.66776693749878502</v>
      </c>
      <c r="GS33">
        <v>0.68366370145712896</v>
      </c>
      <c r="GT33">
        <v>0.27266881755543498</v>
      </c>
      <c r="GU33">
        <v>0.33346028588362098</v>
      </c>
    </row>
    <row r="34" spans="1:203" x14ac:dyDescent="0.25">
      <c r="A34" s="12" t="s">
        <v>267</v>
      </c>
      <c r="B34" t="s">
        <v>53</v>
      </c>
      <c r="C34">
        <v>7.3468398996075102E-2</v>
      </c>
      <c r="D34">
        <v>-1.79440867575154E-3</v>
      </c>
      <c r="E34">
        <v>9.6384769875277707E-2</v>
      </c>
      <c r="F34">
        <v>3.0984670739329399E-2</v>
      </c>
      <c r="G34">
        <v>2.83106455379458E-3</v>
      </c>
      <c r="H34">
        <v>1.1197407505906601E-2</v>
      </c>
      <c r="I34">
        <v>2.8434196004145099E-2</v>
      </c>
      <c r="J34">
        <v>7.5474374077429199E-2</v>
      </c>
      <c r="K34">
        <v>1.6452320977346301E-2</v>
      </c>
      <c r="L34">
        <v>7.5628089475442098E-2</v>
      </c>
      <c r="M34">
        <v>-5.5407919174830698E-2</v>
      </c>
      <c r="N34">
        <v>-1.1757427394601399E-2</v>
      </c>
      <c r="O34">
        <v>4.6043863270043402E-2</v>
      </c>
      <c r="P34">
        <v>4.0371077761677199E-2</v>
      </c>
      <c r="Q34">
        <v>0.126147644674936</v>
      </c>
      <c r="R34">
        <v>0.114790282105112</v>
      </c>
      <c r="S34">
        <v>2.3056353970517401E-2</v>
      </c>
      <c r="T34">
        <v>7.8103402617999307E-2</v>
      </c>
      <c r="U34">
        <v>5.8022964358521799E-2</v>
      </c>
      <c r="V34">
        <v>3.90415249284475E-2</v>
      </c>
      <c r="W34">
        <v>4.8836247834652402E-2</v>
      </c>
      <c r="X34">
        <v>1.8532713535721699E-2</v>
      </c>
      <c r="Y34">
        <v>3.1880782601734901E-2</v>
      </c>
      <c r="Z34">
        <v>4.3065563719509703E-2</v>
      </c>
      <c r="AA34">
        <v>-6.1685501833537897E-3</v>
      </c>
      <c r="AB34">
        <v>2.5609056296389099E-2</v>
      </c>
      <c r="AC34">
        <v>9.4197862096468705E-3</v>
      </c>
      <c r="AD34">
        <v>7.7011279326738194E-2</v>
      </c>
      <c r="AE34">
        <v>5.8147395920060803E-2</v>
      </c>
      <c r="AF34">
        <v>0.187776517287505</v>
      </c>
      <c r="AG34">
        <v>4.2443631047141397E-2</v>
      </c>
      <c r="AH34">
        <v>4.7678761711923603E-2</v>
      </c>
      <c r="AI34">
        <v>0</v>
      </c>
      <c r="AJ34">
        <v>0.14153101280359501</v>
      </c>
      <c r="AK34">
        <v>8.6025953158014506E-2</v>
      </c>
      <c r="AL34">
        <v>0.144635833855532</v>
      </c>
      <c r="AM34">
        <v>3.7661343410760502E-2</v>
      </c>
      <c r="AN34">
        <v>8.8399848402287706E-2</v>
      </c>
      <c r="AO34">
        <v>0.127999953856479</v>
      </c>
      <c r="AP34">
        <v>-0.101802249592717</v>
      </c>
      <c r="AQ34">
        <v>0.10750881128550301</v>
      </c>
      <c r="AR34">
        <v>-1.39042833321403E-2</v>
      </c>
      <c r="AS34">
        <v>0.10924277402728</v>
      </c>
      <c r="AT34">
        <v>7.4043617405751702E-2</v>
      </c>
      <c r="AU34">
        <v>7.6353589263414207E-2</v>
      </c>
      <c r="AV34">
        <v>-1.3979093451315301E-2</v>
      </c>
      <c r="AW34">
        <v>0.119297998077905</v>
      </c>
      <c r="AX34">
        <v>9.9582948906963994E-2</v>
      </c>
      <c r="AY34">
        <v>8.0948484523908598E-2</v>
      </c>
      <c r="AZ34">
        <v>3.5978007988370801E-2</v>
      </c>
      <c r="BA34">
        <v>0.18059926961428399</v>
      </c>
      <c r="BB34">
        <v>3.3666955522492201E-2</v>
      </c>
      <c r="BC34">
        <v>0.15038654519412201</v>
      </c>
      <c r="BD34">
        <v>0.118149197795531</v>
      </c>
      <c r="BE34">
        <v>-1.8165959511230101E-3</v>
      </c>
      <c r="BF34">
        <v>0.172180917480939</v>
      </c>
      <c r="BG34">
        <v>0.31717924900747602</v>
      </c>
      <c r="BH34">
        <v>0.22617774124600001</v>
      </c>
      <c r="BI34">
        <v>0.33752788250854798</v>
      </c>
      <c r="BJ34">
        <v>0.17780169607068</v>
      </c>
      <c r="BK34">
        <v>9.1841355745356096E-2</v>
      </c>
      <c r="BL34">
        <v>4.47718026953371E-2</v>
      </c>
      <c r="BM34">
        <v>0.106909165366045</v>
      </c>
      <c r="BN34">
        <v>0.144671157786186</v>
      </c>
      <c r="BO34">
        <v>0.186862725404629</v>
      </c>
      <c r="BP34">
        <v>0.115531130736491</v>
      </c>
      <c r="BQ34">
        <v>0.139178321708123</v>
      </c>
      <c r="BR34">
        <v>0.18880268513554499</v>
      </c>
      <c r="BS34">
        <v>0.11103482555310699</v>
      </c>
      <c r="BT34">
        <v>4.9737948268398301E-2</v>
      </c>
      <c r="BU34">
        <v>0.130387837769883</v>
      </c>
      <c r="BV34">
        <v>9.2739381377989594E-2</v>
      </c>
      <c r="BW34">
        <v>4.2334785774994201E-2</v>
      </c>
      <c r="BX34">
        <v>0.19226266215931001</v>
      </c>
      <c r="BY34">
        <v>0.12336281227939901</v>
      </c>
      <c r="BZ34">
        <v>0.21829404613355299</v>
      </c>
      <c r="CA34">
        <v>0.10581999455654</v>
      </c>
      <c r="CB34">
        <v>-4.7843729573283499E-2</v>
      </c>
      <c r="CC34">
        <v>0.202347689854734</v>
      </c>
      <c r="CD34">
        <v>0.156595734002968</v>
      </c>
      <c r="CE34">
        <v>0.359586155154619</v>
      </c>
      <c r="CF34">
        <v>9.9485386760654299E-2</v>
      </c>
      <c r="CG34">
        <v>0.305509820081517</v>
      </c>
      <c r="CH34">
        <v>0.145693576424786</v>
      </c>
      <c r="CI34">
        <v>1.1467701446889E-2</v>
      </c>
      <c r="CJ34">
        <v>0.12296649385538901</v>
      </c>
      <c r="CK34">
        <v>8.2416414273196903E-2</v>
      </c>
      <c r="CL34">
        <v>0.166336027720488</v>
      </c>
      <c r="CM34">
        <v>2.5377104912682202E-2</v>
      </c>
      <c r="CN34">
        <v>0.12104374143542</v>
      </c>
      <c r="CO34">
        <v>0.123861888606392</v>
      </c>
      <c r="CP34">
        <v>0.276702141682377</v>
      </c>
      <c r="CQ34">
        <v>9.4469916410657995E-2</v>
      </c>
      <c r="CR34">
        <v>0.13492231212692399</v>
      </c>
      <c r="CS34">
        <v>0.100205139699398</v>
      </c>
      <c r="CT34">
        <v>0.13990495474338499</v>
      </c>
      <c r="CU34">
        <v>0.17456174642307001</v>
      </c>
      <c r="CV34">
        <v>-3.8159631407441601E-2</v>
      </c>
      <c r="CW34">
        <v>-2.6398835576731599E-2</v>
      </c>
      <c r="CX34">
        <v>-5.1069713401375998E-2</v>
      </c>
      <c r="CY34">
        <v>-9.3663418549114599E-2</v>
      </c>
      <c r="CZ34">
        <v>-6.4649284953953806E-2</v>
      </c>
      <c r="DA34">
        <v>-8.3342116598726201E-2</v>
      </c>
      <c r="DB34">
        <v>-4.8652928517739398E-2</v>
      </c>
      <c r="DC34">
        <v>-3.47901565549339E-2</v>
      </c>
      <c r="DD34">
        <v>-7.1455444777485097E-2</v>
      </c>
      <c r="DE34">
        <v>-2.6197059674893702E-2</v>
      </c>
      <c r="DF34">
        <v>-2.8894747874954899E-2</v>
      </c>
      <c r="DG34">
        <v>3.46115291811368E-3</v>
      </c>
      <c r="DH34">
        <v>-3.7873745194933597E-2</v>
      </c>
      <c r="DI34">
        <v>-6.7411387308865103E-2</v>
      </c>
      <c r="DJ34">
        <v>-6.0379003817331002E-2</v>
      </c>
      <c r="DK34">
        <v>-4.2157752372386399E-2</v>
      </c>
      <c r="DL34">
        <v>-0.101802249592717</v>
      </c>
      <c r="DM34">
        <v>-2.2397734761200699E-2</v>
      </c>
      <c r="DN34">
        <v>-5.2924139247994197E-2</v>
      </c>
      <c r="DO34">
        <v>-6.85496817417732E-2</v>
      </c>
      <c r="DP34">
        <v>-7.47243246976073E-2</v>
      </c>
      <c r="DQ34">
        <v>-7.2945897308858698E-2</v>
      </c>
      <c r="DR34">
        <v>-3.2096049317561001E-4</v>
      </c>
      <c r="DS34">
        <v>-6.7130246937713897E-2</v>
      </c>
      <c r="DT34">
        <v>-5.32482560619814E-2</v>
      </c>
      <c r="DU34">
        <v>-4.7105321050227703E-2</v>
      </c>
      <c r="DV34">
        <v>-7.4182295473337406E-2</v>
      </c>
      <c r="DW34">
        <v>-7.8433669110767795E-2</v>
      </c>
      <c r="DX34">
        <v>-4.60850037685629E-2</v>
      </c>
      <c r="DY34">
        <v>-4.6701204576081803E-2</v>
      </c>
      <c r="DZ34">
        <v>-7.4230053482689295E-2</v>
      </c>
      <c r="EA34">
        <v>-5.67194634522327E-2</v>
      </c>
      <c r="EB34">
        <v>0.32273415931288701</v>
      </c>
      <c r="EC34">
        <v>0.36011888650334201</v>
      </c>
      <c r="ED34">
        <v>-2.78858664197786E-2</v>
      </c>
      <c r="EE34">
        <v>-6.4895834526441806E-2</v>
      </c>
      <c r="EF34">
        <v>8.5652864799404996E-2</v>
      </c>
      <c r="EG34">
        <v>3.2436241331386999E-2</v>
      </c>
      <c r="EH34">
        <v>3.8010220102116098E-2</v>
      </c>
      <c r="EI34">
        <v>-6.5777794320146504E-3</v>
      </c>
      <c r="EJ34">
        <v>-3.5739335126155097E-2</v>
      </c>
      <c r="EK34">
        <v>-0.101802249592717</v>
      </c>
      <c r="EL34">
        <v>-1.3330696546989399E-2</v>
      </c>
      <c r="EM34">
        <v>-4.5920897736044602E-2</v>
      </c>
      <c r="EN34">
        <v>-8.7468618623457894E-2</v>
      </c>
      <c r="EO34">
        <v>-4.7276127030658199E-2</v>
      </c>
      <c r="EP34">
        <v>-0.101802249592717</v>
      </c>
      <c r="EQ34">
        <v>-8.1359126199893703E-2</v>
      </c>
      <c r="ER34">
        <v>-0.101802249592717</v>
      </c>
      <c r="ES34">
        <v>-7.0331458854259898E-2</v>
      </c>
      <c r="ET34">
        <v>-0.101802249592717</v>
      </c>
      <c r="EU34">
        <v>-3.9347704304876302E-2</v>
      </c>
      <c r="EV34">
        <v>-0.101802249592717</v>
      </c>
      <c r="EW34">
        <v>-0.101802249592717</v>
      </c>
      <c r="EX34">
        <v>-8.8731091687802799E-2</v>
      </c>
      <c r="EY34">
        <v>-0.101802249592717</v>
      </c>
      <c r="EZ34">
        <v>-0.101802249592717</v>
      </c>
      <c r="FA34">
        <v>-4.6845462531557497E-2</v>
      </c>
      <c r="FB34">
        <v>-8.6540932065127196E-2</v>
      </c>
      <c r="FC34">
        <v>-6.9633401762937794E-2</v>
      </c>
      <c r="FD34">
        <v>-8.6186688610835796E-2</v>
      </c>
      <c r="FE34">
        <v>-8.8312278690694204E-2</v>
      </c>
      <c r="FF34">
        <v>-7.7236378558122903E-2</v>
      </c>
      <c r="FG34">
        <v>-4.5699243800842601E-2</v>
      </c>
      <c r="FH34">
        <v>-0.101802249592717</v>
      </c>
      <c r="FI34">
        <v>-2.5975732795554402E-2</v>
      </c>
      <c r="FJ34">
        <v>-2.97299117843625E-2</v>
      </c>
      <c r="FK34">
        <v>-0.101802249592717</v>
      </c>
      <c r="FL34">
        <v>-7.4289380436457095E-2</v>
      </c>
      <c r="FM34">
        <v>-0.101802249592717</v>
      </c>
      <c r="FN34">
        <v>-8.0531016533489902E-2</v>
      </c>
      <c r="FO34">
        <v>-0.101802249592717</v>
      </c>
      <c r="FP34">
        <v>-0.101802249592717</v>
      </c>
      <c r="FQ34">
        <v>-2.30756883993582E-2</v>
      </c>
      <c r="FR34">
        <v>-5.26128639166622E-2</v>
      </c>
      <c r="FS34">
        <v>-3.9263364025877101E-2</v>
      </c>
      <c r="FT34">
        <v>-2.9935026770575902E-2</v>
      </c>
      <c r="FU34">
        <v>-3.2562288520817197E-2</v>
      </c>
      <c r="FV34">
        <v>-0.101802249592717</v>
      </c>
      <c r="FW34">
        <v>-2.3545393743654001E-2</v>
      </c>
      <c r="FX34">
        <v>-0.101802249592717</v>
      </c>
      <c r="FY34">
        <v>-9.2682562026425892E-3</v>
      </c>
      <c r="FZ34">
        <v>-0.101802249592717</v>
      </c>
      <c r="GA34">
        <v>-0.101802249592717</v>
      </c>
      <c r="GB34">
        <v>-4.5375187850197601E-3</v>
      </c>
      <c r="GC34">
        <v>1.1045521472860099E-2</v>
      </c>
      <c r="GD34">
        <v>-3.24409436102042E-2</v>
      </c>
      <c r="GE34">
        <v>7.4617004604883394E-2</v>
      </c>
      <c r="GF34">
        <v>0.14480937060112301</v>
      </c>
      <c r="GG34">
        <v>-0.101802249592717</v>
      </c>
      <c r="GH34">
        <v>-0.101802249592717</v>
      </c>
      <c r="GI34">
        <v>1.37518152142248E-2</v>
      </c>
      <c r="GJ34">
        <v>-5.6593290144819203E-2</v>
      </c>
      <c r="GK34">
        <v>-0.101802249592717</v>
      </c>
      <c r="GL34">
        <v>-2.9354632281266699E-2</v>
      </c>
      <c r="GM34">
        <v>-1.5997663332786401E-2</v>
      </c>
      <c r="GN34">
        <v>9.5216704642665406E-2</v>
      </c>
      <c r="GO34">
        <v>-0.101802249592717</v>
      </c>
      <c r="GP34">
        <v>-0.101802249592717</v>
      </c>
      <c r="GQ34">
        <v>-0.101802249592717</v>
      </c>
      <c r="GR34">
        <v>0.46780705489351299</v>
      </c>
      <c r="GS34">
        <v>-2.61116677634897E-2</v>
      </c>
      <c r="GT34">
        <v>5.4219762208833698E-2</v>
      </c>
      <c r="GU34">
        <v>-0.101802249592717</v>
      </c>
    </row>
    <row r="35" spans="1:203" s="11" customFormat="1" ht="15.75" thickBot="1" x14ac:dyDescent="0.3">
      <c r="A35" s="11" t="s">
        <v>267</v>
      </c>
      <c r="B35" s="11" t="s">
        <v>47</v>
      </c>
      <c r="C35" s="11">
        <v>3.9364993541404998E-2</v>
      </c>
      <c r="D35" s="11">
        <v>-1.9143578932453099E-2</v>
      </c>
      <c r="E35" s="11">
        <v>1.44891649712128E-2</v>
      </c>
      <c r="F35" s="11">
        <v>-8.9957754866094603E-3</v>
      </c>
      <c r="G35" s="11">
        <v>-1.44193647745801E-2</v>
      </c>
      <c r="H35" s="11">
        <v>-9.8820130236544398E-3</v>
      </c>
      <c r="I35" s="11">
        <v>-1.05351020131755E-2</v>
      </c>
      <c r="J35" s="11">
        <v>-1.9143578932453099E-2</v>
      </c>
      <c r="K35" s="11">
        <v>1.2564778131651201E-2</v>
      </c>
      <c r="L35" s="11">
        <v>1.8044914547427199E-2</v>
      </c>
      <c r="M35" s="11">
        <v>4.0939063741667302E-3</v>
      </c>
      <c r="N35" s="11">
        <v>-1.9143578932453099E-2</v>
      </c>
      <c r="O35" s="11">
        <v>-9.0150384458039592E-3</v>
      </c>
      <c r="P35" s="11">
        <v>-9.9137636796240293E-4</v>
      </c>
      <c r="Q35" s="11">
        <v>-2.8789721114748498E-3</v>
      </c>
      <c r="R35" s="11">
        <v>-8.5673643962942102E-3</v>
      </c>
      <c r="S35" s="11">
        <v>-1.3372951554867401E-3</v>
      </c>
      <c r="T35" s="11">
        <v>-1.00428699987564E-2</v>
      </c>
      <c r="U35" s="11">
        <v>-1.9143578932453099E-2</v>
      </c>
      <c r="V35" s="11">
        <v>-4.2561459965126099E-4</v>
      </c>
      <c r="W35" s="11">
        <v>8.6066671178767207E-3</v>
      </c>
      <c r="X35" s="11">
        <v>5.3140287019551001E-2</v>
      </c>
      <c r="Y35" s="11">
        <v>-1.1879146251457099E-3</v>
      </c>
      <c r="Z35" s="11">
        <v>-1.9143578932453099E-2</v>
      </c>
      <c r="AA35" s="11">
        <v>-1.2824714542493801E-2</v>
      </c>
      <c r="AB35" s="11">
        <v>-1.0717584064082601E-2</v>
      </c>
      <c r="AC35" s="11">
        <v>-1.9143578932453099E-2</v>
      </c>
      <c r="AD35" s="11">
        <v>1.7301857880390101E-2</v>
      </c>
      <c r="AE35" s="11">
        <v>-1.9143578932453099E-2</v>
      </c>
      <c r="AF35" s="11">
        <v>-1.9143578932453099E-2</v>
      </c>
      <c r="AG35" s="11">
        <v>-1.6450215047873699E-4</v>
      </c>
      <c r="AH35" s="11">
        <v>5.6444345649210297E-2</v>
      </c>
      <c r="AI35" s="11">
        <v>1.53881374412275E-2</v>
      </c>
      <c r="AJ35" s="11">
        <v>9.0557759384783196E-3</v>
      </c>
      <c r="AK35" s="11">
        <v>2.64993970844433E-2</v>
      </c>
      <c r="AL35" s="11">
        <v>1.50653901740186E-3</v>
      </c>
      <c r="AM35" s="11">
        <v>-5.9959902869518604E-3</v>
      </c>
      <c r="AN35" s="11">
        <v>-1.1656558848782E-2</v>
      </c>
      <c r="AO35" s="11">
        <v>4.1416141529274302E-2</v>
      </c>
      <c r="AP35" s="11">
        <v>8.4958803291011603E-2</v>
      </c>
      <c r="AQ35" s="11">
        <v>-5.5433742760489799E-3</v>
      </c>
      <c r="AR35" s="11">
        <v>6.8754387328124097E-2</v>
      </c>
      <c r="AS35" s="11">
        <v>-1.31132188994737E-2</v>
      </c>
      <c r="AT35" s="11">
        <v>-1.9143578932453099E-2</v>
      </c>
      <c r="AU35" s="11">
        <v>-1.9143578932453099E-2</v>
      </c>
      <c r="AV35" s="11">
        <v>6.8679577208948905E-2</v>
      </c>
      <c r="AW35" s="11">
        <v>0.13820089946807901</v>
      </c>
      <c r="AX35" s="11">
        <v>-3.0737513094600201E-4</v>
      </c>
      <c r="AY35" s="11">
        <v>-1.9143578932453099E-2</v>
      </c>
      <c r="AZ35" s="11">
        <v>1.7345702392901001E-2</v>
      </c>
      <c r="BA35" s="11">
        <v>1.9468126303873502E-2</v>
      </c>
      <c r="BB35" s="11">
        <v>-1.9143578932453099E-2</v>
      </c>
      <c r="BC35" s="11">
        <v>-1.9143578932453099E-2</v>
      </c>
      <c r="BD35" s="11">
        <v>-1.9143578932453099E-2</v>
      </c>
      <c r="BE35" s="11">
        <v>-1.9143578932453099E-2</v>
      </c>
      <c r="BF35" s="11">
        <v>0.16086058904388101</v>
      </c>
      <c r="BG35" s="11">
        <v>0.226945714408783</v>
      </c>
      <c r="BH35" s="11">
        <v>-1.9143578932453099E-2</v>
      </c>
      <c r="BI35" s="11">
        <v>8.5747588794545998E-2</v>
      </c>
      <c r="BJ35" s="11">
        <v>0.12518786530798301</v>
      </c>
      <c r="BK35" s="11">
        <v>-5.7443942705433498E-3</v>
      </c>
      <c r="BL35" s="11">
        <v>6.1994612670954697E-3</v>
      </c>
      <c r="BM35" s="11">
        <v>-1.9143578932453099E-2</v>
      </c>
      <c r="BN35" s="11">
        <v>-1.9143578932453099E-2</v>
      </c>
      <c r="BO35" s="11">
        <v>1.13892842283011E-2</v>
      </c>
      <c r="BP35" s="11">
        <v>1.1494364865102199E-3</v>
      </c>
      <c r="BQ35" s="11">
        <v>-1.9143578932453099E-2</v>
      </c>
      <c r="BR35" s="11">
        <v>-1.9143578932453099E-2</v>
      </c>
      <c r="BS35" s="11">
        <v>-1.9143578932453099E-2</v>
      </c>
      <c r="BT35" s="11">
        <v>-3.1947247551598499E-3</v>
      </c>
      <c r="BU35" s="11">
        <v>-1.9143578932453099E-2</v>
      </c>
      <c r="BV35" s="11">
        <v>2.4322342657163199E-2</v>
      </c>
      <c r="BW35" s="11">
        <v>-1.9143578932453099E-2</v>
      </c>
      <c r="BX35" s="11">
        <v>5.6318415557383497E-2</v>
      </c>
      <c r="BY35" s="11">
        <v>3.4240604213971399E-3</v>
      </c>
      <c r="BZ35" s="11">
        <v>-2.4949699191258801E-3</v>
      </c>
      <c r="CA35" s="11">
        <v>-1.9143578932453099E-2</v>
      </c>
      <c r="CB35" s="11">
        <v>-1.9143578932453099E-2</v>
      </c>
      <c r="CC35" s="11">
        <v>-6.3135695227931003E-3</v>
      </c>
      <c r="CD35" s="11">
        <v>-1.9143578932453099E-2</v>
      </c>
      <c r="CE35" s="11">
        <v>-1.9143578932453099E-2</v>
      </c>
      <c r="CF35" s="11">
        <v>-1.9143578932453099E-2</v>
      </c>
      <c r="CG35" s="11">
        <v>-1.21331593405728E-2</v>
      </c>
      <c r="CH35" s="11">
        <v>-1.9143578932453099E-2</v>
      </c>
      <c r="CI35" s="11">
        <v>0</v>
      </c>
      <c r="CJ35" s="11">
        <v>-1.9143578932453099E-2</v>
      </c>
      <c r="CK35" s="11">
        <v>-1.27883758300796E-2</v>
      </c>
      <c r="CL35" s="11">
        <v>-1.9143578932453099E-2</v>
      </c>
      <c r="CM35" s="11">
        <v>1.28982333114738E-2</v>
      </c>
      <c r="CN35" s="11">
        <v>-4.9848673793097802E-3</v>
      </c>
      <c r="CO35" s="11">
        <v>-1.3759952304156499E-2</v>
      </c>
      <c r="CP35" s="11">
        <v>3.8307200194086498E-4</v>
      </c>
      <c r="CQ35" s="11">
        <v>-4.9675613873062597E-3</v>
      </c>
      <c r="CR35" s="11">
        <v>7.6195362878205396E-3</v>
      </c>
      <c r="CS35" s="11">
        <v>-1.9143578932453099E-2</v>
      </c>
      <c r="CT35" s="11">
        <v>-1.38774298156029E-2</v>
      </c>
      <c r="CU35" s="11">
        <v>-1.9143578932453099E-2</v>
      </c>
      <c r="CV35" s="11">
        <v>-1.9143578932453099E-2</v>
      </c>
      <c r="CW35" s="11">
        <v>2.15446724012846E-2</v>
      </c>
      <c r="CX35" s="11">
        <v>2.7657655230487799E-2</v>
      </c>
      <c r="CY35" s="11">
        <v>6.6984776266050497E-2</v>
      </c>
      <c r="CZ35" s="11">
        <v>3.84734703921676E-2</v>
      </c>
      <c r="DA35" s="11">
        <v>1.7721138235007601E-2</v>
      </c>
      <c r="DB35" s="11">
        <v>0.103776280069762</v>
      </c>
      <c r="DC35" s="11">
        <v>1.4287061296731801E-2</v>
      </c>
      <c r="DD35" s="11">
        <v>4.61438266378996E-2</v>
      </c>
      <c r="DE35" s="11">
        <v>3.7658270475198097E-2</v>
      </c>
      <c r="DF35" s="11">
        <v>7.9458466371943703E-2</v>
      </c>
      <c r="DG35" s="11">
        <v>6.4934009871503995E-2</v>
      </c>
      <c r="DH35" s="11">
        <v>6.0858929948114301E-2</v>
      </c>
      <c r="DI35" s="11">
        <v>2.0737046631466E-2</v>
      </c>
      <c r="DJ35" s="11">
        <v>2.22796668429334E-2</v>
      </c>
      <c r="DK35" s="11">
        <v>7.9344589008871896E-2</v>
      </c>
      <c r="DL35" s="11">
        <v>2.31418292740329E-2</v>
      </c>
      <c r="DM35" s="11">
        <v>2.88548110682488E-2</v>
      </c>
      <c r="DN35" s="11">
        <v>8.4547691320271706E-2</v>
      </c>
      <c r="DO35" s="11">
        <v>1.4108988918491199E-2</v>
      </c>
      <c r="DP35" s="11">
        <v>2.4151881264811201E-2</v>
      </c>
      <c r="DQ35" s="11">
        <v>0.120830566039865</v>
      </c>
      <c r="DR35" s="11">
        <v>4.2079616915448398E-2</v>
      </c>
      <c r="DS35" s="11">
        <v>5.7776618515424302E-2</v>
      </c>
      <c r="DT35" s="11">
        <v>-1.9143578932453099E-2</v>
      </c>
      <c r="DU35" s="11">
        <v>1.3793948631079699E-2</v>
      </c>
      <c r="DV35" s="11">
        <v>2.2222790352516598E-2</v>
      </c>
      <c r="DW35" s="11">
        <v>7.2864888300958094E-2</v>
      </c>
      <c r="DX35" s="11">
        <v>-1.9143578932453099E-2</v>
      </c>
      <c r="DY35" s="11">
        <v>6.3175951023843602E-2</v>
      </c>
      <c r="DZ35" s="11">
        <v>8.4286171775750703E-3</v>
      </c>
      <c r="EA35" s="11">
        <v>3.5160411510979902E-3</v>
      </c>
      <c r="EB35" s="11">
        <v>6.2381461472170399E-2</v>
      </c>
      <c r="EC35" s="11">
        <v>5.5579004115433102E-2</v>
      </c>
      <c r="ED35" s="11">
        <v>9.2348527182404994E-2</v>
      </c>
      <c r="EE35" s="11">
        <v>0.110281219600271</v>
      </c>
      <c r="EF35" s="11">
        <v>9.3316195392969495E-2</v>
      </c>
      <c r="EG35" s="11">
        <v>9.0871774437535094E-2</v>
      </c>
      <c r="EH35" s="11">
        <v>0.11070367738116101</v>
      </c>
      <c r="EI35" s="11">
        <v>1.81822161247472E-2</v>
      </c>
      <c r="EJ35" s="11">
        <v>4.6919335534109E-2</v>
      </c>
      <c r="EK35" s="11">
        <v>6.3285715805181997E-2</v>
      </c>
      <c r="EL35" s="11">
        <v>4.0238528271000697E-2</v>
      </c>
      <c r="EM35" s="11">
        <v>2.5639746487108799E-2</v>
      </c>
      <c r="EN35" s="11">
        <v>9.4517796032838695E-3</v>
      </c>
      <c r="EO35" s="11">
        <v>3.5382543629606099E-2</v>
      </c>
      <c r="EP35" s="11">
        <v>3.2329899589236502E-2</v>
      </c>
      <c r="EQ35" s="11">
        <v>-1.9143578932453099E-2</v>
      </c>
      <c r="ER35" s="11">
        <v>-1.9143578932453099E-2</v>
      </c>
      <c r="ES35" s="11">
        <v>-1.9143578932453099E-2</v>
      </c>
      <c r="ET35" s="11">
        <v>-1.9143578932453099E-2</v>
      </c>
      <c r="EU35" s="11">
        <v>-1.9143578932453099E-2</v>
      </c>
      <c r="EV35" s="11">
        <v>6.5771268482992997E-3</v>
      </c>
      <c r="EW35" s="11">
        <v>-1.9143578932453099E-2</v>
      </c>
      <c r="EX35" s="11">
        <v>1.99899055353145E-2</v>
      </c>
      <c r="EY35" s="11">
        <v>2.1926332870541E-2</v>
      </c>
      <c r="EZ35" s="11">
        <v>1.42048775510285E-3</v>
      </c>
      <c r="FA35" s="11">
        <v>3.58132081287066E-2</v>
      </c>
      <c r="FB35" s="11">
        <v>1.13452829706865E-2</v>
      </c>
      <c r="FC35" s="11">
        <v>1.9451702801346199E-2</v>
      </c>
      <c r="FD35" s="11">
        <v>1.21994541896676E-2</v>
      </c>
      <c r="FE35" s="11">
        <v>-5.6536080304299199E-3</v>
      </c>
      <c r="FF35" s="11">
        <v>-1.9143578932453099E-2</v>
      </c>
      <c r="FG35" s="11">
        <v>9.0793607198573507E-3</v>
      </c>
      <c r="FH35" s="11">
        <v>1.70793507228022E-2</v>
      </c>
      <c r="FI35" s="11">
        <v>-1.9143578932453099E-2</v>
      </c>
      <c r="FJ35" s="11">
        <v>1.7218971145885099E-2</v>
      </c>
      <c r="FK35" s="11">
        <v>8.5666818485756607E-3</v>
      </c>
      <c r="FL35" s="11">
        <v>2.6613315946484101E-2</v>
      </c>
      <c r="FM35" s="11">
        <v>-1.9143578932453099E-2</v>
      </c>
      <c r="FN35" s="11">
        <v>-1.9143578932453099E-2</v>
      </c>
      <c r="FO35" s="11">
        <v>0.75609852997351001</v>
      </c>
      <c r="FP35" s="11">
        <v>0.18129947155723999</v>
      </c>
      <c r="FQ35" s="11">
        <v>5.9582982260906102E-2</v>
      </c>
      <c r="FR35" s="11">
        <v>0.69142427458834199</v>
      </c>
      <c r="FS35" s="11">
        <v>-1.9143578932453099E-2</v>
      </c>
      <c r="FT35" s="11">
        <v>-1.9143578932453099E-2</v>
      </c>
      <c r="FU35" s="11">
        <v>-1.9143578932453099E-2</v>
      </c>
      <c r="FV35" s="11">
        <v>4.4235724166398101E-2</v>
      </c>
      <c r="FW35" s="11">
        <v>-1.9143578932453099E-2</v>
      </c>
      <c r="FX35" s="11">
        <v>-1.9143578932453099E-2</v>
      </c>
      <c r="FY35" s="11">
        <v>-1.9143578932453099E-2</v>
      </c>
      <c r="FZ35" s="11">
        <v>-1.9143578932453099E-2</v>
      </c>
      <c r="GA35" s="11">
        <v>-1.9143578932453099E-2</v>
      </c>
      <c r="GB35" s="11">
        <v>-1.9143578932453099E-2</v>
      </c>
      <c r="GC35" s="11">
        <v>-1.9143578932453099E-2</v>
      </c>
      <c r="GD35" s="11">
        <v>5.0217727050060001E-2</v>
      </c>
      <c r="GE35" s="11">
        <v>-1.9143578932453099E-2</v>
      </c>
      <c r="GF35" s="11">
        <v>0.161175432618998</v>
      </c>
      <c r="GG35" s="11">
        <v>-1.9143578932453099E-2</v>
      </c>
      <c r="GH35" s="11">
        <v>-1.9143578932453099E-2</v>
      </c>
      <c r="GI35" s="11">
        <v>-1.9143578932453099E-2</v>
      </c>
      <c r="GJ35" s="11">
        <v>-1.9143578932453099E-2</v>
      </c>
      <c r="GK35" s="11">
        <v>9.7717548290599907E-2</v>
      </c>
      <c r="GL35" s="11">
        <v>0.122655458211227</v>
      </c>
      <c r="GM35" s="11">
        <v>-1.9143578932453099E-2</v>
      </c>
      <c r="GN35" s="11">
        <v>3.2310154981616601E-2</v>
      </c>
      <c r="GO35" s="11">
        <v>-1.9143578932453099E-2</v>
      </c>
      <c r="GP35" s="11">
        <v>-1.9143578932453099E-2</v>
      </c>
      <c r="GQ35" s="11">
        <v>-1.9143578932453099E-2</v>
      </c>
      <c r="GR35" s="11">
        <v>-1.9143578932453099E-2</v>
      </c>
      <c r="GS35" s="11">
        <v>-1.9143578932453099E-2</v>
      </c>
      <c r="GT35" s="11">
        <v>-1.9143578932453099E-2</v>
      </c>
      <c r="GU35" s="11">
        <v>-1.9143578932453099E-2</v>
      </c>
    </row>
    <row r="37" spans="1:203" s="8" customFormat="1" x14ac:dyDescent="0.25">
      <c r="A37" s="220" t="s">
        <v>81</v>
      </c>
      <c r="B37" s="220"/>
      <c r="C37" s="8">
        <f t="shared" ref="C37:BN37" si="0">AVERAGE(C5:C35)</f>
        <v>2.03628942572446E-2</v>
      </c>
      <c r="D37" s="8">
        <f t="shared" si="0"/>
        <v>1.256425336317955E-2</v>
      </c>
      <c r="E37" s="8">
        <f t="shared" si="0"/>
        <v>-6.1762696990603716E-2</v>
      </c>
      <c r="F37" s="8">
        <f t="shared" si="0"/>
        <v>7.8699668119813857E-3</v>
      </c>
      <c r="G37" s="8">
        <f t="shared" si="0"/>
        <v>-6.179069643255904E-3</v>
      </c>
      <c r="H37" s="8">
        <f t="shared" si="0"/>
        <v>1.7260567637030464E-2</v>
      </c>
      <c r="I37" s="8">
        <f t="shared" si="0"/>
        <v>6.1122270099362601E-2</v>
      </c>
      <c r="J37" s="8">
        <f t="shared" si="0"/>
        <v>-3.6417941143713039E-3</v>
      </c>
      <c r="K37" s="8">
        <f t="shared" si="0"/>
        <v>3.8029894909558853E-2</v>
      </c>
      <c r="L37" s="8">
        <f t="shared" si="0"/>
        <v>1.9480411844451817E-2</v>
      </c>
      <c r="M37" s="8">
        <f t="shared" si="0"/>
        <v>-3.6264260269917872E-2</v>
      </c>
      <c r="N37" s="8">
        <f t="shared" si="0"/>
        <v>-2.5655506758541793E-2</v>
      </c>
      <c r="O37" s="8">
        <f t="shared" si="0"/>
        <v>2.6941216467205896E-2</v>
      </c>
      <c r="P37" s="8">
        <f t="shared" si="0"/>
        <v>3.1656677832838299E-2</v>
      </c>
      <c r="Q37" s="8">
        <f t="shared" si="0"/>
        <v>3.2176425293725629E-2</v>
      </c>
      <c r="R37" s="8">
        <f t="shared" si="0"/>
        <v>4.9756893063711054E-2</v>
      </c>
      <c r="S37" s="8">
        <f t="shared" si="0"/>
        <v>3.1555799967782114E-2</v>
      </c>
      <c r="T37" s="8">
        <f t="shared" si="0"/>
        <v>3.2221231709170434E-2</v>
      </c>
      <c r="U37" s="8">
        <f t="shared" si="0"/>
        <v>1.544973205079812E-2</v>
      </c>
      <c r="V37" s="8">
        <f t="shared" si="0"/>
        <v>2.9703340413043743E-2</v>
      </c>
      <c r="W37" s="8">
        <f t="shared" si="0"/>
        <v>-2.006183697339022E-3</v>
      </c>
      <c r="X37" s="8">
        <f t="shared" si="0"/>
        <v>5.1677064032618208E-2</v>
      </c>
      <c r="Y37" s="8">
        <f t="shared" si="0"/>
        <v>6.5629984694381194E-2</v>
      </c>
      <c r="Z37" s="8">
        <f t="shared" si="0"/>
        <v>5.3569840726004923E-2</v>
      </c>
      <c r="AA37" s="8">
        <f t="shared" si="0"/>
        <v>4.7222373285421067E-2</v>
      </c>
      <c r="AB37" s="8">
        <f t="shared" si="0"/>
        <v>5.6812184844971206E-2</v>
      </c>
      <c r="AC37" s="8">
        <f t="shared" si="0"/>
        <v>-2.3848793606137238E-2</v>
      </c>
      <c r="AD37" s="8">
        <f t="shared" si="0"/>
        <v>-1.3304308530021312E-2</v>
      </c>
      <c r="AE37" s="8">
        <f t="shared" si="0"/>
        <v>1.3551875242552283E-2</v>
      </c>
      <c r="AF37" s="8">
        <f t="shared" si="0"/>
        <v>3.8214410981614579E-2</v>
      </c>
      <c r="AG37" s="8">
        <f t="shared" si="0"/>
        <v>2.8085413170049155E-2</v>
      </c>
      <c r="AH37" s="8">
        <f t="shared" si="0"/>
        <v>-6.9211290241114505E-3</v>
      </c>
      <c r="AI37" s="8">
        <f t="shared" si="0"/>
        <v>-8.3710418979576675E-3</v>
      </c>
      <c r="AJ37" s="8">
        <f t="shared" si="0"/>
        <v>1.9575934265373365E-2</v>
      </c>
      <c r="AK37" s="8">
        <f t="shared" si="0"/>
        <v>2.5048496673287218E-2</v>
      </c>
      <c r="AL37" s="8">
        <f t="shared" si="0"/>
        <v>3.2837628746472614E-2</v>
      </c>
      <c r="AM37" s="8">
        <f t="shared" si="0"/>
        <v>2.5418710492899513E-2</v>
      </c>
      <c r="AN37" s="8">
        <f t="shared" si="0"/>
        <v>2.9572293960894069E-2</v>
      </c>
      <c r="AO37" s="8">
        <f t="shared" si="0"/>
        <v>2.0130913866278591E-2</v>
      </c>
      <c r="AP37" s="8">
        <f t="shared" si="0"/>
        <v>-3.135787472718669E-3</v>
      </c>
      <c r="AQ37" s="8">
        <f t="shared" si="0"/>
        <v>3.6218068450693662E-2</v>
      </c>
      <c r="AR37" s="8">
        <f t="shared" si="0"/>
        <v>2.2925678781969314E-2</v>
      </c>
      <c r="AS37" s="8">
        <f t="shared" si="0"/>
        <v>3.0977504582417131E-2</v>
      </c>
      <c r="AT37" s="8">
        <f t="shared" si="0"/>
        <v>3.7798462971643625E-2</v>
      </c>
      <c r="AU37" s="8">
        <f t="shared" si="0"/>
        <v>6.9444810881267346E-2</v>
      </c>
      <c r="AV37" s="8">
        <f t="shared" si="0"/>
        <v>4.8290457831389223E-2</v>
      </c>
      <c r="AW37" s="8">
        <f t="shared" si="0"/>
        <v>7.4803684083440056E-2</v>
      </c>
      <c r="AX37" s="8">
        <f t="shared" si="0"/>
        <v>7.1310983332162722E-2</v>
      </c>
      <c r="AY37" s="8">
        <f t="shared" si="0"/>
        <v>4.0692613988533959E-2</v>
      </c>
      <c r="AZ37" s="8">
        <f t="shared" si="0"/>
        <v>3.6378252043810011E-4</v>
      </c>
      <c r="BA37" s="8">
        <f t="shared" si="0"/>
        <v>8.634006601231542E-2</v>
      </c>
      <c r="BB37" s="8">
        <f t="shared" si="0"/>
        <v>-4.0899911350097103E-3</v>
      </c>
      <c r="BC37" s="8">
        <f t="shared" si="0"/>
        <v>2.289140230564608E-2</v>
      </c>
      <c r="BD37" s="8">
        <f t="shared" si="0"/>
        <v>3.5870949670864939E-2</v>
      </c>
      <c r="BE37" s="8">
        <f t="shared" si="0"/>
        <v>3.0038137402062529E-2</v>
      </c>
      <c r="BF37" s="8">
        <f t="shared" si="0"/>
        <v>0.14174310695015296</v>
      </c>
      <c r="BG37" s="8">
        <f t="shared" si="0"/>
        <v>0.15952966568974586</v>
      </c>
      <c r="BH37" s="8">
        <f t="shared" si="0"/>
        <v>0.13263663032624054</v>
      </c>
      <c r="BI37" s="8">
        <f t="shared" si="0"/>
        <v>0.13170038265273332</v>
      </c>
      <c r="BJ37" s="8">
        <f t="shared" si="0"/>
        <v>0.15970839195016567</v>
      </c>
      <c r="BK37" s="8">
        <f t="shared" si="0"/>
        <v>2.6511889784621313E-2</v>
      </c>
      <c r="BL37" s="8">
        <f t="shared" si="0"/>
        <v>1.5865549439600897E-2</v>
      </c>
      <c r="BM37" s="8">
        <f t="shared" si="0"/>
        <v>3.7292384753405778E-3</v>
      </c>
      <c r="BN37" s="8">
        <f t="shared" si="0"/>
        <v>3.2720861694567685E-2</v>
      </c>
      <c r="BO37" s="8">
        <f t="shared" ref="BO37:DZ37" si="1">AVERAGE(BO5:BO35)</f>
        <v>4.7183452801867184E-2</v>
      </c>
      <c r="BP37" s="8">
        <f t="shared" si="1"/>
        <v>6.0096982569572334E-2</v>
      </c>
      <c r="BQ37" s="8">
        <f t="shared" si="1"/>
        <v>5.5565703903045313E-2</v>
      </c>
      <c r="BR37" s="8">
        <f t="shared" si="1"/>
        <v>0.11004435629686096</v>
      </c>
      <c r="BS37" s="8">
        <f t="shared" si="1"/>
        <v>8.5787745100523741E-2</v>
      </c>
      <c r="BT37" s="8">
        <f t="shared" si="1"/>
        <v>8.5705574682867366E-2</v>
      </c>
      <c r="BU37" s="8">
        <f t="shared" si="1"/>
        <v>5.5573325682423506E-2</v>
      </c>
      <c r="BV37" s="8">
        <f t="shared" si="1"/>
        <v>3.597748424900294E-2</v>
      </c>
      <c r="BW37" s="8">
        <f t="shared" si="1"/>
        <v>-1.2328823365616784E-2</v>
      </c>
      <c r="BX37" s="8">
        <f t="shared" si="1"/>
        <v>6.4961896042656314E-2</v>
      </c>
      <c r="BY37" s="8">
        <f t="shared" si="1"/>
        <v>5.5156508584394824E-2</v>
      </c>
      <c r="BZ37" s="8">
        <f t="shared" si="1"/>
        <v>0.10977009296416398</v>
      </c>
      <c r="CA37" s="8">
        <f t="shared" si="1"/>
        <v>4.6872159410382509E-2</v>
      </c>
      <c r="CB37" s="8">
        <f t="shared" si="1"/>
        <v>1.1413398613750101E-3</v>
      </c>
      <c r="CC37" s="8">
        <f t="shared" si="1"/>
        <v>4.8158429409051365E-2</v>
      </c>
      <c r="CD37" s="8">
        <f t="shared" si="1"/>
        <v>5.6997554148589952E-2</v>
      </c>
      <c r="CE37" s="8">
        <f t="shared" si="1"/>
        <v>3.5553872575132317E-2</v>
      </c>
      <c r="CF37" s="8">
        <f t="shared" si="1"/>
        <v>-3.0453988701919497E-3</v>
      </c>
      <c r="CG37" s="8">
        <f t="shared" si="1"/>
        <v>7.6215062867327835E-2</v>
      </c>
      <c r="CH37" s="8">
        <f t="shared" si="1"/>
        <v>5.4543202483925621E-2</v>
      </c>
      <c r="CI37" s="8">
        <f t="shared" si="1"/>
        <v>1.6497766672962082E-2</v>
      </c>
      <c r="CJ37" s="8">
        <f t="shared" si="1"/>
        <v>2.5614823096791431E-2</v>
      </c>
      <c r="CK37" s="8">
        <f t="shared" si="1"/>
        <v>4.7370938436632135E-2</v>
      </c>
      <c r="CL37" s="8">
        <f t="shared" si="1"/>
        <v>7.3466909675493561E-2</v>
      </c>
      <c r="CM37" s="8">
        <f t="shared" si="1"/>
        <v>5.5203071671595848E-2</v>
      </c>
      <c r="CN37" s="8">
        <f t="shared" si="1"/>
        <v>6.8304724204477002E-2</v>
      </c>
      <c r="CO37" s="8">
        <f t="shared" si="1"/>
        <v>3.9111526231071038E-2</v>
      </c>
      <c r="CP37" s="8">
        <f t="shared" si="1"/>
        <v>5.3575713337453784E-2</v>
      </c>
      <c r="CQ37" s="8">
        <f t="shared" si="1"/>
        <v>-5.9422262582392747E-3</v>
      </c>
      <c r="CR37" s="8">
        <f t="shared" si="1"/>
        <v>4.0404005088672965E-2</v>
      </c>
      <c r="CS37" s="8">
        <f t="shared" si="1"/>
        <v>9.9586316279673594E-3</v>
      </c>
      <c r="CT37" s="8">
        <f t="shared" si="1"/>
        <v>6.7372945309515125E-2</v>
      </c>
      <c r="CU37" s="8">
        <f t="shared" si="1"/>
        <v>1.1966454888732105E-2</v>
      </c>
      <c r="CV37" s="8">
        <f t="shared" si="1"/>
        <v>-6.2755243637602529E-2</v>
      </c>
      <c r="CW37" s="8">
        <f t="shared" si="1"/>
        <v>-6.2179422924987821E-2</v>
      </c>
      <c r="CX37" s="8">
        <f t="shared" si="1"/>
        <v>-5.3163704830782983E-2</v>
      </c>
      <c r="CY37" s="8">
        <f t="shared" si="1"/>
        <v>-3.8101032226238965E-2</v>
      </c>
      <c r="CZ37" s="8">
        <f t="shared" si="1"/>
        <v>-5.2041126274203729E-2</v>
      </c>
      <c r="DA37" s="8">
        <f t="shared" si="1"/>
        <v>-7.340642812278203E-2</v>
      </c>
      <c r="DB37" s="8">
        <f t="shared" si="1"/>
        <v>-3.6201029799937917E-2</v>
      </c>
      <c r="DC37" s="8">
        <f t="shared" si="1"/>
        <v>-6.890798689165159E-2</v>
      </c>
      <c r="DD37" s="8">
        <f t="shared" si="1"/>
        <v>-3.9367455160175688E-2</v>
      </c>
      <c r="DE37" s="8">
        <f t="shared" si="1"/>
        <v>-1.0985711235706453E-2</v>
      </c>
      <c r="DF37" s="8">
        <f t="shared" si="1"/>
        <v>-3.4873024545617665E-2</v>
      </c>
      <c r="DG37" s="8">
        <f t="shared" si="1"/>
        <v>-4.8840613954795692E-2</v>
      </c>
      <c r="DH37" s="8">
        <f t="shared" si="1"/>
        <v>-1.5525842029838187E-2</v>
      </c>
      <c r="DI37" s="8">
        <f t="shared" si="1"/>
        <v>-5.0572210768545553E-2</v>
      </c>
      <c r="DJ37" s="8">
        <f t="shared" si="1"/>
        <v>-4.5231280318380342E-2</v>
      </c>
      <c r="DK37" s="8">
        <f t="shared" si="1"/>
        <v>-7.7636377378898528E-3</v>
      </c>
      <c r="DL37" s="8">
        <f t="shared" si="1"/>
        <v>-3.4205001180658764E-2</v>
      </c>
      <c r="DM37" s="8">
        <f t="shared" si="1"/>
        <v>-5.5083213356181833E-2</v>
      </c>
      <c r="DN37" s="8">
        <f t="shared" si="1"/>
        <v>-5.2967650974957405E-2</v>
      </c>
      <c r="DO37" s="8">
        <f t="shared" si="1"/>
        <v>-2.171259354364358E-2</v>
      </c>
      <c r="DP37" s="8">
        <f t="shared" si="1"/>
        <v>-5.5915900093561566E-2</v>
      </c>
      <c r="DQ37" s="8">
        <f t="shared" si="1"/>
        <v>-5.7445472751010265E-2</v>
      </c>
      <c r="DR37" s="8">
        <f t="shared" si="1"/>
        <v>-5.6304280171140836E-2</v>
      </c>
      <c r="DS37" s="8">
        <f t="shared" si="1"/>
        <v>-4.6466973025117403E-2</v>
      </c>
      <c r="DT37" s="8">
        <f t="shared" si="1"/>
        <v>-9.090399059755401E-2</v>
      </c>
      <c r="DU37" s="8">
        <f t="shared" si="1"/>
        <v>7.2257323138559607E-2</v>
      </c>
      <c r="DV37" s="8">
        <f t="shared" si="1"/>
        <v>3.6671326808825087E-2</v>
      </c>
      <c r="DW37" s="8">
        <f t="shared" si="1"/>
        <v>6.2503869947012861E-2</v>
      </c>
      <c r="DX37" s="8">
        <f t="shared" si="1"/>
        <v>2.4488011154410145E-2</v>
      </c>
      <c r="DY37" s="8">
        <f t="shared" si="1"/>
        <v>-9.11791614509159E-3</v>
      </c>
      <c r="DZ37" s="8">
        <f t="shared" si="1"/>
        <v>4.0755763570043489E-3</v>
      </c>
      <c r="EA37" s="8">
        <f t="shared" ref="EA37:GL37" si="2">AVERAGE(EA5:EA35)</f>
        <v>9.4787560835675778E-3</v>
      </c>
      <c r="EB37" s="8">
        <f t="shared" si="2"/>
        <v>8.475990530218179E-2</v>
      </c>
      <c r="EC37" s="8">
        <f t="shared" si="2"/>
        <v>0.12780998029212792</v>
      </c>
      <c r="ED37" s="8">
        <f t="shared" si="2"/>
        <v>-3.5977931703329948E-2</v>
      </c>
      <c r="EE37" s="8">
        <f t="shared" si="2"/>
        <v>-7.812702300835743E-3</v>
      </c>
      <c r="EF37" s="8">
        <f t="shared" si="2"/>
        <v>2.4338275782736275E-2</v>
      </c>
      <c r="EG37" s="8">
        <f t="shared" si="2"/>
        <v>4.0563848098781278E-3</v>
      </c>
      <c r="EH37" s="8">
        <f t="shared" si="2"/>
        <v>-4.0147426937118995E-3</v>
      </c>
      <c r="EI37" s="8">
        <f t="shared" si="2"/>
        <v>-3.3561665168526301E-2</v>
      </c>
      <c r="EJ37" s="8">
        <f t="shared" si="2"/>
        <v>-6.9869020796146847E-2</v>
      </c>
      <c r="EK37" s="8">
        <f t="shared" si="2"/>
        <v>-4.5133474570795168E-2</v>
      </c>
      <c r="EL37" s="8">
        <f t="shared" si="2"/>
        <v>-6.3458694984311212E-2</v>
      </c>
      <c r="EM37" s="8">
        <f t="shared" si="2"/>
        <v>-7.1520782937117389E-2</v>
      </c>
      <c r="EN37" s="8">
        <f t="shared" si="2"/>
        <v>-3.5602889000718632E-2</v>
      </c>
      <c r="EO37" s="8">
        <f t="shared" si="2"/>
        <v>-7.5107812818452246E-2</v>
      </c>
      <c r="EP37" s="8">
        <f t="shared" si="2"/>
        <v>-6.5646293551225796E-2</v>
      </c>
      <c r="EQ37" s="8">
        <f t="shared" si="2"/>
        <v>-1.3600187263086832E-2</v>
      </c>
      <c r="ER37" s="8">
        <f t="shared" si="2"/>
        <v>-6.7279506144527212E-2</v>
      </c>
      <c r="ES37" s="8">
        <f t="shared" si="2"/>
        <v>-3.0526870465909919E-2</v>
      </c>
      <c r="ET37" s="8">
        <f t="shared" si="2"/>
        <v>-3.1639429845274708E-2</v>
      </c>
      <c r="EU37" s="8">
        <f t="shared" si="2"/>
        <v>-2.4943585737028116E-2</v>
      </c>
      <c r="EV37" s="8">
        <f t="shared" si="2"/>
        <v>-2.8094743048187317E-2</v>
      </c>
      <c r="EW37" s="8">
        <f t="shared" si="2"/>
        <v>7.2326346740305095E-2</v>
      </c>
      <c r="EX37" s="8">
        <f t="shared" si="2"/>
        <v>-0.12459936928493179</v>
      </c>
      <c r="EY37" s="8">
        <f t="shared" si="2"/>
        <v>-0.10293658709499315</v>
      </c>
      <c r="EZ37" s="8">
        <f t="shared" si="2"/>
        <v>-8.1552311914508457E-2</v>
      </c>
      <c r="FA37" s="8">
        <f t="shared" si="2"/>
        <v>-7.9095809650129537E-2</v>
      </c>
      <c r="FB37" s="8">
        <f t="shared" si="2"/>
        <v>-8.9283187097551286E-2</v>
      </c>
      <c r="FC37" s="8">
        <f t="shared" si="2"/>
        <v>-0.14527211472966287</v>
      </c>
      <c r="FD37" s="8">
        <f t="shared" si="2"/>
        <v>-0.13625386969226749</v>
      </c>
      <c r="FE37" s="8">
        <f t="shared" si="2"/>
        <v>-0.14934360683089751</v>
      </c>
      <c r="FF37" s="8">
        <f t="shared" si="2"/>
        <v>-0.15287724291692154</v>
      </c>
      <c r="FG37" s="8">
        <f t="shared" si="2"/>
        <v>-0.15304606825342254</v>
      </c>
      <c r="FH37" s="8">
        <f t="shared" si="2"/>
        <v>-1.8925704703985134E-3</v>
      </c>
      <c r="FI37" s="8">
        <f t="shared" si="2"/>
        <v>-3.6198756209041054E-2</v>
      </c>
      <c r="FJ37" s="8">
        <f t="shared" si="2"/>
        <v>-6.5780014658742531E-2</v>
      </c>
      <c r="FK37" s="8">
        <f t="shared" si="2"/>
        <v>-3.5403919403968809E-2</v>
      </c>
      <c r="FL37" s="8">
        <f t="shared" si="2"/>
        <v>-6.2002628380842459E-2</v>
      </c>
      <c r="FM37" s="8">
        <f t="shared" si="2"/>
        <v>-7.6220503552043919E-2</v>
      </c>
      <c r="FN37" s="8">
        <f t="shared" si="2"/>
        <v>-7.1756540117721104E-2</v>
      </c>
      <c r="FO37" s="8">
        <f t="shared" si="2"/>
        <v>0.13838915091150947</v>
      </c>
      <c r="FP37" s="8">
        <f t="shared" si="2"/>
        <v>9.9420044363627363E-2</v>
      </c>
      <c r="FQ37" s="8">
        <f t="shared" si="2"/>
        <v>-1.4652998658335517E-2</v>
      </c>
      <c r="FR37" s="8">
        <f t="shared" si="2"/>
        <v>6.0001045347482677E-2</v>
      </c>
      <c r="FS37" s="8">
        <f t="shared" si="2"/>
        <v>6.905048793891054E-2</v>
      </c>
      <c r="FT37" s="8">
        <f t="shared" si="2"/>
        <v>0.18831977390442134</v>
      </c>
      <c r="FU37" s="8">
        <f t="shared" si="2"/>
        <v>0.26867971404751645</v>
      </c>
      <c r="FV37" s="8">
        <f t="shared" si="2"/>
        <v>0.14766241029417745</v>
      </c>
      <c r="FW37" s="8">
        <f t="shared" si="2"/>
        <v>0.18546720314910184</v>
      </c>
      <c r="FX37" s="8">
        <f t="shared" si="2"/>
        <v>0.14297352931844903</v>
      </c>
      <c r="FY37" s="8">
        <f t="shared" si="2"/>
        <v>0.13459170640364179</v>
      </c>
      <c r="FZ37" s="8">
        <f t="shared" si="2"/>
        <v>0.10058193445238048</v>
      </c>
      <c r="GA37" s="8">
        <f t="shared" si="2"/>
        <v>0.10524644571883701</v>
      </c>
      <c r="GB37" s="8">
        <f t="shared" si="2"/>
        <v>0.1067218084324052</v>
      </c>
      <c r="GC37" s="8">
        <f t="shared" si="2"/>
        <v>0.16270069003631715</v>
      </c>
      <c r="GD37" s="8">
        <f t="shared" si="2"/>
        <v>0.11042760406252343</v>
      </c>
      <c r="GE37" s="8">
        <f t="shared" si="2"/>
        <v>0.1551073374239052</v>
      </c>
      <c r="GF37" s="8">
        <f t="shared" si="2"/>
        <v>0.17600830335508666</v>
      </c>
      <c r="GG37" s="8">
        <f t="shared" si="2"/>
        <v>0.19180660995924523</v>
      </c>
      <c r="GH37" s="8">
        <f t="shared" si="2"/>
        <v>0.22195397535736924</v>
      </c>
      <c r="GI37" s="8">
        <f t="shared" si="2"/>
        <v>0.15752844150257081</v>
      </c>
      <c r="GJ37" s="8">
        <f t="shared" si="2"/>
        <v>0.20338429687252702</v>
      </c>
      <c r="GK37" s="8">
        <f t="shared" si="2"/>
        <v>0.16967440171296802</v>
      </c>
      <c r="GL37" s="8">
        <f t="shared" si="2"/>
        <v>0.16351318849825522</v>
      </c>
      <c r="GM37" s="8">
        <f t="shared" ref="GM37:GU37" si="3">AVERAGE(GM5:GM35)</f>
        <v>0.23823661143338826</v>
      </c>
      <c r="GN37" s="8">
        <f t="shared" si="3"/>
        <v>0.18737304148200476</v>
      </c>
      <c r="GO37" s="8">
        <f t="shared" si="3"/>
        <v>0.10979324673022975</v>
      </c>
      <c r="GP37" s="8">
        <f t="shared" si="3"/>
        <v>0.17022510647395972</v>
      </c>
      <c r="GQ37" s="8">
        <f t="shared" si="3"/>
        <v>0.15570707858121016</v>
      </c>
      <c r="GR37" s="8">
        <f t="shared" si="3"/>
        <v>0.24396785428350479</v>
      </c>
      <c r="GS37" s="8">
        <f t="shared" si="3"/>
        <v>0.25791017677294592</v>
      </c>
      <c r="GT37" s="8">
        <f t="shared" si="3"/>
        <v>0.28482498214798763</v>
      </c>
      <c r="GU37" s="8">
        <f t="shared" si="3"/>
        <v>0.30758686522782425</v>
      </c>
    </row>
    <row r="38" spans="1:203" s="8" customFormat="1" x14ac:dyDescent="0.25">
      <c r="A38" s="220" t="s">
        <v>262</v>
      </c>
      <c r="B38" s="220"/>
      <c r="C38" s="8">
        <f>AVERAGE(C12:C24)</f>
        <v>2.1973531937912419E-2</v>
      </c>
      <c r="D38" s="8">
        <f t="shared" ref="D38:BO38" si="4">AVERAGE(D12:D24)</f>
        <v>3.5999447573243276E-2</v>
      </c>
      <c r="E38" s="8">
        <f t="shared" si="4"/>
        <v>-6.8958105536661068E-2</v>
      </c>
      <c r="F38" s="8">
        <f t="shared" si="4"/>
        <v>1.0710144643485923E-3</v>
      </c>
      <c r="G38" s="8">
        <f t="shared" si="4"/>
        <v>6.1830550704583586E-3</v>
      </c>
      <c r="H38" s="8">
        <f t="shared" si="4"/>
        <v>1.2501305685861453E-2</v>
      </c>
      <c r="I38" s="8">
        <f t="shared" si="4"/>
        <v>6.7896880861147854E-2</v>
      </c>
      <c r="J38" s="8">
        <f t="shared" si="4"/>
        <v>-9.6567623256969513E-3</v>
      </c>
      <c r="K38" s="8">
        <f t="shared" si="4"/>
        <v>5.13490166235731E-2</v>
      </c>
      <c r="L38" s="8">
        <f t="shared" si="4"/>
        <v>2.6739799282379E-2</v>
      </c>
      <c r="M38" s="8">
        <f t="shared" si="4"/>
        <v>-5.7559947804596751E-2</v>
      </c>
      <c r="N38" s="8">
        <f t="shared" si="4"/>
        <v>-4.0622651651396745E-2</v>
      </c>
      <c r="O38" s="8">
        <f t="shared" si="4"/>
        <v>3.6159034015986642E-2</v>
      </c>
      <c r="P38" s="8">
        <f t="shared" si="4"/>
        <v>4.288775014210458E-2</v>
      </c>
      <c r="Q38" s="8">
        <f t="shared" si="4"/>
        <v>3.624791988423471E-2</v>
      </c>
      <c r="R38" s="8">
        <f t="shared" si="4"/>
        <v>5.6493580678670351E-2</v>
      </c>
      <c r="S38" s="8">
        <f t="shared" si="4"/>
        <v>8.1836461508585437E-2</v>
      </c>
      <c r="T38" s="8">
        <f t="shared" si="4"/>
        <v>4.0082794481491352E-2</v>
      </c>
      <c r="U38" s="8">
        <f t="shared" si="4"/>
        <v>2.9867891138602186E-2</v>
      </c>
      <c r="V38" s="8">
        <f t="shared" si="4"/>
        <v>2.5488049040823336E-2</v>
      </c>
      <c r="W38" s="8">
        <f t="shared" si="4"/>
        <v>-8.9664394391452251E-3</v>
      </c>
      <c r="X38" s="8">
        <f t="shared" si="4"/>
        <v>6.3308177733919627E-2</v>
      </c>
      <c r="Y38" s="8">
        <f t="shared" si="4"/>
        <v>4.8870696201202338E-2</v>
      </c>
      <c r="Z38" s="8">
        <f t="shared" si="4"/>
        <v>3.3826640388379375E-2</v>
      </c>
      <c r="AA38" s="8">
        <f t="shared" si="4"/>
        <v>4.2273416942704617E-2</v>
      </c>
      <c r="AB38" s="8">
        <f t="shared" si="4"/>
        <v>6.7572226441931449E-2</v>
      </c>
      <c r="AC38" s="8">
        <f t="shared" si="4"/>
        <v>-1.5075445818143001E-2</v>
      </c>
      <c r="AD38" s="8">
        <f t="shared" si="4"/>
        <v>-3.7079783008284004E-2</v>
      </c>
      <c r="AE38" s="8">
        <f t="shared" si="4"/>
        <v>9.9801282220004037E-3</v>
      </c>
      <c r="AF38" s="8">
        <f t="shared" si="4"/>
        <v>6.0535304839927188E-2</v>
      </c>
      <c r="AG38" s="8">
        <f t="shared" si="4"/>
        <v>6.7277236293136908E-2</v>
      </c>
      <c r="AH38" s="8">
        <f t="shared" si="4"/>
        <v>7.0122619721657183E-3</v>
      </c>
      <c r="AI38" s="8">
        <f t="shared" si="4"/>
        <v>2.0823490430920136E-2</v>
      </c>
      <c r="AJ38" s="8">
        <f t="shared" si="4"/>
        <v>5.1846118099117752E-2</v>
      </c>
      <c r="AK38" s="8">
        <f t="shared" si="4"/>
        <v>7.267860774956357E-2</v>
      </c>
      <c r="AL38" s="8">
        <f t="shared" si="4"/>
        <v>2.9184181299672842E-2</v>
      </c>
      <c r="AM38" s="8">
        <f t="shared" si="4"/>
        <v>6.1070217282261002E-2</v>
      </c>
      <c r="AN38" s="8">
        <f t="shared" si="4"/>
        <v>3.173038497539276E-2</v>
      </c>
      <c r="AO38" s="8">
        <f t="shared" si="4"/>
        <v>-1.4763570566713752E-2</v>
      </c>
      <c r="AP38" s="8">
        <f t="shared" si="4"/>
        <v>-4.2200361868326144E-3</v>
      </c>
      <c r="AQ38" s="8">
        <f t="shared" si="4"/>
        <v>2.3613218484725362E-2</v>
      </c>
      <c r="AR38" s="8">
        <f t="shared" si="4"/>
        <v>1.1675586326979032E-2</v>
      </c>
      <c r="AS38" s="8">
        <f t="shared" si="4"/>
        <v>9.7743475484737379E-3</v>
      </c>
      <c r="AT38" s="8">
        <f t="shared" si="4"/>
        <v>4.6597604095612304E-2</v>
      </c>
      <c r="AU38" s="8">
        <f t="shared" si="4"/>
        <v>5.188266319023116E-2</v>
      </c>
      <c r="AV38" s="8">
        <f t="shared" si="4"/>
        <v>7.8712997485613168E-2</v>
      </c>
      <c r="AW38" s="8">
        <f t="shared" si="4"/>
        <v>2.1393059327741368E-2</v>
      </c>
      <c r="AX38" s="8">
        <f t="shared" si="4"/>
        <v>2.2172006980271029E-2</v>
      </c>
      <c r="AY38" s="8">
        <f t="shared" si="4"/>
        <v>5.9150536454699396E-3</v>
      </c>
      <c r="AZ38" s="8">
        <f t="shared" si="4"/>
        <v>7.1042823039386685E-3</v>
      </c>
      <c r="BA38" s="8">
        <f t="shared" si="4"/>
        <v>9.0066448552472173E-2</v>
      </c>
      <c r="BB38" s="8">
        <f t="shared" si="4"/>
        <v>3.0748621317834665E-2</v>
      </c>
      <c r="BC38" s="8">
        <f t="shared" si="4"/>
        <v>1.5445165179043182E-2</v>
      </c>
      <c r="BD38" s="8">
        <f t="shared" si="4"/>
        <v>5.0825493051985813E-3</v>
      </c>
      <c r="BE38" s="8">
        <f t="shared" si="4"/>
        <v>5.8447108676969367E-2</v>
      </c>
      <c r="BF38" s="8">
        <f t="shared" si="4"/>
        <v>0.11477199126573398</v>
      </c>
      <c r="BG38" s="8">
        <f t="shared" si="4"/>
        <v>8.7072629703005583E-2</v>
      </c>
      <c r="BH38" s="8">
        <f t="shared" si="4"/>
        <v>0.11133467618752113</v>
      </c>
      <c r="BI38" s="8">
        <f t="shared" si="4"/>
        <v>8.1958761960442869E-2</v>
      </c>
      <c r="BJ38" s="8">
        <f t="shared" si="4"/>
        <v>0.13954755064531132</v>
      </c>
      <c r="BK38" s="8">
        <f t="shared" si="4"/>
        <v>-4.431726286635242E-3</v>
      </c>
      <c r="BL38" s="8">
        <f t="shared" si="4"/>
        <v>-4.741657631859705E-3</v>
      </c>
      <c r="BM38" s="8">
        <f t="shared" si="4"/>
        <v>4.4613203616023353E-3</v>
      </c>
      <c r="BN38" s="8">
        <f t="shared" si="4"/>
        <v>1.8961279622697259E-2</v>
      </c>
      <c r="BO38" s="8">
        <f t="shared" si="4"/>
        <v>3.0251905996673493E-2</v>
      </c>
      <c r="BP38" s="8">
        <f t="shared" ref="BP38:EA38" si="5">AVERAGE(BP12:BP24)</f>
        <v>4.3490219649583516E-2</v>
      </c>
      <c r="BQ38" s="8">
        <f t="shared" si="5"/>
        <v>5.6229521377849562E-2</v>
      </c>
      <c r="BR38" s="8">
        <f t="shared" si="5"/>
        <v>9.3223765992879778E-2</v>
      </c>
      <c r="BS38" s="8">
        <f t="shared" si="5"/>
        <v>6.9748337892438741E-2</v>
      </c>
      <c r="BT38" s="8">
        <f t="shared" si="5"/>
        <v>8.2639244355635397E-2</v>
      </c>
      <c r="BU38" s="8">
        <f t="shared" si="5"/>
        <v>2.4453303958329838E-2</v>
      </c>
      <c r="BV38" s="8">
        <f t="shared" si="5"/>
        <v>3.9389302814259904E-2</v>
      </c>
      <c r="BW38" s="8">
        <f t="shared" si="5"/>
        <v>1.823089322060956E-2</v>
      </c>
      <c r="BX38" s="8">
        <f t="shared" si="5"/>
        <v>6.094063909076624E-2</v>
      </c>
      <c r="BY38" s="8">
        <f t="shared" si="5"/>
        <v>3.3750445752454367E-2</v>
      </c>
      <c r="BZ38" s="8">
        <f t="shared" si="5"/>
        <v>8.3487970318506147E-2</v>
      </c>
      <c r="CA38" s="8">
        <f t="shared" si="5"/>
        <v>4.6163124964432076E-2</v>
      </c>
      <c r="CB38" s="8">
        <f t="shared" si="5"/>
        <v>1.275600004143619E-2</v>
      </c>
      <c r="CC38" s="8">
        <f t="shared" si="5"/>
        <v>4.0372306946548225E-2</v>
      </c>
      <c r="CD38" s="8">
        <f t="shared" si="5"/>
        <v>-5.5557996859413529E-4</v>
      </c>
      <c r="CE38" s="8">
        <f t="shared" si="5"/>
        <v>-8.4130038925911005E-3</v>
      </c>
      <c r="CF38" s="8">
        <f t="shared" si="5"/>
        <v>-4.5299123736669618E-2</v>
      </c>
      <c r="CG38" s="8">
        <f t="shared" si="5"/>
        <v>2.9359443715750465E-2</v>
      </c>
      <c r="CH38" s="8">
        <f t="shared" si="5"/>
        <v>3.4668190548229366E-2</v>
      </c>
      <c r="CI38" s="8">
        <f t="shared" si="5"/>
        <v>2.6966623330560161E-2</v>
      </c>
      <c r="CJ38" s="8">
        <f t="shared" si="5"/>
        <v>2.0273058356606317E-2</v>
      </c>
      <c r="CK38" s="8">
        <f t="shared" si="5"/>
        <v>3.7594614410803931E-2</v>
      </c>
      <c r="CL38" s="8">
        <f t="shared" si="5"/>
        <v>6.5715535532894387E-2</v>
      </c>
      <c r="CM38" s="8">
        <f t="shared" si="5"/>
        <v>4.316464897612883E-2</v>
      </c>
      <c r="CN38" s="8">
        <f t="shared" si="5"/>
        <v>1.5989170549316357E-2</v>
      </c>
      <c r="CO38" s="8">
        <f t="shared" si="5"/>
        <v>3.9239067624187156E-2</v>
      </c>
      <c r="CP38" s="8">
        <f t="shared" si="5"/>
        <v>6.2365766136817597E-3</v>
      </c>
      <c r="CQ38" s="8">
        <f t="shared" si="5"/>
        <v>7.8211971286455025E-3</v>
      </c>
      <c r="CR38" s="8">
        <f t="shared" si="5"/>
        <v>6.5685196022909023E-2</v>
      </c>
      <c r="CS38" s="8">
        <f t="shared" si="5"/>
        <v>-1.0134551181531747E-2</v>
      </c>
      <c r="CT38" s="8">
        <f t="shared" si="5"/>
        <v>7.1540854671741386E-2</v>
      </c>
      <c r="CU38" s="8">
        <f t="shared" si="5"/>
        <v>-2.0198746656783346E-3</v>
      </c>
      <c r="CV38" s="8">
        <f t="shared" si="5"/>
        <v>-8.460633344078923E-2</v>
      </c>
      <c r="CW38" s="8">
        <f t="shared" si="5"/>
        <v>-6.5549595814235792E-2</v>
      </c>
      <c r="CX38" s="8">
        <f t="shared" si="5"/>
        <v>-5.4280422889697255E-2</v>
      </c>
      <c r="CY38" s="8">
        <f t="shared" si="5"/>
        <v>-3.6661656948636885E-2</v>
      </c>
      <c r="CZ38" s="8">
        <f t="shared" si="5"/>
        <v>-4.4254718002903821E-2</v>
      </c>
      <c r="DA38" s="8">
        <f t="shared" si="5"/>
        <v>-8.3331043153991688E-2</v>
      </c>
      <c r="DB38" s="8">
        <f t="shared" si="5"/>
        <v>-4.799537102157081E-2</v>
      </c>
      <c r="DC38" s="8">
        <f t="shared" si="5"/>
        <v>-8.4794255788834691E-2</v>
      </c>
      <c r="DD38" s="8">
        <f t="shared" si="5"/>
        <v>-3.8053523537305782E-2</v>
      </c>
      <c r="DE38" s="8">
        <f t="shared" si="5"/>
        <v>-1.9144179184948353E-2</v>
      </c>
      <c r="DF38" s="8">
        <f t="shared" si="5"/>
        <v>-5.0883528103494773E-2</v>
      </c>
      <c r="DG38" s="8">
        <f t="shared" si="5"/>
        <v>-7.0591622128864939E-2</v>
      </c>
      <c r="DH38" s="8">
        <f t="shared" si="5"/>
        <v>3.4501560815921638E-3</v>
      </c>
      <c r="DI38" s="8">
        <f t="shared" si="5"/>
        <v>-5.4990062816628847E-2</v>
      </c>
      <c r="DJ38" s="8">
        <f t="shared" si="5"/>
        <v>-6.8778027831975244E-2</v>
      </c>
      <c r="DK38" s="8">
        <f t="shared" si="5"/>
        <v>-1.2323699530450389E-2</v>
      </c>
      <c r="DL38" s="8">
        <f t="shared" si="5"/>
        <v>-6.8015131296580537E-3</v>
      </c>
      <c r="DM38" s="8">
        <f t="shared" si="5"/>
        <v>-6.7362462669746909E-2</v>
      </c>
      <c r="DN38" s="8">
        <f t="shared" si="5"/>
        <v>-6.3869961472722475E-2</v>
      </c>
      <c r="DO38" s="8">
        <f t="shared" si="5"/>
        <v>-9.2482942513520613E-3</v>
      </c>
      <c r="DP38" s="8">
        <f t="shared" si="5"/>
        <v>-4.7887182551008371E-2</v>
      </c>
      <c r="DQ38" s="8">
        <f t="shared" si="5"/>
        <v>-5.1797583605374994E-2</v>
      </c>
      <c r="DR38" s="8">
        <f t="shared" si="5"/>
        <v>-6.1222706064164863E-2</v>
      </c>
      <c r="DS38" s="8">
        <f t="shared" si="5"/>
        <v>-4.1076347937682146E-2</v>
      </c>
      <c r="DT38" s="8">
        <f t="shared" si="5"/>
        <v>-0.1097066324237528</v>
      </c>
      <c r="DU38" s="8">
        <f t="shared" si="5"/>
        <v>8.8560379234922743E-2</v>
      </c>
      <c r="DV38" s="8">
        <f t="shared" si="5"/>
        <v>5.0137876485283499E-2</v>
      </c>
      <c r="DW38" s="8">
        <f t="shared" si="5"/>
        <v>4.5541612140387419E-2</v>
      </c>
      <c r="DX38" s="8">
        <f t="shared" si="5"/>
        <v>-5.3374871816309323E-2</v>
      </c>
      <c r="DY38" s="8">
        <f t="shared" si="5"/>
        <v>-4.2001901055138124E-2</v>
      </c>
      <c r="DZ38" s="8">
        <f t="shared" si="5"/>
        <v>-2.746309685801037E-2</v>
      </c>
      <c r="EA38" s="8">
        <f t="shared" si="5"/>
        <v>-4.6312273920883176E-2</v>
      </c>
      <c r="EB38" s="8">
        <f t="shared" ref="EB38:GM38" si="6">AVERAGE(EB12:EB24)</f>
        <v>5.9751847112609877E-2</v>
      </c>
      <c r="EC38" s="8">
        <f t="shared" si="6"/>
        <v>7.4738869707416278E-2</v>
      </c>
      <c r="ED38" s="8">
        <f t="shared" si="6"/>
        <v>-5.6536918488471984E-2</v>
      </c>
      <c r="EE38" s="8">
        <f t="shared" si="6"/>
        <v>-4.0402112209025114E-2</v>
      </c>
      <c r="EF38" s="8">
        <f t="shared" si="6"/>
        <v>1.6548677082454957E-2</v>
      </c>
      <c r="EG38" s="8">
        <f t="shared" si="6"/>
        <v>-1.8707147612203223E-2</v>
      </c>
      <c r="EH38" s="8">
        <f t="shared" si="6"/>
        <v>-2.5696998775354918E-2</v>
      </c>
      <c r="EI38" s="8">
        <f t="shared" si="6"/>
        <v>-3.0525017890160266E-2</v>
      </c>
      <c r="EJ38" s="8">
        <f t="shared" si="6"/>
        <v>-7.8180418882237188E-2</v>
      </c>
      <c r="EK38" s="8">
        <f t="shared" si="6"/>
        <v>-6.5871400879845055E-2</v>
      </c>
      <c r="EL38" s="8">
        <f t="shared" si="6"/>
        <v>-7.0093945504126579E-2</v>
      </c>
      <c r="EM38" s="8">
        <f t="shared" si="6"/>
        <v>-7.3145920008709425E-2</v>
      </c>
      <c r="EN38" s="8">
        <f t="shared" si="6"/>
        <v>-0.10021043187559668</v>
      </c>
      <c r="EO38" s="8">
        <f t="shared" si="6"/>
        <v>-0.11012080686330274</v>
      </c>
      <c r="EP38" s="8">
        <f t="shared" si="6"/>
        <v>-6.4442382259929348E-2</v>
      </c>
      <c r="EQ38" s="8">
        <f t="shared" si="6"/>
        <v>-8.9565477522879522E-2</v>
      </c>
      <c r="ER38" s="8">
        <f t="shared" si="6"/>
        <v>-0.1644463655780975</v>
      </c>
      <c r="ES38" s="8">
        <f t="shared" si="6"/>
        <v>-7.1932046712357325E-2</v>
      </c>
      <c r="ET38" s="8">
        <f t="shared" si="6"/>
        <v>-9.9586395002113054E-2</v>
      </c>
      <c r="EU38" s="8">
        <f t="shared" si="6"/>
        <v>-7.3698215554155982E-2</v>
      </c>
      <c r="EV38" s="8">
        <f t="shared" si="6"/>
        <v>-0.12175641782283139</v>
      </c>
      <c r="EW38" s="8">
        <f t="shared" si="6"/>
        <v>-9.673532029207367E-2</v>
      </c>
      <c r="EX38" s="8">
        <f t="shared" si="6"/>
        <v>-0.15220895909551627</v>
      </c>
      <c r="EY38" s="8">
        <f t="shared" si="6"/>
        <v>-0.1160991883243723</v>
      </c>
      <c r="EZ38" s="8">
        <f t="shared" si="6"/>
        <v>-9.6579343481462382E-2</v>
      </c>
      <c r="FA38" s="8">
        <f t="shared" si="6"/>
        <v>-8.9909773647669403E-2</v>
      </c>
      <c r="FB38" s="8">
        <f t="shared" si="6"/>
        <v>-0.10595950568323373</v>
      </c>
      <c r="FC38" s="8">
        <f t="shared" si="6"/>
        <v>-0.16629509245951371</v>
      </c>
      <c r="FD38" s="8">
        <f t="shared" si="6"/>
        <v>-0.16119702190282686</v>
      </c>
      <c r="FE38" s="8">
        <f t="shared" si="6"/>
        <v>-0.17024673702379059</v>
      </c>
      <c r="FF38" s="8">
        <f t="shared" si="6"/>
        <v>-0.17805059464718903</v>
      </c>
      <c r="FG38" s="8">
        <f t="shared" si="6"/>
        <v>-0.18622526768279399</v>
      </c>
      <c r="FH38" s="8">
        <f t="shared" si="6"/>
        <v>1.6203284777200129E-2</v>
      </c>
      <c r="FI38" s="8">
        <f t="shared" si="6"/>
        <v>-1.9188767163411266E-2</v>
      </c>
      <c r="FJ38" s="8">
        <f t="shared" si="6"/>
        <v>-8.3389425081988849E-2</v>
      </c>
      <c r="FK38" s="8">
        <f t="shared" si="6"/>
        <v>-4.5280693978099973E-2</v>
      </c>
      <c r="FL38" s="8">
        <f t="shared" si="6"/>
        <v>-6.6200709457530968E-2</v>
      </c>
      <c r="FM38" s="8">
        <f t="shared" si="6"/>
        <v>-9.1900433908295373E-2</v>
      </c>
      <c r="FN38" s="8">
        <f t="shared" si="6"/>
        <v>-6.3200170129025735E-2</v>
      </c>
      <c r="FO38" s="8">
        <f t="shared" si="6"/>
        <v>0.10002371916514949</v>
      </c>
      <c r="FP38" s="8">
        <f t="shared" si="6"/>
        <v>0.10538138926920565</v>
      </c>
      <c r="FQ38" s="8">
        <f t="shared" si="6"/>
        <v>-2.241417480154155E-2</v>
      </c>
      <c r="FR38" s="8">
        <f t="shared" si="6"/>
        <v>1.305365558996416E-2</v>
      </c>
      <c r="FS38" s="8">
        <f t="shared" si="6"/>
        <v>4.6093574513809847E-2</v>
      </c>
      <c r="FT38" s="8">
        <f t="shared" si="6"/>
        <v>0.10960092645918734</v>
      </c>
      <c r="FU38" s="8">
        <f t="shared" si="6"/>
        <v>0.20355810448288161</v>
      </c>
      <c r="FV38" s="8">
        <f t="shared" si="6"/>
        <v>0.13460554722441956</v>
      </c>
      <c r="FW38" s="8">
        <f t="shared" si="6"/>
        <v>0.11696334109711409</v>
      </c>
      <c r="FX38" s="8">
        <f t="shared" si="6"/>
        <v>7.1204080503614556E-2</v>
      </c>
      <c r="FY38" s="8">
        <f t="shared" si="6"/>
        <v>5.1258660975853479E-2</v>
      </c>
      <c r="FZ38" s="8">
        <f t="shared" si="6"/>
        <v>4.899247844669978E-2</v>
      </c>
      <c r="GA38" s="8">
        <f t="shared" si="6"/>
        <v>1.6847886483103744E-2</v>
      </c>
      <c r="GB38" s="8">
        <f t="shared" si="6"/>
        <v>2.5977993150224445E-2</v>
      </c>
      <c r="GC38" s="8">
        <f t="shared" si="6"/>
        <v>0.12499074525304033</v>
      </c>
      <c r="GD38" s="8">
        <f t="shared" si="6"/>
        <v>0.1277698166583783</v>
      </c>
      <c r="GE38" s="8">
        <f t="shared" si="6"/>
        <v>4.9759616711859807E-2</v>
      </c>
      <c r="GF38" s="8">
        <f t="shared" si="6"/>
        <v>0.12104141410173257</v>
      </c>
      <c r="GG38" s="8">
        <f t="shared" si="6"/>
        <v>0.10349583834270047</v>
      </c>
      <c r="GH38" s="8">
        <f t="shared" si="6"/>
        <v>0.17085334844491881</v>
      </c>
      <c r="GI38" s="8">
        <f t="shared" si="6"/>
        <v>7.0438550225480262E-2</v>
      </c>
      <c r="GJ38" s="8">
        <f t="shared" si="6"/>
        <v>4.3715081750566147E-2</v>
      </c>
      <c r="GK38" s="8">
        <f t="shared" si="6"/>
        <v>3.8200845948860147E-2</v>
      </c>
      <c r="GL38" s="8">
        <f t="shared" si="6"/>
        <v>5.5633079224861173E-2</v>
      </c>
      <c r="GM38" s="8">
        <f t="shared" si="6"/>
        <v>7.7364015360870841E-2</v>
      </c>
      <c r="GN38" s="8">
        <f t="shared" ref="GN38:GU38" si="7">AVERAGE(GN12:GN24)</f>
        <v>7.6634719620448183E-2</v>
      </c>
      <c r="GO38" s="8">
        <f t="shared" si="7"/>
        <v>-6.2498217481780978E-2</v>
      </c>
      <c r="GP38" s="8">
        <f t="shared" si="7"/>
        <v>5.364410504449605E-2</v>
      </c>
      <c r="GQ38" s="8">
        <f t="shared" si="7"/>
        <v>4.0160876778502989E-2</v>
      </c>
      <c r="GR38" s="8">
        <f t="shared" si="7"/>
        <v>0.16794864129148701</v>
      </c>
      <c r="GS38" s="8">
        <f t="shared" si="7"/>
        <v>0.11153136678676447</v>
      </c>
      <c r="GT38" s="8">
        <f t="shared" si="7"/>
        <v>0.21129663995037826</v>
      </c>
      <c r="GU38" s="8">
        <f t="shared" si="7"/>
        <v>0.16602629551517914</v>
      </c>
    </row>
    <row r="39" spans="1:203" s="8" customFormat="1" x14ac:dyDescent="0.25">
      <c r="A39" s="220" t="s">
        <v>263</v>
      </c>
      <c r="B39" s="220"/>
      <c r="C39" s="8">
        <f>AVERAGE(C2:C11)</f>
        <v>-1.1936834174722669E-2</v>
      </c>
      <c r="D39" s="8">
        <f t="shared" ref="D39:BO39" si="8">AVERAGE(D2:D11)</f>
        <v>-1.664502966334264E-2</v>
      </c>
      <c r="E39" s="8">
        <f t="shared" si="8"/>
        <v>-2.091056919416031E-2</v>
      </c>
      <c r="F39" s="8">
        <f t="shared" si="8"/>
        <v>1.4128180015010403E-2</v>
      </c>
      <c r="G39" s="8">
        <f t="shared" si="8"/>
        <v>-4.7433882589145222E-2</v>
      </c>
      <c r="H39" s="8">
        <f t="shared" si="8"/>
        <v>-4.7272674394095007E-2</v>
      </c>
      <c r="I39" s="8">
        <f t="shared" si="8"/>
        <v>4.6480689032155971E-2</v>
      </c>
      <c r="J39" s="8">
        <f t="shared" si="8"/>
        <v>-4.1541233306667619E-2</v>
      </c>
      <c r="K39" s="8">
        <f t="shared" si="8"/>
        <v>1.3898814993100864E-2</v>
      </c>
      <c r="L39" s="8">
        <f t="shared" si="8"/>
        <v>-1.9372452280593769E-2</v>
      </c>
      <c r="M39" s="8">
        <f t="shared" si="8"/>
        <v>-8.4969174715613424E-2</v>
      </c>
      <c r="N39" s="8">
        <f t="shared" si="8"/>
        <v>-3.51688587813377E-2</v>
      </c>
      <c r="O39" s="8">
        <f t="shared" si="8"/>
        <v>3.3360677672651357E-2</v>
      </c>
      <c r="P39" s="8">
        <f t="shared" si="8"/>
        <v>4.4417678365156789E-2</v>
      </c>
      <c r="Q39" s="8">
        <f t="shared" si="8"/>
        <v>2.9987847629024355E-2</v>
      </c>
      <c r="R39" s="8">
        <f t="shared" si="8"/>
        <v>1.0004527760363612E-2</v>
      </c>
      <c r="S39" s="8">
        <f t="shared" si="8"/>
        <v>3.0504324643808745E-2</v>
      </c>
      <c r="T39" s="8">
        <f t="shared" si="8"/>
        <v>3.7675525364404001E-2</v>
      </c>
      <c r="U39" s="8">
        <f t="shared" si="8"/>
        <v>-1.5102723820046137E-2</v>
      </c>
      <c r="V39" s="8">
        <f t="shared" si="8"/>
        <v>3.1252011550882121E-2</v>
      </c>
      <c r="W39" s="8">
        <f t="shared" si="8"/>
        <v>1.7367648024858056E-2</v>
      </c>
      <c r="X39" s="8">
        <f t="shared" si="8"/>
        <v>2.5656267471403038E-2</v>
      </c>
      <c r="Y39" s="8">
        <f t="shared" si="8"/>
        <v>5.9829525687502091E-2</v>
      </c>
      <c r="Z39" s="8">
        <f t="shared" si="8"/>
        <v>9.6179735270632033E-2</v>
      </c>
      <c r="AA39" s="8">
        <f t="shared" si="8"/>
        <v>7.0163122730681662E-2</v>
      </c>
      <c r="AB39" s="8">
        <f t="shared" si="8"/>
        <v>3.3839399182776994E-2</v>
      </c>
      <c r="AC39" s="8">
        <f t="shared" si="8"/>
        <v>-2.723114383117493E-2</v>
      </c>
      <c r="AD39" s="8">
        <f t="shared" si="8"/>
        <v>-1.3288935813562155E-2</v>
      </c>
      <c r="AE39" s="8">
        <f t="shared" si="8"/>
        <v>4.1060957161505617E-2</v>
      </c>
      <c r="AF39" s="8">
        <f t="shared" si="8"/>
        <v>8.276137485860563E-2</v>
      </c>
      <c r="AG39" s="8">
        <f t="shared" si="8"/>
        <v>2.7301917616357994E-2</v>
      </c>
      <c r="AH39" s="8">
        <f t="shared" si="8"/>
        <v>-3.2847040045488114E-2</v>
      </c>
      <c r="AI39" s="8">
        <f t="shared" si="8"/>
        <v>-6.5559716433009493E-2</v>
      </c>
      <c r="AJ39" s="8">
        <f t="shared" si="8"/>
        <v>2.3396226385641372E-2</v>
      </c>
      <c r="AK39" s="8">
        <f t="shared" si="8"/>
        <v>3.9317295107290408E-2</v>
      </c>
      <c r="AL39" s="8">
        <f t="shared" si="8"/>
        <v>1.3960962693745799E-2</v>
      </c>
      <c r="AM39" s="8">
        <f t="shared" si="8"/>
        <v>6.7252175238814065E-3</v>
      </c>
      <c r="AN39" s="8">
        <f t="shared" si="8"/>
        <v>5.7055821448501562E-2</v>
      </c>
      <c r="AO39" s="8">
        <f t="shared" si="8"/>
        <v>-1.2041922024838198E-3</v>
      </c>
      <c r="AP39" s="8">
        <f t="shared" si="8"/>
        <v>-3.5180299283516181E-2</v>
      </c>
      <c r="AQ39" s="8">
        <f t="shared" si="8"/>
        <v>5.711697728071953E-2</v>
      </c>
      <c r="AR39" s="8">
        <f t="shared" si="8"/>
        <v>7.4355847956450047E-2</v>
      </c>
      <c r="AS39" s="8">
        <f t="shared" si="8"/>
        <v>4.9431590012714764E-2</v>
      </c>
      <c r="AT39" s="8">
        <f t="shared" si="8"/>
        <v>4.145198319334488E-2</v>
      </c>
      <c r="AU39" s="8">
        <f t="shared" si="8"/>
        <v>6.9270417943833092E-3</v>
      </c>
      <c r="AV39" s="8">
        <f t="shared" si="8"/>
        <v>4.4260873453121394E-2</v>
      </c>
      <c r="AW39" s="8">
        <f t="shared" si="8"/>
        <v>-1.1256437474418405E-2</v>
      </c>
      <c r="AX39" s="8">
        <f t="shared" si="8"/>
        <v>-2.1794984254261192E-2</v>
      </c>
      <c r="AY39" s="8">
        <f t="shared" si="8"/>
        <v>-2.0691842538036791E-2</v>
      </c>
      <c r="AZ39" s="8">
        <f t="shared" si="8"/>
        <v>1.9065572782211062E-3</v>
      </c>
      <c r="BA39" s="8">
        <f t="shared" si="8"/>
        <v>7.1842859805531983E-2</v>
      </c>
      <c r="BB39" s="8">
        <f t="shared" si="8"/>
        <v>1.5178528725105089E-2</v>
      </c>
      <c r="BC39" s="8">
        <f t="shared" si="8"/>
        <v>-5.5398042448539485E-2</v>
      </c>
      <c r="BD39" s="8">
        <f t="shared" si="8"/>
        <v>9.3570708262757062E-3</v>
      </c>
      <c r="BE39" s="8">
        <f t="shared" si="8"/>
        <v>-2.3685927018565624E-2</v>
      </c>
      <c r="BF39" s="8">
        <f t="shared" si="8"/>
        <v>4.1513673153353678E-2</v>
      </c>
      <c r="BG39" s="8">
        <f t="shared" si="8"/>
        <v>7.4493488376086603E-2</v>
      </c>
      <c r="BH39" s="8">
        <f t="shared" si="8"/>
        <v>2.641152084029489E-2</v>
      </c>
      <c r="BI39" s="8">
        <f t="shared" si="8"/>
        <v>3.0897786224522283E-2</v>
      </c>
      <c r="BJ39" s="8">
        <f t="shared" si="8"/>
        <v>4.1034529271290032E-2</v>
      </c>
      <c r="BK39" s="8">
        <f t="shared" si="8"/>
        <v>4.3337986828935471E-2</v>
      </c>
      <c r="BL39" s="8">
        <f t="shared" si="8"/>
        <v>1.7493637198605417E-3</v>
      </c>
      <c r="BM39" s="8">
        <f t="shared" si="8"/>
        <v>-2.4771671351528902E-2</v>
      </c>
      <c r="BN39" s="8">
        <f t="shared" si="8"/>
        <v>-9.9344891897080977E-3</v>
      </c>
      <c r="BO39" s="8">
        <f t="shared" si="8"/>
        <v>-3.8273754880998392E-2</v>
      </c>
      <c r="BP39" s="8">
        <f t="shared" ref="BP39:EA39" si="9">AVERAGE(BP2:BP11)</f>
        <v>-8.475896775709129E-3</v>
      </c>
      <c r="BQ39" s="8">
        <f t="shared" si="9"/>
        <v>-5.9201972768296611E-3</v>
      </c>
      <c r="BR39" s="8">
        <f t="shared" si="9"/>
        <v>1.6444291203251749E-2</v>
      </c>
      <c r="BS39" s="8">
        <f t="shared" si="9"/>
        <v>-1.1082505743210801E-2</v>
      </c>
      <c r="BT39" s="8">
        <f t="shared" si="9"/>
        <v>7.0704041411462082E-3</v>
      </c>
      <c r="BU39" s="8">
        <f t="shared" si="9"/>
        <v>-2.9022911628607269E-2</v>
      </c>
      <c r="BV39" s="8">
        <f t="shared" si="9"/>
        <v>1.1286308835112158E-2</v>
      </c>
      <c r="BW39" s="8">
        <f t="shared" si="9"/>
        <v>-8.8527371282789397E-2</v>
      </c>
      <c r="BX39" s="8">
        <f t="shared" si="9"/>
        <v>-2.3012740293260347E-2</v>
      </c>
      <c r="BY39" s="8">
        <f t="shared" si="9"/>
        <v>-1.9652983745349E-2</v>
      </c>
      <c r="BZ39" s="8">
        <f t="shared" si="9"/>
        <v>3.9128580041871861E-3</v>
      </c>
      <c r="CA39" s="8">
        <f t="shared" si="9"/>
        <v>-5.7105329217688586E-2</v>
      </c>
      <c r="CB39" s="8">
        <f t="shared" si="9"/>
        <v>-9.0382475622227551E-2</v>
      </c>
      <c r="CC39" s="8">
        <f t="shared" si="9"/>
        <v>-2.2379773006418757E-2</v>
      </c>
      <c r="CD39" s="8">
        <f t="shared" si="9"/>
        <v>-2.2017971201921359E-2</v>
      </c>
      <c r="CE39" s="8">
        <f t="shared" si="9"/>
        <v>-9.8505192378475298E-2</v>
      </c>
      <c r="CF39" s="8">
        <f t="shared" si="9"/>
        <v>-0.10731839448104552</v>
      </c>
      <c r="CG39" s="8">
        <f t="shared" si="9"/>
        <v>-2.1695376644018709E-2</v>
      </c>
      <c r="CH39" s="8">
        <f t="shared" si="9"/>
        <v>-1.0434683712010517E-2</v>
      </c>
      <c r="CI39" s="8">
        <f t="shared" si="9"/>
        <v>-5.276905458633159E-2</v>
      </c>
      <c r="CJ39" s="8">
        <f t="shared" si="9"/>
        <v>-2.3238767230693617E-2</v>
      </c>
      <c r="CK39" s="8">
        <f t="shared" si="9"/>
        <v>-2.0737328194055181E-2</v>
      </c>
      <c r="CL39" s="8">
        <f t="shared" si="9"/>
        <v>-4.6848571385702129E-2</v>
      </c>
      <c r="CM39" s="8">
        <f t="shared" si="9"/>
        <v>-2.5594428008059278E-2</v>
      </c>
      <c r="CN39" s="8">
        <f t="shared" si="9"/>
        <v>-3.1260402534907278E-2</v>
      </c>
      <c r="CO39" s="8">
        <f t="shared" si="9"/>
        <v>-7.0126969108856602E-2</v>
      </c>
      <c r="CP39" s="8">
        <f t="shared" si="9"/>
        <v>-4.7678735072223984E-2</v>
      </c>
      <c r="CQ39" s="8">
        <f t="shared" si="9"/>
        <v>-8.5949727389116798E-2</v>
      </c>
      <c r="CR39" s="8">
        <f t="shared" si="9"/>
        <v>-5.1034437730204121E-2</v>
      </c>
      <c r="CS39" s="8">
        <f t="shared" si="9"/>
        <v>-8.4534060803563169E-2</v>
      </c>
      <c r="CT39" s="8">
        <f t="shared" si="9"/>
        <v>-7.1574441727380641E-3</v>
      </c>
      <c r="CU39" s="8">
        <f t="shared" si="9"/>
        <v>-6.5692512786308083E-2</v>
      </c>
      <c r="CV39" s="8">
        <f t="shared" si="9"/>
        <v>2.4257680100285228E-2</v>
      </c>
      <c r="CW39" s="8">
        <f t="shared" si="9"/>
        <v>-2.5212046520428633E-2</v>
      </c>
      <c r="CX39" s="8">
        <f t="shared" si="9"/>
        <v>-2.1061168686581288E-3</v>
      </c>
      <c r="CY39" s="8">
        <f t="shared" si="9"/>
        <v>2.9244792598493729E-2</v>
      </c>
      <c r="CZ39" s="8">
        <f t="shared" si="9"/>
        <v>1.0346658524270693E-2</v>
      </c>
      <c r="DA39" s="8">
        <f t="shared" si="9"/>
        <v>-2.1960037549938017E-2</v>
      </c>
      <c r="DB39" s="8">
        <f t="shared" si="9"/>
        <v>2.9215480017422239E-2</v>
      </c>
      <c r="DC39" s="8">
        <f t="shared" si="9"/>
        <v>-3.1350875527296138E-2</v>
      </c>
      <c r="DD39" s="8">
        <f t="shared" si="9"/>
        <v>4.3230316355891578E-2</v>
      </c>
      <c r="DE39" s="8">
        <f t="shared" si="9"/>
        <v>3.3589740111340811E-2</v>
      </c>
      <c r="DF39" s="8">
        <f t="shared" si="9"/>
        <v>5.1912771764448607E-3</v>
      </c>
      <c r="DG39" s="8">
        <f t="shared" si="9"/>
        <v>2.5807131399634965E-2</v>
      </c>
      <c r="DH39" s="8">
        <f t="shared" si="9"/>
        <v>4.2691905630808422E-2</v>
      </c>
      <c r="DI39" s="8">
        <f t="shared" si="9"/>
        <v>4.6211613723446138E-3</v>
      </c>
      <c r="DJ39" s="8">
        <f t="shared" si="9"/>
        <v>1.7729471330471865E-2</v>
      </c>
      <c r="DK39" s="8">
        <f t="shared" si="9"/>
        <v>2.8453165234278856E-2</v>
      </c>
      <c r="DL39" s="8">
        <f t="shared" si="9"/>
        <v>3.5488498876722432E-3</v>
      </c>
      <c r="DM39" s="8">
        <f t="shared" si="9"/>
        <v>5.5702114571025878E-3</v>
      </c>
      <c r="DN39" s="8">
        <f t="shared" si="9"/>
        <v>2.2023138041509037E-2</v>
      </c>
      <c r="DO39" s="8">
        <f t="shared" si="9"/>
        <v>5.9022175298610258E-2</v>
      </c>
      <c r="DP39" s="8">
        <f t="shared" si="9"/>
        <v>3.6666880263054161E-2</v>
      </c>
      <c r="DQ39" s="8">
        <f t="shared" si="9"/>
        <v>8.8503069977275968E-4</v>
      </c>
      <c r="DR39" s="8">
        <f t="shared" si="9"/>
        <v>2.952292265954997E-2</v>
      </c>
      <c r="DS39" s="8">
        <f t="shared" si="9"/>
        <v>2.7938625706419019E-2</v>
      </c>
      <c r="DT39" s="8">
        <f t="shared" si="9"/>
        <v>-8.2545145990274599E-2</v>
      </c>
      <c r="DU39" s="8">
        <f t="shared" si="9"/>
        <v>8.6903687563599646E-2</v>
      </c>
      <c r="DV39" s="8">
        <f t="shared" si="9"/>
        <v>4.5163116533585582E-2</v>
      </c>
      <c r="DW39" s="8">
        <f t="shared" si="9"/>
        <v>8.9256098677863563E-2</v>
      </c>
      <c r="DX39" s="8">
        <f t="shared" si="9"/>
        <v>2.5453634356654896E-2</v>
      </c>
      <c r="DY39" s="8">
        <f t="shared" si="9"/>
        <v>0.17069207356797406</v>
      </c>
      <c r="DZ39" s="8">
        <f t="shared" si="9"/>
        <v>0.13946276999312041</v>
      </c>
      <c r="EA39" s="8">
        <f t="shared" si="9"/>
        <v>0.22524288340658324</v>
      </c>
      <c r="EB39" s="8">
        <f t="shared" ref="EB39:GM39" si="10">AVERAGE(EB2:EB11)</f>
        <v>7.7014402138197713E-2</v>
      </c>
      <c r="EC39" s="8">
        <f t="shared" si="10"/>
        <v>0.14468486879720338</v>
      </c>
      <c r="ED39" s="8">
        <f t="shared" si="10"/>
        <v>6.2515945207450976E-2</v>
      </c>
      <c r="EE39" s="8">
        <f t="shared" si="10"/>
        <v>9.8508930757853122E-2</v>
      </c>
      <c r="EF39" s="8">
        <f t="shared" si="10"/>
        <v>8.3934885881097696E-2</v>
      </c>
      <c r="EG39" s="8">
        <f t="shared" si="10"/>
        <v>0.11811839645608324</v>
      </c>
      <c r="EH39" s="8">
        <f t="shared" si="10"/>
        <v>9.7852544428046681E-2</v>
      </c>
      <c r="EI39" s="8">
        <f t="shared" si="10"/>
        <v>3.7897376538458996E-2</v>
      </c>
      <c r="EJ39" s="8">
        <f t="shared" si="10"/>
        <v>-1.1675360779171005E-2</v>
      </c>
      <c r="EK39" s="8">
        <f t="shared" si="10"/>
        <v>7.3446100834202319E-2</v>
      </c>
      <c r="EL39" s="8">
        <f t="shared" si="10"/>
        <v>2.8460086119273531E-2</v>
      </c>
      <c r="EM39" s="8">
        <f t="shared" si="10"/>
        <v>-9.5208728165365568E-3</v>
      </c>
      <c r="EN39" s="8">
        <f t="shared" si="10"/>
        <v>0.10126731740529811</v>
      </c>
      <c r="EO39" s="8">
        <f t="shared" si="10"/>
        <v>1.5670738927554655E-2</v>
      </c>
      <c r="EP39" s="8">
        <f t="shared" si="10"/>
        <v>2.4227936881006225E-2</v>
      </c>
      <c r="EQ39" s="8">
        <f t="shared" si="10"/>
        <v>0.16263245601175794</v>
      </c>
      <c r="ER39" s="8">
        <f t="shared" si="10"/>
        <v>0.10157612485384515</v>
      </c>
      <c r="ES39" s="8">
        <f t="shared" si="10"/>
        <v>0.17037140134562484</v>
      </c>
      <c r="ET39" s="8">
        <f t="shared" si="10"/>
        <v>5.4224299315041732E-2</v>
      </c>
      <c r="EU39" s="8">
        <f t="shared" si="10"/>
        <v>0.15405576690140615</v>
      </c>
      <c r="EV39" s="8">
        <f t="shared" si="10"/>
        <v>0.24232856677962916</v>
      </c>
      <c r="EW39" s="8">
        <f t="shared" si="10"/>
        <v>0.31396073477775394</v>
      </c>
      <c r="EX39" s="8">
        <f t="shared" si="10"/>
        <v>-5.8258113001070401E-2</v>
      </c>
      <c r="EY39" s="8">
        <f t="shared" si="10"/>
        <v>-5.3038426645880835E-2</v>
      </c>
      <c r="EZ39" s="8">
        <f t="shared" si="10"/>
        <v>1.9838263266178276E-3</v>
      </c>
      <c r="FA39" s="8">
        <f t="shared" si="10"/>
        <v>-2.6249804387699339E-2</v>
      </c>
      <c r="FB39" s="8">
        <f t="shared" si="10"/>
        <v>-1.3055534047569303E-2</v>
      </c>
      <c r="FC39" s="8">
        <f t="shared" si="10"/>
        <v>-0.12479549673617867</v>
      </c>
      <c r="FD39" s="8">
        <f t="shared" si="10"/>
        <v>-7.7560642811141431E-2</v>
      </c>
      <c r="FE39" s="8">
        <f t="shared" si="10"/>
        <v>-9.1518645627552658E-2</v>
      </c>
      <c r="FF39" s="8">
        <f t="shared" si="10"/>
        <v>-0.10341361471562913</v>
      </c>
      <c r="FG39" s="8">
        <f t="shared" si="10"/>
        <v>-0.11681747602375588</v>
      </c>
      <c r="FH39" s="8">
        <f t="shared" si="10"/>
        <v>6.7582762726091039E-2</v>
      </c>
      <c r="FI39" s="8">
        <f t="shared" si="10"/>
        <v>-1.2700151153120559E-2</v>
      </c>
      <c r="FJ39" s="8">
        <f t="shared" si="10"/>
        <v>-3.6838921964290963E-2</v>
      </c>
      <c r="FK39" s="8">
        <f t="shared" si="10"/>
        <v>-1.8402557988613993E-2</v>
      </c>
      <c r="FL39" s="8">
        <f t="shared" si="10"/>
        <v>-5.8855613970302447E-3</v>
      </c>
      <c r="FM39" s="8">
        <f t="shared" si="10"/>
        <v>-5.286937212896925E-2</v>
      </c>
      <c r="FN39" s="8">
        <f t="shared" si="10"/>
        <v>-2.6686030908076402E-2</v>
      </c>
      <c r="FO39" s="8">
        <f t="shared" si="10"/>
        <v>9.0055697876879337E-2</v>
      </c>
      <c r="FP39" s="8">
        <f t="shared" si="10"/>
        <v>9.3125472580378607E-2</v>
      </c>
      <c r="FQ39" s="8">
        <f t="shared" si="10"/>
        <v>1.5610805881535508E-2</v>
      </c>
      <c r="FR39" s="8">
        <f t="shared" si="10"/>
        <v>8.0145390094019067E-2</v>
      </c>
      <c r="FS39" s="8">
        <f t="shared" si="10"/>
        <v>0.12488988156731737</v>
      </c>
      <c r="FT39" s="8">
        <f t="shared" si="10"/>
        <v>9.6476771490670951E-2</v>
      </c>
      <c r="FU39" s="8">
        <f t="shared" si="10"/>
        <v>0.18342606264915248</v>
      </c>
      <c r="FV39" s="8">
        <f t="shared" si="10"/>
        <v>8.3743719919647255E-2</v>
      </c>
      <c r="FW39" s="8">
        <f t="shared" si="10"/>
        <v>0.13040236223658971</v>
      </c>
      <c r="FX39" s="8">
        <f t="shared" si="10"/>
        <v>0.14952733071449106</v>
      </c>
      <c r="FY39" s="8">
        <f t="shared" si="10"/>
        <v>0.3435824699297273</v>
      </c>
      <c r="FZ39" s="8">
        <f t="shared" si="10"/>
        <v>0.2342532821025059</v>
      </c>
      <c r="GA39" s="8">
        <f t="shared" si="10"/>
        <v>0.32751112501203899</v>
      </c>
      <c r="GB39" s="8">
        <f t="shared" si="10"/>
        <v>0.23476884255021066</v>
      </c>
      <c r="GC39" s="8">
        <f t="shared" si="10"/>
        <v>0.20141195299786907</v>
      </c>
      <c r="GD39" s="8">
        <f t="shared" si="10"/>
        <v>0.15442130793492498</v>
      </c>
      <c r="GE39" s="8">
        <f t="shared" si="10"/>
        <v>0.21207565796649117</v>
      </c>
      <c r="GF39" s="8">
        <f t="shared" si="10"/>
        <v>0.22045295471660298</v>
      </c>
      <c r="GG39" s="8">
        <f t="shared" si="10"/>
        <v>0.21353579493388178</v>
      </c>
      <c r="GH39" s="8">
        <f t="shared" si="10"/>
        <v>0.23567520717964835</v>
      </c>
      <c r="GI39" s="8">
        <f t="shared" si="10"/>
        <v>0.12495329124521319</v>
      </c>
      <c r="GJ39" s="8">
        <f t="shared" si="10"/>
        <v>0.35982077136443646</v>
      </c>
      <c r="GK39" s="8">
        <f t="shared" si="10"/>
        <v>0.23783306935713569</v>
      </c>
      <c r="GL39" s="8">
        <f t="shared" si="10"/>
        <v>0.20967657470284401</v>
      </c>
      <c r="GM39" s="8">
        <f t="shared" si="10"/>
        <v>0.27457597133355532</v>
      </c>
      <c r="GN39" s="8">
        <f t="shared" ref="GN39:GU39" si="11">AVERAGE(GN2:GN11)</f>
        <v>0.2040468637535775</v>
      </c>
      <c r="GO39" s="8">
        <f t="shared" si="11"/>
        <v>0.39455427037201046</v>
      </c>
      <c r="GP39" s="8">
        <f t="shared" si="11"/>
        <v>0.43315446085477793</v>
      </c>
      <c r="GQ39" s="8">
        <f t="shared" si="11"/>
        <v>0.42624546336630686</v>
      </c>
      <c r="GR39" s="8">
        <f t="shared" si="11"/>
        <v>0.20732822283944302</v>
      </c>
      <c r="GS39" s="8">
        <f t="shared" si="11"/>
        <v>0.1895210078086266</v>
      </c>
      <c r="GT39" s="8">
        <f t="shared" si="11"/>
        <v>0.31817950694290253</v>
      </c>
      <c r="GU39" s="8">
        <f t="shared" si="11"/>
        <v>0.39173916429536992</v>
      </c>
    </row>
    <row r="40" spans="1:203" s="8" customFormat="1" x14ac:dyDescent="0.25">
      <c r="A40" s="220" t="s">
        <v>264</v>
      </c>
      <c r="B40" s="220"/>
      <c r="C40" s="8">
        <f>AVERAGE(C25:C35)</f>
        <v>4.2811621470357948E-2</v>
      </c>
      <c r="D40" s="8">
        <f t="shared" ref="D40:BO40" si="12">AVERAGE(D25:D35)</f>
        <v>4.5796508878159512E-3</v>
      </c>
      <c r="E40" s="8">
        <f t="shared" si="12"/>
        <v>-8.5674286848827372E-2</v>
      </c>
      <c r="F40" s="8">
        <f t="shared" si="12"/>
        <v>1.0975662539400183E-2</v>
      </c>
      <c r="G40" s="8">
        <f t="shared" si="12"/>
        <v>1.3979738653794151E-3</v>
      </c>
      <c r="H40" s="8">
        <f t="shared" si="12"/>
        <v>5.7552898995620945E-2</v>
      </c>
      <c r="I40" s="8">
        <f t="shared" si="12"/>
        <v>8.6321198852878978E-2</v>
      </c>
      <c r="J40" s="8">
        <f t="shared" si="12"/>
        <v>2.2606129667529104E-2</v>
      </c>
      <c r="K40" s="8">
        <f t="shared" si="12"/>
        <v>3.7813824038760109E-2</v>
      </c>
      <c r="L40" s="8">
        <f t="shared" si="12"/>
        <v>3.8263397224905953E-2</v>
      </c>
      <c r="M40" s="8">
        <f t="shared" si="12"/>
        <v>-2.96339686026497E-3</v>
      </c>
      <c r="N40" s="8">
        <f t="shared" si="12"/>
        <v>-1.5218991839970164E-2</v>
      </c>
      <c r="O40" s="8">
        <f t="shared" si="12"/>
        <v>3.0235563570221839E-2</v>
      </c>
      <c r="P40" s="8">
        <f t="shared" si="12"/>
        <v>4.1518955442506993E-2</v>
      </c>
      <c r="Q40" s="8">
        <f t="shared" si="12"/>
        <v>5.0813314428629533E-2</v>
      </c>
      <c r="R40" s="8">
        <f t="shared" si="12"/>
        <v>9.27021216021994E-2</v>
      </c>
      <c r="S40" s="8">
        <f t="shared" si="12"/>
        <v>-6.0927485054575433E-3</v>
      </c>
      <c r="T40" s="8">
        <f t="shared" si="12"/>
        <v>4.7271950798830446E-2</v>
      </c>
      <c r="U40" s="8">
        <f t="shared" si="12"/>
        <v>2.6368314543340033E-2</v>
      </c>
      <c r="V40" s="8">
        <f t="shared" si="12"/>
        <v>5.4979315062490208E-2</v>
      </c>
      <c r="W40" s="8">
        <f t="shared" si="12"/>
        <v>1.493479642656738E-3</v>
      </c>
      <c r="X40" s="8">
        <f t="shared" si="12"/>
        <v>7.9331916710878414E-2</v>
      </c>
      <c r="Y40" s="8">
        <f t="shared" si="12"/>
        <v>0.10375693253777021</v>
      </c>
      <c r="Z40" s="8">
        <f t="shared" si="12"/>
        <v>0.10310610134111933</v>
      </c>
      <c r="AA40" s="8">
        <f t="shared" si="12"/>
        <v>8.7594989892304173E-2</v>
      </c>
      <c r="AB40" s="8">
        <f t="shared" si="12"/>
        <v>7.745111096042688E-2</v>
      </c>
      <c r="AC40" s="8">
        <f t="shared" si="12"/>
        <v>-3.6994220451823052E-2</v>
      </c>
      <c r="AD40" s="8">
        <f t="shared" si="12"/>
        <v>7.4266578460036418E-3</v>
      </c>
      <c r="AE40" s="8">
        <f t="shared" si="12"/>
        <v>-5.2971284050351434E-3</v>
      </c>
      <c r="AF40" s="8">
        <f t="shared" si="12"/>
        <v>2.0970482388734273E-2</v>
      </c>
      <c r="AG40" s="8">
        <f t="shared" si="12"/>
        <v>-7.1052659628926349E-3</v>
      </c>
      <c r="AH40" s="8">
        <f t="shared" si="12"/>
        <v>-2.0552895587809605E-2</v>
      </c>
      <c r="AI40" s="8">
        <f t="shared" si="12"/>
        <v>-2.7540920790352738E-2</v>
      </c>
      <c r="AJ40" s="8">
        <f t="shared" si="12"/>
        <v>-1.7056860766934159E-2</v>
      </c>
      <c r="AK40" s="8">
        <f t="shared" si="12"/>
        <v>-8.8739726215998731E-3</v>
      </c>
      <c r="AL40" s="8">
        <f t="shared" si="12"/>
        <v>7.0646497874092259E-2</v>
      </c>
      <c r="AM40" s="8">
        <f t="shared" si="12"/>
        <v>-9.7152433576672709E-3</v>
      </c>
      <c r="AN40" s="8">
        <f t="shared" si="12"/>
        <v>4.8016394985011625E-2</v>
      </c>
      <c r="AO40" s="8">
        <f t="shared" si="12"/>
        <v>7.2642488481438006E-2</v>
      </c>
      <c r="AP40" s="8">
        <f t="shared" si="12"/>
        <v>-1.0417895409710748E-2</v>
      </c>
      <c r="AQ40" s="8">
        <f t="shared" si="12"/>
        <v>8.2728777660443897E-2</v>
      </c>
      <c r="AR40" s="8">
        <f t="shared" si="12"/>
        <v>5.6605239325805017E-2</v>
      </c>
      <c r="AS40" s="8">
        <f t="shared" si="12"/>
        <v>7.1910008015362459E-2</v>
      </c>
      <c r="AT40" s="8">
        <f t="shared" si="12"/>
        <v>3.5515875317978625E-2</v>
      </c>
      <c r="AU40" s="8">
        <f t="shared" si="12"/>
        <v>0.11927858161172472</v>
      </c>
      <c r="AV40" s="8">
        <f t="shared" si="12"/>
        <v>4.5347108927182807E-2</v>
      </c>
      <c r="AW40" s="8">
        <f t="shared" si="12"/>
        <v>0.17873095309049516</v>
      </c>
      <c r="AX40" s="8">
        <f t="shared" si="12"/>
        <v>0.17359796434634897</v>
      </c>
      <c r="AY40" s="8">
        <f t="shared" si="12"/>
        <v>9.7033556803896012E-2</v>
      </c>
      <c r="AZ40" s="8">
        <f t="shared" si="12"/>
        <v>-1.5361608529133498E-2</v>
      </c>
      <c r="BA40" s="8">
        <f t="shared" si="12"/>
        <v>9.8995184349272444E-2</v>
      </c>
      <c r="BB40" s="8">
        <f t="shared" si="12"/>
        <v>-4.6402933043030489E-2</v>
      </c>
      <c r="BC40" s="8">
        <f t="shared" si="12"/>
        <v>5.2636921263840002E-2</v>
      </c>
      <c r="BD40" s="8">
        <f t="shared" si="12"/>
        <v>4.8015013968670986E-2</v>
      </c>
      <c r="BE40" s="8">
        <f t="shared" si="12"/>
        <v>7.4149475993253583E-4</v>
      </c>
      <c r="BF40" s="8">
        <f t="shared" si="12"/>
        <v>0.24633173260013227</v>
      </c>
      <c r="BG40" s="8">
        <f t="shared" si="12"/>
        <v>0.30638427964578735</v>
      </c>
      <c r="BH40" s="8">
        <f t="shared" si="12"/>
        <v>0.21977323429121948</v>
      </c>
      <c r="BI40" s="8">
        <f t="shared" si="12"/>
        <v>0.25129717467860729</v>
      </c>
      <c r="BJ40" s="8">
        <f t="shared" si="12"/>
        <v>0.272847728457634</v>
      </c>
      <c r="BK40" s="8">
        <f t="shared" si="12"/>
        <v>6.0356696511334792E-3</v>
      </c>
      <c r="BL40" s="8">
        <f t="shared" si="12"/>
        <v>1.6936325340581725E-2</v>
      </c>
      <c r="BM40" s="8">
        <f t="shared" si="12"/>
        <v>-3.1619232710540612E-3</v>
      </c>
      <c r="BN40" s="8">
        <f t="shared" si="12"/>
        <v>6.2977946452153655E-2</v>
      </c>
      <c r="BO40" s="8">
        <f t="shared" si="12"/>
        <v>9.9608440382340457E-2</v>
      </c>
      <c r="BP40" s="8">
        <f t="shared" ref="BP40:EA40" si="13">AVERAGE(BP25:BP35)</f>
        <v>9.5040503295926199E-2</v>
      </c>
      <c r="BQ40" s="8">
        <f t="shared" si="13"/>
        <v>8.0568242724903247E-2</v>
      </c>
      <c r="BR40" s="8">
        <f t="shared" si="13"/>
        <v>0.19193443221996587</v>
      </c>
      <c r="BS40" s="8">
        <f t="shared" si="13"/>
        <v>0.15077925478989718</v>
      </c>
      <c r="BT40" s="8">
        <f t="shared" si="13"/>
        <v>0.14561844901377055</v>
      </c>
      <c r="BU40" s="8">
        <f t="shared" si="13"/>
        <v>0.13174089728140762</v>
      </c>
      <c r="BV40" s="8">
        <f t="shared" si="13"/>
        <v>4.3074360948881056E-2</v>
      </c>
      <c r="BW40" s="8">
        <f t="shared" si="13"/>
        <v>-4.0389572188048298E-2</v>
      </c>
      <c r="BX40" s="8">
        <f t="shared" si="13"/>
        <v>0.11656120131365579</v>
      </c>
      <c r="BY40" s="8">
        <f t="shared" si="13"/>
        <v>0.10224019334821066</v>
      </c>
      <c r="BZ40" s="8">
        <f t="shared" si="13"/>
        <v>0.19842803001592013</v>
      </c>
      <c r="CA40" s="8">
        <f t="shared" si="13"/>
        <v>8.6435982355465998E-2</v>
      </c>
      <c r="CB40" s="8">
        <f t="shared" si="13"/>
        <v>5.7007484368638145E-3</v>
      </c>
      <c r="CC40" s="8">
        <f t="shared" si="13"/>
        <v>9.4961583238262731E-2</v>
      </c>
      <c r="CD40" s="8">
        <f t="shared" si="13"/>
        <v>0.15184172614295088</v>
      </c>
      <c r="CE40" s="8">
        <f t="shared" si="13"/>
        <v>0.12940656176845047</v>
      </c>
      <c r="CF40" s="8">
        <f t="shared" si="13"/>
        <v>5.9819015927280492E-2</v>
      </c>
      <c r="CG40" s="8">
        <f t="shared" si="13"/>
        <v>0.17850977870554571</v>
      </c>
      <c r="CH40" s="8">
        <f t="shared" si="13"/>
        <v>0.11446965390546078</v>
      </c>
      <c r="CI40" s="8">
        <f t="shared" si="13"/>
        <v>1.8631154594597524E-2</v>
      </c>
      <c r="CJ40" s="8">
        <f t="shared" si="13"/>
        <v>4.2857080225415449E-2</v>
      </c>
      <c r="CK40" s="8">
        <f t="shared" si="13"/>
        <v>8.5368334362991974E-2</v>
      </c>
      <c r="CL40" s="8">
        <f t="shared" si="13"/>
        <v>0.14073651945828813</v>
      </c>
      <c r="CM40" s="8">
        <f t="shared" si="13"/>
        <v>0.10593268674404968</v>
      </c>
      <c r="CN40" s="8">
        <f t="shared" si="13"/>
        <v>0.17119145671401356</v>
      </c>
      <c r="CO40" s="8">
        <f t="shared" si="13"/>
        <v>8.1073419993543339E-2</v>
      </c>
      <c r="CP40" s="8">
        <f t="shared" si="13"/>
        <v>0.15032569473991977</v>
      </c>
      <c r="CQ40" s="8">
        <f t="shared" si="13"/>
        <v>-1.3649280262818536E-2</v>
      </c>
      <c r="CR40" s="8">
        <f t="shared" si="13"/>
        <v>4.251944421112281E-2</v>
      </c>
      <c r="CS40" s="8">
        <f t="shared" si="13"/>
        <v>6.1614740432737299E-2</v>
      </c>
      <c r="CT40" s="8">
        <f t="shared" si="13"/>
        <v>0.10133282617719229</v>
      </c>
      <c r="CU40" s="8">
        <f t="shared" si="13"/>
        <v>5.3774335053341685E-2</v>
      </c>
      <c r="CV40" s="8">
        <f t="shared" si="13"/>
        <v>-0.11135731250598174</v>
      </c>
      <c r="CW40" s="8">
        <f t="shared" si="13"/>
        <v>-8.8379023218913721E-2</v>
      </c>
      <c r="CX40" s="8">
        <f t="shared" si="13"/>
        <v>-9.3458015940643874E-2</v>
      </c>
      <c r="CY40" s="8">
        <f t="shared" si="13"/>
        <v>-8.2806430374514406E-2</v>
      </c>
      <c r="CZ40" s="8">
        <f t="shared" si="13"/>
        <v>-9.2880911268178726E-2</v>
      </c>
      <c r="DA40" s="8">
        <f t="shared" si="13"/>
        <v>-9.4933931710981939E-2</v>
      </c>
      <c r="DB40" s="8">
        <f t="shared" si="13"/>
        <v>-6.3475552252246978E-2</v>
      </c>
      <c r="DC40" s="8">
        <f t="shared" si="13"/>
        <v>-8.1601653445443026E-2</v>
      </c>
      <c r="DD40" s="8">
        <f t="shared" si="13"/>
        <v>-8.0167370212156391E-2</v>
      </c>
      <c r="DE40" s="8">
        <f t="shared" si="13"/>
        <v>-2.2906888703351756E-2</v>
      </c>
      <c r="DF40" s="8">
        <f t="shared" si="13"/>
        <v>-4.6320253796959809E-2</v>
      </c>
      <c r="DG40" s="8">
        <f t="shared" si="13"/>
        <v>-5.5242373034467461E-2</v>
      </c>
      <c r="DH40" s="8">
        <f t="shared" si="13"/>
        <v>-5.6496476145599668E-2</v>
      </c>
      <c r="DI40" s="8">
        <f t="shared" si="13"/>
        <v>-9.9529034814722472E-2</v>
      </c>
      <c r="DJ40" s="8">
        <f t="shared" si="13"/>
        <v>-7.7151514189474482E-2</v>
      </c>
      <c r="DK40" s="8">
        <f t="shared" si="13"/>
        <v>-2.5571765418224257E-2</v>
      </c>
      <c r="DL40" s="8">
        <f t="shared" si="13"/>
        <v>-0.10123308492228343</v>
      </c>
      <c r="DM40" s="8">
        <f t="shared" si="13"/>
        <v>-8.3179955878787806E-2</v>
      </c>
      <c r="DN40" s="8">
        <f t="shared" si="13"/>
        <v>-8.4287535302534314E-2</v>
      </c>
      <c r="DO40" s="8">
        <f t="shared" si="13"/>
        <v>-6.5535941107866633E-2</v>
      </c>
      <c r="DP40" s="8">
        <f t="shared" si="13"/>
        <v>-0.10749276961266548</v>
      </c>
      <c r="DQ40" s="8">
        <f t="shared" si="13"/>
        <v>-8.6581951844406924E-2</v>
      </c>
      <c r="DR40" s="8">
        <f t="shared" si="13"/>
        <v>-9.479552601152802E-2</v>
      </c>
      <c r="DS40" s="8">
        <f t="shared" si="13"/>
        <v>-9.4372442927743924E-2</v>
      </c>
      <c r="DT40" s="8">
        <f t="shared" si="13"/>
        <v>-9.1984472527916625E-2</v>
      </c>
      <c r="DU40" s="8">
        <f t="shared" si="13"/>
        <v>7.361390345064224E-2</v>
      </c>
      <c r="DV40" s="8">
        <f t="shared" si="13"/>
        <v>2.0705849867615166E-2</v>
      </c>
      <c r="DW40" s="8">
        <f t="shared" si="13"/>
        <v>9.753110169646062E-2</v>
      </c>
      <c r="DX40" s="8">
        <f t="shared" si="13"/>
        <v>0.12627373952619927</v>
      </c>
      <c r="DY40" s="8">
        <f t="shared" si="13"/>
        <v>-7.938495529831395E-2</v>
      </c>
      <c r="DZ40" s="8">
        <f t="shared" si="13"/>
        <v>-0.13113017259729789</v>
      </c>
      <c r="EA40" s="8">
        <f t="shared" si="13"/>
        <v>-8.588475901820404E-2</v>
      </c>
      <c r="EB40" s="8">
        <f t="shared" ref="EB40:GM40" si="14">AVERAGE(EB25:EB35)</f>
        <v>0.11468719806672367</v>
      </c>
      <c r="EC40" s="8">
        <f t="shared" si="14"/>
        <v>0.17116574277291746</v>
      </c>
      <c r="ED40" s="8">
        <f t="shared" si="14"/>
        <v>-7.2439975412292468E-2</v>
      </c>
      <c r="EE40" s="8">
        <f t="shared" si="14"/>
        <v>-3.71673913750813E-2</v>
      </c>
      <c r="EF40" s="8">
        <f t="shared" si="14"/>
        <v>-3.9678983066705762E-3</v>
      </c>
      <c r="EG40" s="8">
        <f t="shared" si="14"/>
        <v>-3.654584602072123E-2</v>
      </c>
      <c r="EH40" s="8">
        <f t="shared" si="14"/>
        <v>-3.4271632668572839E-2</v>
      </c>
      <c r="EI40" s="8">
        <f t="shared" si="14"/>
        <v>-9.6757683528036653E-2</v>
      </c>
      <c r="EJ40" s="8">
        <f t="shared" si="14"/>
        <v>-0.10962130940831764</v>
      </c>
      <c r="EK40" s="8">
        <f t="shared" si="14"/>
        <v>-8.7971978184505181E-2</v>
      </c>
      <c r="EL40" s="8">
        <f t="shared" si="14"/>
        <v>-0.10676645138625403</v>
      </c>
      <c r="EM40" s="8">
        <f t="shared" si="14"/>
        <v>-0.10843778714531506</v>
      </c>
      <c r="EN40" s="8">
        <f t="shared" si="14"/>
        <v>-0.10615457080863339</v>
      </c>
      <c r="EO40" s="8">
        <f t="shared" si="14"/>
        <v>-0.12161106498081936</v>
      </c>
      <c r="EP40" s="8">
        <f t="shared" si="14"/>
        <v>-0.14594230472381464</v>
      </c>
      <c r="EQ40" s="8">
        <f t="shared" si="14"/>
        <v>-0.13450588283886586</v>
      </c>
      <c r="ER40" s="8">
        <f t="shared" si="14"/>
        <v>-0.17329501136399805</v>
      </c>
      <c r="ES40" s="8">
        <f t="shared" si="14"/>
        <v>-0.1314816491520355</v>
      </c>
      <c r="ET40" s="8">
        <f t="shared" si="14"/>
        <v>-0.12395117598495725</v>
      </c>
      <c r="EU40" s="8">
        <f t="shared" si="14"/>
        <v>-0.13624104058048039</v>
      </c>
      <c r="EV40" s="8">
        <f t="shared" si="14"/>
        <v>-0.17162977535763224</v>
      </c>
      <c r="EW40" s="8">
        <f t="shared" si="14"/>
        <v>-1.6351579721152264E-2</v>
      </c>
      <c r="EX40" s="8">
        <f t="shared" si="14"/>
        <v>-0.15393995370886468</v>
      </c>
      <c r="EY40" s="8">
        <f t="shared" si="14"/>
        <v>-0.14366498932886199</v>
      </c>
      <c r="EZ40" s="8">
        <f t="shared" si="14"/>
        <v>-0.11488754759096344</v>
      </c>
      <c r="FA40" s="8">
        <f t="shared" si="14"/>
        <v>-0.11756219087955389</v>
      </c>
      <c r="FB40" s="8">
        <f t="shared" si="14"/>
        <v>-0.12953082878497693</v>
      </c>
      <c r="FC40" s="8">
        <f t="shared" si="14"/>
        <v>-0.17909329534444698</v>
      </c>
      <c r="FD40" s="8">
        <f t="shared" si="14"/>
        <v>-0.17167002659036604</v>
      </c>
      <c r="FE40" s="8">
        <f t="shared" si="14"/>
        <v>-0.19164380760733565</v>
      </c>
      <c r="FF40" s="8">
        <f t="shared" si="14"/>
        <v>-0.19353930124508037</v>
      </c>
      <c r="FG40" s="8">
        <f t="shared" si="14"/>
        <v>-0.19060419807661208</v>
      </c>
      <c r="FH40" s="8">
        <f t="shared" si="14"/>
        <v>-7.5289322147957249E-2</v>
      </c>
      <c r="FI40" s="8">
        <f t="shared" si="14"/>
        <v>-6.7282536378268157E-2</v>
      </c>
      <c r="FJ40" s="8">
        <f t="shared" si="14"/>
        <v>-8.1595008924509119E-2</v>
      </c>
      <c r="FK40" s="8">
        <f t="shared" si="14"/>
        <v>-5.5705820972875582E-2</v>
      </c>
      <c r="FL40" s="8">
        <f t="shared" si="14"/>
        <v>-9.0078899833747408E-2</v>
      </c>
      <c r="FM40" s="8">
        <f t="shared" si="14"/>
        <v>-9.8217835398373726E-2</v>
      </c>
      <c r="FN40" s="8">
        <f t="shared" si="14"/>
        <v>-0.11699083536274535</v>
      </c>
      <c r="FO40" s="8">
        <f t="shared" si="14"/>
        <v>0.20505665463095701</v>
      </c>
      <c r="FP40" s="8">
        <f t="shared" si="14"/>
        <v>0.11361450274945889</v>
      </c>
      <c r="FQ40" s="8">
        <f t="shared" si="14"/>
        <v>-3.8727753660763725E-2</v>
      </c>
      <c r="FR40" s="8">
        <f t="shared" si="14"/>
        <v>9.746339121159496E-2</v>
      </c>
      <c r="FS40" s="8">
        <f t="shared" si="14"/>
        <v>3.7610265461706087E-2</v>
      </c>
      <c r="FT40" s="8">
        <f t="shared" si="14"/>
        <v>0.36054795243301363</v>
      </c>
      <c r="FU40" s="8">
        <f t="shared" si="14"/>
        <v>0.43362907248525606</v>
      </c>
      <c r="FV40" s="8">
        <f t="shared" si="14"/>
        <v>0.22457337771179836</v>
      </c>
      <c r="FW40" s="8">
        <f t="shared" si="14"/>
        <v>0.31215309647375267</v>
      </c>
      <c r="FX40" s="8">
        <f t="shared" si="14"/>
        <v>0.26385358778770313</v>
      </c>
      <c r="FY40" s="8">
        <f t="shared" si="14"/>
        <v>0.12293831899253602</v>
      </c>
      <c r="FZ40" s="8">
        <f t="shared" si="14"/>
        <v>9.1353077789189566E-2</v>
      </c>
      <c r="GA40" s="8">
        <f t="shared" si="14"/>
        <v>8.7292723970483613E-2</v>
      </c>
      <c r="GB40" s="8">
        <f t="shared" si="14"/>
        <v>0.15422438813311479</v>
      </c>
      <c r="GC40" s="8">
        <f t="shared" si="14"/>
        <v>0.22398562187527019</v>
      </c>
      <c r="GD40" s="8">
        <f t="shared" si="14"/>
        <v>9.5749133415290982E-2</v>
      </c>
      <c r="GE40" s="8">
        <f t="shared" si="14"/>
        <v>0.27496480294644166</v>
      </c>
      <c r="GF40" s="8">
        <f t="shared" si="14"/>
        <v>0.2687243230314888</v>
      </c>
      <c r="GG40" s="8">
        <f t="shared" si="14"/>
        <v>0.3060765919172021</v>
      </c>
      <c r="GH40" s="8">
        <f t="shared" si="14"/>
        <v>0.32621091317851142</v>
      </c>
      <c r="GI40" s="8">
        <f t="shared" si="14"/>
        <v>0.35778366388010652</v>
      </c>
      <c r="GJ40" s="8">
        <f t="shared" si="14"/>
        <v>0.27761743884475631</v>
      </c>
      <c r="GK40" s="8">
        <f t="shared" si="14"/>
        <v>0.27134211091905758</v>
      </c>
      <c r="GL40" s="8">
        <f t="shared" si="14"/>
        <v>0.27693791248273247</v>
      </c>
      <c r="GM40" s="8">
        <f t="shared" si="14"/>
        <v>0.45827250069836473</v>
      </c>
      <c r="GN40" s="8">
        <f t="shared" ref="GN40:GU40" si="15">AVERAGE(GN25:GN35)</f>
        <v>0.36868482246445972</v>
      </c>
      <c r="GO40" s="8">
        <f t="shared" si="15"/>
        <v>0.20369514128000626</v>
      </c>
      <c r="GP40" s="8">
        <f t="shared" si="15"/>
        <v>-1.1029930768399303E-2</v>
      </c>
      <c r="GQ40" s="8">
        <f t="shared" si="15"/>
        <v>3.4022424523476549E-2</v>
      </c>
      <c r="GR40" s="8">
        <f t="shared" si="15"/>
        <v>0.43690816459415382</v>
      </c>
      <c r="GS40" s="8">
        <f t="shared" si="15"/>
        <v>0.50304600277971667</v>
      </c>
      <c r="GT40" s="8">
        <f t="shared" si="15"/>
        <v>0.3485990203654204</v>
      </c>
      <c r="GU40" s="8">
        <f t="shared" si="15"/>
        <v>0.45729077749302433</v>
      </c>
    </row>
    <row r="41" spans="1:203" s="8" customFormat="1" x14ac:dyDescent="0.25">
      <c r="A41" s="220" t="s">
        <v>268</v>
      </c>
      <c r="B41" s="220"/>
      <c r="C41" s="8">
        <f>MAX(C39:C40)</f>
        <v>4.2811621470357948E-2</v>
      </c>
      <c r="D41" s="8">
        <f t="shared" ref="D41:I41" si="16">MAX(D39:D40)</f>
        <v>4.5796508878159512E-3</v>
      </c>
      <c r="E41" s="8">
        <f t="shared" si="16"/>
        <v>-2.091056919416031E-2</v>
      </c>
      <c r="F41" s="8">
        <f t="shared" si="16"/>
        <v>1.4128180015010403E-2</v>
      </c>
      <c r="G41" s="8">
        <f t="shared" si="16"/>
        <v>1.3979738653794151E-3</v>
      </c>
      <c r="H41" s="8">
        <f t="shared" si="16"/>
        <v>5.7552898995620945E-2</v>
      </c>
      <c r="I41" s="8">
        <f t="shared" si="16"/>
        <v>8.6321198852878978E-2</v>
      </c>
      <c r="J41" s="8">
        <f t="shared" ref="J41" si="17">MAX(J39:J40)</f>
        <v>2.2606129667529104E-2</v>
      </c>
      <c r="K41" s="8">
        <f t="shared" ref="K41" si="18">MAX(K39:K40)</f>
        <v>3.7813824038760109E-2</v>
      </c>
      <c r="L41" s="8">
        <f t="shared" ref="L41" si="19">MAX(L39:L40)</f>
        <v>3.8263397224905953E-2</v>
      </c>
      <c r="M41" s="8">
        <f t="shared" ref="M41" si="20">MAX(M39:M40)</f>
        <v>-2.96339686026497E-3</v>
      </c>
      <c r="N41" s="8">
        <f t="shared" ref="N41" si="21">MAX(N39:N40)</f>
        <v>-1.5218991839970164E-2</v>
      </c>
      <c r="O41" s="8">
        <f t="shared" ref="O41" si="22">MAX(O39:O40)</f>
        <v>3.3360677672651357E-2</v>
      </c>
      <c r="P41" s="8">
        <f t="shared" ref="P41" si="23">MAX(P39:P40)</f>
        <v>4.4417678365156789E-2</v>
      </c>
      <c r="Q41" s="8">
        <f t="shared" ref="Q41" si="24">MAX(Q39:Q40)</f>
        <v>5.0813314428629533E-2</v>
      </c>
      <c r="R41" s="8">
        <f t="shared" ref="R41" si="25">MAX(R39:R40)</f>
        <v>9.27021216021994E-2</v>
      </c>
      <c r="S41" s="8">
        <f t="shared" ref="S41" si="26">MAX(S39:S40)</f>
        <v>3.0504324643808745E-2</v>
      </c>
      <c r="T41" s="8">
        <f t="shared" ref="T41" si="27">MAX(T39:T40)</f>
        <v>4.7271950798830446E-2</v>
      </c>
      <c r="U41" s="8">
        <f t="shared" ref="U41" si="28">MAX(U39:U40)</f>
        <v>2.6368314543340033E-2</v>
      </c>
      <c r="V41" s="8">
        <f t="shared" ref="V41" si="29">MAX(V39:V40)</f>
        <v>5.4979315062490208E-2</v>
      </c>
      <c r="W41" s="8">
        <f t="shared" ref="W41" si="30">MAX(W39:W40)</f>
        <v>1.7367648024858056E-2</v>
      </c>
      <c r="X41" s="8">
        <f t="shared" ref="X41" si="31">MAX(X39:X40)</f>
        <v>7.9331916710878414E-2</v>
      </c>
      <c r="Y41" s="8">
        <f t="shared" ref="Y41" si="32">MAX(Y39:Y40)</f>
        <v>0.10375693253777021</v>
      </c>
      <c r="Z41" s="8">
        <f t="shared" ref="Z41" si="33">MAX(Z39:Z40)</f>
        <v>0.10310610134111933</v>
      </c>
      <c r="AA41" s="8">
        <f t="shared" ref="AA41" si="34">MAX(AA39:AA40)</f>
        <v>8.7594989892304173E-2</v>
      </c>
      <c r="AB41" s="8">
        <f t="shared" ref="AB41" si="35">MAX(AB39:AB40)</f>
        <v>7.745111096042688E-2</v>
      </c>
      <c r="AC41" s="8">
        <f t="shared" ref="AC41" si="36">MAX(AC39:AC40)</f>
        <v>-2.723114383117493E-2</v>
      </c>
      <c r="AD41" s="8">
        <f t="shared" ref="AD41" si="37">MAX(AD39:AD40)</f>
        <v>7.4266578460036418E-3</v>
      </c>
      <c r="AE41" s="8">
        <f t="shared" ref="AE41" si="38">MAX(AE39:AE40)</f>
        <v>4.1060957161505617E-2</v>
      </c>
      <c r="AF41" s="8">
        <f t="shared" ref="AF41" si="39">MAX(AF39:AF40)</f>
        <v>8.276137485860563E-2</v>
      </c>
      <c r="AG41" s="8">
        <f t="shared" ref="AG41" si="40">MAX(AG39:AG40)</f>
        <v>2.7301917616357994E-2</v>
      </c>
      <c r="AH41" s="8">
        <f t="shared" ref="AH41" si="41">MAX(AH39:AH40)</f>
        <v>-2.0552895587809605E-2</v>
      </c>
      <c r="AI41" s="8">
        <f t="shared" ref="AI41" si="42">MAX(AI39:AI40)</f>
        <v>-2.7540920790352738E-2</v>
      </c>
      <c r="AJ41" s="8">
        <f t="shared" ref="AJ41" si="43">MAX(AJ39:AJ40)</f>
        <v>2.3396226385641372E-2</v>
      </c>
      <c r="AK41" s="8">
        <f t="shared" ref="AK41" si="44">MAX(AK39:AK40)</f>
        <v>3.9317295107290408E-2</v>
      </c>
      <c r="AL41" s="8">
        <f t="shared" ref="AL41" si="45">MAX(AL39:AL40)</f>
        <v>7.0646497874092259E-2</v>
      </c>
      <c r="AM41" s="8">
        <f t="shared" ref="AM41" si="46">MAX(AM39:AM40)</f>
        <v>6.7252175238814065E-3</v>
      </c>
      <c r="AN41" s="8">
        <f t="shared" ref="AN41" si="47">MAX(AN39:AN40)</f>
        <v>5.7055821448501562E-2</v>
      </c>
      <c r="AO41" s="8">
        <f t="shared" ref="AO41" si="48">MAX(AO39:AO40)</f>
        <v>7.2642488481438006E-2</v>
      </c>
      <c r="AP41" s="8">
        <f t="shared" ref="AP41" si="49">MAX(AP39:AP40)</f>
        <v>-1.0417895409710748E-2</v>
      </c>
      <c r="AQ41" s="8">
        <f t="shared" ref="AQ41" si="50">MAX(AQ39:AQ40)</f>
        <v>8.2728777660443897E-2</v>
      </c>
      <c r="AR41" s="8">
        <f t="shared" ref="AR41" si="51">MAX(AR39:AR40)</f>
        <v>7.4355847956450047E-2</v>
      </c>
      <c r="AS41" s="8">
        <f t="shared" ref="AS41" si="52">MAX(AS39:AS40)</f>
        <v>7.1910008015362459E-2</v>
      </c>
      <c r="AT41" s="8">
        <f t="shared" ref="AT41" si="53">MAX(AT39:AT40)</f>
        <v>4.145198319334488E-2</v>
      </c>
      <c r="AU41" s="8">
        <f t="shared" ref="AU41" si="54">MAX(AU39:AU40)</f>
        <v>0.11927858161172472</v>
      </c>
      <c r="AV41" s="8">
        <f t="shared" ref="AV41" si="55">MAX(AV39:AV40)</f>
        <v>4.5347108927182807E-2</v>
      </c>
      <c r="AW41" s="8">
        <f t="shared" ref="AW41" si="56">MAX(AW39:AW40)</f>
        <v>0.17873095309049516</v>
      </c>
      <c r="AX41" s="8">
        <f t="shared" ref="AX41" si="57">MAX(AX39:AX40)</f>
        <v>0.17359796434634897</v>
      </c>
      <c r="AY41" s="8">
        <f t="shared" ref="AY41" si="58">MAX(AY39:AY40)</f>
        <v>9.7033556803896012E-2</v>
      </c>
      <c r="AZ41" s="8">
        <f t="shared" ref="AZ41" si="59">MAX(AZ39:AZ40)</f>
        <v>1.9065572782211062E-3</v>
      </c>
      <c r="BA41" s="8">
        <f t="shared" ref="BA41" si="60">MAX(BA39:BA40)</f>
        <v>9.8995184349272444E-2</v>
      </c>
      <c r="BB41" s="8">
        <f t="shared" ref="BB41" si="61">MAX(BB39:BB40)</f>
        <v>1.5178528725105089E-2</v>
      </c>
      <c r="BC41" s="8">
        <f t="shared" ref="BC41" si="62">MAX(BC39:BC40)</f>
        <v>5.2636921263840002E-2</v>
      </c>
      <c r="BD41" s="8">
        <f t="shared" ref="BD41" si="63">MAX(BD39:BD40)</f>
        <v>4.8015013968670986E-2</v>
      </c>
      <c r="BE41" s="8">
        <f t="shared" ref="BE41" si="64">MAX(BE39:BE40)</f>
        <v>7.4149475993253583E-4</v>
      </c>
      <c r="BF41" s="8">
        <f t="shared" ref="BF41" si="65">MAX(BF39:BF40)</f>
        <v>0.24633173260013227</v>
      </c>
      <c r="BG41" s="8">
        <f t="shared" ref="BG41" si="66">MAX(BG39:BG40)</f>
        <v>0.30638427964578735</v>
      </c>
      <c r="BH41" s="8">
        <f t="shared" ref="BH41" si="67">MAX(BH39:BH40)</f>
        <v>0.21977323429121948</v>
      </c>
      <c r="BI41" s="8">
        <f t="shared" ref="BI41" si="68">MAX(BI39:BI40)</f>
        <v>0.25129717467860729</v>
      </c>
      <c r="BJ41" s="8">
        <f t="shared" ref="BJ41" si="69">MAX(BJ39:BJ40)</f>
        <v>0.272847728457634</v>
      </c>
      <c r="BK41" s="8">
        <f t="shared" ref="BK41" si="70">MAX(BK39:BK40)</f>
        <v>4.3337986828935471E-2</v>
      </c>
      <c r="BL41" s="8">
        <f t="shared" ref="BL41" si="71">MAX(BL39:BL40)</f>
        <v>1.6936325340581725E-2</v>
      </c>
      <c r="BM41" s="8">
        <f t="shared" ref="BM41" si="72">MAX(BM39:BM40)</f>
        <v>-3.1619232710540612E-3</v>
      </c>
      <c r="BN41" s="8">
        <f t="shared" ref="BN41" si="73">MAX(BN39:BN40)</f>
        <v>6.2977946452153655E-2</v>
      </c>
      <c r="BO41" s="8">
        <f t="shared" ref="BO41" si="74">MAX(BO39:BO40)</f>
        <v>9.9608440382340457E-2</v>
      </c>
      <c r="BP41" s="8">
        <f t="shared" ref="BP41" si="75">MAX(BP39:BP40)</f>
        <v>9.5040503295926199E-2</v>
      </c>
      <c r="BQ41" s="8">
        <f t="shared" ref="BQ41" si="76">MAX(BQ39:BQ40)</f>
        <v>8.0568242724903247E-2</v>
      </c>
      <c r="BR41" s="8">
        <f t="shared" ref="BR41" si="77">MAX(BR39:BR40)</f>
        <v>0.19193443221996587</v>
      </c>
      <c r="BS41" s="8">
        <f t="shared" ref="BS41" si="78">MAX(BS39:BS40)</f>
        <v>0.15077925478989718</v>
      </c>
      <c r="BT41" s="8">
        <f t="shared" ref="BT41" si="79">MAX(BT39:BT40)</f>
        <v>0.14561844901377055</v>
      </c>
      <c r="BU41" s="8">
        <f t="shared" ref="BU41" si="80">MAX(BU39:BU40)</f>
        <v>0.13174089728140762</v>
      </c>
      <c r="BV41" s="8">
        <f t="shared" ref="BV41" si="81">MAX(BV39:BV40)</f>
        <v>4.3074360948881056E-2</v>
      </c>
      <c r="BW41" s="8">
        <f t="shared" ref="BW41" si="82">MAX(BW39:BW40)</f>
        <v>-4.0389572188048298E-2</v>
      </c>
      <c r="BX41" s="8">
        <f t="shared" ref="BX41" si="83">MAX(BX39:BX40)</f>
        <v>0.11656120131365579</v>
      </c>
      <c r="BY41" s="8">
        <f t="shared" ref="BY41" si="84">MAX(BY39:BY40)</f>
        <v>0.10224019334821066</v>
      </c>
      <c r="BZ41" s="8">
        <f t="shared" ref="BZ41" si="85">MAX(BZ39:BZ40)</f>
        <v>0.19842803001592013</v>
      </c>
      <c r="CA41" s="8">
        <f t="shared" ref="CA41" si="86">MAX(CA39:CA40)</f>
        <v>8.6435982355465998E-2</v>
      </c>
      <c r="CB41" s="8">
        <f t="shared" ref="CB41" si="87">MAX(CB39:CB40)</f>
        <v>5.7007484368638145E-3</v>
      </c>
      <c r="CC41" s="8">
        <f t="shared" ref="CC41" si="88">MAX(CC39:CC40)</f>
        <v>9.4961583238262731E-2</v>
      </c>
      <c r="CD41" s="8">
        <f t="shared" ref="CD41" si="89">MAX(CD39:CD40)</f>
        <v>0.15184172614295088</v>
      </c>
      <c r="CE41" s="8">
        <f t="shared" ref="CE41" si="90">MAX(CE39:CE40)</f>
        <v>0.12940656176845047</v>
      </c>
      <c r="CF41" s="8">
        <f t="shared" ref="CF41" si="91">MAX(CF39:CF40)</f>
        <v>5.9819015927280492E-2</v>
      </c>
      <c r="CG41" s="8">
        <f t="shared" ref="CG41" si="92">MAX(CG39:CG40)</f>
        <v>0.17850977870554571</v>
      </c>
      <c r="CH41" s="8">
        <f t="shared" ref="CH41" si="93">MAX(CH39:CH40)</f>
        <v>0.11446965390546078</v>
      </c>
      <c r="CI41" s="8">
        <f t="shared" ref="CI41" si="94">MAX(CI39:CI40)</f>
        <v>1.8631154594597524E-2</v>
      </c>
      <c r="CJ41" s="8">
        <f t="shared" ref="CJ41" si="95">MAX(CJ39:CJ40)</f>
        <v>4.2857080225415449E-2</v>
      </c>
      <c r="CK41" s="8">
        <f t="shared" ref="CK41" si="96">MAX(CK39:CK40)</f>
        <v>8.5368334362991974E-2</v>
      </c>
      <c r="CL41" s="8">
        <f t="shared" ref="CL41" si="97">MAX(CL39:CL40)</f>
        <v>0.14073651945828813</v>
      </c>
      <c r="CM41" s="8">
        <f t="shared" ref="CM41" si="98">MAX(CM39:CM40)</f>
        <v>0.10593268674404968</v>
      </c>
      <c r="CN41" s="8">
        <f t="shared" ref="CN41" si="99">MAX(CN39:CN40)</f>
        <v>0.17119145671401356</v>
      </c>
      <c r="CO41" s="8">
        <f t="shared" ref="CO41" si="100">MAX(CO39:CO40)</f>
        <v>8.1073419993543339E-2</v>
      </c>
      <c r="CP41" s="8">
        <f t="shared" ref="CP41" si="101">MAX(CP39:CP40)</f>
        <v>0.15032569473991977</v>
      </c>
      <c r="CQ41" s="8">
        <f t="shared" ref="CQ41" si="102">MAX(CQ39:CQ40)</f>
        <v>-1.3649280262818536E-2</v>
      </c>
      <c r="CR41" s="8">
        <f t="shared" ref="CR41" si="103">MAX(CR39:CR40)</f>
        <v>4.251944421112281E-2</v>
      </c>
      <c r="CS41" s="8">
        <f t="shared" ref="CS41" si="104">MAX(CS39:CS40)</f>
        <v>6.1614740432737299E-2</v>
      </c>
      <c r="CT41" s="8">
        <f t="shared" ref="CT41" si="105">MAX(CT39:CT40)</f>
        <v>0.10133282617719229</v>
      </c>
      <c r="CU41" s="8">
        <f t="shared" ref="CU41" si="106">MAX(CU39:CU40)</f>
        <v>5.3774335053341685E-2</v>
      </c>
      <c r="CV41" s="8">
        <f t="shared" ref="CV41" si="107">MAX(CV39:CV40)</f>
        <v>2.4257680100285228E-2</v>
      </c>
      <c r="CW41" s="8">
        <f t="shared" ref="CW41" si="108">MAX(CW39:CW40)</f>
        <v>-2.5212046520428633E-2</v>
      </c>
      <c r="CX41" s="8">
        <f t="shared" ref="CX41" si="109">MAX(CX39:CX40)</f>
        <v>-2.1061168686581288E-3</v>
      </c>
      <c r="CY41" s="8">
        <f t="shared" ref="CY41" si="110">MAX(CY39:CY40)</f>
        <v>2.9244792598493729E-2</v>
      </c>
      <c r="CZ41" s="8">
        <f t="shared" ref="CZ41" si="111">MAX(CZ39:CZ40)</f>
        <v>1.0346658524270693E-2</v>
      </c>
      <c r="DA41" s="8">
        <f t="shared" ref="DA41" si="112">MAX(DA39:DA40)</f>
        <v>-2.1960037549938017E-2</v>
      </c>
      <c r="DB41" s="8">
        <f t="shared" ref="DB41" si="113">MAX(DB39:DB40)</f>
        <v>2.9215480017422239E-2</v>
      </c>
      <c r="DC41" s="8">
        <f t="shared" ref="DC41" si="114">MAX(DC39:DC40)</f>
        <v>-3.1350875527296138E-2</v>
      </c>
      <c r="DD41" s="8">
        <f t="shared" ref="DD41" si="115">MAX(DD39:DD40)</f>
        <v>4.3230316355891578E-2</v>
      </c>
      <c r="DE41" s="8">
        <f t="shared" ref="DE41" si="116">MAX(DE39:DE40)</f>
        <v>3.3589740111340811E-2</v>
      </c>
      <c r="DF41" s="8">
        <f t="shared" ref="DF41" si="117">MAX(DF39:DF40)</f>
        <v>5.1912771764448607E-3</v>
      </c>
      <c r="DG41" s="8">
        <f t="shared" ref="DG41" si="118">MAX(DG39:DG40)</f>
        <v>2.5807131399634965E-2</v>
      </c>
      <c r="DH41" s="8">
        <f t="shared" ref="DH41" si="119">MAX(DH39:DH40)</f>
        <v>4.2691905630808422E-2</v>
      </c>
      <c r="DI41" s="8">
        <f t="shared" ref="DI41" si="120">MAX(DI39:DI40)</f>
        <v>4.6211613723446138E-3</v>
      </c>
      <c r="DJ41" s="8">
        <f t="shared" ref="DJ41" si="121">MAX(DJ39:DJ40)</f>
        <v>1.7729471330471865E-2</v>
      </c>
      <c r="DK41" s="8">
        <f t="shared" ref="DK41" si="122">MAX(DK39:DK40)</f>
        <v>2.8453165234278856E-2</v>
      </c>
      <c r="DL41" s="8">
        <f t="shared" ref="DL41" si="123">MAX(DL39:DL40)</f>
        <v>3.5488498876722432E-3</v>
      </c>
      <c r="DM41" s="8">
        <f t="shared" ref="DM41" si="124">MAX(DM39:DM40)</f>
        <v>5.5702114571025878E-3</v>
      </c>
      <c r="DN41" s="8">
        <f t="shared" ref="DN41" si="125">MAX(DN39:DN40)</f>
        <v>2.2023138041509037E-2</v>
      </c>
      <c r="DO41" s="8">
        <f t="shared" ref="DO41" si="126">MAX(DO39:DO40)</f>
        <v>5.9022175298610258E-2</v>
      </c>
      <c r="DP41" s="8">
        <f t="shared" ref="DP41" si="127">MAX(DP39:DP40)</f>
        <v>3.6666880263054161E-2</v>
      </c>
      <c r="DQ41" s="8">
        <f t="shared" ref="DQ41" si="128">MAX(DQ39:DQ40)</f>
        <v>8.8503069977275968E-4</v>
      </c>
      <c r="DR41" s="8">
        <f t="shared" ref="DR41" si="129">MAX(DR39:DR40)</f>
        <v>2.952292265954997E-2</v>
      </c>
      <c r="DS41" s="8">
        <f t="shared" ref="DS41" si="130">MAX(DS39:DS40)</f>
        <v>2.7938625706419019E-2</v>
      </c>
      <c r="DT41" s="8">
        <f t="shared" ref="DT41" si="131">MAX(DT39:DT40)</f>
        <v>-8.2545145990274599E-2</v>
      </c>
      <c r="DU41" s="8">
        <f t="shared" ref="DU41" si="132">MAX(DU39:DU40)</f>
        <v>8.6903687563599646E-2</v>
      </c>
      <c r="DV41" s="8">
        <f t="shared" ref="DV41" si="133">MAX(DV39:DV40)</f>
        <v>4.5163116533585582E-2</v>
      </c>
      <c r="DW41" s="8">
        <f t="shared" ref="DW41" si="134">MAX(DW39:DW40)</f>
        <v>9.753110169646062E-2</v>
      </c>
      <c r="DX41" s="8">
        <f t="shared" ref="DX41" si="135">MAX(DX39:DX40)</f>
        <v>0.12627373952619927</v>
      </c>
      <c r="DY41" s="8">
        <f t="shared" ref="DY41" si="136">MAX(DY39:DY40)</f>
        <v>0.17069207356797406</v>
      </c>
      <c r="DZ41" s="8">
        <f t="shared" ref="DZ41" si="137">MAX(DZ39:DZ40)</f>
        <v>0.13946276999312041</v>
      </c>
      <c r="EA41" s="8">
        <f t="shared" ref="EA41" si="138">MAX(EA39:EA40)</f>
        <v>0.22524288340658324</v>
      </c>
      <c r="EB41" s="8">
        <f t="shared" ref="EB41" si="139">MAX(EB39:EB40)</f>
        <v>0.11468719806672367</v>
      </c>
      <c r="EC41" s="8">
        <f t="shared" ref="EC41" si="140">MAX(EC39:EC40)</f>
        <v>0.17116574277291746</v>
      </c>
      <c r="ED41" s="8">
        <f t="shared" ref="ED41" si="141">MAX(ED39:ED40)</f>
        <v>6.2515945207450976E-2</v>
      </c>
      <c r="EE41" s="8">
        <f t="shared" ref="EE41" si="142">MAX(EE39:EE40)</f>
        <v>9.8508930757853122E-2</v>
      </c>
      <c r="EF41" s="8">
        <f t="shared" ref="EF41" si="143">MAX(EF39:EF40)</f>
        <v>8.3934885881097696E-2</v>
      </c>
      <c r="EG41" s="8">
        <f t="shared" ref="EG41" si="144">MAX(EG39:EG40)</f>
        <v>0.11811839645608324</v>
      </c>
      <c r="EH41" s="8">
        <f t="shared" ref="EH41" si="145">MAX(EH39:EH40)</f>
        <v>9.7852544428046681E-2</v>
      </c>
      <c r="EI41" s="8">
        <f t="shared" ref="EI41" si="146">MAX(EI39:EI40)</f>
        <v>3.7897376538458996E-2</v>
      </c>
      <c r="EJ41" s="8">
        <f t="shared" ref="EJ41" si="147">MAX(EJ39:EJ40)</f>
        <v>-1.1675360779171005E-2</v>
      </c>
      <c r="EK41" s="8">
        <f t="shared" ref="EK41" si="148">MAX(EK39:EK40)</f>
        <v>7.3446100834202319E-2</v>
      </c>
      <c r="EL41" s="8">
        <f t="shared" ref="EL41" si="149">MAX(EL39:EL40)</f>
        <v>2.8460086119273531E-2</v>
      </c>
      <c r="EM41" s="8">
        <f t="shared" ref="EM41" si="150">MAX(EM39:EM40)</f>
        <v>-9.5208728165365568E-3</v>
      </c>
      <c r="EN41" s="8">
        <f t="shared" ref="EN41" si="151">MAX(EN39:EN40)</f>
        <v>0.10126731740529811</v>
      </c>
      <c r="EO41" s="8">
        <f t="shared" ref="EO41" si="152">MAX(EO39:EO40)</f>
        <v>1.5670738927554655E-2</v>
      </c>
      <c r="EP41" s="8">
        <f t="shared" ref="EP41" si="153">MAX(EP39:EP40)</f>
        <v>2.4227936881006225E-2</v>
      </c>
      <c r="EQ41" s="8">
        <f t="shared" ref="EQ41" si="154">MAX(EQ39:EQ40)</f>
        <v>0.16263245601175794</v>
      </c>
      <c r="ER41" s="8">
        <f t="shared" ref="ER41" si="155">MAX(ER39:ER40)</f>
        <v>0.10157612485384515</v>
      </c>
      <c r="ES41" s="8">
        <f t="shared" ref="ES41" si="156">MAX(ES39:ES40)</f>
        <v>0.17037140134562484</v>
      </c>
      <c r="ET41" s="8">
        <f t="shared" ref="ET41" si="157">MAX(ET39:ET40)</f>
        <v>5.4224299315041732E-2</v>
      </c>
      <c r="EU41" s="8">
        <f t="shared" ref="EU41" si="158">MAX(EU39:EU40)</f>
        <v>0.15405576690140615</v>
      </c>
      <c r="EV41" s="8">
        <f t="shared" ref="EV41" si="159">MAX(EV39:EV40)</f>
        <v>0.24232856677962916</v>
      </c>
      <c r="EW41" s="8">
        <f t="shared" ref="EW41" si="160">MAX(EW39:EW40)</f>
        <v>0.31396073477775394</v>
      </c>
      <c r="EX41" s="8">
        <f t="shared" ref="EX41" si="161">MAX(EX39:EX40)</f>
        <v>-5.8258113001070401E-2</v>
      </c>
      <c r="EY41" s="8">
        <f t="shared" ref="EY41" si="162">MAX(EY39:EY40)</f>
        <v>-5.3038426645880835E-2</v>
      </c>
      <c r="EZ41" s="8">
        <f t="shared" ref="EZ41" si="163">MAX(EZ39:EZ40)</f>
        <v>1.9838263266178276E-3</v>
      </c>
      <c r="FA41" s="8">
        <f t="shared" ref="FA41" si="164">MAX(FA39:FA40)</f>
        <v>-2.6249804387699339E-2</v>
      </c>
      <c r="FB41" s="8">
        <f t="shared" ref="FB41" si="165">MAX(FB39:FB40)</f>
        <v>-1.3055534047569303E-2</v>
      </c>
      <c r="FC41" s="8">
        <f t="shared" ref="FC41" si="166">MAX(FC39:FC40)</f>
        <v>-0.12479549673617867</v>
      </c>
      <c r="FD41" s="8">
        <f t="shared" ref="FD41" si="167">MAX(FD39:FD40)</f>
        <v>-7.7560642811141431E-2</v>
      </c>
      <c r="FE41" s="8">
        <f t="shared" ref="FE41" si="168">MAX(FE39:FE40)</f>
        <v>-9.1518645627552658E-2</v>
      </c>
      <c r="FF41" s="8">
        <f t="shared" ref="FF41" si="169">MAX(FF39:FF40)</f>
        <v>-0.10341361471562913</v>
      </c>
      <c r="FG41" s="8">
        <f t="shared" ref="FG41" si="170">MAX(FG39:FG40)</f>
        <v>-0.11681747602375588</v>
      </c>
      <c r="FH41" s="8">
        <f t="shared" ref="FH41" si="171">MAX(FH39:FH40)</f>
        <v>6.7582762726091039E-2</v>
      </c>
      <c r="FI41" s="8">
        <f t="shared" ref="FI41" si="172">MAX(FI39:FI40)</f>
        <v>-1.2700151153120559E-2</v>
      </c>
      <c r="FJ41" s="8">
        <f t="shared" ref="FJ41" si="173">MAX(FJ39:FJ40)</f>
        <v>-3.6838921964290963E-2</v>
      </c>
      <c r="FK41" s="8">
        <f t="shared" ref="FK41" si="174">MAX(FK39:FK40)</f>
        <v>-1.8402557988613993E-2</v>
      </c>
      <c r="FL41" s="8">
        <f t="shared" ref="FL41" si="175">MAX(FL39:FL40)</f>
        <v>-5.8855613970302447E-3</v>
      </c>
      <c r="FM41" s="8">
        <f t="shared" ref="FM41" si="176">MAX(FM39:FM40)</f>
        <v>-5.286937212896925E-2</v>
      </c>
      <c r="FN41" s="8">
        <f t="shared" ref="FN41" si="177">MAX(FN39:FN40)</f>
        <v>-2.6686030908076402E-2</v>
      </c>
      <c r="FO41" s="8">
        <f t="shared" ref="FO41" si="178">MAX(FO39:FO40)</f>
        <v>0.20505665463095701</v>
      </c>
      <c r="FP41" s="8">
        <f t="shared" ref="FP41" si="179">MAX(FP39:FP40)</f>
        <v>0.11361450274945889</v>
      </c>
      <c r="FQ41" s="8">
        <f t="shared" ref="FQ41" si="180">MAX(FQ39:FQ40)</f>
        <v>1.5610805881535508E-2</v>
      </c>
      <c r="FR41" s="8">
        <f t="shared" ref="FR41" si="181">MAX(FR39:FR40)</f>
        <v>9.746339121159496E-2</v>
      </c>
      <c r="FS41" s="8">
        <f t="shared" ref="FS41" si="182">MAX(FS39:FS40)</f>
        <v>0.12488988156731737</v>
      </c>
      <c r="FT41" s="8">
        <f t="shared" ref="FT41" si="183">MAX(FT39:FT40)</f>
        <v>0.36054795243301363</v>
      </c>
      <c r="FU41" s="8">
        <f t="shared" ref="FU41" si="184">MAX(FU39:FU40)</f>
        <v>0.43362907248525606</v>
      </c>
      <c r="FV41" s="8">
        <f t="shared" ref="FV41" si="185">MAX(FV39:FV40)</f>
        <v>0.22457337771179836</v>
      </c>
      <c r="FW41" s="8">
        <f t="shared" ref="FW41" si="186">MAX(FW39:FW40)</f>
        <v>0.31215309647375267</v>
      </c>
      <c r="FX41" s="8">
        <f t="shared" ref="FX41" si="187">MAX(FX39:FX40)</f>
        <v>0.26385358778770313</v>
      </c>
      <c r="FY41" s="8">
        <f t="shared" ref="FY41" si="188">MAX(FY39:FY40)</f>
        <v>0.3435824699297273</v>
      </c>
      <c r="FZ41" s="8">
        <f t="shared" ref="FZ41" si="189">MAX(FZ39:FZ40)</f>
        <v>0.2342532821025059</v>
      </c>
      <c r="GA41" s="8">
        <f t="shared" ref="GA41" si="190">MAX(GA39:GA40)</f>
        <v>0.32751112501203899</v>
      </c>
      <c r="GB41" s="8">
        <f t="shared" ref="GB41" si="191">MAX(GB39:GB40)</f>
        <v>0.23476884255021066</v>
      </c>
      <c r="GC41" s="8">
        <f t="shared" ref="GC41" si="192">MAX(GC39:GC40)</f>
        <v>0.22398562187527019</v>
      </c>
      <c r="GD41" s="8">
        <f t="shared" ref="GD41" si="193">MAX(GD39:GD40)</f>
        <v>0.15442130793492498</v>
      </c>
      <c r="GE41" s="8">
        <f t="shared" ref="GE41" si="194">MAX(GE39:GE40)</f>
        <v>0.27496480294644166</v>
      </c>
      <c r="GF41" s="8">
        <f t="shared" ref="GF41" si="195">MAX(GF39:GF40)</f>
        <v>0.2687243230314888</v>
      </c>
      <c r="GG41" s="8">
        <f t="shared" ref="GG41" si="196">MAX(GG39:GG40)</f>
        <v>0.3060765919172021</v>
      </c>
      <c r="GH41" s="8">
        <f t="shared" ref="GH41" si="197">MAX(GH39:GH40)</f>
        <v>0.32621091317851142</v>
      </c>
      <c r="GI41" s="8">
        <f t="shared" ref="GI41" si="198">MAX(GI39:GI40)</f>
        <v>0.35778366388010652</v>
      </c>
      <c r="GJ41" s="8">
        <f t="shared" ref="GJ41" si="199">MAX(GJ39:GJ40)</f>
        <v>0.35982077136443646</v>
      </c>
      <c r="GK41" s="8">
        <f t="shared" ref="GK41" si="200">MAX(GK39:GK40)</f>
        <v>0.27134211091905758</v>
      </c>
      <c r="GL41" s="8">
        <f t="shared" ref="GL41" si="201">MAX(GL39:GL40)</f>
        <v>0.27693791248273247</v>
      </c>
      <c r="GM41" s="8">
        <f t="shared" ref="GM41" si="202">MAX(GM39:GM40)</f>
        <v>0.45827250069836473</v>
      </c>
      <c r="GN41" s="8">
        <f t="shared" ref="GN41" si="203">MAX(GN39:GN40)</f>
        <v>0.36868482246445972</v>
      </c>
      <c r="GO41" s="8">
        <f t="shared" ref="GO41" si="204">MAX(GO39:GO40)</f>
        <v>0.39455427037201046</v>
      </c>
      <c r="GP41" s="8">
        <f t="shared" ref="GP41" si="205">MAX(GP39:GP40)</f>
        <v>0.43315446085477793</v>
      </c>
      <c r="GQ41" s="8">
        <f t="shared" ref="GQ41" si="206">MAX(GQ39:GQ40)</f>
        <v>0.42624546336630686</v>
      </c>
      <c r="GR41" s="8">
        <f t="shared" ref="GR41" si="207">MAX(GR39:GR40)</f>
        <v>0.43690816459415382</v>
      </c>
      <c r="GS41" s="8">
        <f t="shared" ref="GS41" si="208">MAX(GS39:GS40)</f>
        <v>0.50304600277971667</v>
      </c>
      <c r="GT41" s="8">
        <f t="shared" ref="GT41" si="209">MAX(GT39:GT40)</f>
        <v>0.3485990203654204</v>
      </c>
      <c r="GU41" s="8">
        <f t="shared" ref="GU41" si="210">MAX(GU39:GU40)</f>
        <v>0.45729077749302433</v>
      </c>
    </row>
    <row r="43" spans="1:203" x14ac:dyDescent="0.25">
      <c r="A43" s="220" t="s">
        <v>260</v>
      </c>
      <c r="B43" s="220"/>
      <c r="D43" s="220" t="s">
        <v>261</v>
      </c>
      <c r="E43" s="220"/>
      <c r="G43" s="219" t="s">
        <v>269</v>
      </c>
      <c r="H43" s="219"/>
      <c r="K43" s="15" t="s">
        <v>270</v>
      </c>
      <c r="L43" s="14"/>
    </row>
    <row r="44" spans="1:203" x14ac:dyDescent="0.25">
      <c r="A44" s="13" t="s">
        <v>12</v>
      </c>
      <c r="B44">
        <v>0.32664505991394988</v>
      </c>
      <c r="D44" s="8" t="s">
        <v>259</v>
      </c>
      <c r="E44">
        <v>0.21129663995037826</v>
      </c>
      <c r="G44" s="8" t="s">
        <v>258</v>
      </c>
      <c r="H44">
        <v>0.50304600277971667</v>
      </c>
    </row>
    <row r="45" spans="1:203" x14ac:dyDescent="0.25">
      <c r="A45" s="8" t="s">
        <v>259</v>
      </c>
      <c r="B45">
        <v>0.2871541356706932</v>
      </c>
      <c r="D45" s="8" t="s">
        <v>239</v>
      </c>
      <c r="E45">
        <v>0.20355810448288161</v>
      </c>
      <c r="G45" s="8" t="s">
        <v>255</v>
      </c>
      <c r="H45">
        <v>0.45827250069836473</v>
      </c>
    </row>
    <row r="46" spans="1:203" x14ac:dyDescent="0.25">
      <c r="A46" s="8" t="s">
        <v>239</v>
      </c>
      <c r="B46">
        <v>0.27207164065020001</v>
      </c>
      <c r="D46" s="13" t="s">
        <v>0</v>
      </c>
      <c r="E46">
        <v>0.17085334844491881</v>
      </c>
      <c r="G46" s="13" t="s">
        <v>12</v>
      </c>
      <c r="H46">
        <v>0.45729077749302433</v>
      </c>
    </row>
    <row r="47" spans="1:203" x14ac:dyDescent="0.25">
      <c r="A47" s="13" t="s">
        <v>2</v>
      </c>
      <c r="B47">
        <v>0.26654718752116041</v>
      </c>
      <c r="D47" s="13" t="s">
        <v>2</v>
      </c>
      <c r="E47">
        <v>0.16794864129148701</v>
      </c>
      <c r="G47" s="13" t="s">
        <v>2</v>
      </c>
      <c r="H47">
        <v>0.43690816459415382</v>
      </c>
    </row>
    <row r="48" spans="1:203" x14ac:dyDescent="0.25">
      <c r="A48" s="8" t="s">
        <v>258</v>
      </c>
      <c r="B48">
        <v>0.26113599637914975</v>
      </c>
      <c r="D48" s="13" t="s">
        <v>12</v>
      </c>
      <c r="E48">
        <v>0.16602629551517914</v>
      </c>
      <c r="G48" s="8" t="s">
        <v>239</v>
      </c>
      <c r="H48">
        <v>0.43362907248525606</v>
      </c>
    </row>
    <row r="49" spans="1:8" x14ac:dyDescent="0.25">
      <c r="A49" s="8" t="s">
        <v>255</v>
      </c>
      <c r="B49">
        <v>0.2586026300208496</v>
      </c>
      <c r="D49" s="8" t="s">
        <v>135</v>
      </c>
      <c r="E49">
        <v>0.13954755064531132</v>
      </c>
      <c r="G49" s="13" t="s">
        <v>4</v>
      </c>
      <c r="H49">
        <v>0.43315446085477793</v>
      </c>
    </row>
    <row r="50" spans="1:8" x14ac:dyDescent="0.25">
      <c r="A50" s="13" t="s">
        <v>0</v>
      </c>
      <c r="B50">
        <v>0.24018134254541335</v>
      </c>
      <c r="D50" s="8" t="s">
        <v>240</v>
      </c>
      <c r="E50">
        <v>0.13460554722441956</v>
      </c>
      <c r="G50" s="13" t="s">
        <v>8</v>
      </c>
      <c r="H50">
        <v>0.42624546336630686</v>
      </c>
    </row>
    <row r="51" spans="1:8" x14ac:dyDescent="0.25">
      <c r="A51" s="8" t="s">
        <v>252</v>
      </c>
      <c r="B51">
        <v>0.21236163540276604</v>
      </c>
      <c r="D51" s="8" t="s">
        <v>248</v>
      </c>
      <c r="E51">
        <v>0.1277698166583783</v>
      </c>
      <c r="G51" s="8" t="s">
        <v>257</v>
      </c>
      <c r="H51">
        <v>0.39455427037201046</v>
      </c>
    </row>
    <row r="52" spans="1:8" x14ac:dyDescent="0.25">
      <c r="A52" s="8" t="s">
        <v>256</v>
      </c>
      <c r="B52">
        <v>0.20859567763854872</v>
      </c>
      <c r="D52" s="8" t="s">
        <v>247</v>
      </c>
      <c r="E52">
        <v>0.12499074525304033</v>
      </c>
      <c r="G52" s="8" t="s">
        <v>256</v>
      </c>
      <c r="H52">
        <v>0.36868482246445972</v>
      </c>
    </row>
    <row r="53" spans="1:8" x14ac:dyDescent="0.25">
      <c r="A53" s="8" t="s">
        <v>251</v>
      </c>
      <c r="B53">
        <v>0.20140136349656315</v>
      </c>
      <c r="D53" s="8" t="s">
        <v>250</v>
      </c>
      <c r="E53">
        <v>0.12104141410173257</v>
      </c>
      <c r="G53" s="8" t="s">
        <v>238</v>
      </c>
      <c r="H53">
        <v>0.36054795243301363</v>
      </c>
    </row>
    <row r="54" spans="1:8" x14ac:dyDescent="0.25">
      <c r="A54" s="8" t="s">
        <v>250</v>
      </c>
      <c r="B54">
        <v>0.19805986717161564</v>
      </c>
      <c r="D54" s="8" t="s">
        <v>241</v>
      </c>
      <c r="E54">
        <v>0.11696334109711409</v>
      </c>
      <c r="G54" s="8" t="s">
        <v>252</v>
      </c>
      <c r="H54">
        <v>0.35982077136443646</v>
      </c>
    </row>
    <row r="55" spans="1:8" x14ac:dyDescent="0.25">
      <c r="A55" s="8" t="s">
        <v>238</v>
      </c>
      <c r="B55">
        <v>0.18692962457762632</v>
      </c>
      <c r="D55" s="8" t="s">
        <v>131</v>
      </c>
      <c r="E55">
        <v>0.11477199126573398</v>
      </c>
      <c r="G55" s="13" t="s">
        <v>5</v>
      </c>
      <c r="H55">
        <v>0.35778366388010652</v>
      </c>
    </row>
    <row r="56" spans="1:8" x14ac:dyDescent="0.25">
      <c r="A56" s="8" t="s">
        <v>241</v>
      </c>
      <c r="B56">
        <v>0.18406562111293118</v>
      </c>
      <c r="D56" s="8" t="s">
        <v>258</v>
      </c>
      <c r="E56">
        <v>0.11153136678676447</v>
      </c>
      <c r="G56" s="8" t="s">
        <v>259</v>
      </c>
      <c r="H56">
        <v>0.3485990203654204</v>
      </c>
    </row>
    <row r="57" spans="1:8" x14ac:dyDescent="0.25">
      <c r="A57" s="8" t="s">
        <v>247</v>
      </c>
      <c r="B57">
        <v>0.17949532526165257</v>
      </c>
      <c r="D57" s="8" t="s">
        <v>133</v>
      </c>
      <c r="E57">
        <v>0.11133467618752113</v>
      </c>
      <c r="G57" s="8" t="s">
        <v>243</v>
      </c>
      <c r="H57">
        <v>0.3435824699297273</v>
      </c>
    </row>
    <row r="58" spans="1:8" x14ac:dyDescent="0.25">
      <c r="A58" s="13" t="s">
        <v>5</v>
      </c>
      <c r="B58">
        <v>0.17943689317836903</v>
      </c>
      <c r="D58" s="8" t="s">
        <v>238</v>
      </c>
      <c r="E58">
        <v>0.10960092645918734</v>
      </c>
      <c r="G58" s="8" t="s">
        <v>245</v>
      </c>
      <c r="H58">
        <v>0.32751112501203899</v>
      </c>
    </row>
    <row r="59" spans="1:8" x14ac:dyDescent="0.25">
      <c r="A59" s="8" t="s">
        <v>254</v>
      </c>
      <c r="B59">
        <v>0.17253861218416738</v>
      </c>
      <c r="D59" s="8" t="s">
        <v>235</v>
      </c>
      <c r="E59">
        <v>0.10538138926920565</v>
      </c>
      <c r="G59" s="13" t="s">
        <v>0</v>
      </c>
      <c r="H59">
        <v>0.32621091317851142</v>
      </c>
    </row>
    <row r="60" spans="1:8" x14ac:dyDescent="0.25">
      <c r="A60" s="8" t="s">
        <v>253</v>
      </c>
      <c r="B60">
        <v>0.17234426208871093</v>
      </c>
      <c r="D60" s="8" t="s">
        <v>251</v>
      </c>
      <c r="E60">
        <v>0.10349583834270047</v>
      </c>
      <c r="G60" s="8" t="s">
        <v>217</v>
      </c>
      <c r="H60">
        <v>0.31396073477775394</v>
      </c>
    </row>
    <row r="61" spans="1:8" x14ac:dyDescent="0.25">
      <c r="A61" s="8" t="s">
        <v>249</v>
      </c>
      <c r="B61">
        <v>0.17036013027441022</v>
      </c>
      <c r="D61" s="13" t="s">
        <v>1</v>
      </c>
      <c r="E61">
        <v>0.10002371916514949</v>
      </c>
      <c r="G61" s="8" t="s">
        <v>241</v>
      </c>
      <c r="H61">
        <v>0.31215309647375267</v>
      </c>
    </row>
    <row r="62" spans="1:8" x14ac:dyDescent="0.25">
      <c r="A62" s="8" t="s">
        <v>243</v>
      </c>
      <c r="B62">
        <v>0.16042672943827246</v>
      </c>
      <c r="D62" s="8" t="s">
        <v>142</v>
      </c>
      <c r="E62">
        <v>9.3223765992879778E-2</v>
      </c>
      <c r="G62" s="8" t="s">
        <v>132</v>
      </c>
      <c r="H62">
        <v>0.30638427964578735</v>
      </c>
    </row>
    <row r="63" spans="1:8" x14ac:dyDescent="0.25">
      <c r="A63" s="8" t="s">
        <v>257</v>
      </c>
      <c r="B63">
        <v>0.15805036560403005</v>
      </c>
      <c r="D63" s="8" t="s">
        <v>126</v>
      </c>
      <c r="E63">
        <v>9.0066448552472173E-2</v>
      </c>
      <c r="G63" s="8" t="s">
        <v>251</v>
      </c>
      <c r="H63">
        <v>0.3060765919172021</v>
      </c>
    </row>
    <row r="64" spans="1:8" x14ac:dyDescent="0.25">
      <c r="A64" s="8" t="s">
        <v>242</v>
      </c>
      <c r="B64">
        <v>0.15656811233401868</v>
      </c>
      <c r="D64" s="8" t="s">
        <v>189</v>
      </c>
      <c r="E64">
        <v>8.8560379234922743E-2</v>
      </c>
      <c r="G64" s="8" t="s">
        <v>254</v>
      </c>
      <c r="H64">
        <v>0.27693791248273247</v>
      </c>
    </row>
    <row r="65" spans="1:8" x14ac:dyDescent="0.25">
      <c r="A65" s="8" t="s">
        <v>132</v>
      </c>
      <c r="B65">
        <v>0.15432665135304705</v>
      </c>
      <c r="D65" s="8" t="s">
        <v>132</v>
      </c>
      <c r="E65">
        <v>8.7072629703005583E-2</v>
      </c>
      <c r="G65" s="8" t="s">
        <v>249</v>
      </c>
      <c r="H65">
        <v>0.27496480294644166</v>
      </c>
    </row>
    <row r="66" spans="1:8" x14ac:dyDescent="0.25">
      <c r="A66" s="8" t="s">
        <v>135</v>
      </c>
      <c r="B66">
        <v>0.15369966070988006</v>
      </c>
      <c r="D66" s="13" t="s">
        <v>10</v>
      </c>
      <c r="E66">
        <v>8.3487970318506147E-2</v>
      </c>
      <c r="G66" s="8" t="s">
        <v>135</v>
      </c>
      <c r="H66">
        <v>0.272847728457634</v>
      </c>
    </row>
    <row r="67" spans="1:8" x14ac:dyDescent="0.25">
      <c r="A67" s="13" t="s">
        <v>8</v>
      </c>
      <c r="B67">
        <v>0.1517291971041721</v>
      </c>
      <c r="D67" s="8" t="s">
        <v>144</v>
      </c>
      <c r="E67">
        <v>8.2639244355635397E-2</v>
      </c>
      <c r="G67" s="8" t="s">
        <v>253</v>
      </c>
      <c r="H67">
        <v>0.27134211091905758</v>
      </c>
    </row>
    <row r="68" spans="1:8" x14ac:dyDescent="0.25">
      <c r="A68" s="8" t="s">
        <v>240</v>
      </c>
      <c r="B68">
        <v>0.14875342552775617</v>
      </c>
      <c r="D68" s="8" t="s">
        <v>134</v>
      </c>
      <c r="E68">
        <v>8.1958761960442869E-2</v>
      </c>
      <c r="G68" s="8" t="s">
        <v>250</v>
      </c>
      <c r="H68">
        <v>0.2687243230314888</v>
      </c>
    </row>
    <row r="69" spans="1:8" x14ac:dyDescent="0.25">
      <c r="A69" s="13" t="s">
        <v>4</v>
      </c>
      <c r="B69">
        <v>0.14434084516687751</v>
      </c>
      <c r="D69" s="8" t="s">
        <v>92</v>
      </c>
      <c r="E69">
        <v>8.1836461508585437E-2</v>
      </c>
      <c r="G69" s="8" t="s">
        <v>242</v>
      </c>
      <c r="H69">
        <v>0.26385358778770313</v>
      </c>
    </row>
    <row r="70" spans="1:8" x14ac:dyDescent="0.25">
      <c r="A70" s="8" t="s">
        <v>131</v>
      </c>
      <c r="B70">
        <v>0.13578887284086863</v>
      </c>
      <c r="D70" s="8" t="s">
        <v>121</v>
      </c>
      <c r="E70">
        <v>7.8712997485613168E-2</v>
      </c>
      <c r="G70" s="8" t="s">
        <v>134</v>
      </c>
      <c r="H70">
        <v>0.25129717467860729</v>
      </c>
    </row>
    <row r="71" spans="1:8" x14ac:dyDescent="0.25">
      <c r="A71" s="13" t="s">
        <v>1</v>
      </c>
      <c r="B71">
        <v>0.13107319202518422</v>
      </c>
      <c r="D71" s="8" t="s">
        <v>255</v>
      </c>
      <c r="E71">
        <v>7.7364015360870841E-2</v>
      </c>
      <c r="G71" s="8" t="s">
        <v>131</v>
      </c>
      <c r="H71">
        <v>0.24633173260013227</v>
      </c>
    </row>
    <row r="72" spans="1:8" x14ac:dyDescent="0.25">
      <c r="A72" s="8" t="s">
        <v>245</v>
      </c>
      <c r="B72">
        <v>0.1310104040610606</v>
      </c>
      <c r="D72" s="8" t="s">
        <v>256</v>
      </c>
      <c r="E72">
        <v>7.6634719620448183E-2</v>
      </c>
      <c r="G72" s="8" t="s">
        <v>216</v>
      </c>
      <c r="H72">
        <v>0.24232856677962916</v>
      </c>
    </row>
    <row r="73" spans="1:8" x14ac:dyDescent="0.25">
      <c r="A73" s="8" t="s">
        <v>246</v>
      </c>
      <c r="B73">
        <v>0.12887854723292022</v>
      </c>
      <c r="D73" s="8" t="s">
        <v>197</v>
      </c>
      <c r="E73">
        <v>7.4738869707416278E-2</v>
      </c>
      <c r="G73" s="8" t="s">
        <v>246</v>
      </c>
      <c r="H73">
        <v>0.23476884255021066</v>
      </c>
    </row>
    <row r="74" spans="1:8" x14ac:dyDescent="0.25">
      <c r="A74" s="8" t="s">
        <v>197</v>
      </c>
      <c r="B74">
        <v>0.12650815190207462</v>
      </c>
      <c r="D74" s="8" t="s">
        <v>110</v>
      </c>
      <c r="E74">
        <v>7.267860774956357E-2</v>
      </c>
      <c r="G74" s="8" t="s">
        <v>244</v>
      </c>
      <c r="H74">
        <v>0.2342532821025059</v>
      </c>
    </row>
    <row r="75" spans="1:8" x14ac:dyDescent="0.25">
      <c r="A75" s="8" t="s">
        <v>248</v>
      </c>
      <c r="B75">
        <v>0.12524885774930497</v>
      </c>
      <c r="D75" s="13" t="s">
        <v>6</v>
      </c>
      <c r="E75">
        <v>7.1540854671741386E-2</v>
      </c>
      <c r="G75" s="8" t="s">
        <v>195</v>
      </c>
      <c r="H75">
        <v>0.22524288340658324</v>
      </c>
    </row>
    <row r="76" spans="1:8" x14ac:dyDescent="0.25">
      <c r="A76" s="8" t="s">
        <v>134</v>
      </c>
      <c r="B76">
        <v>0.12172678497634293</v>
      </c>
      <c r="D76" s="8" t="s">
        <v>242</v>
      </c>
      <c r="E76">
        <v>7.1204080503614556E-2</v>
      </c>
      <c r="G76" s="8" t="s">
        <v>240</v>
      </c>
      <c r="H76">
        <v>0.22457337771179836</v>
      </c>
    </row>
    <row r="77" spans="1:8" x14ac:dyDescent="0.25">
      <c r="A77" s="8" t="s">
        <v>133</v>
      </c>
      <c r="B77">
        <v>0.1214403404718864</v>
      </c>
      <c r="D77" s="13" t="s">
        <v>5</v>
      </c>
      <c r="E77">
        <v>7.0438550225480262E-2</v>
      </c>
      <c r="G77" s="8" t="s">
        <v>247</v>
      </c>
      <c r="H77">
        <v>0.22398562187527019</v>
      </c>
    </row>
    <row r="78" spans="1:8" x14ac:dyDescent="0.25">
      <c r="A78" s="8" t="s">
        <v>244</v>
      </c>
      <c r="B78">
        <v>0.11718584989744829</v>
      </c>
      <c r="D78" s="8" t="s">
        <v>143</v>
      </c>
      <c r="E78">
        <v>6.9748337892438741E-2</v>
      </c>
      <c r="G78" s="8" t="s">
        <v>133</v>
      </c>
      <c r="H78">
        <v>0.21977323429121948</v>
      </c>
    </row>
    <row r="79" spans="1:8" x14ac:dyDescent="0.25">
      <c r="A79" s="8" t="s">
        <v>235</v>
      </c>
      <c r="B79">
        <v>0.1044403622513973</v>
      </c>
      <c r="D79" s="8" t="s">
        <v>82</v>
      </c>
      <c r="E79">
        <v>6.7896880861147854E-2</v>
      </c>
      <c r="G79" s="13" t="s">
        <v>1</v>
      </c>
      <c r="H79">
        <v>0.20505665463095701</v>
      </c>
    </row>
    <row r="80" spans="1:8" x14ac:dyDescent="0.25">
      <c r="A80" s="8" t="s">
        <v>142</v>
      </c>
      <c r="B80">
        <v>0.10257737130469351</v>
      </c>
      <c r="D80" s="8" t="s">
        <v>101</v>
      </c>
      <c r="E80">
        <v>6.7572226441931449E-2</v>
      </c>
      <c r="G80" s="13" t="s">
        <v>10</v>
      </c>
      <c r="H80">
        <v>0.19842803001592013</v>
      </c>
    </row>
    <row r="81" spans="1:8" x14ac:dyDescent="0.25">
      <c r="A81" s="13" t="s">
        <v>10</v>
      </c>
      <c r="B81">
        <v>9.7270015422281544E-2</v>
      </c>
      <c r="D81" s="8" t="s">
        <v>106</v>
      </c>
      <c r="E81">
        <v>6.7277236293136908E-2</v>
      </c>
      <c r="G81" s="8" t="s">
        <v>142</v>
      </c>
      <c r="H81">
        <v>0.19193443221996587</v>
      </c>
    </row>
    <row r="82" spans="1:8" x14ac:dyDescent="0.25">
      <c r="A82" s="8" t="s">
        <v>126</v>
      </c>
      <c r="B82">
        <v>8.7595278149395744E-2</v>
      </c>
      <c r="D82" s="13" t="s">
        <v>15</v>
      </c>
      <c r="E82">
        <v>6.5715535532894387E-2</v>
      </c>
      <c r="G82" s="8" t="s">
        <v>122</v>
      </c>
      <c r="H82">
        <v>0.17873095309049516</v>
      </c>
    </row>
    <row r="83" spans="1:8" x14ac:dyDescent="0.25">
      <c r="A83" s="8" t="s">
        <v>189</v>
      </c>
      <c r="B83">
        <v>8.3237492460207577E-2</v>
      </c>
      <c r="D83" s="13" t="s">
        <v>3</v>
      </c>
      <c r="E83">
        <v>6.5685196022909023E-2</v>
      </c>
      <c r="G83" s="8" t="s">
        <v>155</v>
      </c>
      <c r="H83">
        <v>0.17850977870554571</v>
      </c>
    </row>
    <row r="84" spans="1:8" x14ac:dyDescent="0.25">
      <c r="A84" s="8" t="s">
        <v>196</v>
      </c>
      <c r="B84">
        <v>8.2602270958231361E-2</v>
      </c>
      <c r="D84" s="8" t="s">
        <v>97</v>
      </c>
      <c r="E84">
        <v>6.3308177733919627E-2</v>
      </c>
      <c r="G84" s="8" t="s">
        <v>123</v>
      </c>
      <c r="H84">
        <v>0.17359796434634897</v>
      </c>
    </row>
    <row r="85" spans="1:8" x14ac:dyDescent="0.25">
      <c r="A85" s="8" t="s">
        <v>144</v>
      </c>
      <c r="B85">
        <v>8.0788739917241115E-2</v>
      </c>
      <c r="D85" s="8" t="s">
        <v>112</v>
      </c>
      <c r="E85">
        <v>6.1070217282261002E-2</v>
      </c>
      <c r="G85" s="8" t="s">
        <v>160</v>
      </c>
      <c r="H85">
        <v>0.17119145671401356</v>
      </c>
    </row>
    <row r="86" spans="1:8" x14ac:dyDescent="0.25">
      <c r="A86" s="8" t="s">
        <v>191</v>
      </c>
      <c r="B86">
        <v>7.5218943037198213E-2</v>
      </c>
      <c r="D86" s="8" t="s">
        <v>148</v>
      </c>
      <c r="E86">
        <v>6.094063909076624E-2</v>
      </c>
      <c r="G86" s="8" t="s">
        <v>197</v>
      </c>
      <c r="H86">
        <v>0.17116574277291746</v>
      </c>
    </row>
    <row r="87" spans="1:8" x14ac:dyDescent="0.25">
      <c r="A87" s="8" t="s">
        <v>99</v>
      </c>
      <c r="B87">
        <v>7.4579729191398964E-2</v>
      </c>
      <c r="D87" s="8" t="s">
        <v>105</v>
      </c>
      <c r="E87">
        <v>6.0535304839927188E-2</v>
      </c>
      <c r="G87" s="8" t="s">
        <v>193</v>
      </c>
      <c r="H87">
        <v>0.17069207356797406</v>
      </c>
    </row>
    <row r="88" spans="1:8" x14ac:dyDescent="0.25">
      <c r="A88" s="8" t="s">
        <v>143</v>
      </c>
      <c r="B88">
        <v>7.2190445231131314E-2</v>
      </c>
      <c r="D88" s="8" t="s">
        <v>196</v>
      </c>
      <c r="E88">
        <v>5.9751847112609877E-2</v>
      </c>
      <c r="G88" s="8" t="s">
        <v>213</v>
      </c>
      <c r="H88">
        <v>0.17037140134562484</v>
      </c>
    </row>
    <row r="89" spans="1:8" x14ac:dyDescent="0.25">
      <c r="A89" s="8" t="s">
        <v>98</v>
      </c>
      <c r="B89">
        <v>6.9851193100180092E-2</v>
      </c>
      <c r="D89" s="8" t="s">
        <v>130</v>
      </c>
      <c r="E89">
        <v>5.8447108676969367E-2</v>
      </c>
      <c r="G89" s="8" t="s">
        <v>211</v>
      </c>
      <c r="H89">
        <v>0.16263245601175794</v>
      </c>
    </row>
    <row r="90" spans="1:8" x14ac:dyDescent="0.25">
      <c r="A90" s="8" t="s">
        <v>82</v>
      </c>
      <c r="B90">
        <v>6.7558809673475009E-2</v>
      </c>
      <c r="D90" s="8" t="s">
        <v>91</v>
      </c>
      <c r="E90">
        <v>5.6493580678670351E-2</v>
      </c>
      <c r="G90" s="8" t="s">
        <v>248</v>
      </c>
      <c r="H90">
        <v>0.15442130793492498</v>
      </c>
    </row>
    <row r="91" spans="1:8" x14ac:dyDescent="0.25">
      <c r="A91" s="8" t="s">
        <v>237</v>
      </c>
      <c r="B91">
        <v>6.6524358953866727E-2</v>
      </c>
      <c r="D91" s="8" t="s">
        <v>141</v>
      </c>
      <c r="E91">
        <v>5.6229521377849562E-2</v>
      </c>
      <c r="G91" s="8" t="s">
        <v>215</v>
      </c>
      <c r="H91">
        <v>0.15405576690140615</v>
      </c>
    </row>
    <row r="92" spans="1:8" x14ac:dyDescent="0.25">
      <c r="A92" s="8" t="s">
        <v>100</v>
      </c>
      <c r="B92">
        <v>6.5139133422862427E-2</v>
      </c>
      <c r="D92" s="8" t="s">
        <v>254</v>
      </c>
      <c r="E92">
        <v>5.5633079224861173E-2</v>
      </c>
      <c r="G92" s="8" t="s">
        <v>152</v>
      </c>
      <c r="H92">
        <v>0.15184172614295088</v>
      </c>
    </row>
    <row r="93" spans="1:8" x14ac:dyDescent="0.25">
      <c r="A93" s="8" t="s">
        <v>122</v>
      </c>
      <c r="B93">
        <v>6.2693702367997095E-2</v>
      </c>
      <c r="D93" s="13" t="s">
        <v>4</v>
      </c>
      <c r="E93">
        <v>5.364410504449605E-2</v>
      </c>
      <c r="G93" s="8" t="s">
        <v>143</v>
      </c>
      <c r="H93">
        <v>0.15077925478989718</v>
      </c>
    </row>
    <row r="94" spans="1:8" x14ac:dyDescent="0.25">
      <c r="A94" s="8" t="s">
        <v>155</v>
      </c>
      <c r="B94">
        <v>6.2597840224281526E-2</v>
      </c>
      <c r="D94" s="8" t="s">
        <v>120</v>
      </c>
      <c r="E94">
        <v>5.188266319023116E-2</v>
      </c>
      <c r="G94" s="8" t="s">
        <v>162</v>
      </c>
      <c r="H94">
        <v>0.15032569473991977</v>
      </c>
    </row>
    <row r="95" spans="1:8" x14ac:dyDescent="0.25">
      <c r="A95" s="8" t="s">
        <v>101</v>
      </c>
      <c r="B95">
        <v>6.0846916356987475E-2</v>
      </c>
      <c r="D95" s="8" t="s">
        <v>109</v>
      </c>
      <c r="E95">
        <v>5.1846118099117752E-2</v>
      </c>
      <c r="G95" s="8" t="s">
        <v>144</v>
      </c>
      <c r="H95">
        <v>0.14561844901377055</v>
      </c>
    </row>
    <row r="96" spans="1:8" x14ac:dyDescent="0.25">
      <c r="A96" s="8" t="s">
        <v>120</v>
      </c>
      <c r="B96">
        <v>6.0464983445465005E-2</v>
      </c>
      <c r="D96" s="8" t="s">
        <v>84</v>
      </c>
      <c r="E96">
        <v>5.13490166235731E-2</v>
      </c>
      <c r="G96" s="13" t="s">
        <v>15</v>
      </c>
      <c r="H96">
        <v>0.14073651945828813</v>
      </c>
    </row>
    <row r="97" spans="1:8" x14ac:dyDescent="0.25">
      <c r="A97" s="13" t="s">
        <v>11</v>
      </c>
      <c r="B97">
        <v>6.0095550792272627E-2</v>
      </c>
      <c r="D97" s="8" t="s">
        <v>243</v>
      </c>
      <c r="E97">
        <v>5.1258660975853479E-2</v>
      </c>
      <c r="G97" s="8" t="s">
        <v>194</v>
      </c>
      <c r="H97">
        <v>0.13946276999312041</v>
      </c>
    </row>
    <row r="98" spans="1:8" x14ac:dyDescent="0.25">
      <c r="A98" s="8" t="s">
        <v>123</v>
      </c>
      <c r="B98">
        <v>5.8231289882669117E-2</v>
      </c>
      <c r="D98" s="8" t="s">
        <v>190</v>
      </c>
      <c r="E98">
        <v>5.0137876485283499E-2</v>
      </c>
      <c r="G98" s="8" t="s">
        <v>145</v>
      </c>
      <c r="H98">
        <v>0.13174089728140762</v>
      </c>
    </row>
    <row r="99" spans="1:8" x14ac:dyDescent="0.25">
      <c r="A99" s="13" t="s">
        <v>6</v>
      </c>
      <c r="B99">
        <v>5.8032875204540361E-2</v>
      </c>
      <c r="D99" s="8" t="s">
        <v>249</v>
      </c>
      <c r="E99">
        <v>4.9759616711859807E-2</v>
      </c>
      <c r="G99" s="8" t="s">
        <v>153</v>
      </c>
      <c r="H99">
        <v>0.12940656176845047</v>
      </c>
    </row>
    <row r="100" spans="1:8" x14ac:dyDescent="0.25">
      <c r="A100" s="8" t="s">
        <v>121</v>
      </c>
      <c r="B100">
        <v>5.7785173530682236E-2</v>
      </c>
      <c r="D100" s="8" t="s">
        <v>244</v>
      </c>
      <c r="E100">
        <v>4.899247844669978E-2</v>
      </c>
      <c r="G100" s="8" t="s">
        <v>192</v>
      </c>
      <c r="H100">
        <v>0.12627373952619927</v>
      </c>
    </row>
    <row r="101" spans="1:8" x14ac:dyDescent="0.25">
      <c r="A101" s="8" t="s">
        <v>97</v>
      </c>
      <c r="B101">
        <v>5.7418237325724944E-2</v>
      </c>
      <c r="D101" s="8" t="s">
        <v>98</v>
      </c>
      <c r="E101">
        <v>4.8870696201202338E-2</v>
      </c>
      <c r="G101" s="8" t="s">
        <v>237</v>
      </c>
      <c r="H101">
        <v>0.12488988156731737</v>
      </c>
    </row>
    <row r="102" spans="1:8" x14ac:dyDescent="0.25">
      <c r="A102" s="13" t="s">
        <v>15</v>
      </c>
      <c r="B102">
        <v>5.6879940062111028E-2</v>
      </c>
      <c r="D102" s="8" t="s">
        <v>119</v>
      </c>
      <c r="E102">
        <v>4.6597604095612304E-2</v>
      </c>
      <c r="G102" s="8" t="s">
        <v>120</v>
      </c>
      <c r="H102">
        <v>0.11927858161172472</v>
      </c>
    </row>
    <row r="103" spans="1:8" x14ac:dyDescent="0.25">
      <c r="A103" s="8" t="s">
        <v>91</v>
      </c>
      <c r="B103">
        <v>5.4534857766192484E-2</v>
      </c>
      <c r="D103" s="8" t="s">
        <v>150</v>
      </c>
      <c r="E103">
        <v>4.6163124964432076E-2</v>
      </c>
      <c r="G103" s="8" t="s">
        <v>201</v>
      </c>
      <c r="H103">
        <v>0.11811839645608324</v>
      </c>
    </row>
    <row r="104" spans="1:8" x14ac:dyDescent="0.25">
      <c r="A104" s="8" t="s">
        <v>105</v>
      </c>
      <c r="B104">
        <v>5.4272000522976059E-2</v>
      </c>
      <c r="D104" s="8" t="s">
        <v>237</v>
      </c>
      <c r="E104">
        <v>4.6093574513809847E-2</v>
      </c>
      <c r="G104" s="8" t="s">
        <v>148</v>
      </c>
      <c r="H104">
        <v>0.11656120131365579</v>
      </c>
    </row>
    <row r="105" spans="1:8" x14ac:dyDescent="0.25">
      <c r="A105" s="8" t="s">
        <v>148</v>
      </c>
      <c r="B105">
        <v>5.4243356461693273E-2</v>
      </c>
      <c r="D105" s="8" t="s">
        <v>191</v>
      </c>
      <c r="E105">
        <v>4.5541612140387419E-2</v>
      </c>
      <c r="G105" s="8" t="s">
        <v>196</v>
      </c>
      <c r="H105">
        <v>0.11468719806672367</v>
      </c>
    </row>
    <row r="106" spans="1:8" x14ac:dyDescent="0.25">
      <c r="A106" s="8" t="s">
        <v>116</v>
      </c>
      <c r="B106">
        <v>5.2592887275691412E-2</v>
      </c>
      <c r="D106" s="8" t="s">
        <v>252</v>
      </c>
      <c r="E106">
        <v>4.3715081750566147E-2</v>
      </c>
      <c r="G106" s="8" t="s">
        <v>156</v>
      </c>
      <c r="H106">
        <v>0.11446965390546078</v>
      </c>
    </row>
    <row r="107" spans="1:8" x14ac:dyDescent="0.25">
      <c r="A107" s="8" t="s">
        <v>160</v>
      </c>
      <c r="B107">
        <v>5.2304741636652621E-2</v>
      </c>
      <c r="D107" s="8" t="s">
        <v>140</v>
      </c>
      <c r="E107">
        <v>4.3490219649583516E-2</v>
      </c>
      <c r="G107" s="8" t="s">
        <v>235</v>
      </c>
      <c r="H107">
        <v>0.11361450274945889</v>
      </c>
    </row>
    <row r="108" spans="1:8" x14ac:dyDescent="0.25">
      <c r="A108" s="8" t="s">
        <v>217</v>
      </c>
      <c r="B108">
        <v>5.0064141383761973E-2</v>
      </c>
      <c r="D108" s="13" t="s">
        <v>9</v>
      </c>
      <c r="E108">
        <v>4.316464897612883E-2</v>
      </c>
      <c r="G108" s="13" t="s">
        <v>9</v>
      </c>
      <c r="H108">
        <v>0.10593268674404968</v>
      </c>
    </row>
    <row r="109" spans="1:8" x14ac:dyDescent="0.25">
      <c r="A109" s="8" t="s">
        <v>156</v>
      </c>
      <c r="B109">
        <v>4.7220759793145432E-2</v>
      </c>
      <c r="D109" s="8" t="s">
        <v>89</v>
      </c>
      <c r="E109">
        <v>4.288775014210458E-2</v>
      </c>
      <c r="G109" s="8" t="s">
        <v>98</v>
      </c>
      <c r="H109">
        <v>0.10375693253777021</v>
      </c>
    </row>
    <row r="110" spans="1:8" x14ac:dyDescent="0.25">
      <c r="A110" s="8" t="s">
        <v>141</v>
      </c>
      <c r="B110">
        <v>4.5824484562284801E-2</v>
      </c>
      <c r="D110" s="8" t="s">
        <v>100</v>
      </c>
      <c r="E110">
        <v>4.2273416942704617E-2</v>
      </c>
      <c r="G110" s="8" t="s">
        <v>99</v>
      </c>
      <c r="H110">
        <v>0.10310610134111933</v>
      </c>
    </row>
    <row r="111" spans="1:8" x14ac:dyDescent="0.25">
      <c r="A111" s="8" t="s">
        <v>140</v>
      </c>
      <c r="B111">
        <v>4.4884100704196565E-2</v>
      </c>
      <c r="D111" s="8" t="s">
        <v>151</v>
      </c>
      <c r="E111">
        <v>4.0372306946548225E-2</v>
      </c>
      <c r="G111" s="8" t="s">
        <v>149</v>
      </c>
      <c r="H111">
        <v>0.10224019334821066</v>
      </c>
    </row>
    <row r="112" spans="1:8" x14ac:dyDescent="0.25">
      <c r="A112" s="8" t="s">
        <v>117</v>
      </c>
      <c r="B112">
        <v>4.4647021599973039E-2</v>
      </c>
      <c r="D112" s="13" t="s">
        <v>8</v>
      </c>
      <c r="E112">
        <v>4.0160876778502989E-2</v>
      </c>
      <c r="G112" s="8" t="s">
        <v>212</v>
      </c>
      <c r="H112">
        <v>0.10157612485384515</v>
      </c>
    </row>
    <row r="113" spans="1:8" x14ac:dyDescent="0.25">
      <c r="A113" s="8" t="s">
        <v>113</v>
      </c>
      <c r="B113">
        <v>4.4448046000007325E-2</v>
      </c>
      <c r="D113" s="8" t="s">
        <v>93</v>
      </c>
      <c r="E113">
        <v>4.0082794481491352E-2</v>
      </c>
      <c r="G113" s="13" t="s">
        <v>6</v>
      </c>
      <c r="H113">
        <v>0.10133282617719229</v>
      </c>
    </row>
    <row r="114" spans="1:8" x14ac:dyDescent="0.25">
      <c r="A114" s="8" t="s">
        <v>145</v>
      </c>
      <c r="B114">
        <v>4.3435697213755835E-2</v>
      </c>
      <c r="D114" s="8" t="s">
        <v>146</v>
      </c>
      <c r="E114">
        <v>3.9389302814259904E-2</v>
      </c>
      <c r="G114" s="8" t="s">
        <v>208</v>
      </c>
      <c r="H114">
        <v>0.10126731740529811</v>
      </c>
    </row>
    <row r="115" spans="1:8" x14ac:dyDescent="0.25">
      <c r="A115" s="13" t="s">
        <v>9</v>
      </c>
      <c r="B115">
        <v>4.3248697376283202E-2</v>
      </c>
      <c r="D115" s="8" t="s">
        <v>161</v>
      </c>
      <c r="E115">
        <v>3.9239067624187156E-2</v>
      </c>
      <c r="G115" s="8" t="s">
        <v>139</v>
      </c>
      <c r="H115">
        <v>9.9608440382340457E-2</v>
      </c>
    </row>
    <row r="116" spans="1:8" x14ac:dyDescent="0.25">
      <c r="A116" s="8" t="s">
        <v>89</v>
      </c>
      <c r="B116">
        <v>4.289488368725012E-2</v>
      </c>
      <c r="D116" s="8" t="s">
        <v>253</v>
      </c>
      <c r="E116">
        <v>3.8200845948860147E-2</v>
      </c>
      <c r="G116" s="8" t="s">
        <v>126</v>
      </c>
      <c r="H116">
        <v>9.8995184349272444E-2</v>
      </c>
    </row>
    <row r="117" spans="1:8" x14ac:dyDescent="0.25">
      <c r="A117" s="8" t="s">
        <v>152</v>
      </c>
      <c r="B117">
        <v>4.24369628223977E-2</v>
      </c>
      <c r="D117" s="8" t="s">
        <v>159</v>
      </c>
      <c r="E117">
        <v>3.7594614410803931E-2</v>
      </c>
      <c r="G117" s="8" t="s">
        <v>199</v>
      </c>
      <c r="H117">
        <v>9.8508930757853122E-2</v>
      </c>
    </row>
    <row r="118" spans="1:8" x14ac:dyDescent="0.25">
      <c r="A118" s="8" t="s">
        <v>93</v>
      </c>
      <c r="B118">
        <v>4.1700677667369478E-2</v>
      </c>
      <c r="D118" s="8" t="s">
        <v>90</v>
      </c>
      <c r="E118">
        <v>3.624791988423471E-2</v>
      </c>
      <c r="G118" s="8" t="s">
        <v>202</v>
      </c>
      <c r="H118">
        <v>9.7852544428046681E-2</v>
      </c>
    </row>
    <row r="119" spans="1:8" x14ac:dyDescent="0.25">
      <c r="A119" s="8" t="s">
        <v>118</v>
      </c>
      <c r="B119">
        <v>4.1540956071361566E-2</v>
      </c>
      <c r="D119" s="8" t="s">
        <v>88</v>
      </c>
      <c r="E119">
        <v>3.6159034015986642E-2</v>
      </c>
      <c r="G119" s="8" t="s">
        <v>191</v>
      </c>
      <c r="H119">
        <v>9.753110169646062E-2</v>
      </c>
    </row>
    <row r="120" spans="1:8" x14ac:dyDescent="0.25">
      <c r="A120" s="8" t="s">
        <v>119</v>
      </c>
      <c r="B120">
        <v>4.1498920990416875E-2</v>
      </c>
      <c r="D120" s="9" t="s">
        <v>75</v>
      </c>
      <c r="E120">
        <v>3.5999447573243276E-2</v>
      </c>
      <c r="G120" s="13" t="s">
        <v>11</v>
      </c>
      <c r="H120">
        <v>9.746339121159496E-2</v>
      </c>
    </row>
    <row r="121" spans="1:8" x14ac:dyDescent="0.25">
      <c r="A121" s="8" t="s">
        <v>149</v>
      </c>
      <c r="B121">
        <v>4.0202002475256904E-2</v>
      </c>
      <c r="D121" s="8" t="s">
        <v>156</v>
      </c>
      <c r="E121">
        <v>3.4668190548229366E-2</v>
      </c>
      <c r="G121" s="8" t="s">
        <v>124</v>
      </c>
      <c r="H121">
        <v>9.7033556803896012E-2</v>
      </c>
    </row>
    <row r="122" spans="1:8" x14ac:dyDescent="0.25">
      <c r="A122" s="8" t="s">
        <v>151</v>
      </c>
      <c r="B122">
        <v>3.9577049290053817E-2</v>
      </c>
      <c r="D122" s="8" t="s">
        <v>99</v>
      </c>
      <c r="E122">
        <v>3.3826640388379375E-2</v>
      </c>
      <c r="G122" s="8" t="s">
        <v>140</v>
      </c>
      <c r="H122">
        <v>9.5040503295926199E-2</v>
      </c>
    </row>
    <row r="123" spans="1:8" x14ac:dyDescent="0.25">
      <c r="A123" s="8" t="s">
        <v>190</v>
      </c>
      <c r="B123">
        <v>3.9152585534950241E-2</v>
      </c>
      <c r="D123" s="8" t="s">
        <v>149</v>
      </c>
      <c r="E123">
        <v>3.3750445752454367E-2</v>
      </c>
      <c r="G123" s="8" t="s">
        <v>151</v>
      </c>
      <c r="H123">
        <v>9.4961583238262731E-2</v>
      </c>
    </row>
    <row r="124" spans="1:8" x14ac:dyDescent="0.25">
      <c r="A124" s="8" t="s">
        <v>90</v>
      </c>
      <c r="B124">
        <v>3.911905569118293E-2</v>
      </c>
      <c r="D124" s="8" t="s">
        <v>113</v>
      </c>
      <c r="E124">
        <v>3.173038497539276E-2</v>
      </c>
      <c r="G124" s="8" t="s">
        <v>91</v>
      </c>
      <c r="H124">
        <v>9.27021216021994E-2</v>
      </c>
    </row>
    <row r="125" spans="1:8" x14ac:dyDescent="0.25">
      <c r="A125" s="8" t="s">
        <v>92</v>
      </c>
      <c r="B125">
        <v>3.8291088602637198E-2</v>
      </c>
      <c r="D125" s="8" t="s">
        <v>127</v>
      </c>
      <c r="E125">
        <v>3.0748621317834665E-2</v>
      </c>
      <c r="G125" s="8" t="s">
        <v>100</v>
      </c>
      <c r="H125">
        <v>8.7594989892304173E-2</v>
      </c>
    </row>
    <row r="126" spans="1:8" x14ac:dyDescent="0.25">
      <c r="A126" s="8" t="s">
        <v>111</v>
      </c>
      <c r="B126">
        <v>3.8121042954359412E-2</v>
      </c>
      <c r="D126" s="8" t="s">
        <v>139</v>
      </c>
      <c r="E126">
        <v>3.0251905996673493E-2</v>
      </c>
      <c r="G126" s="8" t="s">
        <v>189</v>
      </c>
      <c r="H126">
        <v>8.6903687563599646E-2</v>
      </c>
    </row>
    <row r="127" spans="1:8" x14ac:dyDescent="0.25">
      <c r="A127" s="8" t="s">
        <v>162</v>
      </c>
      <c r="B127">
        <v>3.6996199629257084E-2</v>
      </c>
      <c r="D127" s="8" t="s">
        <v>94</v>
      </c>
      <c r="E127">
        <v>2.9867891138602186E-2</v>
      </c>
      <c r="G127" s="8" t="s">
        <v>150</v>
      </c>
      <c r="H127">
        <v>8.6435982355465998E-2</v>
      </c>
    </row>
    <row r="128" spans="1:8" x14ac:dyDescent="0.25">
      <c r="A128" s="8" t="s">
        <v>95</v>
      </c>
      <c r="B128">
        <v>3.6724624080203438E-2</v>
      </c>
      <c r="D128" s="8" t="s">
        <v>155</v>
      </c>
      <c r="E128">
        <v>2.9359443715750465E-2</v>
      </c>
      <c r="G128" s="8" t="s">
        <v>82</v>
      </c>
      <c r="H128">
        <v>8.6321198852878978E-2</v>
      </c>
    </row>
    <row r="129" spans="1:8" x14ac:dyDescent="0.25">
      <c r="A129" s="8" t="s">
        <v>110</v>
      </c>
      <c r="B129">
        <v>3.6481798617047992E-2</v>
      </c>
      <c r="D129" s="8" t="s">
        <v>111</v>
      </c>
      <c r="E129">
        <v>2.9184181299672842E-2</v>
      </c>
      <c r="G129" s="8" t="s">
        <v>159</v>
      </c>
      <c r="H129">
        <v>8.5368334362991974E-2</v>
      </c>
    </row>
    <row r="130" spans="1:8" x14ac:dyDescent="0.25">
      <c r="A130" s="8" t="s">
        <v>84</v>
      </c>
      <c r="B130">
        <v>3.5955218543053537E-2</v>
      </c>
      <c r="D130" s="8" t="s">
        <v>157</v>
      </c>
      <c r="E130">
        <v>2.6966623330560161E-2</v>
      </c>
      <c r="G130" s="8" t="s">
        <v>200</v>
      </c>
      <c r="H130">
        <v>8.3934885881097696E-2</v>
      </c>
    </row>
    <row r="131" spans="1:8" x14ac:dyDescent="0.25">
      <c r="A131" s="8" t="s">
        <v>159</v>
      </c>
      <c r="B131">
        <v>3.5894364217435609E-2</v>
      </c>
      <c r="D131" s="8" t="s">
        <v>85</v>
      </c>
      <c r="E131">
        <v>2.6739799282379E-2</v>
      </c>
      <c r="G131" s="8" t="s">
        <v>105</v>
      </c>
      <c r="H131">
        <v>8.276137485860563E-2</v>
      </c>
    </row>
    <row r="132" spans="1:8" x14ac:dyDescent="0.25">
      <c r="A132" s="8" t="s">
        <v>88</v>
      </c>
      <c r="B132">
        <v>3.3419571123728828E-2</v>
      </c>
      <c r="D132" s="8" t="s">
        <v>246</v>
      </c>
      <c r="E132">
        <v>2.5977993150224445E-2</v>
      </c>
      <c r="G132" s="8" t="s">
        <v>116</v>
      </c>
      <c r="H132">
        <v>8.2728777660443897E-2</v>
      </c>
    </row>
    <row r="133" spans="1:8" x14ac:dyDescent="0.25">
      <c r="A133" s="8" t="s">
        <v>139</v>
      </c>
      <c r="B133">
        <v>3.2536178628015187E-2</v>
      </c>
      <c r="D133" s="8" t="s">
        <v>95</v>
      </c>
      <c r="E133">
        <v>2.5488049040823336E-2</v>
      </c>
      <c r="G133" s="8" t="s">
        <v>161</v>
      </c>
      <c r="H133">
        <v>8.1073419993543339E-2</v>
      </c>
    </row>
    <row r="134" spans="1:8" x14ac:dyDescent="0.25">
      <c r="A134" s="8" t="s">
        <v>146</v>
      </c>
      <c r="B134">
        <v>3.2315941040417413E-2</v>
      </c>
      <c r="D134" s="8" t="s">
        <v>145</v>
      </c>
      <c r="E134">
        <v>2.4453303958329838E-2</v>
      </c>
      <c r="G134" s="8" t="s">
        <v>141</v>
      </c>
      <c r="H134">
        <v>8.0568242724903247E-2</v>
      </c>
    </row>
    <row r="135" spans="1:8" x14ac:dyDescent="0.25">
      <c r="A135" s="8" t="s">
        <v>106</v>
      </c>
      <c r="B135">
        <v>3.1454862423015907E-2</v>
      </c>
      <c r="D135" s="8" t="s">
        <v>116</v>
      </c>
      <c r="E135">
        <v>2.3613218484725362E-2</v>
      </c>
      <c r="G135" s="8" t="s">
        <v>97</v>
      </c>
      <c r="H135">
        <v>7.9331916710878414E-2</v>
      </c>
    </row>
    <row r="136" spans="1:8" x14ac:dyDescent="0.25">
      <c r="A136" s="8" t="s">
        <v>200</v>
      </c>
      <c r="B136">
        <v>2.9730434691456323E-2</v>
      </c>
      <c r="D136" s="8" t="s">
        <v>123</v>
      </c>
      <c r="E136">
        <v>2.2172006980271029E-2</v>
      </c>
      <c r="G136" s="8" t="s">
        <v>101</v>
      </c>
      <c r="H136">
        <v>7.745111096042688E-2</v>
      </c>
    </row>
    <row r="137" spans="1:8" x14ac:dyDescent="0.25">
      <c r="A137" s="8" t="s">
        <v>150</v>
      </c>
      <c r="B137">
        <v>2.881950406678991E-2</v>
      </c>
      <c r="D137" s="9" t="s">
        <v>74</v>
      </c>
      <c r="E137">
        <v>2.1973531937912419E-2</v>
      </c>
      <c r="G137" s="8" t="s">
        <v>117</v>
      </c>
      <c r="H137">
        <v>7.4355847956450047E-2</v>
      </c>
    </row>
    <row r="138" spans="1:8" x14ac:dyDescent="0.25">
      <c r="A138" s="8" t="s">
        <v>192</v>
      </c>
      <c r="B138">
        <v>2.7931592492432933E-2</v>
      </c>
      <c r="D138" s="8" t="s">
        <v>122</v>
      </c>
      <c r="E138">
        <v>2.1393059327741368E-2</v>
      </c>
      <c r="G138" s="8" t="s">
        <v>205</v>
      </c>
      <c r="H138">
        <v>7.3446100834202319E-2</v>
      </c>
    </row>
    <row r="139" spans="1:8" x14ac:dyDescent="0.25">
      <c r="A139" s="8" t="s">
        <v>124</v>
      </c>
      <c r="B139">
        <v>2.7569011672164627E-2</v>
      </c>
      <c r="D139" s="8" t="s">
        <v>108</v>
      </c>
      <c r="E139">
        <v>2.0823490430920136E-2</v>
      </c>
      <c r="G139" s="8" t="s">
        <v>114</v>
      </c>
      <c r="H139">
        <v>7.2642488481438006E-2</v>
      </c>
    </row>
    <row r="140" spans="1:8" x14ac:dyDescent="0.25">
      <c r="A140" s="8" t="s">
        <v>138</v>
      </c>
      <c r="B140">
        <v>2.4703210416813923E-2</v>
      </c>
      <c r="D140" s="8" t="s">
        <v>158</v>
      </c>
      <c r="E140">
        <v>2.0273058356606317E-2</v>
      </c>
      <c r="G140" s="8" t="s">
        <v>118</v>
      </c>
      <c r="H140">
        <v>7.1910008015362459E-2</v>
      </c>
    </row>
    <row r="141" spans="1:8" x14ac:dyDescent="0.25">
      <c r="A141" s="13" t="s">
        <v>3</v>
      </c>
      <c r="B141">
        <v>2.3861089921121386E-2</v>
      </c>
      <c r="D141" s="8" t="s">
        <v>138</v>
      </c>
      <c r="E141">
        <v>1.8961279622697259E-2</v>
      </c>
      <c r="G141" s="8" t="s">
        <v>111</v>
      </c>
      <c r="H141">
        <v>7.0646497874092259E-2</v>
      </c>
    </row>
    <row r="142" spans="1:8" x14ac:dyDescent="0.25">
      <c r="A142" s="8" t="s">
        <v>112</v>
      </c>
      <c r="B142">
        <v>2.2185215381584328E-2</v>
      </c>
      <c r="D142" s="8" t="s">
        <v>147</v>
      </c>
      <c r="E142">
        <v>1.823089322060956E-2</v>
      </c>
      <c r="G142" s="8" t="s">
        <v>228</v>
      </c>
      <c r="H142">
        <v>6.7582762726091039E-2</v>
      </c>
    </row>
    <row r="143" spans="1:8" x14ac:dyDescent="0.25">
      <c r="A143" s="8" t="s">
        <v>109</v>
      </c>
      <c r="B143">
        <v>2.1186362667902019E-2</v>
      </c>
      <c r="D143" s="8" t="s">
        <v>245</v>
      </c>
      <c r="E143">
        <v>1.6847886483103744E-2</v>
      </c>
      <c r="G143" s="8" t="s">
        <v>138</v>
      </c>
      <c r="H143">
        <v>6.2977946452153655E-2</v>
      </c>
    </row>
    <row r="144" spans="1:8" x14ac:dyDescent="0.25">
      <c r="A144" s="8" t="s">
        <v>195</v>
      </c>
      <c r="B144">
        <v>2.0754027173356091E-2</v>
      </c>
      <c r="D144" s="8" t="s">
        <v>200</v>
      </c>
      <c r="E144">
        <v>1.6548677082454957E-2</v>
      </c>
      <c r="G144" s="8" t="s">
        <v>198</v>
      </c>
      <c r="H144">
        <v>6.2515945207450976E-2</v>
      </c>
    </row>
    <row r="145" spans="1:8" x14ac:dyDescent="0.25">
      <c r="A145" s="8" t="s">
        <v>161</v>
      </c>
      <c r="B145">
        <v>2.0607229645730692E-2</v>
      </c>
      <c r="D145" s="8" t="s">
        <v>228</v>
      </c>
      <c r="E145">
        <v>1.6203284777200129E-2</v>
      </c>
      <c r="G145" s="13" t="s">
        <v>13</v>
      </c>
      <c r="H145">
        <v>6.1614740432737299E-2</v>
      </c>
    </row>
    <row r="146" spans="1:8" x14ac:dyDescent="0.25">
      <c r="A146" s="8" t="s">
        <v>129</v>
      </c>
      <c r="B146">
        <v>2.0229676555462345E-2</v>
      </c>
      <c r="D146" s="8" t="s">
        <v>160</v>
      </c>
      <c r="E146">
        <v>1.5989170549316357E-2</v>
      </c>
      <c r="G146" s="8" t="s">
        <v>154</v>
      </c>
      <c r="H146">
        <v>5.9819015927280492E-2</v>
      </c>
    </row>
    <row r="147" spans="1:8" x14ac:dyDescent="0.25">
      <c r="A147" s="9" t="s">
        <v>74</v>
      </c>
      <c r="B147">
        <v>1.8741629694693299E-2</v>
      </c>
      <c r="D147" s="8" t="s">
        <v>128</v>
      </c>
      <c r="E147">
        <v>1.5445165179043182E-2</v>
      </c>
      <c r="G147" s="8" t="s">
        <v>183</v>
      </c>
      <c r="H147">
        <v>5.9022175298610258E-2</v>
      </c>
    </row>
    <row r="148" spans="1:8" x14ac:dyDescent="0.25">
      <c r="A148" s="8" t="s">
        <v>114</v>
      </c>
      <c r="B148">
        <v>1.7502912761873567E-2</v>
      </c>
      <c r="D148" s="13" t="s">
        <v>11</v>
      </c>
      <c r="E148">
        <v>1.305365558996416E-2</v>
      </c>
      <c r="G148" s="9" t="s">
        <v>79</v>
      </c>
      <c r="H148">
        <v>5.7552898995620945E-2</v>
      </c>
    </row>
    <row r="149" spans="1:8" x14ac:dyDescent="0.25">
      <c r="A149" s="8" t="s">
        <v>85</v>
      </c>
      <c r="B149">
        <v>1.6905595215851613E-2</v>
      </c>
      <c r="D149" s="13" t="s">
        <v>16</v>
      </c>
      <c r="E149">
        <v>1.275600004143619E-2</v>
      </c>
      <c r="G149" s="8" t="s">
        <v>113</v>
      </c>
      <c r="H149">
        <v>5.7055821448501562E-2</v>
      </c>
    </row>
    <row r="150" spans="1:8" x14ac:dyDescent="0.25">
      <c r="A150" s="8" t="s">
        <v>201</v>
      </c>
      <c r="B150">
        <v>1.5764315863948726E-2</v>
      </c>
      <c r="D150" s="9" t="s">
        <v>79</v>
      </c>
      <c r="E150">
        <v>1.2501305685861453E-2</v>
      </c>
      <c r="G150" s="8" t="s">
        <v>95</v>
      </c>
      <c r="H150">
        <v>5.4979315062490208E-2</v>
      </c>
    </row>
    <row r="151" spans="1:8" x14ac:dyDescent="0.25">
      <c r="A151" s="8" t="s">
        <v>130</v>
      </c>
      <c r="B151">
        <v>1.5620870146300099E-2</v>
      </c>
      <c r="D151" s="8" t="s">
        <v>117</v>
      </c>
      <c r="E151">
        <v>1.1675586326979032E-2</v>
      </c>
      <c r="G151" s="8" t="s">
        <v>214</v>
      </c>
      <c r="H151">
        <v>5.4224299315041732E-2</v>
      </c>
    </row>
    <row r="152" spans="1:8" x14ac:dyDescent="0.25">
      <c r="A152" s="8" t="s">
        <v>94</v>
      </c>
      <c r="B152">
        <v>1.5509023722885514E-2</v>
      </c>
      <c r="D152" s="8" t="s">
        <v>104</v>
      </c>
      <c r="E152">
        <v>9.9801282220004037E-3</v>
      </c>
      <c r="G152" s="8" t="s">
        <v>163</v>
      </c>
      <c r="H152">
        <v>5.3774335053341685E-2</v>
      </c>
    </row>
    <row r="153" spans="1:8" x14ac:dyDescent="0.25">
      <c r="A153" s="8" t="s">
        <v>158</v>
      </c>
      <c r="B153">
        <v>1.4782057906132821E-2</v>
      </c>
      <c r="D153" s="8" t="s">
        <v>118</v>
      </c>
      <c r="E153">
        <v>9.7743475484737379E-3</v>
      </c>
      <c r="G153" s="8" t="s">
        <v>128</v>
      </c>
      <c r="H153">
        <v>5.2636921263840002E-2</v>
      </c>
    </row>
    <row r="154" spans="1:8" x14ac:dyDescent="0.25">
      <c r="A154" s="8" t="s">
        <v>104</v>
      </c>
      <c r="B154">
        <v>1.4178906648402202E-2</v>
      </c>
      <c r="D154" s="13" t="s">
        <v>7</v>
      </c>
      <c r="E154">
        <v>7.8211971286455025E-3</v>
      </c>
      <c r="G154" s="8" t="s">
        <v>90</v>
      </c>
      <c r="H154">
        <v>5.0813314428629533E-2</v>
      </c>
    </row>
    <row r="155" spans="1:8" x14ac:dyDescent="0.25">
      <c r="A155" s="8" t="s">
        <v>136</v>
      </c>
      <c r="B155">
        <v>1.3004699786046023E-2</v>
      </c>
      <c r="D155" s="8" t="s">
        <v>125</v>
      </c>
      <c r="E155">
        <v>7.1042823039386685E-3</v>
      </c>
      <c r="G155" s="8" t="s">
        <v>129</v>
      </c>
      <c r="H155">
        <v>4.8015013968670986E-2</v>
      </c>
    </row>
    <row r="156" spans="1:8" x14ac:dyDescent="0.25">
      <c r="A156" s="9" t="s">
        <v>75</v>
      </c>
      <c r="B156">
        <v>1.0350549458373869E-2</v>
      </c>
      <c r="D156" s="8" t="s">
        <v>107</v>
      </c>
      <c r="E156">
        <v>7.0122619721657183E-3</v>
      </c>
      <c r="G156" s="8" t="s">
        <v>93</v>
      </c>
      <c r="H156">
        <v>4.7271950798830446E-2</v>
      </c>
    </row>
    <row r="157" spans="1:8" x14ac:dyDescent="0.25">
      <c r="A157" s="8" t="s">
        <v>153</v>
      </c>
      <c r="B157">
        <v>9.6779766195446409E-3</v>
      </c>
      <c r="D157" s="8" t="s">
        <v>162</v>
      </c>
      <c r="E157">
        <v>6.2365766136817597E-3</v>
      </c>
      <c r="G157" s="8" t="s">
        <v>121</v>
      </c>
      <c r="H157">
        <v>4.5347108927182807E-2</v>
      </c>
    </row>
    <row r="158" spans="1:8" x14ac:dyDescent="0.25">
      <c r="A158" s="9" t="s">
        <v>79</v>
      </c>
      <c r="B158">
        <v>9.4962387919729167E-3</v>
      </c>
      <c r="D158" s="9" t="s">
        <v>78</v>
      </c>
      <c r="E158">
        <v>6.1830550704583586E-3</v>
      </c>
      <c r="G158" s="8" t="s">
        <v>190</v>
      </c>
      <c r="H158">
        <v>4.5163116533585582E-2</v>
      </c>
    </row>
    <row r="159" spans="1:8" x14ac:dyDescent="0.25">
      <c r="A159" s="8" t="s">
        <v>193</v>
      </c>
      <c r="B159">
        <v>8.4606327553379788E-3</v>
      </c>
      <c r="D159" s="8" t="s">
        <v>124</v>
      </c>
      <c r="E159">
        <v>5.9150536454699396E-3</v>
      </c>
      <c r="G159" s="8" t="s">
        <v>89</v>
      </c>
      <c r="H159">
        <v>4.4417678365156789E-2</v>
      </c>
    </row>
    <row r="160" spans="1:8" x14ac:dyDescent="0.25">
      <c r="A160" s="9" t="s">
        <v>77</v>
      </c>
      <c r="B160">
        <v>8.115802238824639E-3</v>
      </c>
      <c r="D160" s="8" t="s">
        <v>129</v>
      </c>
      <c r="E160">
        <v>5.0825493051985813E-3</v>
      </c>
      <c r="G160" s="8" t="s">
        <v>136</v>
      </c>
      <c r="H160">
        <v>4.3337986828935471E-2</v>
      </c>
    </row>
    <row r="161" spans="1:8" x14ac:dyDescent="0.25">
      <c r="A161" s="8" t="s">
        <v>202</v>
      </c>
      <c r="B161">
        <v>7.8669559072515188E-3</v>
      </c>
      <c r="D161" s="13" t="s">
        <v>14</v>
      </c>
      <c r="E161">
        <v>4.4613203616023353E-3</v>
      </c>
      <c r="G161" s="8" t="s">
        <v>172</v>
      </c>
      <c r="H161">
        <v>4.3230316355891578E-2</v>
      </c>
    </row>
    <row r="162" spans="1:8" x14ac:dyDescent="0.25">
      <c r="A162" s="8" t="s">
        <v>128</v>
      </c>
      <c r="B162">
        <v>6.6415546101296005E-3</v>
      </c>
      <c r="D162" s="8" t="s">
        <v>176</v>
      </c>
      <c r="E162">
        <v>3.4501560815921638E-3</v>
      </c>
      <c r="G162" s="8" t="s">
        <v>146</v>
      </c>
      <c r="H162">
        <v>4.3074360948881056E-2</v>
      </c>
    </row>
    <row r="163" spans="1:8" x14ac:dyDescent="0.25">
      <c r="A163" s="8" t="s">
        <v>137</v>
      </c>
      <c r="B163">
        <v>4.1809313744361233E-3</v>
      </c>
      <c r="D163" s="9" t="s">
        <v>77</v>
      </c>
      <c r="E163">
        <v>1.0710144643485923E-3</v>
      </c>
      <c r="G163" s="8" t="s">
        <v>158</v>
      </c>
      <c r="H163">
        <v>4.2857080225415449E-2</v>
      </c>
    </row>
    <row r="164" spans="1:8" x14ac:dyDescent="0.25">
      <c r="A164" s="8" t="s">
        <v>96</v>
      </c>
      <c r="B164">
        <v>2.1629718708504925E-3</v>
      </c>
      <c r="D164" s="8" t="s">
        <v>152</v>
      </c>
      <c r="E164">
        <v>-5.5557996859413529E-4</v>
      </c>
      <c r="G164" s="9" t="s">
        <v>74</v>
      </c>
      <c r="H164">
        <v>4.2811621470357948E-2</v>
      </c>
    </row>
    <row r="165" spans="1:8" x14ac:dyDescent="0.25">
      <c r="A165" s="8" t="s">
        <v>228</v>
      </c>
      <c r="B165">
        <v>1.7143466393230199E-3</v>
      </c>
      <c r="D165" s="8" t="s">
        <v>163</v>
      </c>
      <c r="E165">
        <v>-2.0198746656783346E-3</v>
      </c>
      <c r="G165" s="8" t="s">
        <v>176</v>
      </c>
      <c r="H165">
        <v>4.2691905630808422E-2</v>
      </c>
    </row>
    <row r="166" spans="1:8" x14ac:dyDescent="0.25">
      <c r="A166" s="8" t="s">
        <v>199</v>
      </c>
      <c r="B166">
        <v>1.5006042275091335E-3</v>
      </c>
      <c r="D166" s="8" t="s">
        <v>115</v>
      </c>
      <c r="E166">
        <v>-4.2200361868326144E-3</v>
      </c>
      <c r="G166" s="13" t="s">
        <v>3</v>
      </c>
      <c r="H166">
        <v>4.251944421112281E-2</v>
      </c>
    </row>
    <row r="167" spans="1:8" x14ac:dyDescent="0.25">
      <c r="A167" s="8" t="s">
        <v>127</v>
      </c>
      <c r="B167">
        <v>1.2083853208695954E-3</v>
      </c>
      <c r="D167" s="8" t="s">
        <v>136</v>
      </c>
      <c r="E167">
        <v>-4.431726286635242E-3</v>
      </c>
      <c r="G167" s="8" t="s">
        <v>119</v>
      </c>
      <c r="H167">
        <v>4.145198319334488E-2</v>
      </c>
    </row>
    <row r="168" spans="1:8" x14ac:dyDescent="0.25">
      <c r="A168" s="8" t="s">
        <v>157</v>
      </c>
      <c r="B168">
        <v>8.181840580746754E-4</v>
      </c>
      <c r="D168" s="8" t="s">
        <v>137</v>
      </c>
      <c r="E168">
        <v>-4.741657631859705E-3</v>
      </c>
      <c r="G168" s="8" t="s">
        <v>104</v>
      </c>
      <c r="H168">
        <v>4.1060957161505617E-2</v>
      </c>
    </row>
    <row r="169" spans="1:8" x14ac:dyDescent="0.25">
      <c r="A169" s="8" t="s">
        <v>125</v>
      </c>
      <c r="B169">
        <v>-1.6928367966780817E-3</v>
      </c>
      <c r="D169" s="8" t="s">
        <v>180</v>
      </c>
      <c r="E169">
        <v>-6.8015131296580537E-3</v>
      </c>
      <c r="G169" s="8" t="s">
        <v>110</v>
      </c>
      <c r="H169">
        <v>3.9317295107290408E-2</v>
      </c>
    </row>
    <row r="170" spans="1:8" x14ac:dyDescent="0.25">
      <c r="A170" s="8" t="s">
        <v>163</v>
      </c>
      <c r="B170">
        <v>-2.6960533214747248E-3</v>
      </c>
      <c r="D170" s="8" t="s">
        <v>153</v>
      </c>
      <c r="E170">
        <v>-8.4130038925911005E-3</v>
      </c>
      <c r="G170" s="8" t="s">
        <v>85</v>
      </c>
      <c r="H170">
        <v>3.8263397224905953E-2</v>
      </c>
    </row>
    <row r="171" spans="1:8" x14ac:dyDescent="0.25">
      <c r="A171" s="8" t="s">
        <v>176</v>
      </c>
      <c r="B171">
        <v>-4.4026515362592328E-3</v>
      </c>
      <c r="D171" s="8" t="s">
        <v>96</v>
      </c>
      <c r="E171">
        <v>-8.9664394391452251E-3</v>
      </c>
      <c r="G171" s="8" t="s">
        <v>203</v>
      </c>
      <c r="H171">
        <v>3.7897376538458996E-2</v>
      </c>
    </row>
    <row r="172" spans="1:8" x14ac:dyDescent="0.25">
      <c r="A172" s="8" t="s">
        <v>179</v>
      </c>
      <c r="B172">
        <v>-4.6166429751039201E-3</v>
      </c>
      <c r="D172" s="8" t="s">
        <v>183</v>
      </c>
      <c r="E172">
        <v>-9.2482942513520613E-3</v>
      </c>
      <c r="G172" s="8" t="s">
        <v>84</v>
      </c>
      <c r="H172">
        <v>3.7813824038760109E-2</v>
      </c>
    </row>
    <row r="173" spans="1:8" x14ac:dyDescent="0.25">
      <c r="A173" s="8" t="s">
        <v>173</v>
      </c>
      <c r="B173">
        <v>-4.8515501184644072E-3</v>
      </c>
      <c r="D173" s="8" t="s">
        <v>83</v>
      </c>
      <c r="E173">
        <v>-9.6567623256969513E-3</v>
      </c>
      <c r="G173" s="8" t="s">
        <v>184</v>
      </c>
      <c r="H173">
        <v>3.6666880263054161E-2</v>
      </c>
    </row>
    <row r="174" spans="1:8" x14ac:dyDescent="0.25">
      <c r="A174" s="13" t="s">
        <v>14</v>
      </c>
      <c r="B174">
        <v>-6.6029619057662746E-3</v>
      </c>
      <c r="D174" s="13" t="s">
        <v>13</v>
      </c>
      <c r="E174">
        <v>-1.0134551181531747E-2</v>
      </c>
      <c r="G174" s="8" t="s">
        <v>173</v>
      </c>
      <c r="H174">
        <v>3.3589740111340811E-2</v>
      </c>
    </row>
    <row r="175" spans="1:8" x14ac:dyDescent="0.25">
      <c r="A175" s="8" t="s">
        <v>183</v>
      </c>
      <c r="B175">
        <v>-7.3794536608237371E-3</v>
      </c>
      <c r="D175" s="8" t="s">
        <v>179</v>
      </c>
      <c r="E175">
        <v>-1.2323699530450389E-2</v>
      </c>
      <c r="G175" s="8" t="s">
        <v>88</v>
      </c>
      <c r="H175">
        <v>3.3360677672651357E-2</v>
      </c>
    </row>
    <row r="176" spans="1:8" x14ac:dyDescent="0.25">
      <c r="A176" s="8" t="s">
        <v>83</v>
      </c>
      <c r="B176">
        <v>-8.5965534399387172E-3</v>
      </c>
      <c r="D176" s="8" t="s">
        <v>114</v>
      </c>
      <c r="E176">
        <v>-1.4763570566713752E-2</v>
      </c>
      <c r="G176" s="8" t="s">
        <v>92</v>
      </c>
      <c r="H176">
        <v>3.0504324643808745E-2</v>
      </c>
    </row>
    <row r="177" spans="1:8" x14ac:dyDescent="0.25">
      <c r="A177" s="13" t="s">
        <v>13</v>
      </c>
      <c r="B177">
        <v>-8.8037537833951188E-3</v>
      </c>
      <c r="D177" s="8" t="s">
        <v>102</v>
      </c>
      <c r="E177">
        <v>-1.5075445818143001E-2</v>
      </c>
      <c r="G177" s="8" t="s">
        <v>186</v>
      </c>
      <c r="H177">
        <v>2.952292265954997E-2</v>
      </c>
    </row>
    <row r="178" spans="1:8" x14ac:dyDescent="0.25">
      <c r="A178" s="9" t="s">
        <v>78</v>
      </c>
      <c r="B178">
        <v>-1.1134746984009413E-2</v>
      </c>
      <c r="D178" s="8" t="s">
        <v>201</v>
      </c>
      <c r="E178">
        <v>-1.8707147612203223E-2</v>
      </c>
      <c r="G178" s="8" t="s">
        <v>167</v>
      </c>
      <c r="H178">
        <v>2.9244792598493729E-2</v>
      </c>
    </row>
    <row r="179" spans="1:8" x14ac:dyDescent="0.25">
      <c r="A179" s="8" t="s">
        <v>194</v>
      </c>
      <c r="B179">
        <v>-1.1906601699800231E-2</v>
      </c>
      <c r="D179" s="8" t="s">
        <v>173</v>
      </c>
      <c r="E179">
        <v>-1.9144179184948353E-2</v>
      </c>
      <c r="G179" s="8" t="s">
        <v>170</v>
      </c>
      <c r="H179">
        <v>2.9215480017422239E-2</v>
      </c>
    </row>
    <row r="180" spans="1:8" x14ac:dyDescent="0.25">
      <c r="A180" s="8" t="s">
        <v>107</v>
      </c>
      <c r="B180">
        <v>-1.3629201361253895E-2</v>
      </c>
      <c r="D180" s="8" t="s">
        <v>229</v>
      </c>
      <c r="E180">
        <v>-1.9188767163411266E-2</v>
      </c>
      <c r="G180" s="8" t="s">
        <v>206</v>
      </c>
      <c r="H180">
        <v>2.8460086119273531E-2</v>
      </c>
    </row>
    <row r="181" spans="1:8" x14ac:dyDescent="0.25">
      <c r="A181" s="8" t="s">
        <v>115</v>
      </c>
      <c r="B181">
        <v>-1.5331185669729526E-2</v>
      </c>
      <c r="D181" s="8" t="s">
        <v>236</v>
      </c>
      <c r="E181">
        <v>-2.241417480154155E-2</v>
      </c>
      <c r="G181" s="8" t="s">
        <v>179</v>
      </c>
      <c r="H181">
        <v>2.8453165234278856E-2</v>
      </c>
    </row>
    <row r="182" spans="1:8" x14ac:dyDescent="0.25">
      <c r="A182" s="8" t="s">
        <v>103</v>
      </c>
      <c r="B182">
        <v>-1.5683332380508046E-2</v>
      </c>
      <c r="D182" s="8" t="s">
        <v>202</v>
      </c>
      <c r="E182">
        <v>-2.5696998775354918E-2</v>
      </c>
      <c r="G182" s="8" t="s">
        <v>187</v>
      </c>
      <c r="H182">
        <v>2.7938625706419019E-2</v>
      </c>
    </row>
    <row r="183" spans="1:8" x14ac:dyDescent="0.25">
      <c r="A183" s="8" t="s">
        <v>236</v>
      </c>
      <c r="B183">
        <v>-1.6508279525678998E-2</v>
      </c>
      <c r="D183" s="8" t="s">
        <v>194</v>
      </c>
      <c r="E183">
        <v>-2.746309685801037E-2</v>
      </c>
      <c r="G183" s="8" t="s">
        <v>106</v>
      </c>
      <c r="H183">
        <v>2.7301917616357994E-2</v>
      </c>
    </row>
    <row r="184" spans="1:8" x14ac:dyDescent="0.25">
      <c r="A184" s="13" t="s">
        <v>16</v>
      </c>
      <c r="B184">
        <v>-1.9861427143473623E-2</v>
      </c>
      <c r="D184" s="8" t="s">
        <v>203</v>
      </c>
      <c r="E184">
        <v>-3.0525017890160266E-2</v>
      </c>
      <c r="G184" s="8" t="s">
        <v>94</v>
      </c>
      <c r="H184">
        <v>2.6368314543340033E-2</v>
      </c>
    </row>
    <row r="185" spans="1:8" x14ac:dyDescent="0.25">
      <c r="A185" s="8" t="s">
        <v>213</v>
      </c>
      <c r="B185">
        <v>-1.9932374543434921E-2</v>
      </c>
      <c r="D185" s="8" t="s">
        <v>167</v>
      </c>
      <c r="E185">
        <v>-3.6661656948636885E-2</v>
      </c>
      <c r="G185" s="8" t="s">
        <v>175</v>
      </c>
      <c r="H185">
        <v>2.5807131399634965E-2</v>
      </c>
    </row>
    <row r="186" spans="1:8" x14ac:dyDescent="0.25">
      <c r="A186" s="8" t="s">
        <v>108</v>
      </c>
      <c r="B186">
        <v>-2.0230644630059216E-2</v>
      </c>
      <c r="D186" s="8" t="s">
        <v>103</v>
      </c>
      <c r="E186">
        <v>-3.7079783008284004E-2</v>
      </c>
      <c r="G186" s="8" t="s">
        <v>164</v>
      </c>
      <c r="H186">
        <v>2.4257680100285228E-2</v>
      </c>
    </row>
    <row r="187" spans="1:8" x14ac:dyDescent="0.25">
      <c r="A187" s="8" t="s">
        <v>102</v>
      </c>
      <c r="B187">
        <v>-2.574201937993123E-2</v>
      </c>
      <c r="D187" s="8" t="s">
        <v>172</v>
      </c>
      <c r="E187">
        <v>-3.8053523537305782E-2</v>
      </c>
      <c r="G187" s="8" t="s">
        <v>210</v>
      </c>
      <c r="H187">
        <v>2.4227936881006225E-2</v>
      </c>
    </row>
    <row r="188" spans="1:8" x14ac:dyDescent="0.25">
      <c r="A188" s="8" t="s">
        <v>198</v>
      </c>
      <c r="B188">
        <v>-2.6666476994436569E-2</v>
      </c>
      <c r="D188" s="8" t="s">
        <v>199</v>
      </c>
      <c r="E188">
        <v>-4.0402112209025114E-2</v>
      </c>
      <c r="G188" s="8" t="s">
        <v>109</v>
      </c>
      <c r="H188">
        <v>2.3396226385641372E-2</v>
      </c>
    </row>
    <row r="189" spans="1:8" x14ac:dyDescent="0.25">
      <c r="A189" s="13" t="s">
        <v>7</v>
      </c>
      <c r="B189">
        <v>-2.6704817473817064E-2</v>
      </c>
      <c r="D189" s="8" t="s">
        <v>87</v>
      </c>
      <c r="E189">
        <v>-4.0622651651396745E-2</v>
      </c>
      <c r="G189" s="8" t="s">
        <v>83</v>
      </c>
      <c r="H189">
        <v>2.2606129667529104E-2</v>
      </c>
    </row>
    <row r="190" spans="1:8" x14ac:dyDescent="0.25">
      <c r="A190" s="8" t="s">
        <v>215</v>
      </c>
      <c r="B190">
        <v>-2.6946193516919143E-2</v>
      </c>
      <c r="D190" s="8" t="s">
        <v>187</v>
      </c>
      <c r="E190">
        <v>-4.1076347937682146E-2</v>
      </c>
      <c r="G190" s="8" t="s">
        <v>182</v>
      </c>
      <c r="H190">
        <v>2.2023138041509037E-2</v>
      </c>
    </row>
    <row r="191" spans="1:8" x14ac:dyDescent="0.25">
      <c r="A191" s="8" t="s">
        <v>172</v>
      </c>
      <c r="B191">
        <v>-2.7771579845875881E-2</v>
      </c>
      <c r="D191" s="8" t="s">
        <v>193</v>
      </c>
      <c r="E191">
        <v>-4.2001901055138124E-2</v>
      </c>
      <c r="G191" s="8" t="s">
        <v>157</v>
      </c>
      <c r="H191">
        <v>1.8631154594597524E-2</v>
      </c>
    </row>
    <row r="192" spans="1:8" x14ac:dyDescent="0.25">
      <c r="A192" s="8" t="s">
        <v>154</v>
      </c>
      <c r="B192">
        <v>-2.953127582903161E-2</v>
      </c>
      <c r="D192" s="8" t="s">
        <v>168</v>
      </c>
      <c r="E192">
        <v>-4.4254718002903821E-2</v>
      </c>
      <c r="G192" s="8" t="s">
        <v>178</v>
      </c>
      <c r="H192">
        <v>1.7729471330471865E-2</v>
      </c>
    </row>
    <row r="193" spans="1:8" x14ac:dyDescent="0.25">
      <c r="A193" s="8" t="s">
        <v>211</v>
      </c>
      <c r="B193">
        <v>-2.9929157614922926E-2</v>
      </c>
      <c r="D193" s="8" t="s">
        <v>231</v>
      </c>
      <c r="E193">
        <v>-4.5280693978099973E-2</v>
      </c>
      <c r="G193" s="8" t="s">
        <v>96</v>
      </c>
      <c r="H193">
        <v>1.7367648024858056E-2</v>
      </c>
    </row>
    <row r="194" spans="1:8" x14ac:dyDescent="0.25">
      <c r="A194" s="8" t="s">
        <v>170</v>
      </c>
      <c r="B194">
        <v>-3.0294591114144558E-2</v>
      </c>
      <c r="D194" s="8" t="s">
        <v>154</v>
      </c>
      <c r="E194">
        <v>-4.5299123736669618E-2</v>
      </c>
      <c r="G194" s="8" t="s">
        <v>137</v>
      </c>
      <c r="H194">
        <v>1.6936325340581725E-2</v>
      </c>
    </row>
    <row r="195" spans="1:8" x14ac:dyDescent="0.25">
      <c r="A195" s="8" t="s">
        <v>87</v>
      </c>
      <c r="B195">
        <v>-3.0799763809447253E-2</v>
      </c>
      <c r="D195" s="8" t="s">
        <v>195</v>
      </c>
      <c r="E195">
        <v>-4.6312273920883176E-2</v>
      </c>
      <c r="G195" s="8" t="s">
        <v>209</v>
      </c>
      <c r="H195">
        <v>1.5670738927554655E-2</v>
      </c>
    </row>
    <row r="196" spans="1:8" x14ac:dyDescent="0.25">
      <c r="A196" s="8" t="s">
        <v>216</v>
      </c>
      <c r="B196">
        <v>-3.0808096848072685E-2</v>
      </c>
      <c r="D196" s="8" t="s">
        <v>184</v>
      </c>
      <c r="E196">
        <v>-4.7887182551008371E-2</v>
      </c>
      <c r="G196" s="8" t="s">
        <v>236</v>
      </c>
      <c r="H196">
        <v>1.5610805881535508E-2</v>
      </c>
    </row>
    <row r="197" spans="1:8" x14ac:dyDescent="0.25">
      <c r="A197" s="8" t="s">
        <v>203</v>
      </c>
      <c r="B197">
        <v>-3.1828999588114616E-2</v>
      </c>
      <c r="D197" s="8" t="s">
        <v>170</v>
      </c>
      <c r="E197">
        <v>-4.799537102157081E-2</v>
      </c>
      <c r="G197" s="8" t="s">
        <v>127</v>
      </c>
      <c r="H197">
        <v>1.5178528725105089E-2</v>
      </c>
    </row>
    <row r="198" spans="1:8" x14ac:dyDescent="0.25">
      <c r="A198" s="8" t="s">
        <v>205</v>
      </c>
      <c r="B198">
        <v>-3.2045851856632931E-2</v>
      </c>
      <c r="D198" s="8" t="s">
        <v>174</v>
      </c>
      <c r="E198">
        <v>-5.0883528103494773E-2</v>
      </c>
      <c r="G198" s="9" t="s">
        <v>77</v>
      </c>
      <c r="H198">
        <v>1.4128180015010403E-2</v>
      </c>
    </row>
    <row r="199" spans="1:8" x14ac:dyDescent="0.25">
      <c r="A199" s="8" t="s">
        <v>147</v>
      </c>
      <c r="B199">
        <v>-3.2134041030250034E-2</v>
      </c>
      <c r="D199" s="8" t="s">
        <v>185</v>
      </c>
      <c r="E199">
        <v>-5.1797583605374994E-2</v>
      </c>
      <c r="G199" s="8" t="s">
        <v>168</v>
      </c>
      <c r="H199">
        <v>1.0346658524270693E-2</v>
      </c>
    </row>
    <row r="200" spans="1:8" x14ac:dyDescent="0.25">
      <c r="A200" s="8" t="s">
        <v>167</v>
      </c>
      <c r="B200">
        <v>-3.2206598484323536E-2</v>
      </c>
      <c r="D200" s="8" t="s">
        <v>192</v>
      </c>
      <c r="E200">
        <v>-5.3374871816309323E-2</v>
      </c>
      <c r="G200" s="8" t="s">
        <v>103</v>
      </c>
      <c r="H200">
        <v>7.4266578460036418E-3</v>
      </c>
    </row>
    <row r="201" spans="1:8" x14ac:dyDescent="0.25">
      <c r="A201" s="8" t="s">
        <v>229</v>
      </c>
      <c r="B201">
        <v>-3.2840099553426531E-2</v>
      </c>
      <c r="D201" s="8" t="s">
        <v>166</v>
      </c>
      <c r="E201">
        <v>-5.4280422889697255E-2</v>
      </c>
      <c r="G201" s="8" t="s">
        <v>112</v>
      </c>
      <c r="H201">
        <v>6.7252175238814065E-3</v>
      </c>
    </row>
    <row r="202" spans="1:8" x14ac:dyDescent="0.25">
      <c r="A202" s="8" t="s">
        <v>174</v>
      </c>
      <c r="B202">
        <v>-3.2914584863162975E-2</v>
      </c>
      <c r="D202" s="8" t="s">
        <v>177</v>
      </c>
      <c r="E202">
        <v>-5.4990062816628847E-2</v>
      </c>
      <c r="G202" s="13" t="s">
        <v>16</v>
      </c>
      <c r="H202">
        <v>5.7007484368638145E-3</v>
      </c>
    </row>
    <row r="203" spans="1:8" x14ac:dyDescent="0.25">
      <c r="A203" s="8" t="s">
        <v>180</v>
      </c>
      <c r="B203">
        <v>-3.4308679586880879E-2</v>
      </c>
      <c r="D203" s="8" t="s">
        <v>198</v>
      </c>
      <c r="E203">
        <v>-5.6536918488471984E-2</v>
      </c>
      <c r="G203" s="8" t="s">
        <v>181</v>
      </c>
      <c r="H203">
        <v>5.5702114571025878E-3</v>
      </c>
    </row>
    <row r="204" spans="1:8" x14ac:dyDescent="0.25">
      <c r="A204" s="8" t="s">
        <v>175</v>
      </c>
      <c r="B204">
        <v>-3.7273114031118729E-2</v>
      </c>
      <c r="D204" s="8" t="s">
        <v>86</v>
      </c>
      <c r="E204">
        <v>-5.7559947804596751E-2</v>
      </c>
      <c r="G204" s="8" t="s">
        <v>174</v>
      </c>
      <c r="H204">
        <v>5.1912771764448607E-3</v>
      </c>
    </row>
    <row r="205" spans="1:8" x14ac:dyDescent="0.25">
      <c r="A205" s="8" t="s">
        <v>187</v>
      </c>
      <c r="B205">
        <v>-3.8020680539142961E-2</v>
      </c>
      <c r="D205" s="8" t="s">
        <v>186</v>
      </c>
      <c r="E205">
        <v>-6.1222706064164863E-2</v>
      </c>
      <c r="G205" s="8" t="s">
        <v>177</v>
      </c>
      <c r="H205">
        <v>4.6211613723446138E-3</v>
      </c>
    </row>
    <row r="206" spans="1:8" x14ac:dyDescent="0.25">
      <c r="A206" s="8" t="s">
        <v>231</v>
      </c>
      <c r="B206">
        <v>-4.0748195067737372E-2</v>
      </c>
      <c r="D206" s="8" t="s">
        <v>257</v>
      </c>
      <c r="E206">
        <v>-6.2498217481780978E-2</v>
      </c>
      <c r="G206" s="9" t="s">
        <v>75</v>
      </c>
      <c r="H206">
        <v>4.5796508878159512E-3</v>
      </c>
    </row>
    <row r="207" spans="1:8" x14ac:dyDescent="0.25">
      <c r="A207" s="8" t="s">
        <v>184</v>
      </c>
      <c r="B207">
        <v>-4.2302501066820222E-2</v>
      </c>
      <c r="D207" s="8" t="s">
        <v>234</v>
      </c>
      <c r="E207">
        <v>-6.3200170129025735E-2</v>
      </c>
      <c r="G207" s="8" t="s">
        <v>180</v>
      </c>
      <c r="H207">
        <v>3.5488498876722432E-3</v>
      </c>
    </row>
    <row r="208" spans="1:8" x14ac:dyDescent="0.25">
      <c r="A208" s="8" t="s">
        <v>208</v>
      </c>
      <c r="B208">
        <v>-4.2875374094845382E-2</v>
      </c>
      <c r="D208" s="8" t="s">
        <v>182</v>
      </c>
      <c r="E208">
        <v>-6.3869961472722475E-2</v>
      </c>
      <c r="G208" s="8" t="s">
        <v>220</v>
      </c>
      <c r="H208">
        <v>1.9838263266178276E-3</v>
      </c>
    </row>
    <row r="209" spans="1:8" x14ac:dyDescent="0.25">
      <c r="A209" s="8" t="s">
        <v>168</v>
      </c>
      <c r="B209">
        <v>-4.3927493316029673E-2</v>
      </c>
      <c r="D209" s="8" t="s">
        <v>210</v>
      </c>
      <c r="E209">
        <v>-6.4442382259929348E-2</v>
      </c>
      <c r="G209" s="8" t="s">
        <v>125</v>
      </c>
      <c r="H209">
        <v>1.9065572782211062E-3</v>
      </c>
    </row>
    <row r="210" spans="1:8" x14ac:dyDescent="0.25">
      <c r="A210" s="8" t="s">
        <v>182</v>
      </c>
      <c r="B210">
        <v>-4.5212970795828804E-2</v>
      </c>
      <c r="D210" s="8" t="s">
        <v>165</v>
      </c>
      <c r="E210">
        <v>-6.5549595814235792E-2</v>
      </c>
      <c r="G210" s="9" t="s">
        <v>78</v>
      </c>
      <c r="H210">
        <v>1.3979738653794151E-3</v>
      </c>
    </row>
    <row r="211" spans="1:8" x14ac:dyDescent="0.25">
      <c r="A211" s="8" t="s">
        <v>186</v>
      </c>
      <c r="B211">
        <v>-4.5394609951925062E-2</v>
      </c>
      <c r="D211" s="8" t="s">
        <v>205</v>
      </c>
      <c r="E211">
        <v>-6.5871400879845055E-2</v>
      </c>
      <c r="G211" s="8" t="s">
        <v>185</v>
      </c>
      <c r="H211">
        <v>8.8503069977275968E-4</v>
      </c>
    </row>
    <row r="212" spans="1:8" x14ac:dyDescent="0.25">
      <c r="A212" s="8" t="s">
        <v>178</v>
      </c>
      <c r="B212">
        <v>-4.6043714841034672E-2</v>
      </c>
      <c r="D212" s="8" t="s">
        <v>232</v>
      </c>
      <c r="E212">
        <v>-6.6200709457530968E-2</v>
      </c>
      <c r="G212" s="8" t="s">
        <v>130</v>
      </c>
      <c r="H212">
        <v>7.4149475993253583E-4</v>
      </c>
    </row>
    <row r="213" spans="1:8" x14ac:dyDescent="0.25">
      <c r="A213" s="8" t="s">
        <v>185</v>
      </c>
      <c r="B213">
        <v>-4.7556463240018346E-2</v>
      </c>
      <c r="D213" s="8" t="s">
        <v>181</v>
      </c>
      <c r="E213">
        <v>-6.7362462669746909E-2</v>
      </c>
      <c r="G213" s="8" t="s">
        <v>166</v>
      </c>
      <c r="H213">
        <v>-2.1061168686581288E-3</v>
      </c>
    </row>
    <row r="214" spans="1:8" x14ac:dyDescent="0.25">
      <c r="A214" s="8" t="s">
        <v>86</v>
      </c>
      <c r="B214">
        <v>-4.7957895119964906E-2</v>
      </c>
      <c r="D214" s="8" t="s">
        <v>178</v>
      </c>
      <c r="E214">
        <v>-6.8778027831975244E-2</v>
      </c>
      <c r="G214" s="8" t="s">
        <v>86</v>
      </c>
      <c r="H214">
        <v>-2.96339686026497E-3</v>
      </c>
    </row>
    <row r="215" spans="1:8" x14ac:dyDescent="0.25">
      <c r="A215" s="8" t="s">
        <v>181</v>
      </c>
      <c r="B215">
        <v>-5.1029100435363232E-2</v>
      </c>
      <c r="D215" s="9" t="s">
        <v>76</v>
      </c>
      <c r="E215">
        <v>-6.8958105536661068E-2</v>
      </c>
      <c r="G215" s="13" t="s">
        <v>14</v>
      </c>
      <c r="H215">
        <v>-3.1619232710540612E-3</v>
      </c>
    </row>
    <row r="216" spans="1:8" x14ac:dyDescent="0.25">
      <c r="A216" s="8" t="s">
        <v>166</v>
      </c>
      <c r="B216">
        <v>-5.1610142399992009E-2</v>
      </c>
      <c r="D216" s="8" t="s">
        <v>206</v>
      </c>
      <c r="E216">
        <v>-7.0093945504126579E-2</v>
      </c>
      <c r="G216" s="8" t="s">
        <v>232</v>
      </c>
      <c r="H216">
        <v>-5.8855613970302447E-3</v>
      </c>
    </row>
    <row r="217" spans="1:8" x14ac:dyDescent="0.25">
      <c r="A217" s="8" t="s">
        <v>177</v>
      </c>
      <c r="B217">
        <v>-5.1867017231019885E-2</v>
      </c>
      <c r="D217" s="8" t="s">
        <v>175</v>
      </c>
      <c r="E217">
        <v>-7.0591622128864939E-2</v>
      </c>
      <c r="G217" s="8" t="s">
        <v>207</v>
      </c>
      <c r="H217">
        <v>-9.5208728165365568E-3</v>
      </c>
    </row>
    <row r="218" spans="1:8" x14ac:dyDescent="0.25">
      <c r="A218" s="8" t="s">
        <v>206</v>
      </c>
      <c r="B218">
        <v>-5.297209987087366E-2</v>
      </c>
      <c r="D218" s="8" t="s">
        <v>213</v>
      </c>
      <c r="E218">
        <v>-7.1932046712357325E-2</v>
      </c>
      <c r="G218" s="8" t="s">
        <v>115</v>
      </c>
      <c r="H218">
        <v>-1.0417895409710748E-2</v>
      </c>
    </row>
    <row r="219" spans="1:8" x14ac:dyDescent="0.25">
      <c r="A219" s="8" t="s">
        <v>232</v>
      </c>
      <c r="B219">
        <v>-5.6186256914394904E-2</v>
      </c>
      <c r="D219" s="8" t="s">
        <v>207</v>
      </c>
      <c r="E219">
        <v>-7.3145920008709425E-2</v>
      </c>
      <c r="G219" s="8" t="s">
        <v>204</v>
      </c>
      <c r="H219">
        <v>-1.1675360779171005E-2</v>
      </c>
    </row>
    <row r="220" spans="1:8" x14ac:dyDescent="0.25">
      <c r="A220" s="9" t="s">
        <v>76</v>
      </c>
      <c r="B220">
        <v>-6.0234653507508763E-2</v>
      </c>
      <c r="D220" s="8" t="s">
        <v>215</v>
      </c>
      <c r="E220">
        <v>-7.3698215554155982E-2</v>
      </c>
      <c r="G220" s="8" t="s">
        <v>229</v>
      </c>
      <c r="H220">
        <v>-1.2700151153120559E-2</v>
      </c>
    </row>
    <row r="221" spans="1:8" x14ac:dyDescent="0.25">
      <c r="A221" s="8" t="s">
        <v>165</v>
      </c>
      <c r="B221">
        <v>-6.1071601946982419E-2</v>
      </c>
      <c r="D221" s="8" t="s">
        <v>204</v>
      </c>
      <c r="E221">
        <v>-7.8180418882237188E-2</v>
      </c>
      <c r="G221" s="8" t="s">
        <v>222</v>
      </c>
      <c r="H221">
        <v>-1.3055534047569303E-2</v>
      </c>
    </row>
    <row r="222" spans="1:8" x14ac:dyDescent="0.25">
      <c r="A222" s="8" t="s">
        <v>164</v>
      </c>
      <c r="B222">
        <v>-6.1242234449800217E-2</v>
      </c>
      <c r="D222" s="8" t="s">
        <v>169</v>
      </c>
      <c r="E222">
        <v>-8.3331043153991688E-2</v>
      </c>
      <c r="G222" s="13" t="s">
        <v>7</v>
      </c>
      <c r="H222">
        <v>-1.3649280262818536E-2</v>
      </c>
    </row>
    <row r="223" spans="1:8" x14ac:dyDescent="0.25">
      <c r="A223" s="8" t="s">
        <v>214</v>
      </c>
      <c r="B223">
        <v>-6.2230678756222985E-2</v>
      </c>
      <c r="D223" s="8" t="s">
        <v>230</v>
      </c>
      <c r="E223">
        <v>-8.3389425081988849E-2</v>
      </c>
      <c r="G223" s="8" t="s">
        <v>87</v>
      </c>
      <c r="H223">
        <v>-1.5218991839970164E-2</v>
      </c>
    </row>
    <row r="224" spans="1:8" x14ac:dyDescent="0.25">
      <c r="A224" s="8" t="s">
        <v>210</v>
      </c>
      <c r="B224">
        <v>-6.4730498603852382E-2</v>
      </c>
      <c r="D224" s="8" t="s">
        <v>164</v>
      </c>
      <c r="E224">
        <v>-8.460633344078923E-2</v>
      </c>
      <c r="G224" s="8" t="s">
        <v>231</v>
      </c>
      <c r="H224">
        <v>-1.8402557988613993E-2</v>
      </c>
    </row>
    <row r="225" spans="1:8" x14ac:dyDescent="0.25">
      <c r="A225" s="8" t="s">
        <v>207</v>
      </c>
      <c r="B225">
        <v>-6.5850627849325133E-2</v>
      </c>
      <c r="D225" s="8" t="s">
        <v>171</v>
      </c>
      <c r="E225">
        <v>-8.4794255788834691E-2</v>
      </c>
      <c r="G225" s="8" t="s">
        <v>107</v>
      </c>
      <c r="H225">
        <v>-2.0552895587809605E-2</v>
      </c>
    </row>
    <row r="226" spans="1:8" x14ac:dyDescent="0.25">
      <c r="A226" s="8" t="s">
        <v>171</v>
      </c>
      <c r="B226">
        <v>-6.804271377728488E-2</v>
      </c>
      <c r="D226" s="8" t="s">
        <v>211</v>
      </c>
      <c r="E226">
        <v>-8.9565477522879522E-2</v>
      </c>
      <c r="G226" s="9" t="s">
        <v>76</v>
      </c>
      <c r="H226">
        <v>-2.091056919416031E-2</v>
      </c>
    </row>
    <row r="227" spans="1:8" x14ac:dyDescent="0.25">
      <c r="A227" s="8" t="s">
        <v>204</v>
      </c>
      <c r="B227">
        <v>-6.8792160492714333E-2</v>
      </c>
      <c r="D227" s="8" t="s">
        <v>221</v>
      </c>
      <c r="E227">
        <v>-8.9909773647669403E-2</v>
      </c>
      <c r="G227" s="8" t="s">
        <v>169</v>
      </c>
      <c r="H227">
        <v>-2.1960037549938017E-2</v>
      </c>
    </row>
    <row r="228" spans="1:8" x14ac:dyDescent="0.25">
      <c r="A228" s="8" t="s">
        <v>169</v>
      </c>
      <c r="B228">
        <v>-6.9034623097708039E-2</v>
      </c>
      <c r="D228" s="8" t="s">
        <v>233</v>
      </c>
      <c r="E228">
        <v>-9.1900433908295373E-2</v>
      </c>
      <c r="G228" s="8" t="s">
        <v>165</v>
      </c>
      <c r="H228">
        <v>-2.5212046520428633E-2</v>
      </c>
    </row>
    <row r="229" spans="1:8" x14ac:dyDescent="0.25">
      <c r="A229" s="8" t="s">
        <v>230</v>
      </c>
      <c r="B229">
        <v>-6.9117554231716616E-2</v>
      </c>
      <c r="D229" s="8" t="s">
        <v>220</v>
      </c>
      <c r="E229">
        <v>-9.6579343481462382E-2</v>
      </c>
      <c r="G229" s="8" t="s">
        <v>221</v>
      </c>
      <c r="H229">
        <v>-2.6249804387699339E-2</v>
      </c>
    </row>
    <row r="230" spans="1:8" x14ac:dyDescent="0.25">
      <c r="A230" s="8" t="s">
        <v>234</v>
      </c>
      <c r="B230">
        <v>-6.9863579698479353E-2</v>
      </c>
      <c r="D230" s="8" t="s">
        <v>217</v>
      </c>
      <c r="E230">
        <v>-9.673532029207367E-2</v>
      </c>
      <c r="G230" s="8" t="s">
        <v>234</v>
      </c>
      <c r="H230">
        <v>-2.6686030908076402E-2</v>
      </c>
    </row>
    <row r="231" spans="1:8" x14ac:dyDescent="0.25">
      <c r="A231" s="8" t="s">
        <v>220</v>
      </c>
      <c r="B231">
        <v>-7.3513418396865607E-2</v>
      </c>
      <c r="D231" s="8" t="s">
        <v>214</v>
      </c>
      <c r="E231">
        <v>-9.9586395002113054E-2</v>
      </c>
      <c r="G231" s="8" t="s">
        <v>102</v>
      </c>
      <c r="H231">
        <v>-2.723114383117493E-2</v>
      </c>
    </row>
    <row r="232" spans="1:8" x14ac:dyDescent="0.25">
      <c r="A232" s="8" t="s">
        <v>209</v>
      </c>
      <c r="B232">
        <v>-7.6840729845188291E-2</v>
      </c>
      <c r="D232" s="8" t="s">
        <v>208</v>
      </c>
      <c r="E232">
        <v>-0.10021043187559668</v>
      </c>
      <c r="G232" s="8" t="s">
        <v>108</v>
      </c>
      <c r="H232">
        <v>-2.7540920790352738E-2</v>
      </c>
    </row>
    <row r="233" spans="1:8" x14ac:dyDescent="0.25">
      <c r="A233" s="8" t="s">
        <v>221</v>
      </c>
      <c r="B233">
        <v>-8.0132623557993776E-2</v>
      </c>
      <c r="D233" s="8" t="s">
        <v>222</v>
      </c>
      <c r="E233">
        <v>-0.10595950568323373</v>
      </c>
      <c r="G233" s="8" t="s">
        <v>171</v>
      </c>
      <c r="H233">
        <v>-3.1350875527296138E-2</v>
      </c>
    </row>
    <row r="234" spans="1:8" x14ac:dyDescent="0.25">
      <c r="A234" s="8" t="s">
        <v>233</v>
      </c>
      <c r="B234">
        <v>-8.2464575043518937E-2</v>
      </c>
      <c r="D234" s="8" t="s">
        <v>188</v>
      </c>
      <c r="E234">
        <v>-0.1097066324237528</v>
      </c>
      <c r="G234" s="8" t="s">
        <v>230</v>
      </c>
      <c r="H234">
        <v>-3.6838921964290963E-2</v>
      </c>
    </row>
    <row r="235" spans="1:8" x14ac:dyDescent="0.25">
      <c r="A235" s="8" t="s">
        <v>222</v>
      </c>
      <c r="B235">
        <v>-8.626082444095523E-2</v>
      </c>
      <c r="D235" s="8" t="s">
        <v>209</v>
      </c>
      <c r="E235">
        <v>-0.11012080686330274</v>
      </c>
      <c r="G235" s="8" t="s">
        <v>147</v>
      </c>
      <c r="H235">
        <v>-4.0389572188048298E-2</v>
      </c>
    </row>
    <row r="236" spans="1:8" x14ac:dyDescent="0.25">
      <c r="A236" s="8" t="s">
        <v>212</v>
      </c>
      <c r="B236">
        <v>-8.9067253793552792E-2</v>
      </c>
      <c r="D236" s="8" t="s">
        <v>219</v>
      </c>
      <c r="E236">
        <v>-0.1160991883243723</v>
      </c>
      <c r="G236" s="8" t="s">
        <v>233</v>
      </c>
      <c r="H236">
        <v>-5.286937212896925E-2</v>
      </c>
    </row>
    <row r="237" spans="1:8" x14ac:dyDescent="0.25">
      <c r="A237" s="8" t="s">
        <v>188</v>
      </c>
      <c r="B237">
        <v>-9.598431997701809E-2</v>
      </c>
      <c r="D237" s="8" t="s">
        <v>216</v>
      </c>
      <c r="E237">
        <v>-0.12175641782283139</v>
      </c>
      <c r="G237" s="8" t="s">
        <v>219</v>
      </c>
      <c r="H237">
        <v>-5.3038426645880835E-2</v>
      </c>
    </row>
    <row r="238" spans="1:8" x14ac:dyDescent="0.25">
      <c r="A238" s="8" t="s">
        <v>219</v>
      </c>
      <c r="B238">
        <v>-0.10647025286156266</v>
      </c>
      <c r="D238" s="8" t="s">
        <v>218</v>
      </c>
      <c r="E238">
        <v>-0.15220895909551627</v>
      </c>
      <c r="G238" s="8" t="s">
        <v>218</v>
      </c>
      <c r="H238">
        <v>-5.8258113001070401E-2</v>
      </c>
    </row>
    <row r="239" spans="1:8" x14ac:dyDescent="0.25">
      <c r="A239" s="8" t="s">
        <v>218</v>
      </c>
      <c r="B239">
        <v>-0.12513638497205667</v>
      </c>
      <c r="D239" s="8" t="s">
        <v>224</v>
      </c>
      <c r="E239">
        <v>-0.16119702190282686</v>
      </c>
      <c r="G239" s="8" t="s">
        <v>224</v>
      </c>
      <c r="H239">
        <v>-7.7560642811141431E-2</v>
      </c>
    </row>
    <row r="240" spans="1:8" x14ac:dyDescent="0.25">
      <c r="A240" s="8" t="s">
        <v>224</v>
      </c>
      <c r="B240">
        <v>-0.13998641192182909</v>
      </c>
      <c r="D240" s="8" t="s">
        <v>212</v>
      </c>
      <c r="E240">
        <v>-0.1644463655780975</v>
      </c>
      <c r="G240" s="8" t="s">
        <v>188</v>
      </c>
      <c r="H240">
        <v>-8.2545145990274599E-2</v>
      </c>
    </row>
    <row r="241" spans="1:8" x14ac:dyDescent="0.25">
      <c r="A241" s="8" t="s">
        <v>225</v>
      </c>
      <c r="B241">
        <v>-0.15401399768427931</v>
      </c>
      <c r="D241" s="8" t="s">
        <v>223</v>
      </c>
      <c r="E241">
        <v>-0.16629509245951371</v>
      </c>
      <c r="G241" s="8" t="s">
        <v>225</v>
      </c>
      <c r="H241">
        <v>-9.1518645627552658E-2</v>
      </c>
    </row>
    <row r="242" spans="1:8" x14ac:dyDescent="0.25">
      <c r="A242" s="8" t="s">
        <v>223</v>
      </c>
      <c r="B242">
        <v>-0.15822992406248187</v>
      </c>
      <c r="D242" s="8" t="s">
        <v>225</v>
      </c>
      <c r="E242">
        <v>-0.17024673702379059</v>
      </c>
      <c r="G242" s="8" t="s">
        <v>226</v>
      </c>
      <c r="H242">
        <v>-0.10341361471562913</v>
      </c>
    </row>
    <row r="243" spans="1:8" x14ac:dyDescent="0.25">
      <c r="A243" s="8" t="s">
        <v>226</v>
      </c>
      <c r="B243">
        <v>-0.16110959386075391</v>
      </c>
      <c r="D243" s="8" t="s">
        <v>226</v>
      </c>
      <c r="E243">
        <v>-0.17805059464718903</v>
      </c>
      <c r="G243" s="8" t="s">
        <v>227</v>
      </c>
      <c r="H243">
        <v>-0.11681747602375588</v>
      </c>
    </row>
    <row r="244" spans="1:8" x14ac:dyDescent="0.25">
      <c r="A244" s="8" t="s">
        <v>227</v>
      </c>
      <c r="B244">
        <v>-0.16722792408695919</v>
      </c>
      <c r="D244" s="8" t="s">
        <v>227</v>
      </c>
      <c r="E244">
        <v>-0.18622526768279399</v>
      </c>
      <c r="G244" s="8" t="s">
        <v>223</v>
      </c>
      <c r="H244">
        <v>-0.12479549673617867</v>
      </c>
    </row>
  </sheetData>
  <mergeCells count="8">
    <mergeCell ref="G43:H43"/>
    <mergeCell ref="A37:B37"/>
    <mergeCell ref="A38:B38"/>
    <mergeCell ref="A39:B39"/>
    <mergeCell ref="A40:B40"/>
    <mergeCell ref="A41:B41"/>
    <mergeCell ref="D43:E43"/>
    <mergeCell ref="A43:B4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workbookViewId="0">
      <pane ySplit="2" topLeftCell="A51" activePane="bottomLeft" state="frozen"/>
      <selection pane="bottomLeft" activeCell="A48" sqref="A48:AA48"/>
    </sheetView>
  </sheetViews>
  <sheetFormatPr defaultRowHeight="15" x14ac:dyDescent="0.25"/>
  <cols>
    <col min="1" max="2" width="12.42578125" bestFit="1" customWidth="1"/>
    <col min="4" max="5" width="11.42578125" bestFit="1" customWidth="1"/>
    <col min="6" max="6" width="11.7109375" bestFit="1" customWidth="1"/>
    <col min="7" max="7" width="12.42578125" bestFit="1" customWidth="1"/>
    <col min="10" max="10" width="12.42578125" bestFit="1" customWidth="1"/>
    <col min="13" max="13" width="11.7109375" bestFit="1" customWidth="1"/>
    <col min="16" max="16" width="12.42578125" customWidth="1"/>
    <col min="17" max="17" width="10.85546875" bestFit="1" customWidth="1"/>
    <col min="19" max="19" width="11.28515625" customWidth="1"/>
    <col min="20" max="20" width="10.85546875" bestFit="1" customWidth="1"/>
    <col min="22" max="22" width="10.7109375" customWidth="1"/>
    <col min="23" max="23" width="14.28515625" bestFit="1" customWidth="1"/>
    <col min="24" max="24" width="13.7109375" bestFit="1" customWidth="1"/>
    <col min="25" max="25" width="11.85546875" customWidth="1"/>
    <col min="26" max="26" width="14.140625" bestFit="1" customWidth="1"/>
    <col min="27" max="27" width="14" bestFit="1" customWidth="1"/>
  </cols>
  <sheetData>
    <row r="1" spans="1:27" ht="80.25" customHeight="1" x14ac:dyDescent="0.25">
      <c r="A1" s="216" t="s">
        <v>653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4" t="s">
        <v>25</v>
      </c>
      <c r="N1" s="214"/>
      <c r="O1" s="214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27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6" t="s">
        <v>21</v>
      </c>
      <c r="N2" s="6" t="s">
        <v>19</v>
      </c>
      <c r="O2" s="6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27" x14ac:dyDescent="0.25">
      <c r="A3" s="17" t="s">
        <v>123</v>
      </c>
      <c r="B3" s="139">
        <v>1.784175318</v>
      </c>
      <c r="C3" s="48">
        <v>1</v>
      </c>
      <c r="D3" s="138" t="s">
        <v>86</v>
      </c>
      <c r="E3" s="139">
        <v>0.20979446729153003</v>
      </c>
      <c r="F3" s="52">
        <v>1</v>
      </c>
      <c r="G3" s="177" t="s">
        <v>124</v>
      </c>
      <c r="H3" s="45">
        <v>0.20724851101444153</v>
      </c>
      <c r="I3" s="52">
        <v>1</v>
      </c>
      <c r="J3" s="177" t="s">
        <v>86</v>
      </c>
      <c r="K3" s="45">
        <v>0.34840820141089685</v>
      </c>
      <c r="L3" s="52">
        <v>1</v>
      </c>
      <c r="M3" s="19" t="s">
        <v>76</v>
      </c>
      <c r="N3" s="19">
        <v>69.010000000000005</v>
      </c>
      <c r="O3" s="19">
        <v>1</v>
      </c>
      <c r="P3" s="17" t="s">
        <v>83</v>
      </c>
      <c r="Q3" s="21">
        <v>18</v>
      </c>
      <c r="R3" s="52">
        <v>1</v>
      </c>
      <c r="S3" s="17" t="s">
        <v>124</v>
      </c>
      <c r="T3" s="21">
        <v>82.61</v>
      </c>
      <c r="U3" s="52">
        <v>1</v>
      </c>
      <c r="V3" s="3" t="s">
        <v>509</v>
      </c>
      <c r="W3" s="2" t="s">
        <v>509</v>
      </c>
      <c r="X3" s="4" t="s">
        <v>509</v>
      </c>
      <c r="Y3" s="3" t="s">
        <v>509</v>
      </c>
      <c r="Z3" s="2" t="s">
        <v>509</v>
      </c>
      <c r="AA3" s="4" t="s">
        <v>509</v>
      </c>
    </row>
    <row r="4" spans="1:27" x14ac:dyDescent="0.25">
      <c r="A4" s="17" t="s">
        <v>122</v>
      </c>
      <c r="B4" s="139">
        <v>1.7340738099999999</v>
      </c>
      <c r="C4" s="48">
        <v>2</v>
      </c>
      <c r="D4" s="138" t="s">
        <v>83</v>
      </c>
      <c r="E4" s="139">
        <v>0.19977141632541959</v>
      </c>
      <c r="F4" s="52">
        <v>2</v>
      </c>
      <c r="G4" s="178" t="s">
        <v>77</v>
      </c>
      <c r="H4" s="45">
        <v>0.20034850055570488</v>
      </c>
      <c r="I4" s="52">
        <v>2</v>
      </c>
      <c r="J4" s="178" t="s">
        <v>76</v>
      </c>
      <c r="K4" s="45">
        <v>0.33424927627089024</v>
      </c>
      <c r="L4" s="52">
        <v>2</v>
      </c>
      <c r="M4" s="19" t="s">
        <v>75</v>
      </c>
      <c r="N4" s="19">
        <v>67.61</v>
      </c>
      <c r="O4" s="19">
        <v>2</v>
      </c>
      <c r="P4" s="17" t="s">
        <v>85</v>
      </c>
      <c r="Q4" s="21">
        <v>16</v>
      </c>
      <c r="R4" s="52">
        <v>2</v>
      </c>
      <c r="S4" s="17" t="s">
        <v>75</v>
      </c>
      <c r="T4" s="21">
        <v>82.61</v>
      </c>
      <c r="U4" s="52">
        <v>1</v>
      </c>
      <c r="V4" s="3" t="s">
        <v>509</v>
      </c>
      <c r="W4" s="2" t="s">
        <v>509</v>
      </c>
      <c r="X4" s="4" t="s">
        <v>509</v>
      </c>
      <c r="Y4" s="3" t="s">
        <v>509</v>
      </c>
      <c r="Z4" s="2" t="s">
        <v>509</v>
      </c>
      <c r="AA4" s="4" t="s">
        <v>509</v>
      </c>
    </row>
    <row r="5" spans="1:27" x14ac:dyDescent="0.25">
      <c r="A5" s="17" t="s">
        <v>137</v>
      </c>
      <c r="B5" s="139">
        <v>1.5462161080000001</v>
      </c>
      <c r="C5" s="48">
        <v>3</v>
      </c>
      <c r="D5" s="179" t="s">
        <v>76</v>
      </c>
      <c r="E5" s="139">
        <v>0.1979101309625515</v>
      </c>
      <c r="F5" s="52">
        <v>2</v>
      </c>
      <c r="G5" s="177" t="s">
        <v>86</v>
      </c>
      <c r="H5" s="45">
        <v>0.19889307985597054</v>
      </c>
      <c r="I5" s="52">
        <v>2</v>
      </c>
      <c r="J5" s="177" t="s">
        <v>83</v>
      </c>
      <c r="K5" s="45">
        <v>0.32772172072359834</v>
      </c>
      <c r="L5" s="52">
        <v>2</v>
      </c>
      <c r="M5" s="19" t="s">
        <v>83</v>
      </c>
      <c r="N5" s="19">
        <v>61.97</v>
      </c>
      <c r="O5" s="19">
        <v>3</v>
      </c>
      <c r="P5" s="17" t="s">
        <v>104</v>
      </c>
      <c r="Q5" s="21">
        <v>16</v>
      </c>
      <c r="R5" s="52">
        <v>2</v>
      </c>
      <c r="S5" s="17" t="s">
        <v>76</v>
      </c>
      <c r="T5" s="21">
        <v>78.260000000000005</v>
      </c>
      <c r="U5" s="52">
        <v>2</v>
      </c>
      <c r="V5" s="3" t="s">
        <v>509</v>
      </c>
      <c r="W5" s="2" t="s">
        <v>509</v>
      </c>
      <c r="X5" s="4" t="s">
        <v>509</v>
      </c>
      <c r="Y5" s="3" t="s">
        <v>509</v>
      </c>
      <c r="Z5" s="2" t="s">
        <v>509</v>
      </c>
      <c r="AA5" s="4" t="s">
        <v>509</v>
      </c>
    </row>
    <row r="6" spans="1:27" x14ac:dyDescent="0.25">
      <c r="A6" s="17" t="s">
        <v>139</v>
      </c>
      <c r="B6" s="139">
        <v>1.476623209</v>
      </c>
      <c r="C6" s="48">
        <v>4</v>
      </c>
      <c r="D6" s="179" t="s">
        <v>77</v>
      </c>
      <c r="E6" s="139">
        <v>0.1943492714172842</v>
      </c>
      <c r="F6" s="52">
        <v>3</v>
      </c>
      <c r="G6" s="177" t="s">
        <v>83</v>
      </c>
      <c r="H6" s="45">
        <v>0.19837768094338837</v>
      </c>
      <c r="I6" s="52">
        <v>2</v>
      </c>
      <c r="J6" s="178" t="s">
        <v>77</v>
      </c>
      <c r="K6" s="45">
        <v>0.31559781189817004</v>
      </c>
      <c r="L6" s="52">
        <v>3</v>
      </c>
      <c r="M6" s="19" t="s">
        <v>85</v>
      </c>
      <c r="N6" s="19">
        <v>61.97</v>
      </c>
      <c r="O6" s="19">
        <v>3</v>
      </c>
      <c r="P6" s="17" t="s">
        <v>77</v>
      </c>
      <c r="Q6" s="21">
        <v>14</v>
      </c>
      <c r="R6" s="52">
        <v>3</v>
      </c>
      <c r="S6" s="17" t="s">
        <v>83</v>
      </c>
      <c r="T6" s="21">
        <v>73.91</v>
      </c>
      <c r="U6" s="52">
        <v>3</v>
      </c>
      <c r="V6" s="3" t="s">
        <v>509</v>
      </c>
      <c r="W6" s="2" t="s">
        <v>509</v>
      </c>
      <c r="X6" s="4" t="s">
        <v>509</v>
      </c>
      <c r="Y6" s="3" t="s">
        <v>509</v>
      </c>
      <c r="Z6" s="2" t="s">
        <v>509</v>
      </c>
      <c r="AA6" s="4" t="s">
        <v>509</v>
      </c>
    </row>
    <row r="7" spans="1:27" x14ac:dyDescent="0.25">
      <c r="A7" s="17" t="s">
        <v>14</v>
      </c>
      <c r="B7" s="139">
        <v>1.4353317919999999</v>
      </c>
      <c r="C7" s="48">
        <v>5</v>
      </c>
      <c r="D7" s="179" t="s">
        <v>79</v>
      </c>
      <c r="E7" s="139">
        <v>0.19119582967429957</v>
      </c>
      <c r="F7" s="52">
        <v>3</v>
      </c>
      <c r="G7" s="177" t="s">
        <v>87</v>
      </c>
      <c r="H7" s="45">
        <v>0.19571653980393555</v>
      </c>
      <c r="I7" s="52">
        <v>2</v>
      </c>
      <c r="J7" s="178" t="s">
        <v>79</v>
      </c>
      <c r="K7" s="45">
        <v>0.31526507133089099</v>
      </c>
      <c r="L7" s="52">
        <v>3</v>
      </c>
      <c r="M7" s="19" t="s">
        <v>86</v>
      </c>
      <c r="N7" s="19">
        <v>59.15</v>
      </c>
      <c r="O7" s="19">
        <v>4</v>
      </c>
      <c r="P7" s="17" t="s">
        <v>84</v>
      </c>
      <c r="Q7" s="21">
        <v>14</v>
      </c>
      <c r="R7" s="52">
        <v>3</v>
      </c>
      <c r="S7" s="17" t="s">
        <v>86</v>
      </c>
      <c r="T7" s="21">
        <v>73.91</v>
      </c>
      <c r="U7" s="52">
        <v>3</v>
      </c>
      <c r="V7" s="3" t="s">
        <v>509</v>
      </c>
      <c r="W7" s="2" t="s">
        <v>509</v>
      </c>
      <c r="X7" s="4" t="s">
        <v>509</v>
      </c>
      <c r="Y7" s="3" t="s">
        <v>509</v>
      </c>
      <c r="Z7" s="2" t="s">
        <v>509</v>
      </c>
      <c r="AA7" s="4" t="s">
        <v>509</v>
      </c>
    </row>
    <row r="8" spans="1:27" x14ac:dyDescent="0.25">
      <c r="A8" s="3" t="s">
        <v>138</v>
      </c>
      <c r="B8" s="121">
        <v>1.381973855</v>
      </c>
      <c r="C8" s="4">
        <v>6</v>
      </c>
      <c r="D8" s="138" t="s">
        <v>84</v>
      </c>
      <c r="E8" s="139">
        <v>0.18576657261878879</v>
      </c>
      <c r="F8" s="52">
        <v>3</v>
      </c>
      <c r="G8" s="178" t="s">
        <v>79</v>
      </c>
      <c r="H8" s="45">
        <v>0.19533224798219812</v>
      </c>
      <c r="I8" s="52">
        <v>2</v>
      </c>
      <c r="J8" s="177" t="s">
        <v>85</v>
      </c>
      <c r="K8" s="45">
        <v>0.31153153410163498</v>
      </c>
      <c r="L8" s="52">
        <v>4</v>
      </c>
      <c r="M8" s="19" t="s">
        <v>74</v>
      </c>
      <c r="N8" s="19">
        <v>59.15</v>
      </c>
      <c r="O8" s="19">
        <v>4</v>
      </c>
      <c r="P8" s="17" t="s">
        <v>76</v>
      </c>
      <c r="Q8" s="21">
        <v>14</v>
      </c>
      <c r="R8" s="52">
        <v>3</v>
      </c>
      <c r="S8" s="17" t="s">
        <v>82</v>
      </c>
      <c r="T8" s="21">
        <v>69.569999999999993</v>
      </c>
      <c r="U8" s="52">
        <v>4</v>
      </c>
      <c r="V8" s="3" t="s">
        <v>509</v>
      </c>
      <c r="W8" s="2" t="s">
        <v>509</v>
      </c>
      <c r="X8" s="4" t="s">
        <v>509</v>
      </c>
      <c r="Y8" s="3" t="s">
        <v>509</v>
      </c>
      <c r="Z8" s="2" t="s">
        <v>509</v>
      </c>
      <c r="AA8" s="4" t="s">
        <v>509</v>
      </c>
    </row>
    <row r="9" spans="1:27" x14ac:dyDescent="0.25">
      <c r="A9" s="3" t="s">
        <v>124</v>
      </c>
      <c r="B9" s="121">
        <v>1.3512897859999999</v>
      </c>
      <c r="C9" s="4">
        <v>7</v>
      </c>
      <c r="D9" s="138" t="s">
        <v>87</v>
      </c>
      <c r="E9" s="139">
        <v>0.18435107083034971</v>
      </c>
      <c r="F9" s="52">
        <v>4</v>
      </c>
      <c r="G9" s="177" t="s">
        <v>82</v>
      </c>
      <c r="H9" s="45">
        <v>0.19517771384057145</v>
      </c>
      <c r="I9" s="52">
        <v>2</v>
      </c>
      <c r="J9" s="177" t="s">
        <v>84</v>
      </c>
      <c r="K9" s="45">
        <v>0.30362614014164518</v>
      </c>
      <c r="L9" s="52">
        <v>5</v>
      </c>
      <c r="M9" s="19" t="s">
        <v>104</v>
      </c>
      <c r="N9" s="19">
        <v>59.15</v>
      </c>
      <c r="O9" s="19">
        <v>4</v>
      </c>
      <c r="P9" s="17" t="s">
        <v>78</v>
      </c>
      <c r="Q9" s="21">
        <v>14</v>
      </c>
      <c r="R9" s="52">
        <v>3</v>
      </c>
      <c r="S9" s="17" t="s">
        <v>74</v>
      </c>
      <c r="T9" s="21">
        <v>69.569999999999993</v>
      </c>
      <c r="U9" s="52">
        <v>4</v>
      </c>
      <c r="V9" s="3" t="s">
        <v>509</v>
      </c>
      <c r="W9" s="2" t="s">
        <v>509</v>
      </c>
      <c r="X9" s="4" t="s">
        <v>509</v>
      </c>
      <c r="Y9" s="3" t="s">
        <v>509</v>
      </c>
      <c r="Z9" s="2" t="s">
        <v>509</v>
      </c>
      <c r="AA9" s="4" t="s">
        <v>509</v>
      </c>
    </row>
    <row r="10" spans="1:27" x14ac:dyDescent="0.25">
      <c r="A10" s="3" t="s">
        <v>146</v>
      </c>
      <c r="B10" s="121">
        <v>1.337582007</v>
      </c>
      <c r="C10" s="4">
        <v>8</v>
      </c>
      <c r="D10" s="138" t="s">
        <v>82</v>
      </c>
      <c r="E10" s="139">
        <v>0.18334797618440718</v>
      </c>
      <c r="F10" s="52">
        <v>4</v>
      </c>
      <c r="G10" s="177" t="s">
        <v>84</v>
      </c>
      <c r="H10" s="45">
        <v>0.17902375225118483</v>
      </c>
      <c r="I10" s="52">
        <v>3</v>
      </c>
      <c r="J10" s="177" t="s">
        <v>82</v>
      </c>
      <c r="K10" s="45">
        <v>0.29704854425630151</v>
      </c>
      <c r="L10" s="52">
        <v>5</v>
      </c>
      <c r="M10" s="19" t="s">
        <v>105</v>
      </c>
      <c r="N10" s="19">
        <v>57.75</v>
      </c>
      <c r="O10" s="19">
        <v>5</v>
      </c>
      <c r="P10" s="17" t="s">
        <v>86</v>
      </c>
      <c r="Q10" s="21">
        <v>14</v>
      </c>
      <c r="R10" s="52">
        <v>3</v>
      </c>
      <c r="S10" s="17" t="s">
        <v>85</v>
      </c>
      <c r="T10" s="21">
        <v>69.569999999999993</v>
      </c>
      <c r="U10" s="52">
        <v>4</v>
      </c>
      <c r="V10" s="3" t="s">
        <v>509</v>
      </c>
      <c r="W10" s="2" t="s">
        <v>509</v>
      </c>
      <c r="X10" s="4" t="s">
        <v>509</v>
      </c>
      <c r="Y10" s="3" t="s">
        <v>509</v>
      </c>
      <c r="Z10" s="2" t="s">
        <v>509</v>
      </c>
      <c r="AA10" s="4" t="s">
        <v>509</v>
      </c>
    </row>
    <row r="11" spans="1:27" x14ac:dyDescent="0.25">
      <c r="A11" s="3" t="s">
        <v>147</v>
      </c>
      <c r="B11" s="121">
        <v>1.2989611780000001</v>
      </c>
      <c r="C11" s="4">
        <v>9</v>
      </c>
      <c r="D11" s="138" t="s">
        <v>103</v>
      </c>
      <c r="E11" s="139">
        <v>0.17208555936367903</v>
      </c>
      <c r="F11" s="52">
        <v>5</v>
      </c>
      <c r="G11" s="178" t="s">
        <v>78</v>
      </c>
      <c r="H11" s="45">
        <v>0.17680329571097922</v>
      </c>
      <c r="I11" s="52">
        <v>3</v>
      </c>
      <c r="J11" s="56" t="s">
        <v>87</v>
      </c>
      <c r="K11" s="164">
        <v>0.29386549382379673</v>
      </c>
      <c r="L11" s="55">
        <v>6</v>
      </c>
      <c r="M11" s="19" t="s">
        <v>108</v>
      </c>
      <c r="N11" s="19">
        <v>57.75</v>
      </c>
      <c r="O11" s="19">
        <v>5</v>
      </c>
      <c r="P11" s="17" t="s">
        <v>108</v>
      </c>
      <c r="Q11" s="21">
        <v>14</v>
      </c>
      <c r="R11" s="52">
        <v>3</v>
      </c>
      <c r="S11" s="17" t="s">
        <v>77</v>
      </c>
      <c r="T11" s="21">
        <v>65.22</v>
      </c>
      <c r="U11" s="52">
        <v>5</v>
      </c>
      <c r="V11" s="3" t="s">
        <v>509</v>
      </c>
      <c r="W11" s="2" t="s">
        <v>509</v>
      </c>
      <c r="X11" s="4" t="s">
        <v>509</v>
      </c>
      <c r="Y11" s="3" t="s">
        <v>509</v>
      </c>
      <c r="Z11" s="2" t="s">
        <v>509</v>
      </c>
      <c r="AA11" s="4" t="s">
        <v>509</v>
      </c>
    </row>
    <row r="12" spans="1:27" x14ac:dyDescent="0.25">
      <c r="A12" s="3" t="s">
        <v>77</v>
      </c>
      <c r="B12" s="121">
        <v>1.123176669</v>
      </c>
      <c r="C12" s="4">
        <v>10</v>
      </c>
      <c r="D12" s="138" t="s">
        <v>104</v>
      </c>
      <c r="E12" s="139">
        <v>0.17165173724175165</v>
      </c>
      <c r="F12" s="52">
        <v>5</v>
      </c>
      <c r="G12" s="18" t="s">
        <v>123</v>
      </c>
      <c r="H12" s="45">
        <v>0.16089861622317175</v>
      </c>
      <c r="I12" s="52">
        <v>4</v>
      </c>
      <c r="J12" s="152" t="s">
        <v>78</v>
      </c>
      <c r="K12" s="164">
        <v>0.29344553203001533</v>
      </c>
      <c r="L12" s="55">
        <v>6</v>
      </c>
      <c r="M12" t="s">
        <v>77</v>
      </c>
      <c r="N12">
        <v>56.34</v>
      </c>
      <c r="O12">
        <v>6</v>
      </c>
      <c r="P12" s="17" t="s">
        <v>124</v>
      </c>
      <c r="Q12" s="21">
        <v>13</v>
      </c>
      <c r="R12" s="52">
        <v>4</v>
      </c>
      <c r="S12" s="17" t="s">
        <v>84</v>
      </c>
      <c r="T12" s="21">
        <v>65.22</v>
      </c>
      <c r="U12" s="52">
        <v>5</v>
      </c>
      <c r="V12" s="3" t="s">
        <v>509</v>
      </c>
      <c r="W12" s="2" t="s">
        <v>509</v>
      </c>
      <c r="X12" s="4" t="s">
        <v>509</v>
      </c>
      <c r="Y12" s="3" t="s">
        <v>509</v>
      </c>
      <c r="Z12" s="2" t="s">
        <v>509</v>
      </c>
      <c r="AA12" s="4" t="s">
        <v>509</v>
      </c>
    </row>
    <row r="13" spans="1:27" x14ac:dyDescent="0.25">
      <c r="A13" s="3" t="s">
        <v>84</v>
      </c>
      <c r="B13" s="121">
        <v>1.1080444780000001</v>
      </c>
      <c r="C13" s="4">
        <v>11</v>
      </c>
      <c r="D13" s="179" t="s">
        <v>78</v>
      </c>
      <c r="E13" s="139">
        <v>0.16951047759946744</v>
      </c>
      <c r="F13" s="52">
        <v>5</v>
      </c>
      <c r="G13" s="177" t="s">
        <v>103</v>
      </c>
      <c r="H13" s="45">
        <v>0.14124543326296959</v>
      </c>
      <c r="I13" s="52">
        <v>5</v>
      </c>
      <c r="J13" s="56" t="s">
        <v>106</v>
      </c>
      <c r="K13" s="164">
        <v>0.28960820459084696</v>
      </c>
      <c r="L13" s="55">
        <v>6</v>
      </c>
      <c r="M13" t="s">
        <v>84</v>
      </c>
      <c r="N13">
        <v>56.34</v>
      </c>
      <c r="O13">
        <v>6</v>
      </c>
      <c r="P13" s="17" t="s">
        <v>75</v>
      </c>
      <c r="Q13" s="21">
        <v>13</v>
      </c>
      <c r="R13" s="52">
        <v>4</v>
      </c>
      <c r="S13" s="17" t="s">
        <v>79</v>
      </c>
      <c r="T13" s="21">
        <v>65.22</v>
      </c>
      <c r="U13" s="52">
        <v>5</v>
      </c>
      <c r="V13" s="3" t="s">
        <v>509</v>
      </c>
      <c r="W13" s="2" t="s">
        <v>509</v>
      </c>
      <c r="X13" s="4" t="s">
        <v>509</v>
      </c>
      <c r="Y13" s="3" t="s">
        <v>509</v>
      </c>
      <c r="Z13" s="2" t="s">
        <v>509</v>
      </c>
      <c r="AA13" s="4" t="s">
        <v>509</v>
      </c>
    </row>
    <row r="14" spans="1:27" x14ac:dyDescent="0.25">
      <c r="A14" s="3" t="s">
        <v>83</v>
      </c>
      <c r="B14" s="121">
        <v>1.105722721</v>
      </c>
      <c r="C14" s="4">
        <v>11</v>
      </c>
      <c r="D14" s="138" t="s">
        <v>105</v>
      </c>
      <c r="E14" s="139">
        <v>0.16866391828729715</v>
      </c>
      <c r="F14" s="52">
        <v>5</v>
      </c>
      <c r="G14" s="56" t="s">
        <v>125</v>
      </c>
      <c r="H14" s="164">
        <v>0.13167704144288708</v>
      </c>
      <c r="I14" s="55">
        <v>6</v>
      </c>
      <c r="J14" s="56" t="s">
        <v>124</v>
      </c>
      <c r="K14" s="164">
        <v>0.2865036156873465</v>
      </c>
      <c r="L14" s="55">
        <v>6</v>
      </c>
      <c r="M14" t="s">
        <v>82</v>
      </c>
      <c r="N14">
        <v>54.93</v>
      </c>
      <c r="O14">
        <v>7</v>
      </c>
      <c r="P14" s="17" t="s">
        <v>105</v>
      </c>
      <c r="Q14" s="21">
        <v>13</v>
      </c>
      <c r="R14" s="52">
        <v>4</v>
      </c>
      <c r="S14" s="17" t="s">
        <v>87</v>
      </c>
      <c r="T14" s="21">
        <v>65.22</v>
      </c>
      <c r="U14" s="52">
        <v>5</v>
      </c>
      <c r="V14" s="3" t="s">
        <v>509</v>
      </c>
      <c r="W14" s="2" t="s">
        <v>509</v>
      </c>
      <c r="X14" s="4" t="s">
        <v>509</v>
      </c>
      <c r="Y14" s="3" t="s">
        <v>509</v>
      </c>
      <c r="Z14" s="2" t="s">
        <v>509</v>
      </c>
      <c r="AA14" s="4" t="s">
        <v>509</v>
      </c>
    </row>
    <row r="15" spans="1:27" x14ac:dyDescent="0.25">
      <c r="A15" s="3" t="s">
        <v>79</v>
      </c>
      <c r="B15" s="121">
        <v>1.098752113</v>
      </c>
      <c r="C15" s="4">
        <v>12</v>
      </c>
      <c r="D15" s="138" t="s">
        <v>108</v>
      </c>
      <c r="E15" s="139">
        <v>0.16528097880747672</v>
      </c>
      <c r="F15" s="52">
        <v>5</v>
      </c>
      <c r="G15" s="56" t="s">
        <v>85</v>
      </c>
      <c r="H15" s="164">
        <v>0.12409252205115512</v>
      </c>
      <c r="I15" s="55">
        <v>7</v>
      </c>
      <c r="J15" s="56" t="s">
        <v>105</v>
      </c>
      <c r="K15" s="164">
        <v>0.28408029357079029</v>
      </c>
      <c r="L15" s="55">
        <v>7</v>
      </c>
      <c r="M15" t="s">
        <v>103</v>
      </c>
      <c r="N15">
        <v>54.93</v>
      </c>
      <c r="O15">
        <v>7</v>
      </c>
      <c r="P15" s="17" t="s">
        <v>138</v>
      </c>
      <c r="Q15" s="21">
        <v>12</v>
      </c>
      <c r="R15" s="52">
        <v>5</v>
      </c>
      <c r="S15" s="17" t="s">
        <v>78</v>
      </c>
      <c r="T15" s="21">
        <v>65.22</v>
      </c>
      <c r="U15" s="52">
        <v>5</v>
      </c>
      <c r="V15" s="3" t="s">
        <v>509</v>
      </c>
      <c r="W15" s="2" t="s">
        <v>509</v>
      </c>
      <c r="X15" s="4" t="s">
        <v>509</v>
      </c>
      <c r="Y15" s="3" t="s">
        <v>509</v>
      </c>
      <c r="Z15" s="2" t="s">
        <v>509</v>
      </c>
      <c r="AA15" s="4" t="s">
        <v>509</v>
      </c>
    </row>
    <row r="16" spans="1:27" x14ac:dyDescent="0.25">
      <c r="A16" s="3" t="s">
        <v>76</v>
      </c>
      <c r="B16" s="121">
        <v>1.094039223</v>
      </c>
      <c r="C16" s="4">
        <v>13</v>
      </c>
      <c r="D16" s="168" t="s">
        <v>106</v>
      </c>
      <c r="E16" s="165">
        <v>0.16257924223388195</v>
      </c>
      <c r="F16" s="55">
        <v>6</v>
      </c>
      <c r="G16" s="152" t="s">
        <v>76</v>
      </c>
      <c r="H16" s="164">
        <v>0.11880144525984405</v>
      </c>
      <c r="I16" s="55">
        <v>8</v>
      </c>
      <c r="J16" s="56" t="s">
        <v>104</v>
      </c>
      <c r="K16" s="164">
        <v>0.27615689088391837</v>
      </c>
      <c r="L16" s="55">
        <v>7</v>
      </c>
      <c r="M16" t="s">
        <v>124</v>
      </c>
      <c r="N16">
        <v>53.52</v>
      </c>
      <c r="O16">
        <v>8</v>
      </c>
      <c r="P16" s="17" t="s">
        <v>146</v>
      </c>
      <c r="Q16" s="21">
        <v>12</v>
      </c>
      <c r="R16" s="52">
        <v>5</v>
      </c>
      <c r="S16" s="17" t="s">
        <v>104</v>
      </c>
      <c r="T16" s="21">
        <v>65.22</v>
      </c>
      <c r="U16" s="52">
        <v>5</v>
      </c>
      <c r="V16" s="3" t="s">
        <v>509</v>
      </c>
      <c r="W16" s="2" t="s">
        <v>509</v>
      </c>
      <c r="X16" s="4" t="s">
        <v>509</v>
      </c>
      <c r="Y16" s="3" t="s">
        <v>509</v>
      </c>
      <c r="Z16" s="2" t="s">
        <v>509</v>
      </c>
      <c r="AA16" s="4" t="s">
        <v>509</v>
      </c>
    </row>
    <row r="17" spans="1:27" x14ac:dyDescent="0.25">
      <c r="A17" s="3" t="s">
        <v>87</v>
      </c>
      <c r="B17" s="121">
        <v>1.075672068</v>
      </c>
      <c r="C17" s="4">
        <v>14</v>
      </c>
      <c r="D17" s="168" t="s">
        <v>85</v>
      </c>
      <c r="E17" s="164">
        <v>0.15770172524715198</v>
      </c>
      <c r="F17" s="53">
        <v>6</v>
      </c>
      <c r="G17" s="56" t="s">
        <v>108</v>
      </c>
      <c r="H17" s="164">
        <v>0.11868887754341474</v>
      </c>
      <c r="I17" s="55">
        <v>8</v>
      </c>
      <c r="J17" s="56" t="s">
        <v>103</v>
      </c>
      <c r="K17" s="164">
        <v>0.27193450387785939</v>
      </c>
      <c r="L17" s="55">
        <v>8</v>
      </c>
      <c r="M17" t="s">
        <v>87</v>
      </c>
      <c r="N17">
        <v>50.7</v>
      </c>
      <c r="O17">
        <v>9</v>
      </c>
      <c r="P17" s="17" t="s">
        <v>82</v>
      </c>
      <c r="Q17" s="21">
        <v>12</v>
      </c>
      <c r="R17" s="52">
        <v>5</v>
      </c>
      <c r="S17" s="17" t="s">
        <v>103</v>
      </c>
      <c r="T17" s="21">
        <v>65.22</v>
      </c>
      <c r="U17" s="52">
        <v>5</v>
      </c>
      <c r="V17" s="3" t="s">
        <v>509</v>
      </c>
      <c r="W17" s="2" t="s">
        <v>509</v>
      </c>
      <c r="X17" s="4" t="s">
        <v>509</v>
      </c>
      <c r="Y17" s="3" t="s">
        <v>509</v>
      </c>
      <c r="Z17" s="2" t="s">
        <v>509</v>
      </c>
      <c r="AA17" s="4" t="s">
        <v>509</v>
      </c>
    </row>
    <row r="18" spans="1:27" x14ac:dyDescent="0.25">
      <c r="A18" s="3" t="s">
        <v>145</v>
      </c>
      <c r="B18" s="121">
        <v>1.065600705</v>
      </c>
      <c r="C18" s="4">
        <v>15</v>
      </c>
      <c r="D18" s="168" t="s">
        <v>124</v>
      </c>
      <c r="E18" s="165">
        <v>0.1532092114663299</v>
      </c>
      <c r="F18" s="55">
        <v>7</v>
      </c>
      <c r="G18" s="56" t="s">
        <v>138</v>
      </c>
      <c r="H18" s="164">
        <v>0.11419946323007357</v>
      </c>
      <c r="I18" s="55">
        <v>9</v>
      </c>
      <c r="J18" s="56" t="s">
        <v>108</v>
      </c>
      <c r="K18" s="164">
        <v>0.26791784966510707</v>
      </c>
      <c r="L18" s="55">
        <v>8</v>
      </c>
      <c r="M18" t="s">
        <v>78</v>
      </c>
      <c r="N18">
        <v>50.7</v>
      </c>
      <c r="O18">
        <v>9</v>
      </c>
      <c r="P18" s="17" t="s">
        <v>74</v>
      </c>
      <c r="Q18" s="21">
        <v>12</v>
      </c>
      <c r="R18" s="52">
        <v>5</v>
      </c>
      <c r="S18" s="67" t="s">
        <v>122</v>
      </c>
      <c r="T18" s="2">
        <v>60.87</v>
      </c>
      <c r="U18" s="55">
        <v>6</v>
      </c>
      <c r="V18" s="3" t="s">
        <v>509</v>
      </c>
      <c r="W18" s="2" t="s">
        <v>509</v>
      </c>
      <c r="X18" s="4" t="s">
        <v>509</v>
      </c>
      <c r="Y18" s="3" t="s">
        <v>509</v>
      </c>
      <c r="Z18" s="2" t="s">
        <v>509</v>
      </c>
      <c r="AA18" s="4" t="s">
        <v>509</v>
      </c>
    </row>
    <row r="19" spans="1:27" x14ac:dyDescent="0.25">
      <c r="A19" s="3" t="s">
        <v>78</v>
      </c>
      <c r="B19" s="121">
        <v>1.0229682760000001</v>
      </c>
      <c r="C19" s="4">
        <v>16</v>
      </c>
      <c r="D19" s="167" t="s">
        <v>123</v>
      </c>
      <c r="E19" s="165">
        <v>0.1399304669575904</v>
      </c>
      <c r="F19" s="55">
        <v>8</v>
      </c>
      <c r="G19" s="56" t="s">
        <v>146</v>
      </c>
      <c r="H19" s="164">
        <v>0.10296117275750052</v>
      </c>
      <c r="I19" s="55">
        <v>10</v>
      </c>
      <c r="J19" s="153" t="s">
        <v>123</v>
      </c>
      <c r="K19" s="164">
        <v>0.26718494843325874</v>
      </c>
      <c r="L19" s="55">
        <v>8</v>
      </c>
      <c r="M19" t="s">
        <v>106</v>
      </c>
      <c r="N19">
        <v>50.7</v>
      </c>
      <c r="O19">
        <v>9</v>
      </c>
      <c r="P19" s="17" t="s">
        <v>103</v>
      </c>
      <c r="Q19" s="21">
        <v>12</v>
      </c>
      <c r="R19" s="52">
        <v>5</v>
      </c>
      <c r="S19" s="3" t="s">
        <v>106</v>
      </c>
      <c r="T19" s="2">
        <v>60.87</v>
      </c>
      <c r="U19" s="55">
        <v>6</v>
      </c>
      <c r="V19" s="3" t="s">
        <v>509</v>
      </c>
      <c r="W19" s="2" t="s">
        <v>509</v>
      </c>
      <c r="X19" s="4" t="s">
        <v>509</v>
      </c>
      <c r="Y19" s="3" t="s">
        <v>509</v>
      </c>
      <c r="Z19" s="2" t="s">
        <v>509</v>
      </c>
      <c r="AA19" s="4" t="s">
        <v>509</v>
      </c>
    </row>
    <row r="20" spans="1:27" x14ac:dyDescent="0.25">
      <c r="A20" s="3" t="s">
        <v>86</v>
      </c>
      <c r="B20" s="121">
        <v>1.0003624849999999</v>
      </c>
      <c r="C20" s="4">
        <v>17</v>
      </c>
      <c r="D20" s="180" t="s">
        <v>74</v>
      </c>
      <c r="E20" s="165">
        <v>0.12760698303228515</v>
      </c>
      <c r="F20" s="55">
        <v>9</v>
      </c>
      <c r="G20" s="56" t="s">
        <v>104</v>
      </c>
      <c r="H20" s="164">
        <v>0.10139154862097902</v>
      </c>
      <c r="I20" s="55">
        <v>10</v>
      </c>
      <c r="J20" s="152" t="s">
        <v>75</v>
      </c>
      <c r="K20" s="164">
        <v>0.25747944162448982</v>
      </c>
      <c r="L20" s="55">
        <v>9</v>
      </c>
      <c r="M20" t="s">
        <v>79</v>
      </c>
      <c r="N20">
        <v>45.07</v>
      </c>
      <c r="O20">
        <v>10</v>
      </c>
      <c r="P20" s="67" t="s">
        <v>123</v>
      </c>
      <c r="Q20" s="2">
        <v>11</v>
      </c>
      <c r="R20" s="94">
        <v>6</v>
      </c>
      <c r="S20" s="3" t="s">
        <v>105</v>
      </c>
      <c r="T20" s="2">
        <v>60.87</v>
      </c>
      <c r="U20" s="55">
        <v>6</v>
      </c>
      <c r="V20" s="3" t="s">
        <v>509</v>
      </c>
      <c r="W20" s="2" t="s">
        <v>509</v>
      </c>
      <c r="X20" s="4" t="s">
        <v>509</v>
      </c>
      <c r="Y20" s="3" t="s">
        <v>509</v>
      </c>
      <c r="Z20" s="2" t="s">
        <v>509</v>
      </c>
      <c r="AA20" s="4" t="s">
        <v>509</v>
      </c>
    </row>
    <row r="21" spans="1:27" x14ac:dyDescent="0.25">
      <c r="A21" s="3" t="s">
        <v>82</v>
      </c>
      <c r="B21" s="121">
        <v>0.99323423919999998</v>
      </c>
      <c r="C21" s="4">
        <v>18</v>
      </c>
      <c r="D21" s="180" t="s">
        <v>75</v>
      </c>
      <c r="E21" s="165">
        <v>0.12085989621561748</v>
      </c>
      <c r="F21" s="55">
        <v>10</v>
      </c>
      <c r="G21" s="152" t="s">
        <v>74</v>
      </c>
      <c r="H21" s="164">
        <v>0.10038841930612091</v>
      </c>
      <c r="I21" s="55">
        <v>10</v>
      </c>
      <c r="J21" s="152" t="s">
        <v>74</v>
      </c>
      <c r="K21" s="164">
        <v>0.23242454671701099</v>
      </c>
      <c r="L21" s="55">
        <v>10</v>
      </c>
      <c r="M21" s="149" t="s">
        <v>122</v>
      </c>
      <c r="N21">
        <v>43.66</v>
      </c>
      <c r="O21">
        <v>11</v>
      </c>
      <c r="P21" s="3" t="s">
        <v>79</v>
      </c>
      <c r="Q21" s="2">
        <v>11</v>
      </c>
      <c r="R21" s="94">
        <v>6</v>
      </c>
      <c r="S21" s="3" t="s">
        <v>108</v>
      </c>
      <c r="T21" s="2">
        <v>60.87</v>
      </c>
      <c r="U21" s="55">
        <v>6</v>
      </c>
      <c r="V21" s="3" t="s">
        <v>509</v>
      </c>
      <c r="W21" s="2" t="s">
        <v>509</v>
      </c>
      <c r="X21" s="4" t="s">
        <v>509</v>
      </c>
      <c r="Y21" s="3" t="s">
        <v>509</v>
      </c>
      <c r="Z21" s="2" t="s">
        <v>509</v>
      </c>
      <c r="AA21" s="4" t="s">
        <v>509</v>
      </c>
    </row>
    <row r="22" spans="1:27" x14ac:dyDescent="0.25">
      <c r="A22" s="3" t="s">
        <v>125</v>
      </c>
      <c r="B22" s="121">
        <v>0.94815639709999999</v>
      </c>
      <c r="C22" s="4">
        <v>19</v>
      </c>
      <c r="D22" s="167" t="s">
        <v>122</v>
      </c>
      <c r="E22" s="165">
        <v>0.10033881198222848</v>
      </c>
      <c r="F22" s="55">
        <v>11</v>
      </c>
      <c r="G22" s="56" t="s">
        <v>105</v>
      </c>
      <c r="H22" s="164">
        <v>9.5973410174636772E-2</v>
      </c>
      <c r="I22" s="55">
        <v>10</v>
      </c>
      <c r="J22" s="56" t="s">
        <v>125</v>
      </c>
      <c r="K22" s="164">
        <v>0.22629614341615895</v>
      </c>
      <c r="L22" s="55">
        <v>10</v>
      </c>
      <c r="M22" s="149" t="s">
        <v>123</v>
      </c>
      <c r="N22">
        <v>42.25</v>
      </c>
      <c r="O22">
        <v>12</v>
      </c>
      <c r="P22" s="3" t="s">
        <v>87</v>
      </c>
      <c r="Q22" s="2">
        <v>11</v>
      </c>
      <c r="R22" s="94">
        <v>6</v>
      </c>
      <c r="S22" s="3" t="s">
        <v>125</v>
      </c>
      <c r="T22" s="2">
        <v>56.52</v>
      </c>
      <c r="U22" s="55">
        <v>7</v>
      </c>
      <c r="V22" s="3" t="s">
        <v>509</v>
      </c>
      <c r="W22" s="2" t="s">
        <v>509</v>
      </c>
      <c r="X22" s="4" t="s">
        <v>509</v>
      </c>
      <c r="Y22" s="3" t="s">
        <v>509</v>
      </c>
      <c r="Z22" s="2" t="s">
        <v>509</v>
      </c>
      <c r="AA22" s="4" t="s">
        <v>509</v>
      </c>
    </row>
    <row r="23" spans="1:27" x14ac:dyDescent="0.25">
      <c r="A23" s="3" t="s">
        <v>74</v>
      </c>
      <c r="B23" s="121">
        <v>0.94123209720000001</v>
      </c>
      <c r="C23" s="4">
        <v>20</v>
      </c>
      <c r="D23" s="168" t="s">
        <v>125</v>
      </c>
      <c r="E23" s="165">
        <v>9.6369088235105205E-2</v>
      </c>
      <c r="F23" s="55">
        <v>11</v>
      </c>
      <c r="G23" s="56" t="s">
        <v>106</v>
      </c>
      <c r="H23" s="164">
        <v>9.4402794722328723E-2</v>
      </c>
      <c r="I23" s="55">
        <v>11</v>
      </c>
      <c r="J23" s="153" t="s">
        <v>122</v>
      </c>
      <c r="K23" s="164">
        <v>0.22506195858684908</v>
      </c>
      <c r="L23" s="55">
        <v>10</v>
      </c>
      <c r="M23" t="s">
        <v>125</v>
      </c>
      <c r="N23">
        <v>40.85</v>
      </c>
      <c r="O23">
        <v>13</v>
      </c>
      <c r="P23" s="3" t="s">
        <v>125</v>
      </c>
      <c r="Q23" s="2">
        <v>11</v>
      </c>
      <c r="R23" s="94">
        <v>6</v>
      </c>
      <c r="S23" s="3" t="s">
        <v>140</v>
      </c>
      <c r="T23" s="2">
        <v>56.52</v>
      </c>
      <c r="U23" s="55">
        <v>7</v>
      </c>
      <c r="V23" s="3" t="s">
        <v>509</v>
      </c>
      <c r="W23" s="2" t="s">
        <v>509</v>
      </c>
      <c r="X23" s="4" t="s">
        <v>509</v>
      </c>
      <c r="Y23" s="3" t="s">
        <v>509</v>
      </c>
      <c r="Z23" s="2" t="s">
        <v>509</v>
      </c>
      <c r="AA23" s="4" t="s">
        <v>509</v>
      </c>
    </row>
    <row r="24" spans="1:27" x14ac:dyDescent="0.25">
      <c r="A24" s="3" t="s">
        <v>143</v>
      </c>
      <c r="B24" s="121">
        <v>0.88997821539999999</v>
      </c>
      <c r="C24" s="4">
        <v>21</v>
      </c>
      <c r="D24" s="168" t="s">
        <v>138</v>
      </c>
      <c r="E24" s="165">
        <v>6.6203232913561796E-2</v>
      </c>
      <c r="F24" s="55">
        <v>12</v>
      </c>
      <c r="G24" s="153" t="s">
        <v>122</v>
      </c>
      <c r="H24" s="164">
        <v>9.439182272446231E-2</v>
      </c>
      <c r="I24" s="55">
        <v>11</v>
      </c>
      <c r="J24" s="56" t="s">
        <v>138</v>
      </c>
      <c r="K24" s="164">
        <v>0.13553540159298769</v>
      </c>
      <c r="L24" s="55">
        <v>11</v>
      </c>
      <c r="M24" t="s">
        <v>140</v>
      </c>
      <c r="N24">
        <v>39.44</v>
      </c>
      <c r="O24">
        <v>14</v>
      </c>
      <c r="P24" s="67" t="s">
        <v>122</v>
      </c>
      <c r="Q24" s="2">
        <v>10</v>
      </c>
      <c r="R24" s="94">
        <v>7</v>
      </c>
      <c r="S24" s="67" t="s">
        <v>123</v>
      </c>
      <c r="T24" s="2">
        <v>52.17</v>
      </c>
      <c r="U24" s="55">
        <v>8</v>
      </c>
      <c r="V24" s="3" t="s">
        <v>509</v>
      </c>
      <c r="W24" s="2" t="s">
        <v>509</v>
      </c>
      <c r="X24" s="4" t="s">
        <v>509</v>
      </c>
      <c r="Y24" s="3" t="s">
        <v>509</v>
      </c>
      <c r="Z24" s="2" t="s">
        <v>509</v>
      </c>
      <c r="AA24" s="4" t="s">
        <v>509</v>
      </c>
    </row>
    <row r="25" spans="1:27" x14ac:dyDescent="0.25">
      <c r="A25" s="3" t="s">
        <v>142</v>
      </c>
      <c r="B25" s="121">
        <v>0.8891169498</v>
      </c>
      <c r="C25" s="4">
        <v>21</v>
      </c>
      <c r="D25" s="168" t="s">
        <v>140</v>
      </c>
      <c r="E25" s="165">
        <v>4.1562237866651842E-2</v>
      </c>
      <c r="F25" s="55">
        <v>13</v>
      </c>
      <c r="G25" s="153" t="s">
        <v>14</v>
      </c>
      <c r="H25" s="164">
        <v>7.803999089184914E-2</v>
      </c>
      <c r="I25" s="55">
        <v>12</v>
      </c>
      <c r="J25" s="56" t="s">
        <v>140</v>
      </c>
      <c r="K25" s="164">
        <v>0.12591424247302418</v>
      </c>
      <c r="L25" s="55">
        <v>12</v>
      </c>
      <c r="M25" t="s">
        <v>146</v>
      </c>
      <c r="N25">
        <v>38.03</v>
      </c>
      <c r="O25">
        <v>15</v>
      </c>
      <c r="P25" s="3" t="s">
        <v>106</v>
      </c>
      <c r="Q25" s="2">
        <v>10</v>
      </c>
      <c r="R25" s="94">
        <v>7</v>
      </c>
      <c r="S25" s="67" t="s">
        <v>137</v>
      </c>
      <c r="T25" s="2">
        <v>52.17</v>
      </c>
      <c r="U25" s="55">
        <v>8</v>
      </c>
      <c r="V25" s="3" t="s">
        <v>509</v>
      </c>
      <c r="W25" s="2" t="s">
        <v>509</v>
      </c>
      <c r="X25" s="4" t="s">
        <v>509</v>
      </c>
      <c r="Y25" s="3" t="s">
        <v>509</v>
      </c>
      <c r="Z25" s="2" t="s">
        <v>509</v>
      </c>
      <c r="AA25" s="4" t="s">
        <v>509</v>
      </c>
    </row>
    <row r="26" spans="1:27" x14ac:dyDescent="0.25">
      <c r="A26" s="3" t="s">
        <v>127</v>
      </c>
      <c r="B26" s="121">
        <v>0.73746054149999996</v>
      </c>
      <c r="C26" s="4">
        <v>22</v>
      </c>
      <c r="D26" s="167" t="s">
        <v>139</v>
      </c>
      <c r="E26" s="165">
        <v>3.7100293399282121E-2</v>
      </c>
      <c r="F26" s="55">
        <v>13</v>
      </c>
      <c r="G26" s="153" t="s">
        <v>139</v>
      </c>
      <c r="H26" s="164">
        <v>7.3826483004889698E-2</v>
      </c>
      <c r="I26" s="55">
        <v>13</v>
      </c>
      <c r="J26" s="153" t="s">
        <v>137</v>
      </c>
      <c r="K26" s="164">
        <v>0.11080707462447349</v>
      </c>
      <c r="L26" s="55">
        <v>13</v>
      </c>
      <c r="M26" t="s">
        <v>138</v>
      </c>
      <c r="N26">
        <v>36.619999999999997</v>
      </c>
      <c r="O26">
        <v>16</v>
      </c>
      <c r="P26" s="3" t="s">
        <v>140</v>
      </c>
      <c r="Q26" s="2">
        <v>9</v>
      </c>
      <c r="R26" s="94">
        <v>8</v>
      </c>
      <c r="S26" s="3" t="s">
        <v>143</v>
      </c>
      <c r="T26" s="2">
        <v>47.83</v>
      </c>
      <c r="U26" s="55">
        <v>9</v>
      </c>
      <c r="V26" s="3" t="s">
        <v>509</v>
      </c>
      <c r="W26" s="2" t="s">
        <v>509</v>
      </c>
      <c r="X26" s="4" t="s">
        <v>509</v>
      </c>
      <c r="Y26" s="3" t="s">
        <v>509</v>
      </c>
      <c r="Z26" s="2" t="s">
        <v>509</v>
      </c>
      <c r="AA26" s="4" t="s">
        <v>509</v>
      </c>
    </row>
    <row r="27" spans="1:27" x14ac:dyDescent="0.25">
      <c r="A27" s="3" t="s">
        <v>144</v>
      </c>
      <c r="B27" s="121">
        <v>0.73437246359999997</v>
      </c>
      <c r="C27" s="4">
        <v>23</v>
      </c>
      <c r="D27" s="168" t="s">
        <v>146</v>
      </c>
      <c r="E27" s="165">
        <v>3.5459220566653113E-2</v>
      </c>
      <c r="F27" s="55">
        <v>13</v>
      </c>
      <c r="G27" s="152" t="s">
        <v>75</v>
      </c>
      <c r="H27" s="164">
        <v>5.9582049659772901E-2</v>
      </c>
      <c r="I27" s="55">
        <v>14</v>
      </c>
      <c r="J27" s="153" t="s">
        <v>139</v>
      </c>
      <c r="K27" s="164">
        <v>0.10149097258120408</v>
      </c>
      <c r="L27" s="55">
        <v>14</v>
      </c>
      <c r="M27" s="149" t="s">
        <v>14</v>
      </c>
      <c r="N27">
        <v>30.99</v>
      </c>
      <c r="O27">
        <v>17</v>
      </c>
      <c r="P27" s="3" t="s">
        <v>136</v>
      </c>
      <c r="Q27" s="2">
        <v>8</v>
      </c>
      <c r="R27" s="94">
        <v>9</v>
      </c>
      <c r="S27" s="3" t="s">
        <v>144</v>
      </c>
      <c r="T27" s="2">
        <v>47.83</v>
      </c>
      <c r="U27" s="55">
        <v>9</v>
      </c>
      <c r="V27" s="3" t="s">
        <v>509</v>
      </c>
      <c r="W27" s="2" t="s">
        <v>509</v>
      </c>
      <c r="X27" s="4" t="s">
        <v>509</v>
      </c>
      <c r="Y27" s="3" t="s">
        <v>509</v>
      </c>
      <c r="Z27" s="2" t="s">
        <v>509</v>
      </c>
      <c r="AA27" s="4" t="s">
        <v>509</v>
      </c>
    </row>
    <row r="28" spans="1:27" x14ac:dyDescent="0.25">
      <c r="A28" s="3" t="s">
        <v>141</v>
      </c>
      <c r="B28" s="121">
        <v>0.68702992269999996</v>
      </c>
      <c r="C28" s="4">
        <v>24</v>
      </c>
      <c r="D28" s="167" t="s">
        <v>14</v>
      </c>
      <c r="E28" s="165">
        <v>2.4505001884998604E-2</v>
      </c>
      <c r="F28" s="55">
        <v>14</v>
      </c>
      <c r="G28" s="56" t="s">
        <v>140</v>
      </c>
      <c r="H28" s="164">
        <v>4.3337354275380539E-2</v>
      </c>
      <c r="I28" s="55">
        <v>15</v>
      </c>
      <c r="J28" s="153" t="s">
        <v>14</v>
      </c>
      <c r="K28" s="164">
        <v>8.1968914908465806E-2</v>
      </c>
      <c r="L28" s="55">
        <v>15</v>
      </c>
      <c r="M28" s="149" t="s">
        <v>137</v>
      </c>
      <c r="N28">
        <v>29.58</v>
      </c>
      <c r="O28">
        <v>18</v>
      </c>
      <c r="P28" s="67" t="s">
        <v>14</v>
      </c>
      <c r="Q28" s="2">
        <v>7</v>
      </c>
      <c r="R28" s="94">
        <v>10</v>
      </c>
      <c r="S28" s="3" t="s">
        <v>138</v>
      </c>
      <c r="T28" s="2">
        <v>43.48</v>
      </c>
      <c r="U28" s="55">
        <v>10</v>
      </c>
      <c r="V28" s="3" t="s">
        <v>509</v>
      </c>
      <c r="W28" s="2" t="s">
        <v>509</v>
      </c>
      <c r="X28" s="4" t="s">
        <v>509</v>
      </c>
      <c r="Y28" s="3" t="s">
        <v>509</v>
      </c>
      <c r="Z28" s="2" t="s">
        <v>509</v>
      </c>
      <c r="AA28" s="4" t="s">
        <v>509</v>
      </c>
    </row>
    <row r="29" spans="1:27" x14ac:dyDescent="0.25">
      <c r="A29" s="3" t="s">
        <v>130</v>
      </c>
      <c r="B29" s="121">
        <v>0.63402477359999998</v>
      </c>
      <c r="C29" s="4">
        <v>25</v>
      </c>
      <c r="D29" s="167" t="s">
        <v>137</v>
      </c>
      <c r="E29" s="165">
        <v>1.5139114226736456E-2</v>
      </c>
      <c r="F29" s="55">
        <v>14</v>
      </c>
      <c r="G29" s="56" t="s">
        <v>147</v>
      </c>
      <c r="H29" s="164">
        <v>3.0971341420358671E-2</v>
      </c>
      <c r="I29" s="55">
        <v>16</v>
      </c>
      <c r="J29" s="56" t="s">
        <v>146</v>
      </c>
      <c r="K29" s="164">
        <v>6.9691110826537478E-2</v>
      </c>
      <c r="L29" s="55">
        <v>16</v>
      </c>
      <c r="M29" s="149" t="s">
        <v>139</v>
      </c>
      <c r="N29">
        <v>28.17</v>
      </c>
      <c r="O29">
        <v>19</v>
      </c>
      <c r="P29" s="3" t="s">
        <v>145</v>
      </c>
      <c r="Q29" s="2">
        <v>7</v>
      </c>
      <c r="R29" s="94">
        <v>10</v>
      </c>
      <c r="S29" s="3" t="s">
        <v>142</v>
      </c>
      <c r="T29" s="2">
        <v>43.48</v>
      </c>
      <c r="U29" s="55">
        <v>10</v>
      </c>
      <c r="V29" s="3" t="s">
        <v>509</v>
      </c>
      <c r="W29" s="2" t="s">
        <v>509</v>
      </c>
      <c r="X29" s="4" t="s">
        <v>509</v>
      </c>
      <c r="Y29" s="3" t="s">
        <v>509</v>
      </c>
      <c r="Z29" s="2" t="s">
        <v>509</v>
      </c>
      <c r="AA29" s="4" t="s">
        <v>509</v>
      </c>
    </row>
    <row r="30" spans="1:27" x14ac:dyDescent="0.25">
      <c r="A30" s="3" t="s">
        <v>75</v>
      </c>
      <c r="B30" s="121">
        <v>0.6322829553</v>
      </c>
      <c r="C30" s="4">
        <v>25</v>
      </c>
      <c r="D30" s="168" t="s">
        <v>142</v>
      </c>
      <c r="E30" s="165">
        <v>-1.8679022098357571E-3</v>
      </c>
      <c r="F30" s="55">
        <v>15</v>
      </c>
      <c r="G30" s="56" t="s">
        <v>127</v>
      </c>
      <c r="H30" s="164">
        <v>2.1461359812542012E-2</v>
      </c>
      <c r="I30" s="55">
        <v>17</v>
      </c>
      <c r="J30" s="56" t="s">
        <v>142</v>
      </c>
      <c r="K30" s="164">
        <v>4.6384407486983525E-2</v>
      </c>
      <c r="L30" s="55">
        <v>17</v>
      </c>
      <c r="M30" t="s">
        <v>127</v>
      </c>
      <c r="N30">
        <v>28.17</v>
      </c>
      <c r="O30">
        <v>19</v>
      </c>
      <c r="P30" s="3" t="s">
        <v>127</v>
      </c>
      <c r="Q30" s="2">
        <v>7</v>
      </c>
      <c r="R30" s="94">
        <v>10</v>
      </c>
      <c r="S30" s="3" t="s">
        <v>130</v>
      </c>
      <c r="T30" s="2">
        <v>43.48</v>
      </c>
      <c r="U30" s="55">
        <v>10</v>
      </c>
      <c r="V30" s="3" t="s">
        <v>509</v>
      </c>
      <c r="W30" s="2" t="s">
        <v>509</v>
      </c>
      <c r="X30" s="4" t="s">
        <v>509</v>
      </c>
      <c r="Y30" s="3" t="s">
        <v>509</v>
      </c>
      <c r="Z30" s="2" t="s">
        <v>509</v>
      </c>
      <c r="AA30" s="4" t="s">
        <v>509</v>
      </c>
    </row>
    <row r="31" spans="1:27" x14ac:dyDescent="0.25">
      <c r="A31" s="3" t="s">
        <v>85</v>
      </c>
      <c r="B31" s="121">
        <v>0.59972888899999999</v>
      </c>
      <c r="C31" s="4">
        <v>26</v>
      </c>
      <c r="D31" s="168" t="s">
        <v>147</v>
      </c>
      <c r="E31" s="165">
        <v>-1.3777219859674152E-2</v>
      </c>
      <c r="F31" s="55">
        <v>16</v>
      </c>
      <c r="G31" s="56" t="s">
        <v>143</v>
      </c>
      <c r="H31" s="164">
        <v>1.7521473362708904E-2</v>
      </c>
      <c r="I31" s="55">
        <v>17</v>
      </c>
      <c r="J31" s="56" t="s">
        <v>141</v>
      </c>
      <c r="K31" s="164">
        <v>4.4959016248035055E-2</v>
      </c>
      <c r="L31" s="55">
        <v>18</v>
      </c>
      <c r="M31" t="s">
        <v>143</v>
      </c>
      <c r="N31">
        <v>26.76</v>
      </c>
      <c r="O31">
        <v>20</v>
      </c>
      <c r="P31" s="3" t="s">
        <v>128</v>
      </c>
      <c r="Q31" s="2">
        <v>7</v>
      </c>
      <c r="R31" s="94">
        <v>10</v>
      </c>
      <c r="S31" s="3" t="s">
        <v>129</v>
      </c>
      <c r="T31" s="2">
        <v>43.48</v>
      </c>
      <c r="U31" s="55">
        <v>10</v>
      </c>
      <c r="V31" s="3" t="s">
        <v>509</v>
      </c>
      <c r="W31" s="2" t="s">
        <v>509</v>
      </c>
      <c r="X31" s="4" t="s">
        <v>509</v>
      </c>
      <c r="Y31" s="3" t="s">
        <v>509</v>
      </c>
      <c r="Z31" s="2" t="s">
        <v>509</v>
      </c>
      <c r="AA31" s="4" t="s">
        <v>509</v>
      </c>
    </row>
    <row r="32" spans="1:27" x14ac:dyDescent="0.25">
      <c r="A32" s="3" t="s">
        <v>129</v>
      </c>
      <c r="B32" s="121">
        <v>0.55556531440000001</v>
      </c>
      <c r="C32" s="4">
        <v>27</v>
      </c>
      <c r="D32" s="168" t="s">
        <v>141</v>
      </c>
      <c r="E32" s="165">
        <v>-1.8218664575113175E-2</v>
      </c>
      <c r="F32" s="55">
        <v>17</v>
      </c>
      <c r="G32" s="56" t="s">
        <v>130</v>
      </c>
      <c r="H32" s="164">
        <v>1.7079412437679051E-2</v>
      </c>
      <c r="I32" s="55">
        <v>17</v>
      </c>
      <c r="J32" s="56" t="s">
        <v>147</v>
      </c>
      <c r="K32" s="164">
        <v>1.8590526405979069E-2</v>
      </c>
      <c r="L32" s="55">
        <v>19</v>
      </c>
      <c r="M32" t="s">
        <v>142</v>
      </c>
      <c r="N32">
        <v>26.76</v>
      </c>
      <c r="O32">
        <v>20</v>
      </c>
      <c r="P32" s="3" t="s">
        <v>132</v>
      </c>
      <c r="Q32" s="2">
        <v>7</v>
      </c>
      <c r="R32" s="94">
        <v>10</v>
      </c>
      <c r="S32" s="67" t="s">
        <v>139</v>
      </c>
      <c r="T32" s="2">
        <v>39.130000000000003</v>
      </c>
      <c r="U32" s="55">
        <v>11</v>
      </c>
      <c r="V32" s="3" t="s">
        <v>509</v>
      </c>
      <c r="W32" s="2" t="s">
        <v>509</v>
      </c>
      <c r="X32" s="4" t="s">
        <v>509</v>
      </c>
      <c r="Y32" s="3" t="s">
        <v>509</v>
      </c>
      <c r="Z32" s="2" t="s">
        <v>509</v>
      </c>
      <c r="AA32" s="4" t="s">
        <v>509</v>
      </c>
    </row>
    <row r="33" spans="1:27" x14ac:dyDescent="0.25">
      <c r="A33" s="3" t="s">
        <v>134</v>
      </c>
      <c r="B33" s="121">
        <v>0.55211497369999996</v>
      </c>
      <c r="C33" s="4">
        <v>28</v>
      </c>
      <c r="D33" s="168" t="s">
        <v>143</v>
      </c>
      <c r="E33" s="165">
        <v>-2.7122597918020828E-2</v>
      </c>
      <c r="F33" s="55">
        <v>18</v>
      </c>
      <c r="G33" s="56" t="s">
        <v>144</v>
      </c>
      <c r="H33" s="164">
        <v>1.1057866639947695E-2</v>
      </c>
      <c r="I33" s="55">
        <v>18</v>
      </c>
      <c r="J33" s="56" t="s">
        <v>129</v>
      </c>
      <c r="K33" s="164">
        <v>6.9919248241774095E-3</v>
      </c>
      <c r="L33" s="55">
        <v>20</v>
      </c>
      <c r="M33" t="s">
        <v>129</v>
      </c>
      <c r="N33">
        <v>26.76</v>
      </c>
      <c r="O33">
        <v>20</v>
      </c>
      <c r="P33" s="67" t="s">
        <v>137</v>
      </c>
      <c r="Q33" s="2">
        <v>6</v>
      </c>
      <c r="R33" s="94">
        <v>11</v>
      </c>
      <c r="S33" s="67" t="s">
        <v>14</v>
      </c>
      <c r="T33" s="2">
        <v>39.130000000000003</v>
      </c>
      <c r="U33" s="55">
        <v>11</v>
      </c>
      <c r="V33" s="3" t="s">
        <v>509</v>
      </c>
      <c r="W33" s="2" t="s">
        <v>509</v>
      </c>
      <c r="X33" s="4" t="s">
        <v>509</v>
      </c>
      <c r="Y33" s="3" t="s">
        <v>509</v>
      </c>
      <c r="Z33" s="2" t="s">
        <v>509</v>
      </c>
      <c r="AA33" s="4" t="s">
        <v>509</v>
      </c>
    </row>
    <row r="34" spans="1:27" x14ac:dyDescent="0.25">
      <c r="A34" s="3" t="s">
        <v>140</v>
      </c>
      <c r="B34" s="121">
        <v>0.51616166419999998</v>
      </c>
      <c r="C34" s="4">
        <v>29</v>
      </c>
      <c r="D34" s="168" t="s">
        <v>127</v>
      </c>
      <c r="E34" s="165">
        <v>-3.2241226324195696E-2</v>
      </c>
      <c r="F34" s="55">
        <v>18</v>
      </c>
      <c r="G34" s="56" t="s">
        <v>142</v>
      </c>
      <c r="H34" s="164">
        <v>8.7173827675452124E-3</v>
      </c>
      <c r="I34" s="55">
        <v>18</v>
      </c>
      <c r="J34" s="56" t="s">
        <v>127</v>
      </c>
      <c r="K34" s="164">
        <v>-1.6060931217370945E-2</v>
      </c>
      <c r="L34" s="55">
        <v>21</v>
      </c>
      <c r="M34" t="s">
        <v>128</v>
      </c>
      <c r="N34">
        <v>26.76</v>
      </c>
      <c r="O34">
        <v>20</v>
      </c>
      <c r="P34" s="3" t="s">
        <v>142</v>
      </c>
      <c r="Q34" s="2">
        <v>6</v>
      </c>
      <c r="R34" s="94">
        <v>11</v>
      </c>
      <c r="S34" s="3" t="s">
        <v>146</v>
      </c>
      <c r="T34" s="2">
        <v>39.130000000000003</v>
      </c>
      <c r="U34" s="55">
        <v>11</v>
      </c>
      <c r="V34" s="3" t="s">
        <v>509</v>
      </c>
      <c r="W34" s="2" t="s">
        <v>509</v>
      </c>
      <c r="X34" s="4" t="s">
        <v>509</v>
      </c>
      <c r="Y34" s="3" t="s">
        <v>509</v>
      </c>
      <c r="Z34" s="2" t="s">
        <v>509</v>
      </c>
      <c r="AA34" s="4" t="s">
        <v>509</v>
      </c>
    </row>
    <row r="35" spans="1:27" x14ac:dyDescent="0.25">
      <c r="A35" s="3" t="s">
        <v>126</v>
      </c>
      <c r="B35" s="121">
        <v>0.51349923819999999</v>
      </c>
      <c r="C35" s="4">
        <v>30</v>
      </c>
      <c r="D35" s="168" t="s">
        <v>144</v>
      </c>
      <c r="E35" s="165">
        <v>-5.4113670697781315E-2</v>
      </c>
      <c r="F35" s="55">
        <v>19</v>
      </c>
      <c r="G35" s="153" t="s">
        <v>137</v>
      </c>
      <c r="H35" s="164">
        <v>8.5209883471319414E-3</v>
      </c>
      <c r="I35" s="55">
        <v>18</v>
      </c>
      <c r="J35" s="56" t="s">
        <v>143</v>
      </c>
      <c r="K35" s="164">
        <v>-2.4753024323981781E-2</v>
      </c>
      <c r="L35" s="55">
        <v>21</v>
      </c>
      <c r="M35" t="s">
        <v>134</v>
      </c>
      <c r="N35">
        <v>25.35</v>
      </c>
      <c r="O35">
        <v>21</v>
      </c>
      <c r="P35" s="3" t="s">
        <v>141</v>
      </c>
      <c r="Q35" s="2">
        <v>6</v>
      </c>
      <c r="R35" s="94">
        <v>11</v>
      </c>
      <c r="S35" s="3" t="s">
        <v>134</v>
      </c>
      <c r="T35" s="2">
        <v>39.130000000000003</v>
      </c>
      <c r="U35" s="55">
        <v>11</v>
      </c>
      <c r="V35" s="3" t="s">
        <v>509</v>
      </c>
      <c r="W35" s="2" t="s">
        <v>509</v>
      </c>
      <c r="X35" s="4" t="s">
        <v>509</v>
      </c>
      <c r="Y35" s="3" t="s">
        <v>509</v>
      </c>
      <c r="Z35" s="2" t="s">
        <v>509</v>
      </c>
      <c r="AA35" s="4" t="s">
        <v>509</v>
      </c>
    </row>
    <row r="36" spans="1:27" x14ac:dyDescent="0.25">
      <c r="A36" s="3" t="s">
        <v>106</v>
      </c>
      <c r="B36" s="121">
        <v>0.51340403570000004</v>
      </c>
      <c r="C36" s="4">
        <v>30</v>
      </c>
      <c r="D36" s="168" t="s">
        <v>130</v>
      </c>
      <c r="E36" s="165">
        <v>-6.4400498091880642E-2</v>
      </c>
      <c r="F36" s="55">
        <v>20</v>
      </c>
      <c r="G36" s="56" t="s">
        <v>145</v>
      </c>
      <c r="H36" s="164">
        <v>6.5165906026310493E-3</v>
      </c>
      <c r="I36" s="55">
        <v>18</v>
      </c>
      <c r="J36" s="56" t="s">
        <v>126</v>
      </c>
      <c r="K36" s="164">
        <v>-2.9281735322596619E-2</v>
      </c>
      <c r="L36" s="55">
        <v>22</v>
      </c>
      <c r="M36" t="s">
        <v>130</v>
      </c>
      <c r="N36">
        <v>23.94</v>
      </c>
      <c r="O36">
        <v>22</v>
      </c>
      <c r="P36" s="3" t="s">
        <v>129</v>
      </c>
      <c r="Q36" s="2">
        <v>6</v>
      </c>
      <c r="R36" s="94">
        <v>11</v>
      </c>
      <c r="S36" s="3" t="s">
        <v>147</v>
      </c>
      <c r="T36" s="2">
        <v>34.78</v>
      </c>
      <c r="U36" s="55">
        <v>12</v>
      </c>
      <c r="V36" s="3" t="s">
        <v>509</v>
      </c>
      <c r="W36" s="2" t="s">
        <v>509</v>
      </c>
      <c r="X36" s="4" t="s">
        <v>509</v>
      </c>
      <c r="Y36" s="3" t="s">
        <v>509</v>
      </c>
      <c r="Z36" s="2" t="s">
        <v>509</v>
      </c>
      <c r="AA36" s="4" t="s">
        <v>509</v>
      </c>
    </row>
    <row r="37" spans="1:27" x14ac:dyDescent="0.25">
      <c r="A37" s="3" t="s">
        <v>133</v>
      </c>
      <c r="B37" s="121">
        <v>0.47591796800000002</v>
      </c>
      <c r="C37" s="4">
        <v>31</v>
      </c>
      <c r="D37" s="168" t="s">
        <v>126</v>
      </c>
      <c r="E37" s="165">
        <v>-6.4728125166364628E-2</v>
      </c>
      <c r="F37" s="55">
        <v>20</v>
      </c>
      <c r="G37" s="56" t="s">
        <v>141</v>
      </c>
      <c r="H37" s="164">
        <v>-7.338902279710977E-3</v>
      </c>
      <c r="I37" s="55">
        <v>19</v>
      </c>
      <c r="J37" s="56" t="s">
        <v>134</v>
      </c>
      <c r="K37" s="164">
        <v>-5.409210288341771E-2</v>
      </c>
      <c r="L37" s="55">
        <v>23</v>
      </c>
      <c r="M37" t="s">
        <v>144</v>
      </c>
      <c r="N37">
        <v>22.54</v>
      </c>
      <c r="O37">
        <v>23</v>
      </c>
      <c r="P37" s="3" t="s">
        <v>131</v>
      </c>
      <c r="Q37" s="2">
        <v>6</v>
      </c>
      <c r="R37" s="94">
        <v>11</v>
      </c>
      <c r="S37" s="3" t="s">
        <v>127</v>
      </c>
      <c r="T37" s="2">
        <v>34.78</v>
      </c>
      <c r="U37" s="55">
        <v>12</v>
      </c>
      <c r="V37" s="3" t="s">
        <v>509</v>
      </c>
      <c r="W37" s="2" t="s">
        <v>509</v>
      </c>
      <c r="X37" s="4" t="s">
        <v>509</v>
      </c>
      <c r="Y37" s="3" t="s">
        <v>509</v>
      </c>
      <c r="Z37" s="2" t="s">
        <v>509</v>
      </c>
      <c r="AA37" s="4" t="s">
        <v>509</v>
      </c>
    </row>
    <row r="38" spans="1:27" x14ac:dyDescent="0.25">
      <c r="A38" s="3" t="s">
        <v>136</v>
      </c>
      <c r="B38" s="121">
        <v>0.43965963330000002</v>
      </c>
      <c r="C38" s="4">
        <v>32</v>
      </c>
      <c r="D38" s="168" t="s">
        <v>145</v>
      </c>
      <c r="E38" s="165">
        <v>-6.5026272233437446E-2</v>
      </c>
      <c r="F38" s="55">
        <v>21</v>
      </c>
      <c r="G38" s="56" t="s">
        <v>135</v>
      </c>
      <c r="H38" s="164">
        <v>-2.227815312927714E-2</v>
      </c>
      <c r="I38" s="55">
        <v>20</v>
      </c>
      <c r="J38" s="56" t="s">
        <v>144</v>
      </c>
      <c r="K38" s="164">
        <v>-6.7155862135403699E-2</v>
      </c>
      <c r="L38" s="55">
        <v>24</v>
      </c>
      <c r="M38" t="s">
        <v>132</v>
      </c>
      <c r="N38">
        <v>22.54</v>
      </c>
      <c r="O38">
        <v>23</v>
      </c>
      <c r="P38" s="3" t="s">
        <v>147</v>
      </c>
      <c r="Q38" s="2">
        <v>5</v>
      </c>
      <c r="R38" s="94">
        <v>12</v>
      </c>
      <c r="S38" s="3" t="s">
        <v>141</v>
      </c>
      <c r="T38" s="2">
        <v>34.78</v>
      </c>
      <c r="U38" s="55">
        <v>12</v>
      </c>
      <c r="V38" s="3" t="s">
        <v>509</v>
      </c>
      <c r="W38" s="2" t="s">
        <v>509</v>
      </c>
      <c r="X38" s="4" t="s">
        <v>509</v>
      </c>
      <c r="Y38" s="3" t="s">
        <v>509</v>
      </c>
      <c r="Z38" s="2" t="s">
        <v>509</v>
      </c>
      <c r="AA38" s="4" t="s">
        <v>509</v>
      </c>
    </row>
    <row r="39" spans="1:27" x14ac:dyDescent="0.25">
      <c r="A39" s="3" t="s">
        <v>128</v>
      </c>
      <c r="B39" s="121">
        <v>0.437194464</v>
      </c>
      <c r="C39" s="4">
        <v>32</v>
      </c>
      <c r="D39" s="168" t="s">
        <v>129</v>
      </c>
      <c r="E39" s="165">
        <v>-6.9305170896366314E-2</v>
      </c>
      <c r="F39" s="55">
        <v>21</v>
      </c>
      <c r="G39" s="56" t="s">
        <v>136</v>
      </c>
      <c r="H39" s="164">
        <v>-4.0293526791902554E-2</v>
      </c>
      <c r="I39" s="55">
        <v>21</v>
      </c>
      <c r="J39" s="56" t="s">
        <v>135</v>
      </c>
      <c r="K39" s="164">
        <v>-7.6650398126350106E-2</v>
      </c>
      <c r="L39" s="55">
        <v>25</v>
      </c>
      <c r="M39" t="s">
        <v>131</v>
      </c>
      <c r="N39">
        <v>22.54</v>
      </c>
      <c r="O39">
        <v>23</v>
      </c>
      <c r="P39" s="3" t="s">
        <v>143</v>
      </c>
      <c r="Q39" s="2">
        <v>5</v>
      </c>
      <c r="R39" s="94">
        <v>12</v>
      </c>
      <c r="S39" s="3" t="s">
        <v>133</v>
      </c>
      <c r="T39" s="2">
        <v>34.78</v>
      </c>
      <c r="U39" s="55">
        <v>12</v>
      </c>
      <c r="V39" s="3" t="s">
        <v>509</v>
      </c>
      <c r="W39" s="2" t="s">
        <v>509</v>
      </c>
      <c r="X39" s="4" t="s">
        <v>509</v>
      </c>
      <c r="Y39" s="3" t="s">
        <v>509</v>
      </c>
      <c r="Z39" s="2" t="s">
        <v>509</v>
      </c>
      <c r="AA39" s="4" t="s">
        <v>509</v>
      </c>
    </row>
    <row r="40" spans="1:27" x14ac:dyDescent="0.25">
      <c r="A40" s="3" t="s">
        <v>135</v>
      </c>
      <c r="B40" s="121">
        <v>0.35590036559999999</v>
      </c>
      <c r="C40" s="4">
        <v>33</v>
      </c>
      <c r="D40" s="168" t="s">
        <v>135</v>
      </c>
      <c r="E40" s="165">
        <v>-7.7107535011727388E-2</v>
      </c>
      <c r="F40" s="55">
        <v>22</v>
      </c>
      <c r="G40" s="56" t="s">
        <v>126</v>
      </c>
      <c r="H40" s="164">
        <v>-4.5758687019203055E-2</v>
      </c>
      <c r="I40" s="55">
        <v>22</v>
      </c>
      <c r="J40" s="56" t="s">
        <v>132</v>
      </c>
      <c r="K40" s="164">
        <v>-8.367421781219532E-2</v>
      </c>
      <c r="L40" s="55">
        <v>25</v>
      </c>
      <c r="M40" t="s">
        <v>147</v>
      </c>
      <c r="N40">
        <v>21.13</v>
      </c>
      <c r="O40">
        <v>24</v>
      </c>
      <c r="P40" s="3" t="s">
        <v>130</v>
      </c>
      <c r="Q40" s="2">
        <v>5</v>
      </c>
      <c r="R40" s="94">
        <v>12</v>
      </c>
      <c r="S40" s="3" t="s">
        <v>128</v>
      </c>
      <c r="T40" s="2">
        <v>34.78</v>
      </c>
      <c r="U40" s="55">
        <v>12</v>
      </c>
      <c r="V40" s="3" t="s">
        <v>509</v>
      </c>
      <c r="W40" s="2" t="s">
        <v>509</v>
      </c>
      <c r="X40" s="4" t="s">
        <v>509</v>
      </c>
      <c r="Y40" s="3" t="s">
        <v>509</v>
      </c>
      <c r="Z40" s="2" t="s">
        <v>509</v>
      </c>
      <c r="AA40" s="4" t="s">
        <v>509</v>
      </c>
    </row>
    <row r="41" spans="1:27" x14ac:dyDescent="0.25">
      <c r="A41" s="3" t="s">
        <v>105</v>
      </c>
      <c r="B41" s="121">
        <v>0.34712276590000002</v>
      </c>
      <c r="C41" s="4">
        <v>34</v>
      </c>
      <c r="D41" s="168" t="s">
        <v>134</v>
      </c>
      <c r="E41" s="165">
        <v>-8.1189882582459863E-2</v>
      </c>
      <c r="F41" s="55">
        <v>22</v>
      </c>
      <c r="G41" s="56" t="s">
        <v>134</v>
      </c>
      <c r="H41" s="164">
        <v>-5.3305865020208378E-2</v>
      </c>
      <c r="I41" s="55">
        <v>22</v>
      </c>
      <c r="J41" s="56" t="s">
        <v>128</v>
      </c>
      <c r="K41" s="164">
        <v>-8.6391623291584813E-2</v>
      </c>
      <c r="L41" s="55">
        <v>26</v>
      </c>
      <c r="M41" t="s">
        <v>141</v>
      </c>
      <c r="N41">
        <v>21.13</v>
      </c>
      <c r="O41">
        <v>24</v>
      </c>
      <c r="P41" s="3" t="s">
        <v>134</v>
      </c>
      <c r="Q41" s="2">
        <v>5</v>
      </c>
      <c r="R41" s="94">
        <v>12</v>
      </c>
      <c r="S41" s="3" t="s">
        <v>126</v>
      </c>
      <c r="T41" s="2">
        <v>30.43</v>
      </c>
      <c r="U41" s="55">
        <v>13</v>
      </c>
      <c r="V41" s="3" t="s">
        <v>509</v>
      </c>
      <c r="W41" s="2" t="s">
        <v>509</v>
      </c>
      <c r="X41" s="4" t="s">
        <v>509</v>
      </c>
      <c r="Y41" s="3" t="s">
        <v>509</v>
      </c>
      <c r="Z41" s="2" t="s">
        <v>509</v>
      </c>
      <c r="AA41" s="4" t="s">
        <v>509</v>
      </c>
    </row>
    <row r="42" spans="1:27" x14ac:dyDescent="0.25">
      <c r="A42" s="3" t="s">
        <v>132</v>
      </c>
      <c r="B42" s="121">
        <v>0.33972321329999999</v>
      </c>
      <c r="C42" s="4">
        <v>35</v>
      </c>
      <c r="D42" s="168" t="s">
        <v>128</v>
      </c>
      <c r="E42" s="165">
        <v>-0.10176528304125264</v>
      </c>
      <c r="F42" s="55">
        <v>23</v>
      </c>
      <c r="G42" s="56" t="s">
        <v>128</v>
      </c>
      <c r="H42" s="164">
        <v>-6.4149418388647086E-2</v>
      </c>
      <c r="I42" s="55">
        <v>23</v>
      </c>
      <c r="J42" s="56" t="s">
        <v>131</v>
      </c>
      <c r="K42" s="164">
        <v>-9.0084898279780376E-2</v>
      </c>
      <c r="L42" s="55">
        <v>26</v>
      </c>
      <c r="M42" t="s">
        <v>133</v>
      </c>
      <c r="N42">
        <v>21.13</v>
      </c>
      <c r="O42">
        <v>24</v>
      </c>
      <c r="P42" s="3" t="s">
        <v>133</v>
      </c>
      <c r="Q42" s="2">
        <v>5</v>
      </c>
      <c r="R42" s="94">
        <v>12</v>
      </c>
      <c r="S42" s="3" t="s">
        <v>132</v>
      </c>
      <c r="T42" s="2">
        <v>30.43</v>
      </c>
      <c r="U42" s="55">
        <v>13</v>
      </c>
      <c r="V42" s="3" t="s">
        <v>509</v>
      </c>
      <c r="W42" s="2" t="s">
        <v>509</v>
      </c>
      <c r="X42" s="4" t="s">
        <v>509</v>
      </c>
      <c r="Y42" s="3" t="s">
        <v>509</v>
      </c>
      <c r="Z42" s="2" t="s">
        <v>509</v>
      </c>
      <c r="AA42" s="4" t="s">
        <v>509</v>
      </c>
    </row>
    <row r="43" spans="1:27" x14ac:dyDescent="0.25">
      <c r="A43" s="3" t="s">
        <v>108</v>
      </c>
      <c r="B43" s="121">
        <v>0.3104820814</v>
      </c>
      <c r="C43" s="4">
        <v>36</v>
      </c>
      <c r="D43" s="168" t="s">
        <v>132</v>
      </c>
      <c r="E43" s="165">
        <v>-0.10572446569704995</v>
      </c>
      <c r="F43" s="55">
        <v>24</v>
      </c>
      <c r="G43" s="56" t="s">
        <v>131</v>
      </c>
      <c r="H43" s="164">
        <v>-9.2078421122188253E-2</v>
      </c>
      <c r="I43" s="55">
        <v>24</v>
      </c>
      <c r="J43" s="56" t="s">
        <v>145</v>
      </c>
      <c r="K43" s="164">
        <v>-9.0155588195125161E-2</v>
      </c>
      <c r="L43" s="55">
        <v>26</v>
      </c>
      <c r="M43" t="s">
        <v>145</v>
      </c>
      <c r="N43">
        <v>19.72</v>
      </c>
      <c r="O43">
        <v>25</v>
      </c>
      <c r="P43" s="3" t="s">
        <v>135</v>
      </c>
      <c r="Q43" s="2">
        <v>5</v>
      </c>
      <c r="R43" s="94">
        <v>12</v>
      </c>
      <c r="S43" s="3" t="s">
        <v>145</v>
      </c>
      <c r="T43" s="2">
        <v>26.09</v>
      </c>
      <c r="U43" s="55">
        <v>14</v>
      </c>
      <c r="V43" s="3" t="s">
        <v>509</v>
      </c>
      <c r="W43" s="2" t="s">
        <v>509</v>
      </c>
      <c r="X43" s="4" t="s">
        <v>509</v>
      </c>
      <c r="Y43" s="3" t="s">
        <v>509</v>
      </c>
      <c r="Z43" s="2" t="s">
        <v>509</v>
      </c>
      <c r="AA43" s="4" t="s">
        <v>509</v>
      </c>
    </row>
    <row r="44" spans="1:27" x14ac:dyDescent="0.25">
      <c r="A44" s="3" t="s">
        <v>104</v>
      </c>
      <c r="B44" s="121">
        <v>0.27220278419999999</v>
      </c>
      <c r="C44" s="4">
        <v>37</v>
      </c>
      <c r="D44" s="168" t="s">
        <v>136</v>
      </c>
      <c r="E44" s="165">
        <v>-0.11052626455424826</v>
      </c>
      <c r="F44" s="55">
        <v>24</v>
      </c>
      <c r="G44" s="56" t="s">
        <v>129</v>
      </c>
      <c r="H44" s="164">
        <v>-9.7874394913739435E-2</v>
      </c>
      <c r="I44" s="55">
        <v>25</v>
      </c>
      <c r="J44" s="56" t="s">
        <v>130</v>
      </c>
      <c r="K44" s="164">
        <v>-9.6112852440621288E-2</v>
      </c>
      <c r="L44" s="55">
        <v>27</v>
      </c>
      <c r="M44" t="s">
        <v>135</v>
      </c>
      <c r="N44">
        <v>19.72</v>
      </c>
      <c r="O44">
        <v>25</v>
      </c>
      <c r="P44" s="67" t="s">
        <v>139</v>
      </c>
      <c r="Q44" s="2">
        <v>4</v>
      </c>
      <c r="R44" s="94">
        <v>13</v>
      </c>
      <c r="S44" s="3" t="s">
        <v>135</v>
      </c>
      <c r="T44" s="2">
        <v>26.09</v>
      </c>
      <c r="U44" s="55">
        <v>14</v>
      </c>
      <c r="V44" s="3" t="s">
        <v>509</v>
      </c>
      <c r="W44" s="2" t="s">
        <v>509</v>
      </c>
      <c r="X44" s="4" t="s">
        <v>509</v>
      </c>
      <c r="Y44" s="3" t="s">
        <v>509</v>
      </c>
      <c r="Z44" s="2" t="s">
        <v>509</v>
      </c>
      <c r="AA44" s="4" t="s">
        <v>509</v>
      </c>
    </row>
    <row r="45" spans="1:27" x14ac:dyDescent="0.25">
      <c r="A45" s="3" t="s">
        <v>103</v>
      </c>
      <c r="B45" s="121">
        <v>0.26960851089999999</v>
      </c>
      <c r="C45" s="4">
        <v>37</v>
      </c>
      <c r="D45" s="168" t="s">
        <v>133</v>
      </c>
      <c r="E45" s="165">
        <v>-0.1415916008270568</v>
      </c>
      <c r="F45" s="55">
        <v>25</v>
      </c>
      <c r="G45" s="56" t="s">
        <v>132</v>
      </c>
      <c r="H45" s="164">
        <v>-0.11085244096593046</v>
      </c>
      <c r="I45" s="55">
        <v>26</v>
      </c>
      <c r="J45" s="56" t="s">
        <v>133</v>
      </c>
      <c r="K45" s="164">
        <v>-0.11192805671958019</v>
      </c>
      <c r="L45" s="55">
        <v>28</v>
      </c>
      <c r="M45" t="s">
        <v>126</v>
      </c>
      <c r="N45">
        <v>18.309999999999999</v>
      </c>
      <c r="O45">
        <v>26</v>
      </c>
      <c r="P45" s="3" t="s">
        <v>144</v>
      </c>
      <c r="Q45" s="2">
        <v>4</v>
      </c>
      <c r="R45" s="94">
        <v>13</v>
      </c>
      <c r="S45" s="3" t="s">
        <v>131</v>
      </c>
      <c r="T45" s="2">
        <v>26.09</v>
      </c>
      <c r="U45" s="55">
        <v>14</v>
      </c>
      <c r="V45" s="3" t="s">
        <v>509</v>
      </c>
      <c r="W45" s="2" t="s">
        <v>509</v>
      </c>
      <c r="X45" s="4" t="s">
        <v>509</v>
      </c>
      <c r="Y45" s="3" t="s">
        <v>509</v>
      </c>
      <c r="Z45" s="2" t="s">
        <v>509</v>
      </c>
      <c r="AA45" s="4" t="s">
        <v>509</v>
      </c>
    </row>
    <row r="46" spans="1:27" x14ac:dyDescent="0.25">
      <c r="A46" s="3" t="s">
        <v>131</v>
      </c>
      <c r="B46" s="121">
        <v>0.25527397140000002</v>
      </c>
      <c r="C46" s="4">
        <v>38</v>
      </c>
      <c r="D46" s="171" t="s">
        <v>131</v>
      </c>
      <c r="E46" s="165">
        <v>-0.15148168082551672</v>
      </c>
      <c r="F46" s="55">
        <v>26</v>
      </c>
      <c r="G46" s="56" t="s">
        <v>133</v>
      </c>
      <c r="H46" s="164">
        <v>-0.17737842658510874</v>
      </c>
      <c r="I46" s="55">
        <v>27</v>
      </c>
      <c r="J46" s="56" t="s">
        <v>136</v>
      </c>
      <c r="K46" s="164">
        <v>-0.11562202924428537</v>
      </c>
      <c r="L46" s="55">
        <v>29</v>
      </c>
      <c r="M46" t="s">
        <v>136</v>
      </c>
      <c r="N46">
        <v>18.309999999999999</v>
      </c>
      <c r="O46">
        <v>26</v>
      </c>
      <c r="P46" s="3" t="s">
        <v>126</v>
      </c>
      <c r="Q46" s="2">
        <v>4</v>
      </c>
      <c r="R46" s="94">
        <v>13</v>
      </c>
      <c r="S46" s="3" t="s">
        <v>136</v>
      </c>
      <c r="T46" s="2">
        <v>21.74</v>
      </c>
      <c r="U46" s="55">
        <v>15</v>
      </c>
      <c r="V46" s="3" t="s">
        <v>509</v>
      </c>
      <c r="W46" s="2" t="s">
        <v>509</v>
      </c>
      <c r="X46" s="4" t="s">
        <v>509</v>
      </c>
      <c r="Y46" s="3" t="s">
        <v>509</v>
      </c>
      <c r="Z46" s="2" t="s">
        <v>509</v>
      </c>
      <c r="AA46" s="4" t="s">
        <v>509</v>
      </c>
    </row>
    <row r="47" spans="1:27" x14ac:dyDescent="0.25">
      <c r="A47" s="3"/>
      <c r="B47" s="121"/>
      <c r="C47" s="4"/>
      <c r="D47" s="150"/>
      <c r="E47" s="36"/>
      <c r="F47" s="53"/>
      <c r="G47" s="150"/>
      <c r="H47" s="36"/>
      <c r="I47" s="53"/>
      <c r="J47" s="150"/>
      <c r="K47" s="36"/>
      <c r="L47" s="53"/>
      <c r="P47" s="3"/>
      <c r="Q47" s="2"/>
      <c r="R47" s="4"/>
      <c r="S47" s="3"/>
      <c r="T47" s="2"/>
      <c r="U47" s="4"/>
      <c r="V47" s="3"/>
      <c r="W47" s="2"/>
      <c r="X47" s="4"/>
      <c r="Y47" s="3"/>
      <c r="Z47" s="2"/>
      <c r="AA47" s="4"/>
    </row>
    <row r="48" spans="1:27" ht="15.75" thickBot="1" x14ac:dyDescent="0.3">
      <c r="A48" s="197" t="s">
        <v>20</v>
      </c>
      <c r="B48" s="198"/>
      <c r="C48" s="199"/>
      <c r="D48" s="197" t="s">
        <v>20</v>
      </c>
      <c r="E48" s="198"/>
      <c r="F48" s="199"/>
      <c r="G48" s="197" t="s">
        <v>20</v>
      </c>
      <c r="H48" s="198"/>
      <c r="I48" s="199"/>
      <c r="J48" s="197" t="s">
        <v>20</v>
      </c>
      <c r="K48" s="198"/>
      <c r="L48" s="199"/>
      <c r="M48" s="197" t="s">
        <v>20</v>
      </c>
      <c r="N48" s="198"/>
      <c r="O48" s="198"/>
      <c r="P48" s="197" t="s">
        <v>20</v>
      </c>
      <c r="Q48" s="198"/>
      <c r="R48" s="199"/>
      <c r="S48" s="197" t="s">
        <v>20</v>
      </c>
      <c r="T48" s="198"/>
      <c r="U48" s="199"/>
      <c r="V48" s="197" t="s">
        <v>20</v>
      </c>
      <c r="W48" s="198"/>
      <c r="X48" s="199"/>
      <c r="Y48" s="197" t="s">
        <v>20</v>
      </c>
      <c r="Z48" s="198"/>
      <c r="AA48" s="199"/>
    </row>
    <row r="49" spans="1:30" x14ac:dyDescent="0.25">
      <c r="A49" s="2"/>
      <c r="B49" s="121"/>
      <c r="C49" s="2"/>
      <c r="D49" s="151"/>
      <c r="E49" s="36"/>
      <c r="F49" s="12"/>
      <c r="I49" s="12"/>
      <c r="J49" s="151"/>
      <c r="K49" s="36"/>
      <c r="L49" s="12"/>
    </row>
    <row r="50" spans="1:30" ht="15.75" thickBot="1" x14ac:dyDescent="0.3">
      <c r="A50" s="2"/>
      <c r="B50" s="121"/>
      <c r="C50" s="2"/>
      <c r="D50" s="151"/>
      <c r="E50" s="36"/>
      <c r="F50" s="12"/>
      <c r="G50" s="151"/>
      <c r="H50" s="36"/>
      <c r="I50" s="12"/>
      <c r="J50" s="151"/>
      <c r="K50" s="36"/>
      <c r="L50" s="12"/>
    </row>
    <row r="51" spans="1:30" ht="15.75" thickBot="1" x14ac:dyDescent="0.3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224" t="s">
        <v>417</v>
      </c>
      <c r="R51" s="225"/>
      <c r="S51" s="61"/>
      <c r="T51" s="61"/>
      <c r="U51" s="61"/>
      <c r="V51" s="61"/>
      <c r="W51" s="61"/>
      <c r="X51" s="61"/>
      <c r="Y51" s="64"/>
      <c r="Z51" s="64"/>
      <c r="AA51" s="64"/>
      <c r="AB51" s="64"/>
      <c r="AC51" s="64"/>
      <c r="AD51" s="64"/>
    </row>
    <row r="52" spans="1:30" x14ac:dyDescent="0.25">
      <c r="A52" s="221" t="s">
        <v>416</v>
      </c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3"/>
      <c r="M52" s="228" t="s">
        <v>418</v>
      </c>
      <c r="N52" s="229"/>
      <c r="O52" s="230"/>
      <c r="Q52" s="226"/>
      <c r="R52" s="227"/>
    </row>
    <row r="53" spans="1:30" ht="75" x14ac:dyDescent="0.25">
      <c r="A53" s="5" t="s">
        <v>30</v>
      </c>
      <c r="B53" s="6" t="s">
        <v>29</v>
      </c>
      <c r="C53" s="6" t="s">
        <v>31</v>
      </c>
      <c r="D53" s="6" t="s">
        <v>32</v>
      </c>
      <c r="E53" s="6" t="s">
        <v>33</v>
      </c>
      <c r="F53" s="6" t="s">
        <v>34</v>
      </c>
      <c r="G53" s="6" t="s">
        <v>35</v>
      </c>
      <c r="H53" s="6" t="s">
        <v>36</v>
      </c>
      <c r="I53" s="6" t="s">
        <v>271</v>
      </c>
      <c r="J53" s="6" t="s">
        <v>37</v>
      </c>
      <c r="K53" s="70" t="s">
        <v>38</v>
      </c>
      <c r="L53" s="66" t="s">
        <v>39</v>
      </c>
      <c r="M53" s="5" t="s">
        <v>30</v>
      </c>
      <c r="N53" s="70" t="s">
        <v>419</v>
      </c>
      <c r="O53" s="148" t="s">
        <v>420</v>
      </c>
      <c r="Q53" s="65" t="s">
        <v>21</v>
      </c>
      <c r="R53" s="66" t="s">
        <v>273</v>
      </c>
      <c r="T53" s="63" t="s">
        <v>21</v>
      </c>
      <c r="U53" s="49" t="s">
        <v>407</v>
      </c>
      <c r="V53" s="49" t="s">
        <v>408</v>
      </c>
      <c r="W53" s="49" t="s">
        <v>409</v>
      </c>
      <c r="X53" s="49" t="s">
        <v>410</v>
      </c>
      <c r="Y53" s="49" t="s">
        <v>411</v>
      </c>
      <c r="Z53" s="49" t="s">
        <v>412</v>
      </c>
      <c r="AA53" s="49" t="s">
        <v>413</v>
      </c>
      <c r="AB53" s="49" t="s">
        <v>414</v>
      </c>
      <c r="AC53" s="49" t="s">
        <v>415</v>
      </c>
      <c r="AD53" s="49" t="s">
        <v>406</v>
      </c>
    </row>
    <row r="54" spans="1:30" x14ac:dyDescent="0.25">
      <c r="A54" s="54" t="s">
        <v>83</v>
      </c>
      <c r="B54" s="20">
        <v>11</v>
      </c>
      <c r="C54" s="20">
        <v>2</v>
      </c>
      <c r="D54" s="20">
        <v>2</v>
      </c>
      <c r="E54" s="20">
        <v>2</v>
      </c>
      <c r="F54" s="20">
        <v>3</v>
      </c>
      <c r="G54" s="20">
        <v>1</v>
      </c>
      <c r="H54" s="20">
        <v>3</v>
      </c>
      <c r="I54" s="12" t="s">
        <v>509</v>
      </c>
      <c r="J54" s="12" t="s">
        <v>509</v>
      </c>
      <c r="K54" s="12" t="s">
        <v>509</v>
      </c>
      <c r="L54" s="53" t="s">
        <v>509</v>
      </c>
      <c r="M54" s="176" t="s">
        <v>83</v>
      </c>
      <c r="N54" s="142">
        <f t="shared" ref="N54:N97" si="0">SUM(B54:H54)</f>
        <v>24</v>
      </c>
      <c r="O54" s="175">
        <v>1</v>
      </c>
      <c r="Q54" s="105" t="s">
        <v>86</v>
      </c>
      <c r="R54" s="116">
        <v>6</v>
      </c>
      <c r="T54" t="s">
        <v>74</v>
      </c>
      <c r="U54">
        <f>COUNTIF(A3:A7,"metacell-1")</f>
        <v>0</v>
      </c>
      <c r="V54">
        <f>COUNTIF(D3:D15,"metacell-1")</f>
        <v>0</v>
      </c>
      <c r="W54">
        <f>COUNTIF(G3:G13,"metacell-1")</f>
        <v>0</v>
      </c>
      <c r="X54">
        <f>COUNTIF(J3:J10,"metacell-1")</f>
        <v>0</v>
      </c>
      <c r="Y54">
        <f>COUNTIF(M3:M11,"metacell-1")</f>
        <v>1</v>
      </c>
      <c r="Z54">
        <f>COUNTIF(P3:P19,"metacell-1")</f>
        <v>1</v>
      </c>
      <c r="AA54">
        <f>COUNTIF(S3:S17,"metacell-1")</f>
        <v>1</v>
      </c>
      <c r="AB54" t="s">
        <v>509</v>
      </c>
      <c r="AC54" t="s">
        <v>509</v>
      </c>
      <c r="AD54">
        <f>SUM(U54:AA54)</f>
        <v>3</v>
      </c>
    </row>
    <row r="55" spans="1:30" x14ac:dyDescent="0.25">
      <c r="A55" s="54" t="s">
        <v>86</v>
      </c>
      <c r="B55" s="20">
        <v>17</v>
      </c>
      <c r="C55" s="20">
        <v>1</v>
      </c>
      <c r="D55" s="20">
        <v>2</v>
      </c>
      <c r="E55" s="20">
        <v>1</v>
      </c>
      <c r="F55" s="20">
        <v>4</v>
      </c>
      <c r="G55" s="20">
        <v>3</v>
      </c>
      <c r="H55" s="20">
        <v>3</v>
      </c>
      <c r="I55" s="12" t="s">
        <v>509</v>
      </c>
      <c r="J55" s="12" t="s">
        <v>509</v>
      </c>
      <c r="K55" s="12" t="s">
        <v>509</v>
      </c>
      <c r="L55" s="53" t="s">
        <v>509</v>
      </c>
      <c r="M55" s="176" t="s">
        <v>86</v>
      </c>
      <c r="N55" s="142">
        <f t="shared" si="0"/>
        <v>31</v>
      </c>
      <c r="O55" s="175">
        <v>2</v>
      </c>
      <c r="Q55" s="105" t="s">
        <v>83</v>
      </c>
      <c r="R55" s="116">
        <v>6</v>
      </c>
      <c r="T55" t="s">
        <v>85</v>
      </c>
      <c r="U55">
        <f>COUNTIF(A3:A7,"metacell-10")</f>
        <v>0</v>
      </c>
      <c r="V55">
        <f>COUNTIF(D3:D15,"metacell-10")</f>
        <v>0</v>
      </c>
      <c r="W55">
        <f>COUNTIF(G3:G13,"metacell-10")</f>
        <v>0</v>
      </c>
      <c r="X55">
        <f>COUNTIF(J3:J10,"metacell-10")</f>
        <v>1</v>
      </c>
      <c r="Y55">
        <f>COUNTIF(M3:M11,"metacell-10")</f>
        <v>1</v>
      </c>
      <c r="Z55">
        <f>COUNTIF(P3:P19,"metacell-10")</f>
        <v>1</v>
      </c>
      <c r="AA55">
        <f>COUNTIF(S3:S17,"metacell-10")</f>
        <v>1</v>
      </c>
      <c r="AB55" t="s">
        <v>509</v>
      </c>
      <c r="AC55" t="s">
        <v>509</v>
      </c>
      <c r="AD55">
        <f t="shared" ref="AD55:AD97" si="1">SUM(U55:AA55)</f>
        <v>4</v>
      </c>
    </row>
    <row r="56" spans="1:30" x14ac:dyDescent="0.25">
      <c r="A56" s="54" t="s">
        <v>76</v>
      </c>
      <c r="B56" s="20">
        <v>13</v>
      </c>
      <c r="C56" s="20">
        <v>2</v>
      </c>
      <c r="D56" s="20">
        <v>8</v>
      </c>
      <c r="E56" s="20">
        <v>2</v>
      </c>
      <c r="F56" s="20">
        <v>1</v>
      </c>
      <c r="G56" s="20">
        <v>3</v>
      </c>
      <c r="H56" s="20">
        <v>2</v>
      </c>
      <c r="I56" s="12" t="s">
        <v>509</v>
      </c>
      <c r="J56" s="12" t="s">
        <v>509</v>
      </c>
      <c r="K56" s="12" t="s">
        <v>509</v>
      </c>
      <c r="L56" s="53" t="s">
        <v>509</v>
      </c>
      <c r="M56" s="176" t="s">
        <v>76</v>
      </c>
      <c r="N56" s="142">
        <f t="shared" si="0"/>
        <v>31</v>
      </c>
      <c r="O56" s="175">
        <v>2</v>
      </c>
      <c r="Q56" s="105" t="s">
        <v>76</v>
      </c>
      <c r="R56" s="116">
        <v>5</v>
      </c>
      <c r="T56" t="s">
        <v>86</v>
      </c>
      <c r="U56">
        <f>COUNTIF(A3:A7,"metacell-11")</f>
        <v>0</v>
      </c>
      <c r="V56">
        <f>COUNTIF(D3:D15,"metacell-11")</f>
        <v>1</v>
      </c>
      <c r="W56">
        <f>COUNTIF(G3:G13,"metacell-11")</f>
        <v>1</v>
      </c>
      <c r="X56">
        <f>COUNTIF(J3:J10,"metacell-11")</f>
        <v>1</v>
      </c>
      <c r="Y56">
        <f>COUNTIF(M3:M11,"metacell-11")</f>
        <v>1</v>
      </c>
      <c r="Z56">
        <f>COUNTIF(P3:P19,"metacell-11")</f>
        <v>1</v>
      </c>
      <c r="AA56">
        <f>COUNTIF(S3:S17,"metacell-11")</f>
        <v>1</v>
      </c>
      <c r="AB56" t="s">
        <v>509</v>
      </c>
      <c r="AC56" t="s">
        <v>509</v>
      </c>
      <c r="AD56">
        <f t="shared" si="1"/>
        <v>6</v>
      </c>
    </row>
    <row r="57" spans="1:30" x14ac:dyDescent="0.25">
      <c r="A57" s="54" t="s">
        <v>77</v>
      </c>
      <c r="B57" s="20">
        <v>10</v>
      </c>
      <c r="C57" s="20">
        <v>3</v>
      </c>
      <c r="D57" s="20">
        <v>2</v>
      </c>
      <c r="E57" s="20">
        <v>3</v>
      </c>
      <c r="F57" s="20">
        <v>6</v>
      </c>
      <c r="G57" s="20">
        <v>3</v>
      </c>
      <c r="H57" s="20">
        <v>5</v>
      </c>
      <c r="I57" s="12" t="s">
        <v>509</v>
      </c>
      <c r="J57" s="12" t="s">
        <v>509</v>
      </c>
      <c r="K57" s="12" t="s">
        <v>509</v>
      </c>
      <c r="L57" s="53" t="s">
        <v>509</v>
      </c>
      <c r="M57" s="176" t="s">
        <v>77</v>
      </c>
      <c r="N57" s="142">
        <f t="shared" si="0"/>
        <v>32</v>
      </c>
      <c r="O57" s="175">
        <v>3</v>
      </c>
      <c r="Q57" s="105" t="s">
        <v>77</v>
      </c>
      <c r="R57" s="116">
        <v>5</v>
      </c>
      <c r="T57" t="s">
        <v>87</v>
      </c>
      <c r="U57">
        <f>COUNTIF(A3:A7,"metacell-12")</f>
        <v>0</v>
      </c>
      <c r="V57">
        <f>COUNTIF(D3:D15,"metacell-12")</f>
        <v>1</v>
      </c>
      <c r="W57">
        <f>COUNTIF(G3:G13,"metacell-12")</f>
        <v>1</v>
      </c>
      <c r="X57">
        <f>COUNTIF(J3:J10,"metacell-12")</f>
        <v>0</v>
      </c>
      <c r="Y57">
        <f>COUNTIF(M3:M11,"metacell-12")</f>
        <v>0</v>
      </c>
      <c r="Z57">
        <f>COUNTIF(P3:P19,"metacell-12")</f>
        <v>0</v>
      </c>
      <c r="AA57">
        <f>COUNTIF(S3:S17,"metacell-12")</f>
        <v>1</v>
      </c>
      <c r="AB57" t="s">
        <v>509</v>
      </c>
      <c r="AC57" t="s">
        <v>509</v>
      </c>
      <c r="AD57">
        <f t="shared" si="1"/>
        <v>3</v>
      </c>
    </row>
    <row r="58" spans="1:30" x14ac:dyDescent="0.25">
      <c r="A58" s="54" t="s">
        <v>124</v>
      </c>
      <c r="B58" s="20">
        <v>7</v>
      </c>
      <c r="C58" s="20">
        <v>7</v>
      </c>
      <c r="D58" s="20">
        <v>1</v>
      </c>
      <c r="E58" s="20">
        <v>6</v>
      </c>
      <c r="F58" s="20">
        <v>8</v>
      </c>
      <c r="G58" s="20">
        <v>4</v>
      </c>
      <c r="H58" s="20">
        <v>1</v>
      </c>
      <c r="I58" s="12" t="s">
        <v>509</v>
      </c>
      <c r="J58" s="12" t="s">
        <v>509</v>
      </c>
      <c r="K58" s="12" t="s">
        <v>509</v>
      </c>
      <c r="L58" s="53" t="s">
        <v>509</v>
      </c>
      <c r="M58" s="176" t="s">
        <v>124</v>
      </c>
      <c r="N58" s="142">
        <f t="shared" si="0"/>
        <v>34</v>
      </c>
      <c r="O58" s="175">
        <v>4</v>
      </c>
      <c r="Q58" s="133" t="s">
        <v>82</v>
      </c>
      <c r="R58" s="116">
        <v>5</v>
      </c>
      <c r="T58" t="s">
        <v>75</v>
      </c>
      <c r="U58">
        <f>COUNTIF(A3:A7,"metacell-2")</f>
        <v>0</v>
      </c>
      <c r="V58">
        <f>COUNTIF(D3:D15,"metacell-2")</f>
        <v>0</v>
      </c>
      <c r="W58">
        <f>COUNTIF(G3:G13,"metacell-2")</f>
        <v>0</v>
      </c>
      <c r="X58">
        <f>COUNTIF(J3:J10,"metacell-2")</f>
        <v>0</v>
      </c>
      <c r="Y58">
        <f>COUNTIF(M3:M11,"metacell-2")</f>
        <v>1</v>
      </c>
      <c r="Z58">
        <f>COUNTIF(P3:P19,"metacell-2")</f>
        <v>1</v>
      </c>
      <c r="AA58">
        <f>COUNTIF(S3:S17,"metacell-2")</f>
        <v>1</v>
      </c>
      <c r="AB58" t="s">
        <v>509</v>
      </c>
      <c r="AC58" t="s">
        <v>509</v>
      </c>
      <c r="AD58">
        <f t="shared" si="1"/>
        <v>3</v>
      </c>
    </row>
    <row r="59" spans="1:30" x14ac:dyDescent="0.25">
      <c r="A59" s="54" t="s">
        <v>84</v>
      </c>
      <c r="B59" s="20">
        <v>11</v>
      </c>
      <c r="C59" s="20">
        <v>3</v>
      </c>
      <c r="D59" s="20">
        <v>3</v>
      </c>
      <c r="E59" s="20">
        <v>5</v>
      </c>
      <c r="F59" s="20">
        <v>6</v>
      </c>
      <c r="G59" s="20">
        <v>3</v>
      </c>
      <c r="H59" s="20">
        <v>5</v>
      </c>
      <c r="I59" s="12" t="s">
        <v>509</v>
      </c>
      <c r="J59" s="12" t="s">
        <v>509</v>
      </c>
      <c r="K59" s="12" t="s">
        <v>509</v>
      </c>
      <c r="L59" s="53" t="s">
        <v>509</v>
      </c>
      <c r="M59" s="176" t="s">
        <v>84</v>
      </c>
      <c r="N59" s="142">
        <f t="shared" si="0"/>
        <v>36</v>
      </c>
      <c r="O59" s="175">
        <v>5</v>
      </c>
      <c r="Q59" s="105" t="s">
        <v>84</v>
      </c>
      <c r="R59" s="116">
        <v>5</v>
      </c>
      <c r="T59" t="s">
        <v>103</v>
      </c>
      <c r="U59">
        <f>COUNTIF(A3:A7,"metacell-28")</f>
        <v>0</v>
      </c>
      <c r="V59">
        <f>COUNTIF(D3:D15,"metacell-28")</f>
        <v>1</v>
      </c>
      <c r="W59">
        <f>COUNTIF(G3:G13,"metacell-28")</f>
        <v>1</v>
      </c>
      <c r="X59">
        <f>COUNTIF(J3:J10,"metacell-28")</f>
        <v>0</v>
      </c>
      <c r="Y59">
        <f>COUNTIF(M3:M11,"metacell-28")</f>
        <v>0</v>
      </c>
      <c r="Z59">
        <f>COUNTIF(P3:P19,"metacell-28")</f>
        <v>1</v>
      </c>
      <c r="AA59">
        <f>COUNTIF(S3:S17,"metacell-28")</f>
        <v>1</v>
      </c>
      <c r="AB59" t="s">
        <v>509</v>
      </c>
      <c r="AC59" t="s">
        <v>509</v>
      </c>
      <c r="AD59">
        <f t="shared" si="1"/>
        <v>4</v>
      </c>
    </row>
    <row r="60" spans="1:30" x14ac:dyDescent="0.25">
      <c r="A60" s="54" t="s">
        <v>79</v>
      </c>
      <c r="B60" s="20">
        <v>12</v>
      </c>
      <c r="C60" s="20">
        <v>3</v>
      </c>
      <c r="D60" s="20">
        <v>2</v>
      </c>
      <c r="E60" s="20">
        <v>3</v>
      </c>
      <c r="F60" s="20">
        <v>10</v>
      </c>
      <c r="G60" s="20">
        <v>6</v>
      </c>
      <c r="H60" s="20">
        <v>5</v>
      </c>
      <c r="I60" s="12" t="s">
        <v>509</v>
      </c>
      <c r="J60" s="12" t="s">
        <v>509</v>
      </c>
      <c r="K60" s="12" t="s">
        <v>509</v>
      </c>
      <c r="L60" s="53" t="s">
        <v>509</v>
      </c>
      <c r="M60" s="54" t="s">
        <v>79</v>
      </c>
      <c r="N60" s="2">
        <f t="shared" si="0"/>
        <v>41</v>
      </c>
      <c r="O60" s="4">
        <v>6</v>
      </c>
      <c r="Q60" s="3" t="s">
        <v>85</v>
      </c>
      <c r="R60" s="4">
        <v>4</v>
      </c>
      <c r="T60" t="s">
        <v>104</v>
      </c>
      <c r="U60">
        <f>COUNTIF(A3:A7,"metacell-29")</f>
        <v>0</v>
      </c>
      <c r="V60">
        <f>COUNTIF(D3:D15,"metacell-29")</f>
        <v>1</v>
      </c>
      <c r="W60">
        <f>COUNTIF(G3:G13,"metacell-29")</f>
        <v>0</v>
      </c>
      <c r="X60">
        <f>COUNTIF(J3:J10,"metacell-29")</f>
        <v>0</v>
      </c>
      <c r="Y60">
        <f>COUNTIF(M3:M11,"metacell-29")</f>
        <v>1</v>
      </c>
      <c r="Z60">
        <f>COUNTIF(P3:P19,"metacell-29")</f>
        <v>1</v>
      </c>
      <c r="AA60">
        <f>COUNTIF(S3:S17,"metacell-29")</f>
        <v>1</v>
      </c>
      <c r="AB60" t="s">
        <v>509</v>
      </c>
      <c r="AC60" t="s">
        <v>509</v>
      </c>
      <c r="AD60">
        <f t="shared" si="1"/>
        <v>4</v>
      </c>
    </row>
    <row r="61" spans="1:30" x14ac:dyDescent="0.25">
      <c r="A61" s="54" t="s">
        <v>82</v>
      </c>
      <c r="B61" s="20">
        <v>18</v>
      </c>
      <c r="C61" s="20">
        <v>4</v>
      </c>
      <c r="D61" s="20">
        <v>2</v>
      </c>
      <c r="E61" s="20">
        <v>5</v>
      </c>
      <c r="F61" s="20">
        <v>7</v>
      </c>
      <c r="G61" s="20">
        <v>5</v>
      </c>
      <c r="H61" s="20">
        <v>4</v>
      </c>
      <c r="I61" s="12" t="s">
        <v>509</v>
      </c>
      <c r="J61" s="12" t="s">
        <v>509</v>
      </c>
      <c r="K61" s="12" t="s">
        <v>509</v>
      </c>
      <c r="L61" s="53" t="s">
        <v>509</v>
      </c>
      <c r="M61" s="54" t="s">
        <v>82</v>
      </c>
      <c r="N61" s="2">
        <f t="shared" si="0"/>
        <v>45</v>
      </c>
      <c r="O61" s="4">
        <v>7</v>
      </c>
      <c r="Q61" s="3" t="s">
        <v>103</v>
      </c>
      <c r="R61" s="4">
        <v>4</v>
      </c>
      <c r="T61" t="s">
        <v>76</v>
      </c>
      <c r="U61">
        <f>COUNTIF(A3:A7,"metacell-3")</f>
        <v>0</v>
      </c>
      <c r="V61">
        <f>COUNTIF(D3:D15,"metacell-3")</f>
        <v>1</v>
      </c>
      <c r="W61">
        <f>COUNTIF(G3:G13,"metacell-3")</f>
        <v>0</v>
      </c>
      <c r="X61">
        <f>COUNTIF(J3:J10,"metacell-3")</f>
        <v>1</v>
      </c>
      <c r="Y61">
        <f>COUNTIF(M3:M11,"metacell-3")</f>
        <v>1</v>
      </c>
      <c r="Z61">
        <f>COUNTIF(P3:P19,"metacell-3")</f>
        <v>1</v>
      </c>
      <c r="AA61">
        <f>COUNTIF(S3:S17,"metacell-3")</f>
        <v>1</v>
      </c>
      <c r="AB61" t="s">
        <v>509</v>
      </c>
      <c r="AC61" t="s">
        <v>509</v>
      </c>
      <c r="AD61">
        <f t="shared" si="1"/>
        <v>5</v>
      </c>
    </row>
    <row r="62" spans="1:30" x14ac:dyDescent="0.25">
      <c r="A62" s="54" t="s">
        <v>87</v>
      </c>
      <c r="B62" s="20">
        <v>14</v>
      </c>
      <c r="C62" s="20">
        <v>4</v>
      </c>
      <c r="D62" s="20">
        <v>2</v>
      </c>
      <c r="E62" s="20">
        <v>6</v>
      </c>
      <c r="F62" s="20">
        <v>9</v>
      </c>
      <c r="G62" s="20">
        <v>6</v>
      </c>
      <c r="H62" s="20">
        <v>5</v>
      </c>
      <c r="I62" s="12" t="s">
        <v>509</v>
      </c>
      <c r="J62" s="12" t="s">
        <v>509</v>
      </c>
      <c r="K62" s="12" t="s">
        <v>509</v>
      </c>
      <c r="L62" s="53" t="s">
        <v>509</v>
      </c>
      <c r="M62" s="54" t="s">
        <v>87</v>
      </c>
      <c r="N62" s="2">
        <f t="shared" si="0"/>
        <v>46</v>
      </c>
      <c r="O62" s="4">
        <v>8</v>
      </c>
      <c r="Q62" s="3" t="s">
        <v>104</v>
      </c>
      <c r="R62" s="4">
        <v>4</v>
      </c>
      <c r="T62" t="s">
        <v>105</v>
      </c>
      <c r="U62">
        <f>COUNTIF(A3:A7,"metacell-30")</f>
        <v>0</v>
      </c>
      <c r="V62">
        <f>COUNTIF(D3:D15,"metacell-30")</f>
        <v>1</v>
      </c>
      <c r="W62">
        <f>COUNTIF(G3:G13,"metacell-30")</f>
        <v>0</v>
      </c>
      <c r="X62">
        <f>COUNTIF(J3:J10,"metacell-30")</f>
        <v>0</v>
      </c>
      <c r="Y62">
        <f>COUNTIF(M3:M11,"metacell-30")</f>
        <v>1</v>
      </c>
      <c r="Z62">
        <f>COUNTIF(P3:P19,"metacell-30")</f>
        <v>1</v>
      </c>
      <c r="AA62">
        <f>COUNTIF(S3:S17,"metacell-30")</f>
        <v>0</v>
      </c>
      <c r="AB62" t="s">
        <v>509</v>
      </c>
      <c r="AC62" t="s">
        <v>509</v>
      </c>
      <c r="AD62">
        <f t="shared" si="1"/>
        <v>3</v>
      </c>
    </row>
    <row r="63" spans="1:30" x14ac:dyDescent="0.25">
      <c r="A63" s="54" t="s">
        <v>123</v>
      </c>
      <c r="B63" s="20">
        <v>1</v>
      </c>
      <c r="C63" s="20">
        <v>8</v>
      </c>
      <c r="D63" s="20">
        <v>4</v>
      </c>
      <c r="E63" s="20">
        <v>8</v>
      </c>
      <c r="F63" s="20">
        <v>12</v>
      </c>
      <c r="G63" s="20">
        <v>6</v>
      </c>
      <c r="H63" s="20">
        <v>8</v>
      </c>
      <c r="I63" s="12" t="s">
        <v>509</v>
      </c>
      <c r="J63" s="12" t="s">
        <v>509</v>
      </c>
      <c r="K63" s="12" t="s">
        <v>509</v>
      </c>
      <c r="L63" s="53" t="s">
        <v>509</v>
      </c>
      <c r="M63" s="54" t="s">
        <v>123</v>
      </c>
      <c r="N63" s="2">
        <f t="shared" si="0"/>
        <v>47</v>
      </c>
      <c r="O63" s="4">
        <v>9</v>
      </c>
      <c r="Q63" s="3" t="s">
        <v>78</v>
      </c>
      <c r="R63" s="4">
        <v>4</v>
      </c>
      <c r="T63" t="s">
        <v>106</v>
      </c>
      <c r="U63">
        <f>COUNTIF(A3:A7,"metacell-31")</f>
        <v>0</v>
      </c>
      <c r="V63">
        <f>COUNTIF(D3:D15,"metacell-31")</f>
        <v>0</v>
      </c>
      <c r="W63">
        <f>COUNTIF(G3:G13,"metacell-31")</f>
        <v>0</v>
      </c>
      <c r="X63">
        <f>COUNTIF(J3:J10,"metacell-31")</f>
        <v>0</v>
      </c>
      <c r="Y63">
        <f>COUNTIF(M3:M11,"metacell-31")</f>
        <v>0</v>
      </c>
      <c r="Z63">
        <f>COUNTIF(P3:P19,"metacell-31")</f>
        <v>0</v>
      </c>
      <c r="AA63">
        <f>COUNTIF(S3:S17,"metacell-31")</f>
        <v>0</v>
      </c>
      <c r="AB63" t="s">
        <v>509</v>
      </c>
      <c r="AC63" t="s">
        <v>509</v>
      </c>
      <c r="AD63">
        <f t="shared" si="1"/>
        <v>0</v>
      </c>
    </row>
    <row r="64" spans="1:30" x14ac:dyDescent="0.25">
      <c r="A64" s="54" t="s">
        <v>78</v>
      </c>
      <c r="B64" s="20">
        <v>16</v>
      </c>
      <c r="C64" s="20">
        <v>5</v>
      </c>
      <c r="D64" s="20">
        <v>3</v>
      </c>
      <c r="E64" s="20">
        <v>6</v>
      </c>
      <c r="F64" s="20">
        <v>9</v>
      </c>
      <c r="G64" s="20">
        <v>3</v>
      </c>
      <c r="H64" s="20">
        <v>5</v>
      </c>
      <c r="I64" s="12" t="s">
        <v>509</v>
      </c>
      <c r="J64" s="12" t="s">
        <v>509</v>
      </c>
      <c r="K64" s="12" t="s">
        <v>509</v>
      </c>
      <c r="L64" s="53" t="s">
        <v>509</v>
      </c>
      <c r="M64" s="54" t="s">
        <v>78</v>
      </c>
      <c r="N64" s="2">
        <f t="shared" si="0"/>
        <v>47</v>
      </c>
      <c r="O64" s="4">
        <v>9</v>
      </c>
      <c r="Q64" s="3" t="s">
        <v>79</v>
      </c>
      <c r="R64" s="4">
        <v>4</v>
      </c>
      <c r="T64" t="s">
        <v>108</v>
      </c>
      <c r="U64">
        <f>COUNTIF(A3:A7,"metacell-33")</f>
        <v>0</v>
      </c>
      <c r="V64">
        <f>COUNTIF(D3:D15,"metacell-33")</f>
        <v>1</v>
      </c>
      <c r="W64">
        <f>COUNTIF(G3:G13,"metacell-33")</f>
        <v>0</v>
      </c>
      <c r="X64">
        <f>COUNTIF(J3:J10,"metacell-33")</f>
        <v>0</v>
      </c>
      <c r="Y64">
        <f>COUNTIF(M3:M11,"metacell-33")</f>
        <v>1</v>
      </c>
      <c r="Z64">
        <f>COUNTIF(P3:P19,"metacell-33")</f>
        <v>1</v>
      </c>
      <c r="AA64">
        <f>COUNTIF(S3:S17,"metacell-33")</f>
        <v>0</v>
      </c>
      <c r="AB64" t="s">
        <v>509</v>
      </c>
      <c r="AC64" t="s">
        <v>509</v>
      </c>
      <c r="AD64">
        <f t="shared" si="1"/>
        <v>3</v>
      </c>
    </row>
    <row r="65" spans="1:30" x14ac:dyDescent="0.25">
      <c r="A65" s="54" t="s">
        <v>85</v>
      </c>
      <c r="B65" s="20">
        <v>26</v>
      </c>
      <c r="C65" s="20">
        <v>6</v>
      </c>
      <c r="D65" s="20">
        <v>7</v>
      </c>
      <c r="E65" s="20">
        <v>4</v>
      </c>
      <c r="F65" s="20">
        <v>3</v>
      </c>
      <c r="G65" s="20">
        <v>2</v>
      </c>
      <c r="H65" s="20">
        <v>4</v>
      </c>
      <c r="I65" s="12" t="s">
        <v>509</v>
      </c>
      <c r="J65" s="12" t="s">
        <v>509</v>
      </c>
      <c r="K65" s="12" t="s">
        <v>509</v>
      </c>
      <c r="L65" s="53" t="s">
        <v>509</v>
      </c>
      <c r="M65" s="54" t="s">
        <v>85</v>
      </c>
      <c r="N65" s="2">
        <f t="shared" si="0"/>
        <v>52</v>
      </c>
      <c r="O65" s="4">
        <v>10</v>
      </c>
      <c r="Q65" s="3" t="s">
        <v>74</v>
      </c>
      <c r="R65" s="4">
        <v>3</v>
      </c>
      <c r="T65" t="s">
        <v>77</v>
      </c>
      <c r="U65">
        <f>COUNTIF(A3:A7,"metacell-4")</f>
        <v>0</v>
      </c>
      <c r="V65">
        <f>COUNTIF(D3:D15,"metacell-4")</f>
        <v>1</v>
      </c>
      <c r="W65">
        <f>COUNTIF(G3:G13,"metacell-4")</f>
        <v>1</v>
      </c>
      <c r="X65">
        <f>COUNTIF(J3:J10,"metacell-4")</f>
        <v>1</v>
      </c>
      <c r="Y65">
        <f>COUNTIF(M3:M11,"metacell-4")</f>
        <v>0</v>
      </c>
      <c r="Z65">
        <f>COUNTIF(P3:P19,"metacell-4")</f>
        <v>1</v>
      </c>
      <c r="AA65">
        <f>COUNTIF(S3:S17,"metacell-4")</f>
        <v>1</v>
      </c>
      <c r="AB65" t="s">
        <v>509</v>
      </c>
      <c r="AC65" t="s">
        <v>509</v>
      </c>
      <c r="AD65">
        <f t="shared" si="1"/>
        <v>5</v>
      </c>
    </row>
    <row r="66" spans="1:30" x14ac:dyDescent="0.25">
      <c r="A66" s="54" t="s">
        <v>122</v>
      </c>
      <c r="B66" s="20">
        <v>2</v>
      </c>
      <c r="C66" s="20">
        <v>11</v>
      </c>
      <c r="D66" s="20">
        <v>11</v>
      </c>
      <c r="E66" s="20">
        <v>10</v>
      </c>
      <c r="F66" s="20">
        <v>11</v>
      </c>
      <c r="G66" s="20">
        <v>7</v>
      </c>
      <c r="H66" s="20">
        <v>6</v>
      </c>
      <c r="I66" s="12" t="s">
        <v>509</v>
      </c>
      <c r="J66" s="12" t="s">
        <v>509</v>
      </c>
      <c r="K66" s="12" t="s">
        <v>509</v>
      </c>
      <c r="L66" s="53" t="s">
        <v>509</v>
      </c>
      <c r="M66" s="54" t="s">
        <v>122</v>
      </c>
      <c r="N66" s="2">
        <f t="shared" si="0"/>
        <v>58</v>
      </c>
      <c r="O66" s="4">
        <v>11</v>
      </c>
      <c r="Q66" s="3" t="s">
        <v>87</v>
      </c>
      <c r="R66" s="4">
        <v>3</v>
      </c>
      <c r="T66" t="s">
        <v>122</v>
      </c>
      <c r="U66">
        <f>COUNTIF(A3:A7,"metacell-47")</f>
        <v>1</v>
      </c>
      <c r="V66">
        <f>COUNTIF(D3:D15,"metacell-47")</f>
        <v>0</v>
      </c>
      <c r="W66">
        <f>COUNTIF(G3:G13,"metacell-47")</f>
        <v>0</v>
      </c>
      <c r="X66">
        <f>COUNTIF(J3:J10,"metacell-47")</f>
        <v>0</v>
      </c>
      <c r="Y66">
        <f>COUNTIF(M3:M11,"metacell-47")</f>
        <v>0</v>
      </c>
      <c r="Z66">
        <f>COUNTIF(P3:P19,"metacell-47")</f>
        <v>0</v>
      </c>
      <c r="AA66">
        <f>COUNTIF(S3:S17,"metacell-47")</f>
        <v>0</v>
      </c>
      <c r="AB66" t="s">
        <v>509</v>
      </c>
      <c r="AC66" t="s">
        <v>509</v>
      </c>
      <c r="AD66">
        <f t="shared" si="1"/>
        <v>1</v>
      </c>
    </row>
    <row r="67" spans="1:30" x14ac:dyDescent="0.25">
      <c r="A67" s="54" t="s">
        <v>74</v>
      </c>
      <c r="B67" s="20">
        <v>20</v>
      </c>
      <c r="C67" s="20">
        <v>9</v>
      </c>
      <c r="D67" s="20">
        <v>10</v>
      </c>
      <c r="E67" s="20">
        <v>10</v>
      </c>
      <c r="F67" s="20">
        <v>4</v>
      </c>
      <c r="G67" s="20">
        <v>5</v>
      </c>
      <c r="H67" s="20">
        <v>4</v>
      </c>
      <c r="I67" s="12" t="s">
        <v>509</v>
      </c>
      <c r="J67" s="12" t="s">
        <v>509</v>
      </c>
      <c r="K67" s="12" t="s">
        <v>509</v>
      </c>
      <c r="L67" s="53" t="s">
        <v>509</v>
      </c>
      <c r="M67" s="54" t="s">
        <v>74</v>
      </c>
      <c r="N67" s="2">
        <f t="shared" si="0"/>
        <v>62</v>
      </c>
      <c r="O67" s="4">
        <v>12</v>
      </c>
      <c r="Q67" s="3" t="s">
        <v>75</v>
      </c>
      <c r="R67" s="4">
        <v>3</v>
      </c>
      <c r="T67" t="s">
        <v>123</v>
      </c>
      <c r="U67">
        <f>COUNTIF(A3:A7,"metacell-48")</f>
        <v>1</v>
      </c>
      <c r="V67">
        <f>COUNTIF(D3:D15,"metacell-48")</f>
        <v>0</v>
      </c>
      <c r="W67">
        <f>COUNTIF(G3:G13,"metacell-48")</f>
        <v>1</v>
      </c>
      <c r="X67">
        <f>COUNTIF(J3:J10,"metacell-48")</f>
        <v>0</v>
      </c>
      <c r="Y67">
        <f>COUNTIF(M3:M11,"metacell-48")</f>
        <v>0</v>
      </c>
      <c r="Z67">
        <f>COUNTIF(P3:P19,"metacell-48")</f>
        <v>0</v>
      </c>
      <c r="AA67">
        <f>COUNTIF(S3:S17,"metacell-48")</f>
        <v>0</v>
      </c>
      <c r="AB67" t="s">
        <v>509</v>
      </c>
      <c r="AC67" t="s">
        <v>509</v>
      </c>
      <c r="AD67">
        <f t="shared" si="1"/>
        <v>2</v>
      </c>
    </row>
    <row r="68" spans="1:30" x14ac:dyDescent="0.25">
      <c r="A68" s="54" t="s">
        <v>75</v>
      </c>
      <c r="B68" s="20">
        <v>25</v>
      </c>
      <c r="C68" s="20">
        <v>10</v>
      </c>
      <c r="D68" s="20">
        <v>14</v>
      </c>
      <c r="E68" s="20">
        <v>9</v>
      </c>
      <c r="F68" s="20">
        <v>2</v>
      </c>
      <c r="G68" s="20">
        <v>4</v>
      </c>
      <c r="H68" s="20">
        <v>1</v>
      </c>
      <c r="I68" s="12" t="s">
        <v>509</v>
      </c>
      <c r="J68" s="12" t="s">
        <v>509</v>
      </c>
      <c r="K68" s="12" t="s">
        <v>509</v>
      </c>
      <c r="L68" s="53" t="s">
        <v>509</v>
      </c>
      <c r="M68" s="54" t="s">
        <v>75</v>
      </c>
      <c r="N68" s="2">
        <f t="shared" si="0"/>
        <v>65</v>
      </c>
      <c r="O68" s="4">
        <v>13</v>
      </c>
      <c r="Q68" s="3" t="s">
        <v>105</v>
      </c>
      <c r="R68" s="4">
        <v>3</v>
      </c>
      <c r="T68" t="s">
        <v>124</v>
      </c>
      <c r="U68">
        <f>COUNTIF(A3:A7,"metacell-49")</f>
        <v>0</v>
      </c>
      <c r="V68">
        <f>COUNTIF(D3:D15,"metacell-49")</f>
        <v>0</v>
      </c>
      <c r="W68">
        <f>COUNTIF(G3:G13,"metacell-49")</f>
        <v>1</v>
      </c>
      <c r="X68">
        <f>COUNTIF(J3:J10,"metacell-49")</f>
        <v>0</v>
      </c>
      <c r="Y68">
        <f>COUNTIF(M3:M11,"metacell-49")</f>
        <v>0</v>
      </c>
      <c r="Z68">
        <f>COUNTIF(P3:P19,"metacell-49")</f>
        <v>1</v>
      </c>
      <c r="AA68">
        <f>COUNTIF(S3:S17,"metacell-49")</f>
        <v>1</v>
      </c>
      <c r="AB68" t="s">
        <v>509</v>
      </c>
      <c r="AC68" t="s">
        <v>509</v>
      </c>
      <c r="AD68">
        <f t="shared" si="1"/>
        <v>3</v>
      </c>
    </row>
    <row r="69" spans="1:30" x14ac:dyDescent="0.25">
      <c r="A69" s="54" t="s">
        <v>138</v>
      </c>
      <c r="B69" s="20">
        <v>6</v>
      </c>
      <c r="C69" s="20">
        <v>12</v>
      </c>
      <c r="D69" s="20">
        <v>9</v>
      </c>
      <c r="E69" s="20">
        <v>11</v>
      </c>
      <c r="F69" s="20">
        <v>16</v>
      </c>
      <c r="G69" s="20">
        <v>5</v>
      </c>
      <c r="H69" s="20">
        <v>10</v>
      </c>
      <c r="I69" s="12" t="s">
        <v>509</v>
      </c>
      <c r="J69" s="12" t="s">
        <v>509</v>
      </c>
      <c r="K69" s="12" t="s">
        <v>509</v>
      </c>
      <c r="L69" s="53" t="s">
        <v>509</v>
      </c>
      <c r="M69" s="54" t="s">
        <v>138</v>
      </c>
      <c r="N69" s="2">
        <f t="shared" si="0"/>
        <v>69</v>
      </c>
      <c r="O69" s="4">
        <v>14</v>
      </c>
      <c r="Q69" s="3" t="s">
        <v>108</v>
      </c>
      <c r="R69" s="4">
        <v>3</v>
      </c>
      <c r="T69" t="s">
        <v>78</v>
      </c>
      <c r="U69">
        <f>COUNTIF(A3:A7,"metacell-5")</f>
        <v>0</v>
      </c>
      <c r="V69">
        <f>COUNTIF(D3:D15,"metacell-5")</f>
        <v>1</v>
      </c>
      <c r="W69">
        <f>COUNTIF(G3:G13,"metacell-5")</f>
        <v>1</v>
      </c>
      <c r="X69">
        <f>COUNTIF(J3:J10,"metacell-5")</f>
        <v>0</v>
      </c>
      <c r="Y69">
        <f>COUNTIF(M3:M11,"metacell-5")</f>
        <v>0</v>
      </c>
      <c r="Z69">
        <f>COUNTIF(P3:P19,"metacell-5")</f>
        <v>1</v>
      </c>
      <c r="AA69">
        <f>COUNTIF(S3:S17,"metacell-5")</f>
        <v>1</v>
      </c>
      <c r="AB69" t="s">
        <v>509</v>
      </c>
      <c r="AC69" t="s">
        <v>509</v>
      </c>
      <c r="AD69">
        <f t="shared" si="1"/>
        <v>4</v>
      </c>
    </row>
    <row r="70" spans="1:30" x14ac:dyDescent="0.25">
      <c r="A70" s="54" t="s">
        <v>104</v>
      </c>
      <c r="B70" s="20">
        <v>37</v>
      </c>
      <c r="C70" s="20">
        <v>5</v>
      </c>
      <c r="D70" s="20">
        <v>10</v>
      </c>
      <c r="E70" s="20">
        <v>7</v>
      </c>
      <c r="F70" s="20">
        <v>4</v>
      </c>
      <c r="G70" s="20">
        <v>2</v>
      </c>
      <c r="H70" s="20">
        <v>5</v>
      </c>
      <c r="I70" s="12" t="s">
        <v>509</v>
      </c>
      <c r="J70" s="12" t="s">
        <v>509</v>
      </c>
      <c r="K70" s="12" t="s">
        <v>509</v>
      </c>
      <c r="L70" s="53" t="s">
        <v>509</v>
      </c>
      <c r="M70" s="54" t="s">
        <v>104</v>
      </c>
      <c r="N70" s="2">
        <f t="shared" si="0"/>
        <v>70</v>
      </c>
      <c r="O70" s="4">
        <v>15</v>
      </c>
      <c r="Q70" s="17" t="s">
        <v>124</v>
      </c>
      <c r="R70" s="4">
        <v>3</v>
      </c>
      <c r="T70" t="s">
        <v>125</v>
      </c>
      <c r="U70">
        <f>COUNTIF(A3:A7,"metacell-50")</f>
        <v>0</v>
      </c>
      <c r="V70">
        <f>COUNTIF(D3:D15,"metacell-50")</f>
        <v>0</v>
      </c>
      <c r="W70">
        <f>COUNTIF(G3:G13,"metacell-50")</f>
        <v>0</v>
      </c>
      <c r="X70">
        <f>COUNTIF(J3:J10,"metacell-50")</f>
        <v>0</v>
      </c>
      <c r="Y70">
        <f>COUNTIF(M3:M11,"metacell-50")</f>
        <v>0</v>
      </c>
      <c r="Z70">
        <f>COUNTIF(P3:P19,"metacell-50")</f>
        <v>0</v>
      </c>
      <c r="AA70">
        <f>COUNTIF(S3:S17,"metacell-50")</f>
        <v>0</v>
      </c>
      <c r="AB70" t="s">
        <v>509</v>
      </c>
      <c r="AC70" t="s">
        <v>509</v>
      </c>
      <c r="AD70">
        <f t="shared" si="1"/>
        <v>0</v>
      </c>
    </row>
    <row r="71" spans="1:30" x14ac:dyDescent="0.25">
      <c r="A71" s="54" t="s">
        <v>105</v>
      </c>
      <c r="B71" s="20">
        <v>34</v>
      </c>
      <c r="C71" s="20">
        <v>5</v>
      </c>
      <c r="D71" s="20">
        <v>10</v>
      </c>
      <c r="E71" s="20">
        <v>7</v>
      </c>
      <c r="F71" s="20">
        <v>5</v>
      </c>
      <c r="G71" s="20">
        <v>4</v>
      </c>
      <c r="H71" s="20">
        <v>6</v>
      </c>
      <c r="I71" s="12" t="s">
        <v>509</v>
      </c>
      <c r="J71" s="12" t="s">
        <v>509</v>
      </c>
      <c r="K71" s="12" t="s">
        <v>509</v>
      </c>
      <c r="L71" s="53" t="s">
        <v>509</v>
      </c>
      <c r="M71" s="54" t="s">
        <v>105</v>
      </c>
      <c r="N71" s="2">
        <f t="shared" si="0"/>
        <v>71</v>
      </c>
      <c r="O71" s="4">
        <v>16</v>
      </c>
      <c r="Q71" s="3" t="s">
        <v>123</v>
      </c>
      <c r="R71" s="4">
        <v>2</v>
      </c>
      <c r="T71" t="s">
        <v>126</v>
      </c>
      <c r="U71">
        <f>COUNTIF(A3:A7,"metacell-51")</f>
        <v>0</v>
      </c>
      <c r="V71">
        <f>COUNTIF(D3:D15,"metacell-51")</f>
        <v>0</v>
      </c>
      <c r="W71">
        <f>COUNTIF(G3:G13,"metacell-51")</f>
        <v>0</v>
      </c>
      <c r="X71">
        <f>COUNTIF(J3:J10,"metacell-51")</f>
        <v>0</v>
      </c>
      <c r="Y71">
        <f>COUNTIF(M3:M11,"metacell-51")</f>
        <v>0</v>
      </c>
      <c r="Z71">
        <f>COUNTIF(P3:P19,"metacell-51")</f>
        <v>0</v>
      </c>
      <c r="AA71">
        <f>COUNTIF(S3:S17,"metacell-51")</f>
        <v>0</v>
      </c>
      <c r="AB71" t="s">
        <v>509</v>
      </c>
      <c r="AC71" t="s">
        <v>509</v>
      </c>
      <c r="AD71">
        <f t="shared" si="1"/>
        <v>0</v>
      </c>
    </row>
    <row r="72" spans="1:30" x14ac:dyDescent="0.25">
      <c r="A72" s="54" t="s">
        <v>108</v>
      </c>
      <c r="B72" s="20">
        <v>36</v>
      </c>
      <c r="C72" s="20">
        <v>5</v>
      </c>
      <c r="D72" s="20">
        <v>8</v>
      </c>
      <c r="E72" s="20">
        <v>8</v>
      </c>
      <c r="F72" s="20">
        <v>5</v>
      </c>
      <c r="G72" s="20">
        <v>3</v>
      </c>
      <c r="H72" s="20">
        <v>6</v>
      </c>
      <c r="I72" s="12" t="s">
        <v>509</v>
      </c>
      <c r="J72" s="12" t="s">
        <v>509</v>
      </c>
      <c r="K72" s="12" t="s">
        <v>509</v>
      </c>
      <c r="L72" s="53" t="s">
        <v>509</v>
      </c>
      <c r="M72" s="54" t="s">
        <v>108</v>
      </c>
      <c r="N72" s="2">
        <f t="shared" si="0"/>
        <v>71</v>
      </c>
      <c r="O72" s="4">
        <v>16</v>
      </c>
      <c r="Q72" s="3" t="s">
        <v>122</v>
      </c>
      <c r="R72" s="4">
        <v>1</v>
      </c>
      <c r="T72" t="s">
        <v>127</v>
      </c>
      <c r="U72">
        <f>COUNTIF(A3:A7,"metacell-52")</f>
        <v>0</v>
      </c>
      <c r="V72">
        <f>COUNTIF(D3:D15,"metacell-52")</f>
        <v>0</v>
      </c>
      <c r="W72">
        <f>COUNTIF(G3:G13,"metacell-52")</f>
        <v>0</v>
      </c>
      <c r="X72">
        <f>COUNTIF(J3:J10,"metacell-52")</f>
        <v>0</v>
      </c>
      <c r="Y72">
        <f>COUNTIF(M3:M11,"metacell-52")</f>
        <v>0</v>
      </c>
      <c r="Z72">
        <f>COUNTIF(P3:P19,"metacell-52")</f>
        <v>0</v>
      </c>
      <c r="AA72">
        <f>COUNTIF(S3:S17,"metacell-52")</f>
        <v>0</v>
      </c>
      <c r="AB72" t="s">
        <v>509</v>
      </c>
      <c r="AC72" t="s">
        <v>509</v>
      </c>
      <c r="AD72">
        <f t="shared" si="1"/>
        <v>0</v>
      </c>
    </row>
    <row r="73" spans="1:30" x14ac:dyDescent="0.25">
      <c r="A73" s="54" t="s">
        <v>103</v>
      </c>
      <c r="B73" s="20">
        <v>37</v>
      </c>
      <c r="C73" s="20">
        <v>5</v>
      </c>
      <c r="D73" s="20">
        <v>5</v>
      </c>
      <c r="E73" s="20">
        <v>8</v>
      </c>
      <c r="F73" s="20">
        <v>7</v>
      </c>
      <c r="G73" s="20">
        <v>5</v>
      </c>
      <c r="H73" s="20">
        <v>5</v>
      </c>
      <c r="I73" s="12" t="s">
        <v>509</v>
      </c>
      <c r="J73" s="12" t="s">
        <v>509</v>
      </c>
      <c r="K73" s="12" t="s">
        <v>509</v>
      </c>
      <c r="L73" s="53" t="s">
        <v>509</v>
      </c>
      <c r="M73" s="54" t="s">
        <v>103</v>
      </c>
      <c r="N73" s="2">
        <f t="shared" si="0"/>
        <v>72</v>
      </c>
      <c r="O73" s="4">
        <v>17</v>
      </c>
      <c r="Q73" s="3" t="s">
        <v>137</v>
      </c>
      <c r="R73" s="4">
        <v>1</v>
      </c>
      <c r="T73" t="s">
        <v>128</v>
      </c>
      <c r="U73">
        <f>COUNTIF(A3:A7,"metacell-53")</f>
        <v>0</v>
      </c>
      <c r="V73">
        <f>COUNTIF(D3:D15,"metacell-53")</f>
        <v>0</v>
      </c>
      <c r="W73">
        <f>COUNTIF(G3:G13,"metacell-53")</f>
        <v>0</v>
      </c>
      <c r="X73">
        <f>COUNTIF(J3:J10,"metacell-53")</f>
        <v>0</v>
      </c>
      <c r="Y73">
        <f>COUNTIF(M3:M11,"metacell-53")</f>
        <v>0</v>
      </c>
      <c r="Z73">
        <f>COUNTIF(P3:P19,"metacell-53")</f>
        <v>0</v>
      </c>
      <c r="AA73">
        <f>COUNTIF(S3:S17,"metacell-53")</f>
        <v>0</v>
      </c>
      <c r="AB73" t="s">
        <v>509</v>
      </c>
      <c r="AC73" t="s">
        <v>509</v>
      </c>
      <c r="AD73">
        <f t="shared" si="1"/>
        <v>0</v>
      </c>
    </row>
    <row r="74" spans="1:30" x14ac:dyDescent="0.25">
      <c r="A74" s="54" t="s">
        <v>125</v>
      </c>
      <c r="B74" s="20">
        <v>19</v>
      </c>
      <c r="C74" s="20">
        <v>11</v>
      </c>
      <c r="D74" s="20">
        <v>6</v>
      </c>
      <c r="E74" s="20">
        <v>10</v>
      </c>
      <c r="F74" s="20">
        <v>13</v>
      </c>
      <c r="G74" s="20">
        <v>6</v>
      </c>
      <c r="H74" s="20">
        <v>7</v>
      </c>
      <c r="I74" s="12" t="s">
        <v>509</v>
      </c>
      <c r="J74" s="12" t="s">
        <v>509</v>
      </c>
      <c r="K74" s="12" t="s">
        <v>509</v>
      </c>
      <c r="L74" s="53" t="s">
        <v>509</v>
      </c>
      <c r="M74" s="54" t="s">
        <v>125</v>
      </c>
      <c r="N74" s="2">
        <f t="shared" si="0"/>
        <v>72</v>
      </c>
      <c r="O74" s="4">
        <v>17</v>
      </c>
      <c r="Q74" s="3" t="s">
        <v>14</v>
      </c>
      <c r="R74" s="4">
        <v>1</v>
      </c>
      <c r="T74" t="s">
        <v>129</v>
      </c>
      <c r="U74">
        <f>COUNTIF(A3:A7,"metacell-54")</f>
        <v>0</v>
      </c>
      <c r="V74">
        <f>COUNTIF(D3:D15,"metacell-54")</f>
        <v>0</v>
      </c>
      <c r="W74">
        <f>COUNTIF(G3:G13,"metacell-54")</f>
        <v>0</v>
      </c>
      <c r="X74">
        <f>COUNTIF(J3:J10,"metacell-54")</f>
        <v>0</v>
      </c>
      <c r="Y74">
        <f>COUNTIF(M3:M11,"metacell-54")</f>
        <v>0</v>
      </c>
      <c r="Z74">
        <f>COUNTIF(P3:P19,"metacell-54")</f>
        <v>0</v>
      </c>
      <c r="AA74">
        <f>COUNTIF(S3:S17,"metacell-54")</f>
        <v>0</v>
      </c>
      <c r="AB74" t="s">
        <v>509</v>
      </c>
      <c r="AC74" t="s">
        <v>509</v>
      </c>
      <c r="AD74">
        <f t="shared" si="1"/>
        <v>0</v>
      </c>
    </row>
    <row r="75" spans="1:30" x14ac:dyDescent="0.25">
      <c r="A75" s="54" t="s">
        <v>106</v>
      </c>
      <c r="B75" s="20">
        <v>30</v>
      </c>
      <c r="C75" s="20">
        <v>6</v>
      </c>
      <c r="D75" s="20">
        <v>11</v>
      </c>
      <c r="E75" s="20">
        <v>6</v>
      </c>
      <c r="F75" s="20">
        <v>9</v>
      </c>
      <c r="G75" s="20">
        <v>7</v>
      </c>
      <c r="H75" s="20">
        <v>6</v>
      </c>
      <c r="I75" s="12" t="s">
        <v>509</v>
      </c>
      <c r="J75" s="12" t="s">
        <v>509</v>
      </c>
      <c r="K75" s="12" t="s">
        <v>509</v>
      </c>
      <c r="L75" s="53" t="s">
        <v>509</v>
      </c>
      <c r="M75" s="54" t="s">
        <v>106</v>
      </c>
      <c r="N75" s="2">
        <f t="shared" si="0"/>
        <v>75</v>
      </c>
      <c r="O75" s="4">
        <v>18</v>
      </c>
      <c r="Q75" s="3" t="s">
        <v>138</v>
      </c>
      <c r="R75" s="4">
        <v>1</v>
      </c>
      <c r="T75" t="s">
        <v>130</v>
      </c>
      <c r="U75">
        <f>COUNTIF(A3:A7,"metacell-55")</f>
        <v>0</v>
      </c>
      <c r="V75">
        <f>COUNTIF(D3:D15,"metacell-55")</f>
        <v>0</v>
      </c>
      <c r="W75">
        <f>COUNTIF(G3:G13,"metacell-55")</f>
        <v>0</v>
      </c>
      <c r="X75">
        <f>COUNTIF(J3:J10,"metacell-55")</f>
        <v>0</v>
      </c>
      <c r="Y75">
        <f>COUNTIF(M3:M11,"metacell-55")</f>
        <v>0</v>
      </c>
      <c r="Z75">
        <f>COUNTIF(P3:P19,"metacell-55")</f>
        <v>0</v>
      </c>
      <c r="AA75">
        <f>COUNTIF(S3:S17,"metacell-55")</f>
        <v>0</v>
      </c>
      <c r="AB75" t="s">
        <v>509</v>
      </c>
      <c r="AC75" t="s">
        <v>509</v>
      </c>
      <c r="AD75">
        <f t="shared" si="1"/>
        <v>0</v>
      </c>
    </row>
    <row r="76" spans="1:30" x14ac:dyDescent="0.25">
      <c r="A76" s="54" t="s">
        <v>146</v>
      </c>
      <c r="B76" s="20">
        <v>8</v>
      </c>
      <c r="C76" s="20">
        <v>13</v>
      </c>
      <c r="D76" s="20">
        <v>10</v>
      </c>
      <c r="E76" s="20">
        <v>16</v>
      </c>
      <c r="F76" s="20">
        <v>15</v>
      </c>
      <c r="G76" s="20">
        <v>5</v>
      </c>
      <c r="H76" s="20">
        <v>11</v>
      </c>
      <c r="I76" s="12" t="s">
        <v>509</v>
      </c>
      <c r="J76" s="12" t="s">
        <v>509</v>
      </c>
      <c r="K76" s="12" t="s">
        <v>509</v>
      </c>
      <c r="L76" s="53" t="s">
        <v>509</v>
      </c>
      <c r="M76" s="54" t="s">
        <v>146</v>
      </c>
      <c r="N76" s="2">
        <f t="shared" si="0"/>
        <v>78</v>
      </c>
      <c r="O76" s="4">
        <v>19</v>
      </c>
      <c r="Q76" s="3" t="s">
        <v>139</v>
      </c>
      <c r="R76" s="4">
        <v>1</v>
      </c>
      <c r="T76" t="s">
        <v>131</v>
      </c>
      <c r="U76">
        <f>COUNTIF(A3:A7,"metacell-56")</f>
        <v>0</v>
      </c>
      <c r="V76">
        <f>COUNTIF(D3:D15,"metacell-56")</f>
        <v>0</v>
      </c>
      <c r="W76">
        <f>COUNTIF(G3:G13,"metacell-56")</f>
        <v>0</v>
      </c>
      <c r="X76">
        <f>COUNTIF(J3:J10,"metacell-56")</f>
        <v>0</v>
      </c>
      <c r="Y76">
        <f>COUNTIF(M3:M11,"metacell-56")</f>
        <v>0</v>
      </c>
      <c r="Z76">
        <f>COUNTIF(P3:P19,"metacell-56")</f>
        <v>0</v>
      </c>
      <c r="AA76">
        <f>COUNTIF(S3:S17,"metacell-56")</f>
        <v>0</v>
      </c>
      <c r="AB76" t="s">
        <v>509</v>
      </c>
      <c r="AC76" t="s">
        <v>509</v>
      </c>
      <c r="AD76">
        <f t="shared" si="1"/>
        <v>0</v>
      </c>
    </row>
    <row r="77" spans="1:30" x14ac:dyDescent="0.25">
      <c r="A77" s="54" t="s">
        <v>14</v>
      </c>
      <c r="B77" s="20">
        <v>5</v>
      </c>
      <c r="C77" s="20">
        <v>14</v>
      </c>
      <c r="D77" s="20">
        <v>12</v>
      </c>
      <c r="E77" s="20">
        <v>15</v>
      </c>
      <c r="F77" s="20">
        <v>17</v>
      </c>
      <c r="G77" s="20">
        <v>10</v>
      </c>
      <c r="H77" s="20">
        <v>11</v>
      </c>
      <c r="I77" s="12" t="s">
        <v>509</v>
      </c>
      <c r="J77" s="12" t="s">
        <v>509</v>
      </c>
      <c r="K77" s="12" t="s">
        <v>509</v>
      </c>
      <c r="L77" s="53" t="s">
        <v>509</v>
      </c>
      <c r="M77" s="54" t="s">
        <v>14</v>
      </c>
      <c r="N77" s="2">
        <f t="shared" si="0"/>
        <v>84</v>
      </c>
      <c r="O77" s="4">
        <v>20</v>
      </c>
      <c r="Q77" s="3" t="s">
        <v>146</v>
      </c>
      <c r="R77" s="4">
        <v>1</v>
      </c>
      <c r="T77" t="s">
        <v>132</v>
      </c>
      <c r="U77">
        <f>COUNTIF(A3:A7,"metacell-57")</f>
        <v>0</v>
      </c>
      <c r="V77">
        <f>COUNTIF(D3:D15,"metacell-57")</f>
        <v>0</v>
      </c>
      <c r="W77">
        <f>COUNTIF(G3:G13,"metacell-57")</f>
        <v>0</v>
      </c>
      <c r="X77">
        <f>COUNTIF(J3:J10,"metacell-57")</f>
        <v>0</v>
      </c>
      <c r="Y77">
        <f>COUNTIF(M3:M11,"metacell-57")</f>
        <v>0</v>
      </c>
      <c r="Z77">
        <f>COUNTIF(P3:P19,"metacell-57")</f>
        <v>0</v>
      </c>
      <c r="AA77">
        <f>COUNTIF(S3:S17,"metacell-57")</f>
        <v>0</v>
      </c>
      <c r="AB77" t="s">
        <v>509</v>
      </c>
      <c r="AC77" t="s">
        <v>509</v>
      </c>
      <c r="AD77">
        <f t="shared" si="1"/>
        <v>0</v>
      </c>
    </row>
    <row r="78" spans="1:30" x14ac:dyDescent="0.25">
      <c r="A78" s="54" t="s">
        <v>137</v>
      </c>
      <c r="B78" s="20">
        <v>3</v>
      </c>
      <c r="C78" s="20">
        <v>14</v>
      </c>
      <c r="D78" s="20">
        <v>18</v>
      </c>
      <c r="E78" s="20">
        <v>13</v>
      </c>
      <c r="F78" s="20">
        <v>18</v>
      </c>
      <c r="G78" s="20">
        <v>11</v>
      </c>
      <c r="H78" s="20">
        <v>8</v>
      </c>
      <c r="I78" s="12" t="s">
        <v>509</v>
      </c>
      <c r="J78" s="12" t="s">
        <v>509</v>
      </c>
      <c r="K78" s="12" t="s">
        <v>509</v>
      </c>
      <c r="L78" s="53" t="s">
        <v>509</v>
      </c>
      <c r="M78" s="54" t="s">
        <v>137</v>
      </c>
      <c r="N78" s="2">
        <f t="shared" si="0"/>
        <v>85</v>
      </c>
      <c r="O78" s="4">
        <v>21</v>
      </c>
      <c r="Q78" s="3" t="s">
        <v>106</v>
      </c>
      <c r="R78" s="4">
        <v>0</v>
      </c>
      <c r="T78" t="s">
        <v>133</v>
      </c>
      <c r="U78">
        <f>COUNTIF(A3:A7,"metacell-58")</f>
        <v>0</v>
      </c>
      <c r="V78">
        <f>COUNTIF(D3:D15,"metacell-58")</f>
        <v>0</v>
      </c>
      <c r="W78">
        <f>COUNTIF(G3:G13,"metacell-58")</f>
        <v>0</v>
      </c>
      <c r="X78">
        <f>COUNTIF(J3:J10,"metacell-58")</f>
        <v>0</v>
      </c>
      <c r="Y78">
        <f>COUNTIF(M3:M11,"metacell-58")</f>
        <v>0</v>
      </c>
      <c r="Z78">
        <f>COUNTIF(P3:P19,"metacell-58")</f>
        <v>0</v>
      </c>
      <c r="AA78">
        <f>COUNTIF(S3:S17,"metacell-58")</f>
        <v>0</v>
      </c>
      <c r="AB78" t="s">
        <v>509</v>
      </c>
      <c r="AC78" t="s">
        <v>509</v>
      </c>
      <c r="AD78">
        <f t="shared" si="1"/>
        <v>0</v>
      </c>
    </row>
    <row r="79" spans="1:30" x14ac:dyDescent="0.25">
      <c r="A79" s="54" t="s">
        <v>139</v>
      </c>
      <c r="B79" s="20">
        <v>4</v>
      </c>
      <c r="C79" s="20">
        <v>13</v>
      </c>
      <c r="D79" s="20">
        <v>13</v>
      </c>
      <c r="E79" s="20">
        <v>14</v>
      </c>
      <c r="F79" s="20">
        <v>19</v>
      </c>
      <c r="G79" s="20">
        <v>13</v>
      </c>
      <c r="H79" s="20">
        <v>11</v>
      </c>
      <c r="I79" s="12" t="s">
        <v>509</v>
      </c>
      <c r="J79" s="12" t="s">
        <v>509</v>
      </c>
      <c r="K79" s="12" t="s">
        <v>509</v>
      </c>
      <c r="L79" s="53" t="s">
        <v>509</v>
      </c>
      <c r="M79" s="54" t="s">
        <v>139</v>
      </c>
      <c r="N79" s="2">
        <f t="shared" si="0"/>
        <v>87</v>
      </c>
      <c r="O79" s="4">
        <v>22</v>
      </c>
      <c r="Q79" s="3" t="s">
        <v>125</v>
      </c>
      <c r="R79" s="4">
        <v>0</v>
      </c>
      <c r="T79" t="s">
        <v>134</v>
      </c>
      <c r="U79">
        <f>COUNTIF(A3:A7,"metacell-59")</f>
        <v>0</v>
      </c>
      <c r="V79">
        <f>COUNTIF(D3:D15,"metacell-59")</f>
        <v>0</v>
      </c>
      <c r="W79">
        <f>COUNTIF(G3:G13,"metacell-59")</f>
        <v>0</v>
      </c>
      <c r="X79">
        <f>COUNTIF(J3:J10,"metacell-59")</f>
        <v>0</v>
      </c>
      <c r="Y79">
        <f>COUNTIF(M3:M11,"metacell-59")</f>
        <v>0</v>
      </c>
      <c r="Z79">
        <f>COUNTIF(P3:P19,"metacell-59")</f>
        <v>0</v>
      </c>
      <c r="AA79">
        <f>COUNTIF(S3:S17,"metacell-59")</f>
        <v>0</v>
      </c>
      <c r="AB79" t="s">
        <v>509</v>
      </c>
      <c r="AC79" t="s">
        <v>509</v>
      </c>
      <c r="AD79">
        <f t="shared" si="1"/>
        <v>0</v>
      </c>
    </row>
    <row r="80" spans="1:30" x14ac:dyDescent="0.25">
      <c r="A80" s="54" t="s">
        <v>140</v>
      </c>
      <c r="B80" s="20">
        <v>29</v>
      </c>
      <c r="C80" s="20">
        <v>13</v>
      </c>
      <c r="D80" s="20">
        <v>15</v>
      </c>
      <c r="E80" s="20">
        <v>12</v>
      </c>
      <c r="F80" s="20">
        <v>14</v>
      </c>
      <c r="G80" s="20">
        <v>8</v>
      </c>
      <c r="H80" s="20">
        <v>7</v>
      </c>
      <c r="I80" s="12" t="s">
        <v>509</v>
      </c>
      <c r="J80" s="12" t="s">
        <v>509</v>
      </c>
      <c r="K80" s="12" t="s">
        <v>509</v>
      </c>
      <c r="L80" s="53" t="s">
        <v>509</v>
      </c>
      <c r="M80" s="54" t="s">
        <v>140</v>
      </c>
      <c r="N80" s="2">
        <f t="shared" si="0"/>
        <v>98</v>
      </c>
      <c r="O80" s="4">
        <v>23</v>
      </c>
      <c r="Q80" s="3" t="s">
        <v>126</v>
      </c>
      <c r="R80" s="4">
        <v>0</v>
      </c>
      <c r="T80" t="s">
        <v>79</v>
      </c>
      <c r="U80">
        <f>COUNTIF(A3:A7,"metacell-6")</f>
        <v>0</v>
      </c>
      <c r="V80">
        <f>COUNTIF(D3:D15,"metacell-6")</f>
        <v>1</v>
      </c>
      <c r="W80">
        <f>COUNTIF(G3:G13,"metacell-6")</f>
        <v>1</v>
      </c>
      <c r="X80">
        <f>COUNTIF(J3:J10,"metacell-6")</f>
        <v>1</v>
      </c>
      <c r="Y80">
        <f>COUNTIF(M3:M11,"metacell-6")</f>
        <v>0</v>
      </c>
      <c r="Z80">
        <f>COUNTIF(P3:P19,"metacell-6")</f>
        <v>0</v>
      </c>
      <c r="AA80">
        <f>COUNTIF(S3:S17,"metacell-6")</f>
        <v>1</v>
      </c>
      <c r="AB80" t="s">
        <v>509</v>
      </c>
      <c r="AC80" t="s">
        <v>509</v>
      </c>
      <c r="AD80">
        <f t="shared" si="1"/>
        <v>4</v>
      </c>
    </row>
    <row r="81" spans="1:30" x14ac:dyDescent="0.25">
      <c r="A81" s="54" t="s">
        <v>147</v>
      </c>
      <c r="B81" s="20">
        <v>9</v>
      </c>
      <c r="C81" s="20">
        <v>16</v>
      </c>
      <c r="D81" s="20">
        <v>16</v>
      </c>
      <c r="E81" s="20">
        <v>19</v>
      </c>
      <c r="F81" s="20">
        <v>24</v>
      </c>
      <c r="G81" s="20">
        <v>12</v>
      </c>
      <c r="H81" s="20">
        <v>12</v>
      </c>
      <c r="I81" s="12" t="s">
        <v>509</v>
      </c>
      <c r="J81" s="12" t="s">
        <v>509</v>
      </c>
      <c r="K81" s="12" t="s">
        <v>509</v>
      </c>
      <c r="L81" s="53" t="s">
        <v>509</v>
      </c>
      <c r="M81" s="54" t="s">
        <v>147</v>
      </c>
      <c r="N81" s="2">
        <f t="shared" si="0"/>
        <v>108</v>
      </c>
      <c r="O81" s="4">
        <v>24</v>
      </c>
      <c r="Q81" s="3" t="s">
        <v>127</v>
      </c>
      <c r="R81" s="4">
        <v>0</v>
      </c>
      <c r="T81" t="s">
        <v>135</v>
      </c>
      <c r="U81">
        <f>COUNTIF(A3:A7,"metacell-60")</f>
        <v>0</v>
      </c>
      <c r="V81">
        <f>COUNTIF(D3:D15,"metacell-60")</f>
        <v>0</v>
      </c>
      <c r="W81">
        <f>COUNTIF(G3:G13,"metacell-60")</f>
        <v>0</v>
      </c>
      <c r="X81">
        <f>COUNTIF(J3:J10,"metacell-60")</f>
        <v>0</v>
      </c>
      <c r="Y81">
        <f>COUNTIF(M3:M11,"metacell-60")</f>
        <v>0</v>
      </c>
      <c r="Z81">
        <f>COUNTIF(P3:P19,"metacell-60")</f>
        <v>0</v>
      </c>
      <c r="AA81">
        <f>COUNTIF(S3:S17,"metacell-60")</f>
        <v>0</v>
      </c>
      <c r="AB81" t="s">
        <v>509</v>
      </c>
      <c r="AC81" t="s">
        <v>509</v>
      </c>
      <c r="AD81">
        <f t="shared" si="1"/>
        <v>0</v>
      </c>
    </row>
    <row r="82" spans="1:30" x14ac:dyDescent="0.25">
      <c r="A82" s="54" t="s">
        <v>142</v>
      </c>
      <c r="B82" s="20">
        <v>21</v>
      </c>
      <c r="C82" s="20">
        <v>15</v>
      </c>
      <c r="D82" s="20">
        <v>18</v>
      </c>
      <c r="E82" s="20">
        <v>17</v>
      </c>
      <c r="F82" s="20">
        <v>20</v>
      </c>
      <c r="G82" s="20">
        <v>11</v>
      </c>
      <c r="H82" s="20">
        <v>10</v>
      </c>
      <c r="I82" s="12" t="s">
        <v>509</v>
      </c>
      <c r="J82" s="12" t="s">
        <v>509</v>
      </c>
      <c r="K82" s="12" t="s">
        <v>509</v>
      </c>
      <c r="L82" s="53" t="s">
        <v>509</v>
      </c>
      <c r="M82" s="54" t="s">
        <v>142</v>
      </c>
      <c r="N82" s="2">
        <f t="shared" si="0"/>
        <v>112</v>
      </c>
      <c r="O82" s="4">
        <v>25</v>
      </c>
      <c r="Q82" s="3" t="s">
        <v>128</v>
      </c>
      <c r="R82" s="4">
        <v>0</v>
      </c>
      <c r="T82" t="s">
        <v>136</v>
      </c>
      <c r="U82">
        <f>COUNTIF(A3:A7,"metacell-61")</f>
        <v>0</v>
      </c>
      <c r="V82">
        <f>COUNTIF(D3:D15,"metacell-61")</f>
        <v>0</v>
      </c>
      <c r="W82">
        <f>COUNTIF(G3:G13,"metacell-61")</f>
        <v>0</v>
      </c>
      <c r="X82">
        <f>COUNTIF(J3:J10,"metacell-61")</f>
        <v>0</v>
      </c>
      <c r="Y82">
        <f>COUNTIF(M3:M11,"metacell-61")</f>
        <v>0</v>
      </c>
      <c r="Z82">
        <f>COUNTIF(P3:P19,"metacell-61")</f>
        <v>0</v>
      </c>
      <c r="AA82">
        <f>COUNTIF(S3:S17,"metacell-61")</f>
        <v>0</v>
      </c>
      <c r="AB82" t="s">
        <v>509</v>
      </c>
      <c r="AC82" t="s">
        <v>509</v>
      </c>
      <c r="AD82">
        <f t="shared" si="1"/>
        <v>0</v>
      </c>
    </row>
    <row r="83" spans="1:30" x14ac:dyDescent="0.25">
      <c r="A83" s="54" t="s">
        <v>143</v>
      </c>
      <c r="B83" s="20">
        <v>21</v>
      </c>
      <c r="C83" s="20">
        <v>18</v>
      </c>
      <c r="D83" s="20">
        <v>17</v>
      </c>
      <c r="E83" s="20">
        <v>21</v>
      </c>
      <c r="F83" s="20">
        <v>20</v>
      </c>
      <c r="G83" s="20">
        <v>12</v>
      </c>
      <c r="H83" s="20">
        <v>9</v>
      </c>
      <c r="I83" s="12" t="s">
        <v>509</v>
      </c>
      <c r="J83" s="12" t="s">
        <v>509</v>
      </c>
      <c r="K83" s="12" t="s">
        <v>509</v>
      </c>
      <c r="L83" s="53" t="s">
        <v>509</v>
      </c>
      <c r="M83" s="54" t="s">
        <v>143</v>
      </c>
      <c r="N83" s="2">
        <f t="shared" si="0"/>
        <v>118</v>
      </c>
      <c r="O83" s="4">
        <v>26</v>
      </c>
      <c r="Q83" s="3" t="s">
        <v>129</v>
      </c>
      <c r="R83" s="4">
        <v>0</v>
      </c>
      <c r="T83" t="s">
        <v>137</v>
      </c>
      <c r="U83">
        <f>COUNTIF(A3:A7,"metacell-62")</f>
        <v>1</v>
      </c>
      <c r="V83">
        <f>COUNTIF(D3:D15,"metacell-62")</f>
        <v>0</v>
      </c>
      <c r="W83">
        <f>COUNTIF(G3:G13,"metacell-62")</f>
        <v>0</v>
      </c>
      <c r="X83">
        <f>COUNTIF(J3:J10,"metacell-62")</f>
        <v>0</v>
      </c>
      <c r="Y83">
        <f>COUNTIF(M3:M11,"metacell-62")</f>
        <v>0</v>
      </c>
      <c r="Z83">
        <f>COUNTIF(P3:P19,"metacell-62")</f>
        <v>0</v>
      </c>
      <c r="AA83">
        <f>COUNTIF(S3:S17,"metacell-62")</f>
        <v>0</v>
      </c>
      <c r="AB83" t="s">
        <v>509</v>
      </c>
      <c r="AC83" t="s">
        <v>509</v>
      </c>
      <c r="AD83">
        <f t="shared" si="1"/>
        <v>1</v>
      </c>
    </row>
    <row r="84" spans="1:30" x14ac:dyDescent="0.25">
      <c r="A84" s="54" t="s">
        <v>127</v>
      </c>
      <c r="B84" s="20">
        <v>22</v>
      </c>
      <c r="C84" s="20">
        <v>18</v>
      </c>
      <c r="D84" s="20">
        <v>17</v>
      </c>
      <c r="E84" s="20">
        <v>21</v>
      </c>
      <c r="F84" s="20">
        <v>19</v>
      </c>
      <c r="G84" s="20">
        <v>10</v>
      </c>
      <c r="H84" s="20">
        <v>12</v>
      </c>
      <c r="I84" s="12" t="s">
        <v>509</v>
      </c>
      <c r="J84" s="12" t="s">
        <v>509</v>
      </c>
      <c r="K84" s="12" t="s">
        <v>509</v>
      </c>
      <c r="L84" s="53" t="s">
        <v>509</v>
      </c>
      <c r="M84" s="54" t="s">
        <v>127</v>
      </c>
      <c r="N84" s="2">
        <f t="shared" si="0"/>
        <v>119</v>
      </c>
      <c r="O84" s="4">
        <v>27</v>
      </c>
      <c r="Q84" s="3" t="s">
        <v>130</v>
      </c>
      <c r="R84" s="4">
        <v>0</v>
      </c>
      <c r="T84" t="s">
        <v>14</v>
      </c>
      <c r="U84">
        <f>COUNTIF(A3:A7,"metacell-63")</f>
        <v>1</v>
      </c>
      <c r="V84">
        <f>COUNTIF(D3:D15,"metacell-63")</f>
        <v>0</v>
      </c>
      <c r="W84">
        <f>COUNTIF(G3:G13,"metacell-63")</f>
        <v>0</v>
      </c>
      <c r="X84">
        <f>COUNTIF(J3:J10,"metacell-63")</f>
        <v>0</v>
      </c>
      <c r="Y84">
        <f>COUNTIF(M3:M11,"metacell-63")</f>
        <v>0</v>
      </c>
      <c r="Z84">
        <f>COUNTIF(P3:P19,"metacell-63")</f>
        <v>0</v>
      </c>
      <c r="AA84">
        <f>COUNTIF(S3:S17,"metacell-63")</f>
        <v>0</v>
      </c>
      <c r="AB84" t="s">
        <v>509</v>
      </c>
      <c r="AC84" t="s">
        <v>509</v>
      </c>
      <c r="AD84">
        <f t="shared" si="1"/>
        <v>1</v>
      </c>
    </row>
    <row r="85" spans="1:30" x14ac:dyDescent="0.25">
      <c r="A85" s="54" t="s">
        <v>141</v>
      </c>
      <c r="B85" s="20">
        <v>24</v>
      </c>
      <c r="C85" s="20">
        <v>17</v>
      </c>
      <c r="D85" s="20">
        <v>19</v>
      </c>
      <c r="E85" s="20">
        <v>18</v>
      </c>
      <c r="F85" s="20">
        <v>24</v>
      </c>
      <c r="G85" s="20">
        <v>11</v>
      </c>
      <c r="H85" s="20">
        <v>12</v>
      </c>
      <c r="I85" s="12" t="s">
        <v>509</v>
      </c>
      <c r="J85" s="12" t="s">
        <v>509</v>
      </c>
      <c r="K85" s="12" t="s">
        <v>509</v>
      </c>
      <c r="L85" s="53" t="s">
        <v>509</v>
      </c>
      <c r="M85" s="54" t="s">
        <v>141</v>
      </c>
      <c r="N85" s="2">
        <f t="shared" si="0"/>
        <v>125</v>
      </c>
      <c r="O85" s="4">
        <v>28</v>
      </c>
      <c r="Q85" s="3" t="s">
        <v>131</v>
      </c>
      <c r="R85" s="4">
        <v>0</v>
      </c>
      <c r="T85" t="s">
        <v>138</v>
      </c>
      <c r="U85">
        <f>COUNTIF(A3:A7,"metacell-64")</f>
        <v>0</v>
      </c>
      <c r="V85">
        <f>COUNTIF(D3:D15,"metacell-64")</f>
        <v>0</v>
      </c>
      <c r="W85">
        <f>COUNTIF(G3:G13,"metacell-64")</f>
        <v>0</v>
      </c>
      <c r="X85">
        <f>COUNTIF(J3:J10,"metacell-64")</f>
        <v>0</v>
      </c>
      <c r="Y85">
        <f>COUNTIF(M3:M11,"metacell-64")</f>
        <v>0</v>
      </c>
      <c r="Z85">
        <f>COUNTIF(P3:P19,"metacell-64")</f>
        <v>1</v>
      </c>
      <c r="AA85">
        <f>COUNTIF(S3:S17,"metacell-64")</f>
        <v>0</v>
      </c>
      <c r="AB85" t="s">
        <v>509</v>
      </c>
      <c r="AC85" t="s">
        <v>509</v>
      </c>
      <c r="AD85">
        <f t="shared" si="1"/>
        <v>1</v>
      </c>
    </row>
    <row r="86" spans="1:30" x14ac:dyDescent="0.25">
      <c r="A86" s="54" t="s">
        <v>144</v>
      </c>
      <c r="B86" s="20">
        <v>23</v>
      </c>
      <c r="C86" s="20">
        <v>19</v>
      </c>
      <c r="D86" s="20">
        <v>18</v>
      </c>
      <c r="E86" s="20">
        <v>24</v>
      </c>
      <c r="F86" s="20">
        <v>23</v>
      </c>
      <c r="G86" s="20">
        <v>13</v>
      </c>
      <c r="H86" s="20">
        <v>9</v>
      </c>
      <c r="I86" s="12" t="s">
        <v>509</v>
      </c>
      <c r="J86" s="12" t="s">
        <v>509</v>
      </c>
      <c r="K86" s="12" t="s">
        <v>509</v>
      </c>
      <c r="L86" s="53" t="s">
        <v>509</v>
      </c>
      <c r="M86" s="54" t="s">
        <v>144</v>
      </c>
      <c r="N86" s="2">
        <f t="shared" si="0"/>
        <v>129</v>
      </c>
      <c r="O86" s="4">
        <v>29</v>
      </c>
      <c r="Q86" s="3" t="s">
        <v>132</v>
      </c>
      <c r="R86" s="4">
        <v>0</v>
      </c>
      <c r="T86" t="s">
        <v>139</v>
      </c>
      <c r="U86">
        <f>COUNTIF(A3:A7,"metacell-65")</f>
        <v>1</v>
      </c>
      <c r="V86">
        <f>COUNTIF(D3:D15,"metacell-65")</f>
        <v>0</v>
      </c>
      <c r="W86">
        <f>COUNTIF(G3:G13,"metacell-65")</f>
        <v>0</v>
      </c>
      <c r="X86">
        <f>COUNTIF(J3:J10,"metacell-65")</f>
        <v>0</v>
      </c>
      <c r="Y86">
        <f>COUNTIF(M3:M11,"metacell-65")</f>
        <v>0</v>
      </c>
      <c r="Z86">
        <f>COUNTIF(P3:P19,"metacell-65")</f>
        <v>0</v>
      </c>
      <c r="AA86">
        <f>COUNTIF(S3:S17,"metacell-65")</f>
        <v>0</v>
      </c>
      <c r="AB86" t="s">
        <v>509</v>
      </c>
      <c r="AC86" t="s">
        <v>509</v>
      </c>
      <c r="AD86">
        <f t="shared" si="1"/>
        <v>1</v>
      </c>
    </row>
    <row r="87" spans="1:30" x14ac:dyDescent="0.25">
      <c r="A87" s="54" t="s">
        <v>145</v>
      </c>
      <c r="B87" s="20">
        <v>15</v>
      </c>
      <c r="C87" s="20">
        <v>21</v>
      </c>
      <c r="D87" s="20">
        <v>18</v>
      </c>
      <c r="E87" s="20">
        <v>26</v>
      </c>
      <c r="F87" s="20">
        <v>25</v>
      </c>
      <c r="G87" s="20">
        <v>10</v>
      </c>
      <c r="H87" s="20">
        <v>14</v>
      </c>
      <c r="I87" s="12" t="s">
        <v>509</v>
      </c>
      <c r="J87" s="12" t="s">
        <v>509</v>
      </c>
      <c r="K87" s="12" t="s">
        <v>509</v>
      </c>
      <c r="L87" s="53" t="s">
        <v>509</v>
      </c>
      <c r="M87" s="54" t="s">
        <v>145</v>
      </c>
      <c r="N87" s="2">
        <f t="shared" si="0"/>
        <v>129</v>
      </c>
      <c r="O87" s="4">
        <v>29</v>
      </c>
      <c r="Q87" s="3" t="s">
        <v>133</v>
      </c>
      <c r="R87" s="4">
        <v>0</v>
      </c>
      <c r="T87" t="s">
        <v>140</v>
      </c>
      <c r="U87">
        <f>COUNTIF(A3:A7,"metacell-66")</f>
        <v>0</v>
      </c>
      <c r="V87">
        <f>COUNTIF(D3:D15,"metacell-66")</f>
        <v>0</v>
      </c>
      <c r="W87">
        <f>COUNTIF(G3:G13,"metacell-66")</f>
        <v>0</v>
      </c>
      <c r="X87">
        <f>COUNTIF(J3:J10,"metacell-66")</f>
        <v>0</v>
      </c>
      <c r="Y87">
        <f>COUNTIF(M3:M11,"metacell-66")</f>
        <v>0</v>
      </c>
      <c r="Z87">
        <f>COUNTIF(P3:P19,"metacell-66")</f>
        <v>0</v>
      </c>
      <c r="AA87">
        <f>COUNTIF(S3:S17,"metacell-66")</f>
        <v>0</v>
      </c>
      <c r="AB87" t="s">
        <v>509</v>
      </c>
      <c r="AC87" t="s">
        <v>509</v>
      </c>
      <c r="AD87">
        <f t="shared" si="1"/>
        <v>0</v>
      </c>
    </row>
    <row r="88" spans="1:30" x14ac:dyDescent="0.25">
      <c r="A88" s="54" t="s">
        <v>130</v>
      </c>
      <c r="B88" s="20">
        <v>25</v>
      </c>
      <c r="C88" s="20">
        <v>20</v>
      </c>
      <c r="D88" s="20">
        <v>17</v>
      </c>
      <c r="E88" s="20">
        <v>27</v>
      </c>
      <c r="F88" s="20">
        <v>22</v>
      </c>
      <c r="G88" s="20">
        <v>12</v>
      </c>
      <c r="H88" s="20">
        <v>10</v>
      </c>
      <c r="I88" s="12" t="s">
        <v>509</v>
      </c>
      <c r="J88" s="12" t="s">
        <v>509</v>
      </c>
      <c r="K88" s="12" t="s">
        <v>509</v>
      </c>
      <c r="L88" s="53" t="s">
        <v>509</v>
      </c>
      <c r="M88" s="54" t="s">
        <v>130</v>
      </c>
      <c r="N88" s="2">
        <f t="shared" si="0"/>
        <v>133</v>
      </c>
      <c r="O88" s="4">
        <v>30</v>
      </c>
      <c r="Q88" s="3" t="s">
        <v>134</v>
      </c>
      <c r="R88" s="4">
        <v>0</v>
      </c>
      <c r="T88" t="s">
        <v>141</v>
      </c>
      <c r="U88">
        <f>COUNTIF(A3:A7,"metacell-67")</f>
        <v>0</v>
      </c>
      <c r="V88">
        <f>COUNTIF(D3:D15,"metacell-67")</f>
        <v>0</v>
      </c>
      <c r="W88">
        <f>COUNTIF(G3:G13,"metacell-67")</f>
        <v>0</v>
      </c>
      <c r="X88">
        <f>COUNTIF(J3:J10,"metacell-67")</f>
        <v>0</v>
      </c>
      <c r="Y88">
        <f>COUNTIF(M3:M11,"metacell-67")</f>
        <v>0</v>
      </c>
      <c r="Z88">
        <f>COUNTIF(P3:P19,"metacell-67")</f>
        <v>0</v>
      </c>
      <c r="AA88">
        <f>COUNTIF(S3:S17,"metacell-67")</f>
        <v>0</v>
      </c>
      <c r="AB88" t="s">
        <v>509</v>
      </c>
      <c r="AC88" t="s">
        <v>509</v>
      </c>
      <c r="AD88">
        <f t="shared" si="1"/>
        <v>0</v>
      </c>
    </row>
    <row r="89" spans="1:30" x14ac:dyDescent="0.25">
      <c r="A89" s="54" t="s">
        <v>129</v>
      </c>
      <c r="B89" s="20">
        <v>27</v>
      </c>
      <c r="C89" s="20">
        <v>21</v>
      </c>
      <c r="D89" s="20">
        <v>25</v>
      </c>
      <c r="E89" s="20">
        <v>20</v>
      </c>
      <c r="F89" s="20">
        <v>20</v>
      </c>
      <c r="G89" s="20">
        <v>11</v>
      </c>
      <c r="H89" s="20">
        <v>10</v>
      </c>
      <c r="I89" s="12" t="s">
        <v>509</v>
      </c>
      <c r="J89" s="12" t="s">
        <v>509</v>
      </c>
      <c r="K89" s="12" t="s">
        <v>509</v>
      </c>
      <c r="L89" s="53" t="s">
        <v>509</v>
      </c>
      <c r="M89" s="54" t="s">
        <v>129</v>
      </c>
      <c r="N89" s="2">
        <f t="shared" si="0"/>
        <v>134</v>
      </c>
      <c r="O89" s="4">
        <v>31</v>
      </c>
      <c r="Q89" s="3" t="s">
        <v>135</v>
      </c>
      <c r="R89" s="4">
        <v>0</v>
      </c>
      <c r="T89" t="s">
        <v>142</v>
      </c>
      <c r="U89">
        <f>COUNTIF(A3:A7,"metacell-68")</f>
        <v>0</v>
      </c>
      <c r="V89">
        <f>COUNTIF(D3:D15,"metacell-68")</f>
        <v>0</v>
      </c>
      <c r="W89">
        <f>COUNTIF(G3:G13,"metacell-68")</f>
        <v>0</v>
      </c>
      <c r="X89">
        <f>COUNTIF(J3:J10,"metacell-68")</f>
        <v>0</v>
      </c>
      <c r="Y89">
        <f>COUNTIF(M3:M11,"metacell-68")</f>
        <v>0</v>
      </c>
      <c r="Z89">
        <f>COUNTIF(P3:P19,"metacell-68")</f>
        <v>0</v>
      </c>
      <c r="AA89">
        <f>COUNTIF(S3:S17,"metacell-68")</f>
        <v>0</v>
      </c>
      <c r="AB89" t="s">
        <v>509</v>
      </c>
      <c r="AC89" t="s">
        <v>509</v>
      </c>
      <c r="AD89">
        <f t="shared" si="1"/>
        <v>0</v>
      </c>
    </row>
    <row r="90" spans="1:30" x14ac:dyDescent="0.25">
      <c r="A90" s="54" t="s">
        <v>134</v>
      </c>
      <c r="B90" s="20">
        <v>28</v>
      </c>
      <c r="C90" s="20">
        <v>22</v>
      </c>
      <c r="D90" s="20">
        <v>22</v>
      </c>
      <c r="E90" s="20">
        <v>23</v>
      </c>
      <c r="F90" s="20">
        <v>21</v>
      </c>
      <c r="G90" s="20">
        <v>12</v>
      </c>
      <c r="H90" s="20">
        <v>11</v>
      </c>
      <c r="I90" s="12" t="s">
        <v>509</v>
      </c>
      <c r="J90" s="12" t="s">
        <v>509</v>
      </c>
      <c r="K90" s="12" t="s">
        <v>509</v>
      </c>
      <c r="L90" s="53" t="s">
        <v>509</v>
      </c>
      <c r="M90" s="54" t="s">
        <v>134</v>
      </c>
      <c r="N90" s="2">
        <f t="shared" si="0"/>
        <v>139</v>
      </c>
      <c r="O90" s="4">
        <v>32</v>
      </c>
      <c r="Q90" s="3" t="s">
        <v>136</v>
      </c>
      <c r="R90" s="4">
        <v>0</v>
      </c>
      <c r="T90" t="s">
        <v>143</v>
      </c>
      <c r="U90">
        <f>COUNTIF(A3:A7,"metacell-69")</f>
        <v>0</v>
      </c>
      <c r="V90">
        <f>COUNTIF(D3:D15,"metacell-69")</f>
        <v>0</v>
      </c>
      <c r="W90">
        <f>COUNTIF(G3:G13,"metacell-69")</f>
        <v>0</v>
      </c>
      <c r="X90">
        <f>COUNTIF(J3:J10,"metacell-69")</f>
        <v>0</v>
      </c>
      <c r="Y90">
        <f>COUNTIF(M3:M11,"metacell-69")</f>
        <v>0</v>
      </c>
      <c r="Z90">
        <f>COUNTIF(P3:P19,"metacell-69")</f>
        <v>0</v>
      </c>
      <c r="AA90">
        <f>COUNTIF(S3:S17,"metacell-69")</f>
        <v>0</v>
      </c>
      <c r="AB90" t="s">
        <v>509</v>
      </c>
      <c r="AC90" t="s">
        <v>509</v>
      </c>
      <c r="AD90">
        <f t="shared" si="1"/>
        <v>0</v>
      </c>
    </row>
    <row r="91" spans="1:30" x14ac:dyDescent="0.25">
      <c r="A91" s="54" t="s">
        <v>126</v>
      </c>
      <c r="B91" s="20">
        <v>30</v>
      </c>
      <c r="C91" s="20">
        <v>20</v>
      </c>
      <c r="D91" s="20">
        <v>22</v>
      </c>
      <c r="E91" s="20">
        <v>22</v>
      </c>
      <c r="F91" s="20">
        <v>26</v>
      </c>
      <c r="G91" s="20">
        <v>13</v>
      </c>
      <c r="H91" s="20">
        <v>13</v>
      </c>
      <c r="I91" s="12" t="s">
        <v>509</v>
      </c>
      <c r="J91" s="12" t="s">
        <v>509</v>
      </c>
      <c r="K91" s="12" t="s">
        <v>509</v>
      </c>
      <c r="L91" s="53" t="s">
        <v>509</v>
      </c>
      <c r="M91" s="54" t="s">
        <v>126</v>
      </c>
      <c r="N91" s="2">
        <f t="shared" si="0"/>
        <v>146</v>
      </c>
      <c r="O91" s="4">
        <v>33</v>
      </c>
      <c r="Q91" s="3" t="s">
        <v>140</v>
      </c>
      <c r="R91" s="4">
        <v>0</v>
      </c>
      <c r="T91" t="s">
        <v>82</v>
      </c>
      <c r="U91">
        <f>COUNTIF(A3:A7,"metacell-7")</f>
        <v>0</v>
      </c>
      <c r="V91">
        <f>COUNTIF(D3:D15,"metacell-7")</f>
        <v>1</v>
      </c>
      <c r="W91">
        <f>COUNTIF(G3:G13,"metacell-7")</f>
        <v>1</v>
      </c>
      <c r="X91">
        <f>COUNTIF(J3:J10,"metacell-7")</f>
        <v>1</v>
      </c>
      <c r="Y91">
        <f>COUNTIF(M3:M11,"metacell-7")</f>
        <v>0</v>
      </c>
      <c r="Z91">
        <f>COUNTIF(P3:P19,"metacell-7")</f>
        <v>1</v>
      </c>
      <c r="AA91">
        <f>COUNTIF(S3:S17,"metacell-7")</f>
        <v>1</v>
      </c>
      <c r="AB91" t="s">
        <v>509</v>
      </c>
      <c r="AC91" t="s">
        <v>509</v>
      </c>
      <c r="AD91">
        <f t="shared" si="1"/>
        <v>5</v>
      </c>
    </row>
    <row r="92" spans="1:30" x14ac:dyDescent="0.25">
      <c r="A92" s="54" t="s">
        <v>128</v>
      </c>
      <c r="B92" s="20">
        <v>32</v>
      </c>
      <c r="C92" s="20">
        <v>23</v>
      </c>
      <c r="D92" s="20">
        <v>23</v>
      </c>
      <c r="E92" s="20">
        <v>26</v>
      </c>
      <c r="F92" s="20">
        <v>20</v>
      </c>
      <c r="G92" s="20">
        <v>10</v>
      </c>
      <c r="H92" s="20">
        <v>12</v>
      </c>
      <c r="I92" s="12" t="s">
        <v>509</v>
      </c>
      <c r="J92" s="12" t="s">
        <v>509</v>
      </c>
      <c r="K92" s="12" t="s">
        <v>509</v>
      </c>
      <c r="L92" s="53" t="s">
        <v>509</v>
      </c>
      <c r="M92" s="54" t="s">
        <v>128</v>
      </c>
      <c r="N92" s="2">
        <f t="shared" si="0"/>
        <v>146</v>
      </c>
      <c r="O92" s="4">
        <v>33</v>
      </c>
      <c r="Q92" s="3" t="s">
        <v>141</v>
      </c>
      <c r="R92" s="4">
        <v>0</v>
      </c>
      <c r="T92" t="s">
        <v>144</v>
      </c>
      <c r="U92">
        <f>COUNTIF(A3:A7,"metacell-70")</f>
        <v>0</v>
      </c>
      <c r="V92">
        <f>COUNTIF(D3:D15,"metacell-70")</f>
        <v>0</v>
      </c>
      <c r="W92">
        <f>COUNTIF(G3:G13,"metacell-70")</f>
        <v>0</v>
      </c>
      <c r="X92">
        <f>COUNTIF(J3:J10,"metacell-70")</f>
        <v>0</v>
      </c>
      <c r="Y92">
        <f>COUNTIF(M3:M11,"metacell-70")</f>
        <v>0</v>
      </c>
      <c r="Z92">
        <f>COUNTIF(P3:P19,"metacell-70")</f>
        <v>0</v>
      </c>
      <c r="AA92">
        <f>COUNTIF(S3:S17,"metacell-70")</f>
        <v>0</v>
      </c>
      <c r="AB92" t="s">
        <v>509</v>
      </c>
      <c r="AC92" t="s">
        <v>509</v>
      </c>
      <c r="AD92">
        <f t="shared" si="1"/>
        <v>0</v>
      </c>
    </row>
    <row r="93" spans="1:30" x14ac:dyDescent="0.25">
      <c r="A93" s="54" t="s">
        <v>135</v>
      </c>
      <c r="B93" s="20">
        <v>33</v>
      </c>
      <c r="C93" s="20">
        <v>22</v>
      </c>
      <c r="D93" s="20">
        <v>20</v>
      </c>
      <c r="E93" s="20">
        <v>25</v>
      </c>
      <c r="F93" s="20">
        <v>25</v>
      </c>
      <c r="G93" s="20">
        <v>12</v>
      </c>
      <c r="H93" s="20">
        <v>14</v>
      </c>
      <c r="I93" s="12" t="s">
        <v>509</v>
      </c>
      <c r="J93" s="12" t="s">
        <v>509</v>
      </c>
      <c r="K93" s="12" t="s">
        <v>509</v>
      </c>
      <c r="L93" s="53" t="s">
        <v>509</v>
      </c>
      <c r="M93" s="54" t="s">
        <v>135</v>
      </c>
      <c r="N93" s="2">
        <f t="shared" si="0"/>
        <v>151</v>
      </c>
      <c r="O93" s="4">
        <v>34</v>
      </c>
      <c r="Q93" s="3" t="s">
        <v>142</v>
      </c>
      <c r="R93" s="4">
        <v>0</v>
      </c>
      <c r="T93" t="s">
        <v>145</v>
      </c>
      <c r="U93">
        <f>COUNTIF(A3:A7,"metacell-71")</f>
        <v>0</v>
      </c>
      <c r="V93">
        <f>COUNTIF(D3:D15,"metacell-71")</f>
        <v>0</v>
      </c>
      <c r="W93">
        <f>COUNTIF(G3:G13,"metacell-71")</f>
        <v>0</v>
      </c>
      <c r="X93">
        <f>COUNTIF(J3:J10,"metacell-71")</f>
        <v>0</v>
      </c>
      <c r="Y93">
        <f>COUNTIF(M3:M11,"metacell-71")</f>
        <v>0</v>
      </c>
      <c r="Z93">
        <f>COUNTIF(P3:P19,"metacell-71")</f>
        <v>0</v>
      </c>
      <c r="AA93">
        <f>COUNTIF(S3:S17,"metacell-71")</f>
        <v>0</v>
      </c>
      <c r="AB93" t="s">
        <v>509</v>
      </c>
      <c r="AC93" t="s">
        <v>509</v>
      </c>
      <c r="AD93">
        <f t="shared" si="1"/>
        <v>0</v>
      </c>
    </row>
    <row r="94" spans="1:30" x14ac:dyDescent="0.25">
      <c r="A94" s="54" t="s">
        <v>132</v>
      </c>
      <c r="B94" s="20">
        <v>35</v>
      </c>
      <c r="C94" s="20">
        <v>24</v>
      </c>
      <c r="D94" s="20">
        <v>26</v>
      </c>
      <c r="E94" s="20">
        <v>25</v>
      </c>
      <c r="F94" s="20">
        <v>23</v>
      </c>
      <c r="G94" s="20">
        <v>10</v>
      </c>
      <c r="H94" s="20">
        <v>13</v>
      </c>
      <c r="I94" s="12" t="s">
        <v>509</v>
      </c>
      <c r="J94" s="12" t="s">
        <v>509</v>
      </c>
      <c r="K94" s="12" t="s">
        <v>509</v>
      </c>
      <c r="L94" s="53" t="s">
        <v>509</v>
      </c>
      <c r="M94" s="54" t="s">
        <v>132</v>
      </c>
      <c r="N94" s="2">
        <f t="shared" si="0"/>
        <v>156</v>
      </c>
      <c r="O94" s="4">
        <v>35</v>
      </c>
      <c r="Q94" s="3" t="s">
        <v>143</v>
      </c>
      <c r="R94" s="4">
        <v>0</v>
      </c>
      <c r="T94" t="s">
        <v>146</v>
      </c>
      <c r="U94">
        <f>COUNTIF(A3:A7,"metacell-72")</f>
        <v>0</v>
      </c>
      <c r="V94">
        <f>COUNTIF(D3:D15,"metacell-72")</f>
        <v>0</v>
      </c>
      <c r="W94">
        <f>COUNTIF(G3:G13,"metacell-72")</f>
        <v>0</v>
      </c>
      <c r="X94">
        <f>COUNTIF(J3:J10,"metacell-72")</f>
        <v>0</v>
      </c>
      <c r="Y94">
        <f>COUNTIF(M3:M11,"metacell-72")</f>
        <v>0</v>
      </c>
      <c r="Z94">
        <f>COUNTIF(P3:P19,"metacell-72")</f>
        <v>1</v>
      </c>
      <c r="AA94">
        <f>COUNTIF(S3:S17,"metacell-72")</f>
        <v>0</v>
      </c>
      <c r="AB94" t="s">
        <v>509</v>
      </c>
      <c r="AC94" t="s">
        <v>509</v>
      </c>
      <c r="AD94">
        <f t="shared" si="1"/>
        <v>1</v>
      </c>
    </row>
    <row r="95" spans="1:30" x14ac:dyDescent="0.25">
      <c r="A95" s="54" t="s">
        <v>136</v>
      </c>
      <c r="B95" s="20">
        <v>32</v>
      </c>
      <c r="C95" s="20">
        <v>24</v>
      </c>
      <c r="D95" s="20">
        <v>21</v>
      </c>
      <c r="E95" s="20">
        <v>29</v>
      </c>
      <c r="F95" s="20">
        <v>26</v>
      </c>
      <c r="G95" s="20">
        <v>9</v>
      </c>
      <c r="H95" s="20">
        <v>15</v>
      </c>
      <c r="I95" s="12" t="s">
        <v>509</v>
      </c>
      <c r="J95" s="12" t="s">
        <v>509</v>
      </c>
      <c r="K95" s="12" t="s">
        <v>509</v>
      </c>
      <c r="L95" s="53" t="s">
        <v>509</v>
      </c>
      <c r="M95" s="54" t="s">
        <v>136</v>
      </c>
      <c r="N95" s="2">
        <f t="shared" si="0"/>
        <v>156</v>
      </c>
      <c r="O95" s="4">
        <v>35</v>
      </c>
      <c r="Q95" s="3" t="s">
        <v>144</v>
      </c>
      <c r="R95" s="4">
        <v>0</v>
      </c>
      <c r="T95" t="s">
        <v>147</v>
      </c>
      <c r="U95">
        <f>COUNTIF(A3:A7,"metacell-73")</f>
        <v>0</v>
      </c>
      <c r="V95">
        <f>COUNTIF(D3:D15,"metacell-73")</f>
        <v>0</v>
      </c>
      <c r="W95">
        <f>COUNTIF(G3:G13,"metacell-73")</f>
        <v>0</v>
      </c>
      <c r="X95">
        <f>COUNTIF(J3:J10,"metacell-73")</f>
        <v>0</v>
      </c>
      <c r="Y95">
        <f>COUNTIF(M3:M11,"metacell-73")</f>
        <v>0</v>
      </c>
      <c r="Z95">
        <f>COUNTIF(P3:P19,"metacell-73")</f>
        <v>0</v>
      </c>
      <c r="AA95">
        <f>COUNTIF(S3:S17,"metacell-73")</f>
        <v>0</v>
      </c>
      <c r="AB95" t="s">
        <v>509</v>
      </c>
      <c r="AC95" t="s">
        <v>509</v>
      </c>
      <c r="AD95">
        <f t="shared" si="1"/>
        <v>0</v>
      </c>
    </row>
    <row r="96" spans="1:30" x14ac:dyDescent="0.25">
      <c r="A96" s="54" t="s">
        <v>133</v>
      </c>
      <c r="B96" s="20">
        <v>31</v>
      </c>
      <c r="C96" s="20">
        <v>25</v>
      </c>
      <c r="D96" s="20">
        <v>27</v>
      </c>
      <c r="E96" s="20">
        <v>28</v>
      </c>
      <c r="F96" s="20">
        <v>24</v>
      </c>
      <c r="G96" s="20">
        <v>12</v>
      </c>
      <c r="H96" s="20">
        <v>12</v>
      </c>
      <c r="I96" s="12" t="s">
        <v>509</v>
      </c>
      <c r="J96" s="12" t="s">
        <v>509</v>
      </c>
      <c r="K96" s="12" t="s">
        <v>509</v>
      </c>
      <c r="L96" s="53" t="s">
        <v>509</v>
      </c>
      <c r="M96" s="54" t="s">
        <v>133</v>
      </c>
      <c r="N96" s="2">
        <f t="shared" si="0"/>
        <v>159</v>
      </c>
      <c r="O96" s="4">
        <v>36</v>
      </c>
      <c r="Q96" s="3" t="s">
        <v>145</v>
      </c>
      <c r="R96" s="4">
        <v>0</v>
      </c>
      <c r="T96" t="s">
        <v>83</v>
      </c>
      <c r="U96">
        <f>COUNTIF(A3:A7,"metacell-8")</f>
        <v>0</v>
      </c>
      <c r="V96">
        <f>COUNTIF(D3:D15,"metacell-8")</f>
        <v>1</v>
      </c>
      <c r="W96">
        <f>COUNTIF(G3:G13,"metacell-8")</f>
        <v>1</v>
      </c>
      <c r="X96">
        <f>COUNTIF(J3:J10,"metacell-8")</f>
        <v>1</v>
      </c>
      <c r="Y96">
        <f>COUNTIF(M3:M11,"metacell-8")</f>
        <v>1</v>
      </c>
      <c r="Z96">
        <f>COUNTIF(P3:P19,"metacell-8")</f>
        <v>1</v>
      </c>
      <c r="AA96">
        <f>COUNTIF(S3:S17,"metacell-8")</f>
        <v>1</v>
      </c>
      <c r="AB96" t="s">
        <v>509</v>
      </c>
      <c r="AC96" t="s">
        <v>509</v>
      </c>
      <c r="AD96">
        <f t="shared" si="1"/>
        <v>6</v>
      </c>
    </row>
    <row r="97" spans="1:30" ht="15.75" thickBot="1" x14ac:dyDescent="0.3">
      <c r="A97" s="107" t="s">
        <v>131</v>
      </c>
      <c r="B97" s="71">
        <v>38</v>
      </c>
      <c r="C97" s="71">
        <v>26</v>
      </c>
      <c r="D97" s="71">
        <v>24</v>
      </c>
      <c r="E97" s="71">
        <v>26</v>
      </c>
      <c r="F97" s="71">
        <v>23</v>
      </c>
      <c r="G97" s="71">
        <v>11</v>
      </c>
      <c r="H97" s="71">
        <v>14</v>
      </c>
      <c r="I97" s="91" t="s">
        <v>509</v>
      </c>
      <c r="J97" s="91" t="s">
        <v>509</v>
      </c>
      <c r="K97" s="91" t="s">
        <v>509</v>
      </c>
      <c r="L97" s="143" t="s">
        <v>509</v>
      </c>
      <c r="M97" s="107" t="s">
        <v>131</v>
      </c>
      <c r="N97" s="11">
        <f t="shared" si="0"/>
        <v>162</v>
      </c>
      <c r="O97" s="69">
        <v>37</v>
      </c>
      <c r="Q97" s="76" t="s">
        <v>147</v>
      </c>
      <c r="R97" s="69">
        <v>0</v>
      </c>
      <c r="T97" t="s">
        <v>84</v>
      </c>
      <c r="U97">
        <f>COUNTIF(A3:A7,"metacell-9")</f>
        <v>0</v>
      </c>
      <c r="V97">
        <f>COUNTIF(D3:D15,"metacell-9")</f>
        <v>1</v>
      </c>
      <c r="W97">
        <f>COUNTIF(G3:G13,"metacell-9")</f>
        <v>1</v>
      </c>
      <c r="X97">
        <f>COUNTIF(J3:J10,"metacell-9")</f>
        <v>1</v>
      </c>
      <c r="Y97">
        <f>COUNTIF(M3:M11,"metacell-9")</f>
        <v>0</v>
      </c>
      <c r="Z97">
        <f>COUNTIF(P3:P19,"metacell-9")</f>
        <v>1</v>
      </c>
      <c r="AA97">
        <f>COUNTIF(S3:S17,"metacell-9")</f>
        <v>1</v>
      </c>
      <c r="AB97" t="s">
        <v>509</v>
      </c>
      <c r="AC97" t="s">
        <v>509</v>
      </c>
      <c r="AD97">
        <f t="shared" si="1"/>
        <v>5</v>
      </c>
    </row>
    <row r="100" spans="1:30" x14ac:dyDescent="0.25">
      <c r="A100" s="17"/>
    </row>
    <row r="101" spans="1:30" x14ac:dyDescent="0.25">
      <c r="A101" s="17"/>
    </row>
    <row r="102" spans="1:30" x14ac:dyDescent="0.25">
      <c r="A102" s="17"/>
    </row>
    <row r="103" spans="1:30" x14ac:dyDescent="0.25">
      <c r="A103" s="17"/>
    </row>
    <row r="104" spans="1:30" x14ac:dyDescent="0.25">
      <c r="A104" s="17"/>
    </row>
    <row r="105" spans="1:30" x14ac:dyDescent="0.25">
      <c r="A105" s="17"/>
    </row>
    <row r="106" spans="1:30" x14ac:dyDescent="0.25">
      <c r="A106" s="17"/>
    </row>
    <row r="107" spans="1:30" x14ac:dyDescent="0.25">
      <c r="A107" s="17"/>
    </row>
    <row r="108" spans="1:30" x14ac:dyDescent="0.25">
      <c r="A108" s="3"/>
    </row>
    <row r="109" spans="1:30" x14ac:dyDescent="0.25">
      <c r="A109" s="3"/>
    </row>
    <row r="110" spans="1:30" x14ac:dyDescent="0.25">
      <c r="A110" s="3"/>
    </row>
    <row r="111" spans="1:30" x14ac:dyDescent="0.25">
      <c r="A111" s="17"/>
    </row>
    <row r="112" spans="1:30" x14ac:dyDescent="0.25">
      <c r="A112" s="67"/>
    </row>
    <row r="113" spans="1:1" x14ac:dyDescent="0.25">
      <c r="A113" s="67"/>
    </row>
    <row r="114" spans="1:1" x14ac:dyDescent="0.25">
      <c r="A114" s="17"/>
    </row>
    <row r="115" spans="1:1" x14ac:dyDescent="0.25">
      <c r="A115" s="17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17"/>
    </row>
    <row r="127" spans="1:1" x14ac:dyDescent="0.25">
      <c r="A127" s="3"/>
    </row>
    <row r="128" spans="1:1" x14ac:dyDescent="0.25">
      <c r="A128" s="3"/>
    </row>
    <row r="129" spans="1:1" x14ac:dyDescent="0.25">
      <c r="A129" s="67"/>
    </row>
    <row r="130" spans="1:1" x14ac:dyDescent="0.25">
      <c r="A130" s="67"/>
    </row>
    <row r="131" spans="1:1" x14ac:dyDescent="0.25">
      <c r="A131" s="3"/>
    </row>
    <row r="132" spans="1:1" x14ac:dyDescent="0.25">
      <c r="A132" s="67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17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17"/>
    </row>
    <row r="143" spans="1:1" x14ac:dyDescent="0.25">
      <c r="A143" s="17"/>
    </row>
    <row r="144" spans="1:1" x14ac:dyDescent="0.25">
      <c r="A144" s="18"/>
    </row>
    <row r="145" spans="1:1" x14ac:dyDescent="0.25">
      <c r="A145" s="177"/>
    </row>
    <row r="146" spans="1:1" x14ac:dyDescent="0.25">
      <c r="A146" s="177"/>
    </row>
    <row r="147" spans="1:1" x14ac:dyDescent="0.25">
      <c r="A147" s="138"/>
    </row>
  </sheetData>
  <sortState ref="Q54:R97">
    <sortCondition descending="1" ref="R54:R97"/>
  </sortState>
  <mergeCells count="21">
    <mergeCell ref="S1:U1"/>
    <mergeCell ref="V1:X1"/>
    <mergeCell ref="Y1:AA1"/>
    <mergeCell ref="A48:C48"/>
    <mergeCell ref="D48:F48"/>
    <mergeCell ref="G48:I48"/>
    <mergeCell ref="J48:L48"/>
    <mergeCell ref="M48:O48"/>
    <mergeCell ref="P48:R48"/>
    <mergeCell ref="S48:U48"/>
    <mergeCell ref="A1:C1"/>
    <mergeCell ref="D1:F1"/>
    <mergeCell ref="G1:I1"/>
    <mergeCell ref="J1:L1"/>
    <mergeCell ref="M1:O1"/>
    <mergeCell ref="P1:R1"/>
    <mergeCell ref="V48:X48"/>
    <mergeCell ref="Y48:AA48"/>
    <mergeCell ref="Q51:R52"/>
    <mergeCell ref="A52:L52"/>
    <mergeCell ref="M52:O52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188"/>
  <sheetViews>
    <sheetView zoomScale="110" zoomScaleNormal="11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D87" sqref="D87"/>
    </sheetView>
  </sheetViews>
  <sheetFormatPr defaultColWidth="9.140625" defaultRowHeight="15" x14ac:dyDescent="0.25"/>
  <cols>
    <col min="1" max="1" width="20" style="149" customWidth="1"/>
    <col min="2" max="2" width="25.42578125" style="149" customWidth="1"/>
    <col min="3" max="3" width="10.42578125" style="149" bestFit="1" customWidth="1"/>
    <col min="4" max="4" width="12.7109375" style="149" bestFit="1" customWidth="1"/>
    <col min="5" max="6" width="10.42578125" style="149" bestFit="1" customWidth="1"/>
    <col min="7" max="7" width="12.7109375" style="149" bestFit="1" customWidth="1"/>
    <col min="8" max="11" width="10.42578125" style="149" bestFit="1" customWidth="1"/>
    <col min="12" max="101" width="11.42578125" style="149" bestFit="1" customWidth="1"/>
    <col min="102" max="109" width="12.42578125" style="149" bestFit="1" customWidth="1"/>
    <col min="110" max="16384" width="9.140625" style="149"/>
  </cols>
  <sheetData>
    <row r="1" spans="1:193" s="43" customFormat="1" x14ac:dyDescent="0.25">
      <c r="B1" s="56" t="s">
        <v>80</v>
      </c>
      <c r="C1" s="162" t="s">
        <v>74</v>
      </c>
      <c r="D1" s="162" t="s">
        <v>75</v>
      </c>
      <c r="E1" s="162" t="s">
        <v>76</v>
      </c>
      <c r="F1" s="162" t="s">
        <v>77</v>
      </c>
      <c r="G1" s="162" t="s">
        <v>78</v>
      </c>
      <c r="H1" s="162" t="s">
        <v>79</v>
      </c>
      <c r="I1" s="161" t="s">
        <v>82</v>
      </c>
      <c r="J1" s="161" t="s">
        <v>83</v>
      </c>
      <c r="K1" s="161" t="s">
        <v>84</v>
      </c>
      <c r="L1" s="161" t="s">
        <v>85</v>
      </c>
      <c r="M1" s="161" t="s">
        <v>86</v>
      </c>
      <c r="N1" s="161" t="s">
        <v>87</v>
      </c>
      <c r="O1" s="56" t="s">
        <v>88</v>
      </c>
      <c r="P1" s="56" t="s">
        <v>89</v>
      </c>
      <c r="Q1" s="56" t="s">
        <v>90</v>
      </c>
      <c r="R1" s="56" t="s">
        <v>91</v>
      </c>
      <c r="S1" s="56" t="s">
        <v>92</v>
      </c>
      <c r="T1" s="56" t="s">
        <v>93</v>
      </c>
      <c r="U1" s="56" t="s">
        <v>94</v>
      </c>
      <c r="V1" s="56" t="s">
        <v>95</v>
      </c>
      <c r="W1" s="56" t="s">
        <v>96</v>
      </c>
      <c r="X1" s="56" t="s">
        <v>97</v>
      </c>
      <c r="Y1" s="56" t="s">
        <v>98</v>
      </c>
      <c r="Z1" s="56" t="s">
        <v>99</v>
      </c>
      <c r="AA1" s="56" t="s">
        <v>100</v>
      </c>
      <c r="AB1" s="56" t="s">
        <v>101</v>
      </c>
      <c r="AC1" s="56" t="s">
        <v>102</v>
      </c>
      <c r="AD1" s="161" t="s">
        <v>103</v>
      </c>
      <c r="AE1" s="161" t="s">
        <v>104</v>
      </c>
      <c r="AF1" s="161" t="s">
        <v>105</v>
      </c>
      <c r="AG1" s="161" t="s">
        <v>106</v>
      </c>
      <c r="AH1" s="56" t="s">
        <v>107</v>
      </c>
      <c r="AI1" s="161" t="s">
        <v>108</v>
      </c>
      <c r="AJ1" s="56" t="s">
        <v>109</v>
      </c>
      <c r="AK1" s="56" t="s">
        <v>110</v>
      </c>
      <c r="AL1" s="56" t="s">
        <v>111</v>
      </c>
      <c r="AM1" s="56" t="s">
        <v>112</v>
      </c>
      <c r="AN1" s="56" t="s">
        <v>113</v>
      </c>
      <c r="AO1" s="56" t="s">
        <v>114</v>
      </c>
      <c r="AP1" s="56" t="s">
        <v>115</v>
      </c>
      <c r="AQ1" s="56" t="s">
        <v>116</v>
      </c>
      <c r="AR1" s="56" t="s">
        <v>117</v>
      </c>
      <c r="AS1" s="56" t="s">
        <v>118</v>
      </c>
      <c r="AT1" s="56" t="s">
        <v>119</v>
      </c>
      <c r="AU1" s="56" t="s">
        <v>120</v>
      </c>
      <c r="AV1" s="56" t="s">
        <v>121</v>
      </c>
      <c r="AW1" s="160" t="s">
        <v>122</v>
      </c>
      <c r="AX1" s="160" t="s">
        <v>123</v>
      </c>
      <c r="AY1" s="161" t="s">
        <v>124</v>
      </c>
      <c r="AZ1" s="161" t="s">
        <v>125</v>
      </c>
      <c r="BA1" s="161" t="s">
        <v>126</v>
      </c>
      <c r="BB1" s="161" t="s">
        <v>127</v>
      </c>
      <c r="BC1" s="161" t="s">
        <v>128</v>
      </c>
      <c r="BD1" s="161" t="s">
        <v>129</v>
      </c>
      <c r="BE1" s="161" t="s">
        <v>130</v>
      </c>
      <c r="BF1" s="161" t="s">
        <v>131</v>
      </c>
      <c r="BG1" s="161" t="s">
        <v>132</v>
      </c>
      <c r="BH1" s="161" t="s">
        <v>133</v>
      </c>
      <c r="BI1" s="161" t="s">
        <v>134</v>
      </c>
      <c r="BJ1" s="161" t="s">
        <v>135</v>
      </c>
      <c r="BK1" s="161" t="s">
        <v>136</v>
      </c>
      <c r="BL1" s="160" t="s">
        <v>137</v>
      </c>
      <c r="BM1" s="160" t="s">
        <v>14</v>
      </c>
      <c r="BN1" s="161" t="s">
        <v>138</v>
      </c>
      <c r="BO1" s="160" t="s">
        <v>139</v>
      </c>
      <c r="BP1" s="161" t="s">
        <v>140</v>
      </c>
      <c r="BQ1" s="161" t="s">
        <v>141</v>
      </c>
      <c r="BR1" s="161" t="s">
        <v>142</v>
      </c>
      <c r="BS1" s="161" t="s">
        <v>143</v>
      </c>
      <c r="BT1" s="161" t="s">
        <v>144</v>
      </c>
      <c r="BU1" s="161" t="s">
        <v>145</v>
      </c>
      <c r="BV1" s="161" t="s">
        <v>146</v>
      </c>
      <c r="BW1" s="161" t="s">
        <v>147</v>
      </c>
      <c r="BX1" s="156" t="s">
        <v>148</v>
      </c>
      <c r="BY1" s="156" t="s">
        <v>149</v>
      </c>
      <c r="BZ1" s="156" t="s">
        <v>10</v>
      </c>
      <c r="CA1" s="156" t="s">
        <v>150</v>
      </c>
      <c r="CB1" s="56" t="s">
        <v>16</v>
      </c>
      <c r="CC1" s="56" t="s">
        <v>151</v>
      </c>
      <c r="CD1" s="56" t="s">
        <v>152</v>
      </c>
      <c r="CE1" s="56" t="s">
        <v>153</v>
      </c>
      <c r="CF1" s="56" t="s">
        <v>154</v>
      </c>
      <c r="CG1" s="56" t="s">
        <v>155</v>
      </c>
      <c r="CH1" s="56" t="s">
        <v>156</v>
      </c>
      <c r="CI1" s="56" t="s">
        <v>157</v>
      </c>
      <c r="CJ1" s="56" t="s">
        <v>158</v>
      </c>
      <c r="CK1" s="56" t="s">
        <v>159</v>
      </c>
      <c r="CL1" s="56" t="s">
        <v>15</v>
      </c>
      <c r="CM1" s="56" t="s">
        <v>9</v>
      </c>
      <c r="CN1" s="56" t="s">
        <v>160</v>
      </c>
      <c r="CO1" s="56" t="s">
        <v>161</v>
      </c>
      <c r="CP1" s="56" t="s">
        <v>162</v>
      </c>
      <c r="CQ1" s="56" t="s">
        <v>7</v>
      </c>
      <c r="CR1" s="157" t="s">
        <v>3</v>
      </c>
      <c r="CS1" s="56" t="s">
        <v>13</v>
      </c>
      <c r="CT1" s="56" t="s">
        <v>6</v>
      </c>
      <c r="CU1" s="157" t="s">
        <v>163</v>
      </c>
      <c r="CV1" s="56" t="s">
        <v>164</v>
      </c>
      <c r="CW1" s="56" t="s">
        <v>165</v>
      </c>
      <c r="CX1" s="56" t="s">
        <v>166</v>
      </c>
      <c r="CY1" s="56" t="s">
        <v>167</v>
      </c>
      <c r="CZ1" s="56" t="s">
        <v>168</v>
      </c>
      <c r="DA1" s="56" t="s">
        <v>169</v>
      </c>
      <c r="DB1" s="56" t="s">
        <v>170</v>
      </c>
      <c r="DC1" s="56" t="s">
        <v>171</v>
      </c>
      <c r="DD1" s="157" t="s">
        <v>172</v>
      </c>
      <c r="DE1" s="156" t="s">
        <v>173</v>
      </c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</row>
    <row r="2" spans="1:193" x14ac:dyDescent="0.25">
      <c r="A2" s="149" t="s">
        <v>265</v>
      </c>
      <c r="B2" s="149" t="s">
        <v>583</v>
      </c>
      <c r="C2" s="149">
        <v>1.45949557508116E-2</v>
      </c>
      <c r="D2" s="149">
        <v>0</v>
      </c>
      <c r="E2" s="149">
        <v>1.0412901379310099E-2</v>
      </c>
      <c r="F2" s="149">
        <v>0</v>
      </c>
      <c r="G2" s="149">
        <v>0</v>
      </c>
      <c r="H2" s="149">
        <v>0</v>
      </c>
      <c r="I2" s="149">
        <v>7.3089160435213301E-3</v>
      </c>
      <c r="J2" s="149">
        <v>0</v>
      </c>
      <c r="K2" s="149">
        <v>0</v>
      </c>
      <c r="L2" s="149">
        <v>1.9411294088492501E-2</v>
      </c>
      <c r="M2" s="149">
        <v>1.17510578254135E-2</v>
      </c>
      <c r="N2" s="149">
        <v>0</v>
      </c>
      <c r="O2" s="149">
        <v>0</v>
      </c>
      <c r="P2" s="149">
        <v>0</v>
      </c>
      <c r="Q2" s="149">
        <v>0</v>
      </c>
      <c r="R2" s="149">
        <v>0</v>
      </c>
      <c r="S2" s="149">
        <v>0</v>
      </c>
      <c r="T2" s="149">
        <v>0</v>
      </c>
      <c r="U2" s="149">
        <v>0</v>
      </c>
      <c r="V2" s="149">
        <v>0</v>
      </c>
      <c r="W2" s="149">
        <v>0</v>
      </c>
      <c r="X2" s="149">
        <v>0</v>
      </c>
      <c r="Y2" s="149">
        <v>3.9282692250949401E-2</v>
      </c>
      <c r="Z2" s="149">
        <v>0</v>
      </c>
      <c r="AA2" s="149">
        <v>0</v>
      </c>
      <c r="AB2" s="149">
        <v>0</v>
      </c>
      <c r="AC2" s="149">
        <v>0</v>
      </c>
      <c r="AD2" s="149">
        <v>0</v>
      </c>
      <c r="AE2" s="149">
        <v>0</v>
      </c>
      <c r="AF2" s="149">
        <v>0</v>
      </c>
      <c r="AG2" s="149">
        <v>0</v>
      </c>
      <c r="AH2" s="149">
        <v>0</v>
      </c>
      <c r="AI2" s="149">
        <v>0</v>
      </c>
      <c r="AJ2" s="149">
        <v>2.70289733178741E-2</v>
      </c>
      <c r="AK2" s="149">
        <v>0</v>
      </c>
      <c r="AL2" s="149">
        <v>3.2291724876975403E-2</v>
      </c>
      <c r="AM2" s="149">
        <v>4.7021867771105397E-2</v>
      </c>
      <c r="AN2" s="149">
        <v>1.8054535298380699E-2</v>
      </c>
      <c r="AO2" s="149">
        <v>0</v>
      </c>
      <c r="AP2" s="149">
        <v>0</v>
      </c>
      <c r="AQ2" s="149">
        <v>0</v>
      </c>
      <c r="AR2" s="149">
        <v>0</v>
      </c>
      <c r="AS2" s="149">
        <v>0</v>
      </c>
      <c r="AT2" s="149">
        <v>0</v>
      </c>
      <c r="AU2" s="149">
        <v>0</v>
      </c>
      <c r="AV2" s="149">
        <v>0</v>
      </c>
      <c r="AW2" s="149">
        <v>0</v>
      </c>
      <c r="AX2" s="149">
        <v>0</v>
      </c>
      <c r="AY2" s="149">
        <v>1.3164616278658101E-2</v>
      </c>
      <c r="AZ2" s="149">
        <v>0</v>
      </c>
      <c r="BA2" s="149">
        <v>0</v>
      </c>
      <c r="BB2" s="149">
        <v>0</v>
      </c>
      <c r="BC2" s="149">
        <v>0</v>
      </c>
      <c r="BD2" s="149">
        <v>0</v>
      </c>
      <c r="BE2" s="149">
        <v>0</v>
      </c>
      <c r="BF2" s="149">
        <v>0</v>
      </c>
      <c r="BG2" s="149">
        <v>0</v>
      </c>
      <c r="BH2" s="149">
        <v>0</v>
      </c>
      <c r="BI2" s="149">
        <v>0</v>
      </c>
      <c r="BJ2" s="149">
        <v>0</v>
      </c>
      <c r="BK2" s="149">
        <v>0</v>
      </c>
      <c r="BL2" s="149">
        <v>0</v>
      </c>
      <c r="BM2" s="149">
        <v>0</v>
      </c>
      <c r="BN2" s="149">
        <v>0</v>
      </c>
      <c r="BO2" s="149">
        <v>0</v>
      </c>
      <c r="BP2" s="149">
        <v>0</v>
      </c>
      <c r="BQ2" s="149">
        <v>0</v>
      </c>
      <c r="BR2" s="149">
        <v>0</v>
      </c>
      <c r="BS2" s="149">
        <v>0</v>
      </c>
      <c r="BT2" s="149">
        <v>0</v>
      </c>
      <c r="BU2" s="149">
        <v>0</v>
      </c>
      <c r="BV2" s="149">
        <v>0</v>
      </c>
      <c r="BW2" s="149">
        <v>0</v>
      </c>
      <c r="BX2" s="149">
        <v>0.87873915180564099</v>
      </c>
      <c r="BY2" s="149">
        <v>0.99961319370502899</v>
      </c>
      <c r="BZ2" s="149">
        <v>1.3944989494100499</v>
      </c>
      <c r="CA2" s="149">
        <v>1.1847472034586699</v>
      </c>
      <c r="CB2" s="149">
        <v>0</v>
      </c>
      <c r="CC2" s="149">
        <v>0</v>
      </c>
      <c r="CD2" s="149">
        <v>1.3207370493076199E-2</v>
      </c>
      <c r="CE2" s="149">
        <v>0</v>
      </c>
      <c r="CF2" s="149">
        <v>0</v>
      </c>
      <c r="CG2" s="149">
        <v>0</v>
      </c>
      <c r="CH2" s="149">
        <v>0</v>
      </c>
      <c r="CI2" s="149">
        <v>0</v>
      </c>
      <c r="CJ2" s="149">
        <v>2.98243608902636E-2</v>
      </c>
      <c r="CK2" s="149">
        <v>0</v>
      </c>
      <c r="CL2" s="149">
        <v>0</v>
      </c>
      <c r="CM2" s="149">
        <v>0</v>
      </c>
      <c r="CN2" s="149">
        <v>0</v>
      </c>
      <c r="CO2" s="149">
        <v>0</v>
      </c>
      <c r="CP2" s="149">
        <v>0</v>
      </c>
      <c r="CQ2" s="149">
        <v>0</v>
      </c>
      <c r="CR2" s="149">
        <v>0</v>
      </c>
      <c r="CS2" s="149">
        <v>0</v>
      </c>
      <c r="CT2" s="149">
        <v>0</v>
      </c>
      <c r="CU2" s="149">
        <v>0</v>
      </c>
      <c r="CV2" s="149">
        <v>0</v>
      </c>
      <c r="CW2" s="149">
        <v>0</v>
      </c>
      <c r="CX2" s="149">
        <v>0</v>
      </c>
      <c r="CY2" s="149">
        <v>0</v>
      </c>
      <c r="CZ2" s="149">
        <v>0</v>
      </c>
      <c r="DA2" s="149">
        <v>0</v>
      </c>
      <c r="DB2" s="149">
        <v>0</v>
      </c>
      <c r="DC2" s="149">
        <v>9.1472229245127198E-2</v>
      </c>
      <c r="DD2" s="149">
        <v>8.1086508665917906E-2</v>
      </c>
      <c r="DE2" s="149">
        <v>0.78527189005532105</v>
      </c>
    </row>
    <row r="3" spans="1:193" x14ac:dyDescent="0.25">
      <c r="A3" s="149" t="s">
        <v>265</v>
      </c>
      <c r="B3" s="149" t="s">
        <v>585</v>
      </c>
      <c r="C3" s="149">
        <v>0</v>
      </c>
      <c r="D3" s="149">
        <v>0</v>
      </c>
      <c r="E3" s="149">
        <v>0</v>
      </c>
      <c r="F3" s="149">
        <v>0</v>
      </c>
      <c r="G3" s="149">
        <v>0</v>
      </c>
      <c r="H3" s="149">
        <v>0</v>
      </c>
      <c r="I3" s="149">
        <v>0</v>
      </c>
      <c r="J3" s="149">
        <v>0</v>
      </c>
      <c r="K3" s="149">
        <v>0</v>
      </c>
      <c r="L3" s="149">
        <v>0</v>
      </c>
      <c r="M3" s="149">
        <v>0</v>
      </c>
      <c r="N3" s="149">
        <v>0</v>
      </c>
      <c r="O3" s="149">
        <v>0</v>
      </c>
      <c r="P3" s="149">
        <v>0</v>
      </c>
      <c r="Q3" s="149">
        <v>0</v>
      </c>
      <c r="R3" s="149">
        <v>0</v>
      </c>
      <c r="S3" s="149">
        <v>0</v>
      </c>
      <c r="T3" s="149">
        <v>0</v>
      </c>
      <c r="U3" s="149">
        <v>0</v>
      </c>
      <c r="V3" s="149">
        <v>0</v>
      </c>
      <c r="W3" s="149">
        <v>0</v>
      </c>
      <c r="X3" s="149">
        <v>0</v>
      </c>
      <c r="Y3" s="149">
        <v>0</v>
      </c>
      <c r="Z3" s="149">
        <v>0</v>
      </c>
      <c r="AA3" s="149">
        <v>0</v>
      </c>
      <c r="AB3" s="149">
        <v>0</v>
      </c>
      <c r="AC3" s="149">
        <v>0</v>
      </c>
      <c r="AD3" s="149">
        <v>0</v>
      </c>
      <c r="AE3" s="149">
        <v>0</v>
      </c>
      <c r="AF3" s="149">
        <v>0</v>
      </c>
      <c r="AG3" s="149">
        <v>0</v>
      </c>
      <c r="AH3" s="149">
        <v>0</v>
      </c>
      <c r="AI3" s="149">
        <v>0</v>
      </c>
      <c r="AJ3" s="149">
        <v>0</v>
      </c>
      <c r="AK3" s="149">
        <v>0</v>
      </c>
      <c r="AL3" s="149">
        <v>0</v>
      </c>
      <c r="AM3" s="149">
        <v>0</v>
      </c>
      <c r="AN3" s="149">
        <v>0</v>
      </c>
      <c r="AO3" s="149">
        <v>0</v>
      </c>
      <c r="AP3" s="149">
        <v>0</v>
      </c>
      <c r="AQ3" s="149">
        <v>0</v>
      </c>
      <c r="AR3" s="149">
        <v>0</v>
      </c>
      <c r="AS3" s="149">
        <v>0</v>
      </c>
      <c r="AT3" s="149">
        <v>0</v>
      </c>
      <c r="AU3" s="149">
        <v>0</v>
      </c>
      <c r="AV3" s="149">
        <v>0</v>
      </c>
      <c r="AW3" s="149">
        <v>0</v>
      </c>
      <c r="AX3" s="149">
        <v>0</v>
      </c>
      <c r="AY3" s="149">
        <v>0</v>
      </c>
      <c r="AZ3" s="149">
        <v>0</v>
      </c>
      <c r="BA3" s="149">
        <v>0</v>
      </c>
      <c r="BB3" s="149">
        <v>0</v>
      </c>
      <c r="BC3" s="149">
        <v>0</v>
      </c>
      <c r="BD3" s="149">
        <v>0</v>
      </c>
      <c r="BE3" s="149">
        <v>0</v>
      </c>
      <c r="BF3" s="149">
        <v>0</v>
      </c>
      <c r="BG3" s="149">
        <v>0</v>
      </c>
      <c r="BH3" s="149">
        <v>0</v>
      </c>
      <c r="BI3" s="149">
        <v>0</v>
      </c>
      <c r="BJ3" s="149">
        <v>0</v>
      </c>
      <c r="BK3" s="149">
        <v>0</v>
      </c>
      <c r="BL3" s="149">
        <v>0</v>
      </c>
      <c r="BM3" s="149">
        <v>0</v>
      </c>
      <c r="BN3" s="149">
        <v>0</v>
      </c>
      <c r="BO3" s="149">
        <v>0</v>
      </c>
      <c r="BP3" s="149">
        <v>0</v>
      </c>
      <c r="BQ3" s="149">
        <v>0</v>
      </c>
      <c r="BR3" s="149">
        <v>0</v>
      </c>
      <c r="BS3" s="149">
        <v>0</v>
      </c>
      <c r="BT3" s="149">
        <v>0</v>
      </c>
      <c r="BU3" s="149">
        <v>0</v>
      </c>
      <c r="BV3" s="149">
        <v>0</v>
      </c>
      <c r="BW3" s="149">
        <v>0</v>
      </c>
      <c r="BX3" s="149">
        <v>0.38812026081442602</v>
      </c>
      <c r="BY3" s="149">
        <v>0.48044838423595199</v>
      </c>
      <c r="BZ3" s="149">
        <v>0.47707302469365198</v>
      </c>
      <c r="CA3" s="149">
        <v>0.36216656534040498</v>
      </c>
      <c r="CB3" s="149">
        <v>4.0630430221910097E-2</v>
      </c>
      <c r="CC3" s="149">
        <v>0</v>
      </c>
      <c r="CD3" s="149">
        <v>0</v>
      </c>
      <c r="CE3" s="149">
        <v>0</v>
      </c>
      <c r="CF3" s="149">
        <v>0</v>
      </c>
      <c r="CG3" s="149">
        <v>0</v>
      </c>
      <c r="CH3" s="149">
        <v>4.2806730986796E-2</v>
      </c>
      <c r="CI3" s="149">
        <v>0</v>
      </c>
      <c r="CJ3" s="149">
        <v>0</v>
      </c>
      <c r="CK3" s="149">
        <v>4.3069375713781999E-2</v>
      </c>
      <c r="CL3" s="149">
        <v>0</v>
      </c>
      <c r="CM3" s="149">
        <v>4.79477864399767E-2</v>
      </c>
      <c r="CN3" s="149">
        <v>0</v>
      </c>
      <c r="CO3" s="149">
        <v>0</v>
      </c>
      <c r="CP3" s="149">
        <v>0</v>
      </c>
      <c r="CQ3" s="149">
        <v>0</v>
      </c>
      <c r="CR3" s="149">
        <v>3.4135355070589103E-2</v>
      </c>
      <c r="CS3" s="149">
        <v>0</v>
      </c>
      <c r="CT3" s="149">
        <v>0</v>
      </c>
      <c r="CU3" s="149">
        <v>0</v>
      </c>
      <c r="CV3" s="149">
        <v>0</v>
      </c>
      <c r="CW3" s="149">
        <v>0</v>
      </c>
      <c r="CX3" s="149">
        <v>0</v>
      </c>
      <c r="CY3" s="149">
        <v>0</v>
      </c>
      <c r="CZ3" s="149">
        <v>0</v>
      </c>
      <c r="DA3" s="149">
        <v>0</v>
      </c>
      <c r="DB3" s="149">
        <v>0</v>
      </c>
      <c r="DC3" s="149">
        <v>0</v>
      </c>
      <c r="DD3" s="149">
        <v>0</v>
      </c>
      <c r="DE3" s="149">
        <v>0.32918743161119501</v>
      </c>
    </row>
    <row r="4" spans="1:193" x14ac:dyDescent="0.25">
      <c r="A4" s="149" t="s">
        <v>265</v>
      </c>
      <c r="B4" s="149" t="s">
        <v>589</v>
      </c>
      <c r="C4" s="149">
        <v>0.77170828105479605</v>
      </c>
      <c r="D4" s="149">
        <v>0.46624625399928898</v>
      </c>
      <c r="E4" s="149">
        <v>0.80209789237805995</v>
      </c>
      <c r="F4" s="149">
        <v>0.93681050729508497</v>
      </c>
      <c r="G4" s="149">
        <v>0.886450911139956</v>
      </c>
      <c r="H4" s="149">
        <v>0.87694951644353802</v>
      </c>
      <c r="I4" s="149">
        <v>0.91921159359660498</v>
      </c>
      <c r="J4" s="149">
        <v>0.96031284724086396</v>
      </c>
      <c r="K4" s="149">
        <v>0.97186879022022099</v>
      </c>
      <c r="L4" s="149">
        <v>0.40278903019784001</v>
      </c>
      <c r="M4" s="149">
        <v>0.81246758630147997</v>
      </c>
      <c r="N4" s="149">
        <v>0.88654905550754304</v>
      </c>
      <c r="O4" s="149">
        <v>0.218142673531838</v>
      </c>
      <c r="P4" s="149">
        <v>0.18711016699952099</v>
      </c>
      <c r="Q4" s="149">
        <v>0.12529697553921801</v>
      </c>
      <c r="R4" s="149">
        <v>0.13246811131693501</v>
      </c>
      <c r="S4" s="149">
        <v>-4.7676940845430102E-2</v>
      </c>
      <c r="T4" s="149">
        <v>-2.1419498958221098E-2</v>
      </c>
      <c r="U4" s="149">
        <v>0.10664288396462</v>
      </c>
      <c r="V4" s="149">
        <v>0.120470336328295</v>
      </c>
      <c r="W4" s="149">
        <v>0.42740231003127699</v>
      </c>
      <c r="X4" s="149">
        <v>0.42357138687996099</v>
      </c>
      <c r="Y4" s="149">
        <v>0.41188741628009001</v>
      </c>
      <c r="Z4" s="149">
        <v>0.229730488329322</v>
      </c>
      <c r="AA4" s="149">
        <v>0.442833216590798</v>
      </c>
      <c r="AB4" s="149">
        <v>0.60497903787890395</v>
      </c>
      <c r="AC4" s="149">
        <v>0.61645002633486501</v>
      </c>
      <c r="AD4" s="149">
        <v>0.76822852895513805</v>
      </c>
      <c r="AE4" s="149">
        <v>0.67906728054502297</v>
      </c>
      <c r="AF4" s="149">
        <v>0.75350507388348797</v>
      </c>
      <c r="AG4" s="149">
        <v>0.52682841859197604</v>
      </c>
      <c r="AH4" s="149">
        <v>0.59951785087378695</v>
      </c>
      <c r="AI4" s="149">
        <v>0.75502192364341403</v>
      </c>
      <c r="AJ4" s="149">
        <v>0.64232513822376902</v>
      </c>
      <c r="AK4" s="149">
        <v>9.73654288967091E-2</v>
      </c>
      <c r="AL4" s="149">
        <v>0.105857642075872</v>
      </c>
      <c r="AM4" s="149">
        <v>-0.72646283147639001</v>
      </c>
      <c r="AN4" s="149">
        <v>0.29884216516144002</v>
      </c>
      <c r="AO4" s="149">
        <v>0</v>
      </c>
      <c r="AP4" s="149">
        <v>7.8940678595085703E-2</v>
      </c>
      <c r="AQ4" s="149">
        <v>-8.8679519559310402E-2</v>
      </c>
      <c r="AR4" s="149">
        <v>-3.9021691641167901E-2</v>
      </c>
      <c r="AS4" s="149">
        <v>8.8388569695140695E-2</v>
      </c>
      <c r="AT4" s="149">
        <v>7.2898322497127493E-2</v>
      </c>
      <c r="AU4" s="149">
        <v>2.0206174236725102E-2</v>
      </c>
      <c r="AV4" s="149">
        <v>-7.7011235579485804E-2</v>
      </c>
      <c r="AW4" s="149">
        <v>0.62525684126241698</v>
      </c>
      <c r="AX4" s="149">
        <v>0.97182948579976602</v>
      </c>
      <c r="AY4" s="149">
        <v>0.880914118171918</v>
      </c>
      <c r="AZ4" s="149">
        <v>0.23816007629960001</v>
      </c>
      <c r="BA4" s="149">
        <v>-0.519896599767666</v>
      </c>
      <c r="BB4" s="149">
        <v>-0.11447187285549</v>
      </c>
      <c r="BC4" s="149">
        <v>-2.8737600828518501</v>
      </c>
      <c r="BD4" s="149">
        <v>-0.24174498863124999</v>
      </c>
      <c r="BE4" s="149">
        <v>-0.42198672610500698</v>
      </c>
      <c r="BF4" s="149">
        <v>-0.73553509432827602</v>
      </c>
      <c r="BG4" s="149">
        <v>-0.33293147201687801</v>
      </c>
      <c r="BH4" s="149">
        <v>-1.28550592247199</v>
      </c>
      <c r="BI4" s="149">
        <v>-0.169522260829646</v>
      </c>
      <c r="BJ4" s="149">
        <v>-0.312564948241772</v>
      </c>
      <c r="BK4" s="149">
        <v>-0.61133892342654805</v>
      </c>
      <c r="BL4" s="149">
        <v>0.106204536891203</v>
      </c>
      <c r="BM4" s="149">
        <v>0.21131760461509699</v>
      </c>
      <c r="BN4" s="149">
        <v>0.68032250426507701</v>
      </c>
      <c r="BO4" s="149">
        <v>0.68163333053102304</v>
      </c>
      <c r="BP4" s="149">
        <v>0.36364373218240698</v>
      </c>
      <c r="BQ4" s="149">
        <v>-0.16174239119203901</v>
      </c>
      <c r="BR4" s="149">
        <v>0.11258071428961899</v>
      </c>
      <c r="BS4" s="149">
        <v>-0.27668040781658199</v>
      </c>
      <c r="BT4" s="149">
        <v>-1.0311189893952499</v>
      </c>
      <c r="BU4" s="149">
        <v>9.9436606981509496E-2</v>
      </c>
      <c r="BV4" s="149">
        <v>0.54958412282144198</v>
      </c>
      <c r="BW4" s="149">
        <v>0.37659164163019299</v>
      </c>
      <c r="BX4" s="149">
        <v>-4.6457316538903504</v>
      </c>
      <c r="BY4" s="149">
        <v>-4.6834278835907401</v>
      </c>
      <c r="BZ4" s="149">
        <v>-4.5716658046883198</v>
      </c>
      <c r="CA4" s="149">
        <v>-2.55511718946333</v>
      </c>
      <c r="CB4" s="149">
        <v>-4.5827177180735204</v>
      </c>
      <c r="CC4" s="149">
        <v>-4.6105808088910099</v>
      </c>
      <c r="CD4" s="149">
        <v>-1.3287424695697001</v>
      </c>
      <c r="CE4" s="149">
        <v>-4.3826521494647697</v>
      </c>
      <c r="CF4" s="149">
        <v>-4.6292353241964399</v>
      </c>
      <c r="CG4" s="149">
        <v>-4.5480441578139397</v>
      </c>
      <c r="CH4" s="149">
        <v>-4.2998569857571498</v>
      </c>
      <c r="CI4" s="149">
        <v>-4.5245424609147502</v>
      </c>
      <c r="CJ4" s="149">
        <v>-4.7643304413473597</v>
      </c>
      <c r="CK4" s="149">
        <v>-4.7642417669046804</v>
      </c>
      <c r="CL4" s="149">
        <v>-4.6947291451350601</v>
      </c>
      <c r="CM4" s="149">
        <v>-4.20648611975931</v>
      </c>
      <c r="CN4" s="149">
        <v>-4.6490355287916403</v>
      </c>
      <c r="CO4" s="149">
        <v>-4.4467342787456996</v>
      </c>
      <c r="CP4" s="149">
        <v>-4.5449280308183004</v>
      </c>
      <c r="CQ4" s="149">
        <v>-4.5413879008235396</v>
      </c>
      <c r="CR4" s="149">
        <v>-4.3774741724365898</v>
      </c>
      <c r="CS4" s="149">
        <v>-4.2756597033202999</v>
      </c>
      <c r="CT4" s="149">
        <v>-4.3380856400488303</v>
      </c>
      <c r="CU4" s="149">
        <v>-1.07327965360051</v>
      </c>
      <c r="CV4" s="149">
        <v>-1.09934843239136</v>
      </c>
      <c r="CW4" s="149">
        <v>-2.9938775528505999</v>
      </c>
      <c r="CX4" s="149">
        <v>-4.3744997616296901</v>
      </c>
      <c r="CY4" s="149">
        <v>-4.5918536908004102</v>
      </c>
      <c r="CZ4" s="149">
        <v>-3.75735929829795</v>
      </c>
      <c r="DA4" s="149">
        <v>-4.5747226782857799</v>
      </c>
      <c r="DB4" s="149">
        <v>0.25113539338124502</v>
      </c>
      <c r="DC4" s="149">
        <v>-0.25215343682456298</v>
      </c>
      <c r="DD4" s="149">
        <v>-0.29995871342566599</v>
      </c>
      <c r="DE4" s="149">
        <v>-3.81168124470627</v>
      </c>
    </row>
    <row r="5" spans="1:193" x14ac:dyDescent="0.25">
      <c r="A5" s="149" t="s">
        <v>265</v>
      </c>
      <c r="B5" s="149" t="s">
        <v>590</v>
      </c>
      <c r="C5" s="149">
        <v>-6.8425088802598899E-3</v>
      </c>
      <c r="D5" s="149">
        <v>6.4595513019205303E-3</v>
      </c>
      <c r="E5" s="149">
        <v>3.6028426444173901E-2</v>
      </c>
      <c r="F5" s="149">
        <v>-2.3851197694977198E-2</v>
      </c>
      <c r="G5" s="149">
        <v>-1.6655232053556599E-2</v>
      </c>
      <c r="H5" s="149">
        <v>2.7324973229894401E-2</v>
      </c>
      <c r="I5" s="149">
        <v>-1.40680117118629E-2</v>
      </c>
      <c r="J5" s="149">
        <v>-2.0671293771515001E-2</v>
      </c>
      <c r="K5" s="149">
        <v>-1.27308893358482E-2</v>
      </c>
      <c r="L5" s="149">
        <v>-1.0874151342240901E-2</v>
      </c>
      <c r="M5" s="149">
        <v>-1.2475711455638101E-2</v>
      </c>
      <c r="N5" s="149">
        <v>2.9743214767687001E-2</v>
      </c>
      <c r="O5" s="149">
        <v>-2.9104842541581499E-3</v>
      </c>
      <c r="P5" s="149">
        <v>-3.5928179508163099E-2</v>
      </c>
      <c r="Q5" s="149">
        <v>-3.5928179508163099E-2</v>
      </c>
      <c r="R5" s="149">
        <v>1.28229694104473E-3</v>
      </c>
      <c r="S5" s="149">
        <v>-3.3124063168753501E-3</v>
      </c>
      <c r="T5" s="149">
        <v>-9.0767525432525892E-3</v>
      </c>
      <c r="U5" s="149">
        <v>-1.4137420170415001E-3</v>
      </c>
      <c r="V5" s="149">
        <v>-3.5928179508163099E-2</v>
      </c>
      <c r="W5" s="149">
        <v>-3.5928179508163099E-2</v>
      </c>
      <c r="X5" s="149">
        <v>-3.5928179508163099E-2</v>
      </c>
      <c r="Y5" s="149">
        <v>-3.5928179508163099E-2</v>
      </c>
      <c r="Z5" s="149">
        <v>1.1517813481674201E-2</v>
      </c>
      <c r="AA5" s="149">
        <v>-3.0385599983918299E-3</v>
      </c>
      <c r="AB5" s="149">
        <v>-2.58803058161054E-3</v>
      </c>
      <c r="AC5" s="149">
        <v>-1.2760891293932999E-2</v>
      </c>
      <c r="AD5" s="149">
        <v>-1.19367733306189E-2</v>
      </c>
      <c r="AE5" s="149">
        <v>6.0473043654051201E-3</v>
      </c>
      <c r="AF5" s="149">
        <v>-3.5928179508163099E-2</v>
      </c>
      <c r="AG5" s="149">
        <v>-3.5928179508163099E-2</v>
      </c>
      <c r="AH5" s="149">
        <v>-3.5928179508163099E-2</v>
      </c>
      <c r="AI5" s="149">
        <v>-3.5928179508163099E-2</v>
      </c>
      <c r="AJ5" s="149">
        <v>-3.5928179508163099E-2</v>
      </c>
      <c r="AK5" s="149">
        <v>0.205124234315222</v>
      </c>
      <c r="AL5" s="149">
        <v>0.325396038884119</v>
      </c>
      <c r="AM5" s="149">
        <v>0.14427532638071899</v>
      </c>
      <c r="AN5" s="149">
        <v>0</v>
      </c>
      <c r="AO5" s="149">
        <v>2.4487127399814301E-2</v>
      </c>
      <c r="AP5" s="149">
        <v>2.0213632072413602E-2</v>
      </c>
      <c r="AQ5" s="149">
        <v>3.5425144372823298E-3</v>
      </c>
      <c r="AR5" s="149">
        <v>2.5652395728309799E-2</v>
      </c>
      <c r="AS5" s="149">
        <v>2.7312804191331901E-2</v>
      </c>
      <c r="AT5" s="149">
        <v>-3.5928179508163099E-2</v>
      </c>
      <c r="AU5" s="149">
        <v>7.7475288225612197E-4</v>
      </c>
      <c r="AV5" s="149">
        <v>7.8254585255085801E-2</v>
      </c>
      <c r="AW5" s="149">
        <v>-3.5928179508163099E-2</v>
      </c>
      <c r="AX5" s="149">
        <v>-6.8976401691370698E-3</v>
      </c>
      <c r="AY5" s="149">
        <v>8.6386599670700198E-2</v>
      </c>
      <c r="AZ5" s="149">
        <v>-1.38386561993269E-2</v>
      </c>
      <c r="BA5" s="149">
        <v>5.47758614373672E-2</v>
      </c>
      <c r="BB5" s="149">
        <v>-3.5928179508163099E-2</v>
      </c>
      <c r="BC5" s="149">
        <v>0.11980802255971899</v>
      </c>
      <c r="BD5" s="149">
        <v>5.7766187087596899E-2</v>
      </c>
      <c r="BE5" s="149">
        <v>8.41659263614878E-2</v>
      </c>
      <c r="BF5" s="149">
        <v>-3.5928179508163099E-2</v>
      </c>
      <c r="BG5" s="149">
        <v>7.6069211905447506E-2</v>
      </c>
      <c r="BH5" s="149">
        <v>0.15223261546755201</v>
      </c>
      <c r="BI5" s="149">
        <v>9.4925615237281505E-2</v>
      </c>
      <c r="BJ5" s="149">
        <v>-3.5928179508163099E-2</v>
      </c>
      <c r="BK5" s="149">
        <v>8.1005063510232594E-2</v>
      </c>
      <c r="BL5" s="149">
        <v>9.4434610184901305E-2</v>
      </c>
      <c r="BM5" s="149">
        <v>-3.5928179508163099E-2</v>
      </c>
      <c r="BN5" s="149">
        <v>1.5529443552274201E-2</v>
      </c>
      <c r="BO5" s="149">
        <v>0.116091950481831</v>
      </c>
      <c r="BP5" s="149">
        <v>0.39941976215922598</v>
      </c>
      <c r="BQ5" s="149">
        <v>-3.5928179508163099E-2</v>
      </c>
      <c r="BR5" s="149">
        <v>5.0286108869909502E-2</v>
      </c>
      <c r="BS5" s="149">
        <v>8.9643189059080794E-2</v>
      </c>
      <c r="BT5" s="149">
        <v>0.111893002358015</v>
      </c>
      <c r="BU5" s="149">
        <v>-3.5928179508163099E-2</v>
      </c>
      <c r="BV5" s="149">
        <v>0.14338035272532901</v>
      </c>
      <c r="BW5" s="149">
        <v>-3.5928179508163099E-2</v>
      </c>
      <c r="BX5" s="149">
        <v>4.4219552042602999</v>
      </c>
      <c r="BY5" s="149">
        <v>4.3287571072517004</v>
      </c>
      <c r="BZ5" s="149">
        <v>4.2619581089931398</v>
      </c>
      <c r="CA5" s="149">
        <v>3.6997528853447998</v>
      </c>
      <c r="CB5" s="149">
        <v>-3.5928179508163099E-2</v>
      </c>
      <c r="CC5" s="149">
        <v>-3.5928179508163099E-2</v>
      </c>
      <c r="CD5" s="149">
        <v>2.9397025655896698E-2</v>
      </c>
      <c r="CE5" s="149">
        <v>8.7992339116800804E-3</v>
      </c>
      <c r="CF5" s="149">
        <v>-3.5928179508163099E-2</v>
      </c>
      <c r="CG5" s="149">
        <v>-1.1213002739306E-2</v>
      </c>
      <c r="CH5" s="149">
        <v>2.79503015440919E-2</v>
      </c>
      <c r="CI5" s="149">
        <v>-2.19387335906314E-2</v>
      </c>
      <c r="CJ5" s="149">
        <v>-3.5928179508163099E-2</v>
      </c>
      <c r="CK5" s="149">
        <v>-3.5928179508163099E-2</v>
      </c>
      <c r="CL5" s="149">
        <v>-3.5928179508163099E-2</v>
      </c>
      <c r="CM5" s="149">
        <v>-3.5928179508163099E-2</v>
      </c>
      <c r="CN5" s="149">
        <v>-2.4616082464902701E-2</v>
      </c>
      <c r="CO5" s="149">
        <v>-3.5928179508163099E-2</v>
      </c>
      <c r="CP5" s="149">
        <v>-3.5928179508163099E-2</v>
      </c>
      <c r="CQ5" s="149">
        <v>0.153130044288948</v>
      </c>
      <c r="CR5" s="149">
        <v>0.67079626237342704</v>
      </c>
      <c r="CS5" s="149">
        <v>3.75292508851785E-2</v>
      </c>
      <c r="CT5" s="149">
        <v>-3.5928179508163099E-2</v>
      </c>
      <c r="CU5" s="149">
        <v>1.08680710598354</v>
      </c>
      <c r="CV5" s="149">
        <v>8.4116621437973008E-3</v>
      </c>
      <c r="CW5" s="149">
        <v>2.6022145031731499E-2</v>
      </c>
      <c r="CX5" s="149">
        <v>6.1612464353910698E-2</v>
      </c>
      <c r="CY5" s="149">
        <v>-5.5390377246538197E-3</v>
      </c>
      <c r="CZ5" s="149">
        <v>3.2032082590443503E-2</v>
      </c>
      <c r="DA5" s="149">
        <v>-3.5928179508163099E-2</v>
      </c>
      <c r="DB5" s="149">
        <v>0.105070322727328</v>
      </c>
      <c r="DC5" s="149">
        <v>0.22395683434809799</v>
      </c>
      <c r="DD5" s="149">
        <v>2.31667875997065</v>
      </c>
      <c r="DE5" s="149">
        <v>4.0791199969690402</v>
      </c>
    </row>
    <row r="6" spans="1:193" x14ac:dyDescent="0.25">
      <c r="A6" s="149" t="s">
        <v>265</v>
      </c>
      <c r="B6" s="149" t="s">
        <v>595</v>
      </c>
      <c r="C6" s="149">
        <v>0.41372193844431698</v>
      </c>
      <c r="D6" s="149">
        <v>0.61722458101090005</v>
      </c>
      <c r="E6" s="149">
        <v>1.17061569909206</v>
      </c>
      <c r="F6" s="149">
        <v>0.50882217315842604</v>
      </c>
      <c r="G6" s="149">
        <v>0.172987491195708</v>
      </c>
      <c r="H6" s="149">
        <v>0.88015502457966899</v>
      </c>
      <c r="I6" s="149">
        <v>0.79239866849261098</v>
      </c>
      <c r="J6" s="149">
        <v>0.89222112313687696</v>
      </c>
      <c r="K6" s="149">
        <v>0.57175166566918001</v>
      </c>
      <c r="L6" s="149">
        <v>0.78991649461739599</v>
      </c>
      <c r="M6" s="149">
        <v>0.81034276476441702</v>
      </c>
      <c r="N6" s="149">
        <v>0.45885864085730799</v>
      </c>
      <c r="O6" s="149">
        <v>1.3673566319556101</v>
      </c>
      <c r="P6" s="149">
        <v>0.659982526436105</v>
      </c>
      <c r="Q6" s="149">
        <v>1.3617846084937499</v>
      </c>
      <c r="R6" s="149">
        <v>1.89768610798919</v>
      </c>
      <c r="S6" s="149">
        <v>1.6765175970670101</v>
      </c>
      <c r="T6" s="149">
        <v>1.37419019597174</v>
      </c>
      <c r="U6" s="149">
        <v>0.62321795375067901</v>
      </c>
      <c r="V6" s="149">
        <v>1.43033099447609</v>
      </c>
      <c r="W6" s="149">
        <v>0.90948840060095704</v>
      </c>
      <c r="X6" s="149">
        <v>0.90799991503299804</v>
      </c>
      <c r="Y6" s="149">
        <v>1.22774553030466</v>
      </c>
      <c r="Z6" s="149">
        <v>1.34187662013117</v>
      </c>
      <c r="AA6" s="149">
        <v>0.65885276374068802</v>
      </c>
      <c r="AB6" s="149">
        <v>1.0955265042314299</v>
      </c>
      <c r="AC6" s="149">
        <v>0.85761922750836705</v>
      </c>
      <c r="AD6" s="149">
        <v>0.94391936150137701</v>
      </c>
      <c r="AE6" s="149">
        <v>1.0616165438132701</v>
      </c>
      <c r="AF6" s="149">
        <v>0.82631818941760704</v>
      </c>
      <c r="AG6" s="149">
        <v>1.073880104266</v>
      </c>
      <c r="AH6" s="149">
        <v>0.21366639943472099</v>
      </c>
      <c r="AI6" s="149">
        <v>0.70898868213058996</v>
      </c>
      <c r="AJ6" s="149">
        <v>0.11345120396899</v>
      </c>
      <c r="AK6" s="149">
        <v>0.37745768334815999</v>
      </c>
      <c r="AL6" s="149">
        <v>0.61973479102209394</v>
      </c>
      <c r="AM6" s="149">
        <v>1.6012808883238501</v>
      </c>
      <c r="AN6" s="149">
        <v>1.1986495153427701</v>
      </c>
      <c r="AO6" s="149">
        <v>1.6820455018633</v>
      </c>
      <c r="AP6" s="149">
        <v>0.709743570964677</v>
      </c>
      <c r="AQ6" s="149">
        <v>1.5250613513311</v>
      </c>
      <c r="AR6" s="149">
        <v>1.0089187412512099</v>
      </c>
      <c r="AS6" s="149">
        <v>0.18588249586814101</v>
      </c>
      <c r="AT6" s="149">
        <v>0.75895169109926297</v>
      </c>
      <c r="AU6" s="149">
        <v>0.61786754883825001</v>
      </c>
      <c r="AV6" s="149">
        <v>0.37989670873774101</v>
      </c>
      <c r="AW6" s="149">
        <v>0.54091289054611702</v>
      </c>
      <c r="AX6" s="149">
        <v>0.60600621866050297</v>
      </c>
      <c r="AY6" s="149">
        <v>0.33854111434095502</v>
      </c>
      <c r="AZ6" s="149">
        <v>0.157951620048837</v>
      </c>
      <c r="BA6" s="149">
        <v>-0.48551913454165302</v>
      </c>
      <c r="BB6" s="149">
        <v>-0.47546483750112201</v>
      </c>
      <c r="BC6" s="149">
        <v>-0.275569355213443</v>
      </c>
      <c r="BD6" s="149">
        <v>-0.13042559143201399</v>
      </c>
      <c r="BE6" s="149">
        <v>-8.3143321266113707E-2</v>
      </c>
      <c r="BF6" s="149">
        <v>-0.433504124585325</v>
      </c>
      <c r="BG6" s="149">
        <v>-2.1973087110408299E-2</v>
      </c>
      <c r="BH6" s="149">
        <v>-0.24571012225746999</v>
      </c>
      <c r="BI6" s="149">
        <v>-0.60889426240412603</v>
      </c>
      <c r="BJ6" s="149">
        <v>-0.42262605284143101</v>
      </c>
      <c r="BK6" s="149">
        <v>-0.53723870766724002</v>
      </c>
      <c r="BL6" s="149">
        <v>-0.26242631588437998</v>
      </c>
      <c r="BM6" s="149">
        <v>0.207978373438583</v>
      </c>
      <c r="BN6" s="149">
        <v>-3.9683549893107302E-2</v>
      </c>
      <c r="BO6" s="149">
        <v>-0.22527481014092701</v>
      </c>
      <c r="BP6" s="149">
        <v>-0.28865903425135098</v>
      </c>
      <c r="BQ6" s="149">
        <v>-0.29369588963378401</v>
      </c>
      <c r="BR6" s="149">
        <v>-0.20762009776402099</v>
      </c>
      <c r="BS6" s="149">
        <v>-0.181910442255176</v>
      </c>
      <c r="BT6" s="149">
        <v>1.5708174826832701E-2</v>
      </c>
      <c r="BU6" s="149">
        <v>-0.49119977254612801</v>
      </c>
      <c r="BV6" s="149">
        <v>-0.35554034532439299</v>
      </c>
      <c r="BW6" s="149">
        <v>0</v>
      </c>
      <c r="BX6" s="149">
        <v>-0.513322856502064</v>
      </c>
      <c r="BY6" s="149">
        <v>-0.75950764702998297</v>
      </c>
      <c r="BZ6" s="149">
        <v>-0.42189503531143002</v>
      </c>
      <c r="CA6" s="149">
        <v>-0.198460371451783</v>
      </c>
      <c r="CB6" s="149">
        <v>-1.01502715777679</v>
      </c>
      <c r="CC6" s="149">
        <v>-1.1062053048043801</v>
      </c>
      <c r="CD6" s="149">
        <v>-0.13881438279282099</v>
      </c>
      <c r="CE6" s="149">
        <v>-1.0898628861295701</v>
      </c>
      <c r="CF6" s="149">
        <v>-0.90670471464996905</v>
      </c>
      <c r="CG6" s="149">
        <v>-1.03757503480651</v>
      </c>
      <c r="CH6" s="149">
        <v>-0.92891838426107798</v>
      </c>
      <c r="CI6" s="149">
        <v>-0.99898021121201797</v>
      </c>
      <c r="CJ6" s="149">
        <v>-1.01802088573241</v>
      </c>
      <c r="CK6" s="149">
        <v>-1.0082361482559301</v>
      </c>
      <c r="CL6" s="149">
        <v>-1.1345902995494199</v>
      </c>
      <c r="CM6" s="149">
        <v>-1.0165402338338401</v>
      </c>
      <c r="CN6" s="149">
        <v>-1.0674658255604701</v>
      </c>
      <c r="CO6" s="149">
        <v>-1.0411749461939701</v>
      </c>
      <c r="CP6" s="149">
        <v>-0.99814102877041899</v>
      </c>
      <c r="CQ6" s="149">
        <v>-1.06979818548973</v>
      </c>
      <c r="CR6" s="149">
        <v>-1.03384851838653</v>
      </c>
      <c r="CS6" s="149">
        <v>-1.0255241344617401</v>
      </c>
      <c r="CT6" s="149">
        <v>-0.98248212095974496</v>
      </c>
      <c r="CU6" s="149">
        <v>-0.60196198324331296</v>
      </c>
      <c r="CV6" s="154">
        <v>-6.7580071081220201E-5</v>
      </c>
      <c r="CW6" s="149">
        <v>-0.59849503956661199</v>
      </c>
      <c r="CX6" s="149">
        <v>-0.94437348676424904</v>
      </c>
      <c r="CY6" s="149">
        <v>-1.0217024465603299</v>
      </c>
      <c r="CZ6" s="149">
        <v>-0.82732787327128199</v>
      </c>
      <c r="DA6" s="149">
        <v>-1.03870578826656</v>
      </c>
      <c r="DB6" s="149">
        <v>0.43798768763282298</v>
      </c>
      <c r="DC6" s="149">
        <v>-0.44483222756500801</v>
      </c>
      <c r="DD6" s="149">
        <v>-2.1016317718614601E-2</v>
      </c>
      <c r="DE6" s="149">
        <v>-1.0172051932753601</v>
      </c>
    </row>
    <row r="7" spans="1:193" x14ac:dyDescent="0.25">
      <c r="A7" s="149" t="s">
        <v>265</v>
      </c>
      <c r="B7" s="149" t="s">
        <v>597</v>
      </c>
      <c r="C7" s="149">
        <v>-6.1298827386646999E-2</v>
      </c>
      <c r="D7" s="149">
        <v>0.178730445899006</v>
      </c>
      <c r="E7" s="149">
        <v>0.113667828277302</v>
      </c>
      <c r="F7" s="149">
        <v>0.67876293718247205</v>
      </c>
      <c r="G7" s="149">
        <v>0.648597247331125</v>
      </c>
      <c r="H7" s="149">
        <v>0.63037381715308805</v>
      </c>
      <c r="I7" s="149">
        <v>0.520594014588601</v>
      </c>
      <c r="J7" s="149">
        <v>0.64425037617490599</v>
      </c>
      <c r="K7" s="149">
        <v>0.59167919818790204</v>
      </c>
      <c r="L7" s="149">
        <v>0.68920416222584602</v>
      </c>
      <c r="M7" s="149">
        <v>0.53398540041585996</v>
      </c>
      <c r="N7" s="149">
        <v>0.67014116967023696</v>
      </c>
      <c r="O7" s="149">
        <v>0.27402756391280497</v>
      </c>
      <c r="P7" s="149">
        <v>0.40550322578810399</v>
      </c>
      <c r="Q7" s="149">
        <v>0.45493650303467298</v>
      </c>
      <c r="R7" s="149">
        <v>0.37698331264243701</v>
      </c>
      <c r="S7" s="149">
        <v>0.30911061759674502</v>
      </c>
      <c r="T7" s="149">
        <v>0.45203056639379302</v>
      </c>
      <c r="U7" s="149">
        <v>0.45373702487193701</v>
      </c>
      <c r="V7" s="149">
        <v>0.33635220113348202</v>
      </c>
      <c r="W7" s="149">
        <v>0.41725187017638599</v>
      </c>
      <c r="X7" s="149">
        <v>0.41226056403123201</v>
      </c>
      <c r="Y7" s="149">
        <v>0.244906138092782</v>
      </c>
      <c r="Z7" s="149">
        <v>0.33160461388394002</v>
      </c>
      <c r="AA7" s="149">
        <v>0.41860286182481499</v>
      </c>
      <c r="AB7" s="149">
        <v>0.20440944840135999</v>
      </c>
      <c r="AC7" s="149">
        <v>0.43560906262520499</v>
      </c>
      <c r="AD7" s="149">
        <v>0.32777366207897801</v>
      </c>
      <c r="AE7" s="149">
        <v>0.39911878942086298</v>
      </c>
      <c r="AF7" s="149">
        <v>0.550711017829421</v>
      </c>
      <c r="AG7" s="149">
        <v>0.63523705932997498</v>
      </c>
      <c r="AH7" s="149">
        <v>0.441094448771297</v>
      </c>
      <c r="AI7" s="149">
        <v>0.56389938817509799</v>
      </c>
      <c r="AJ7" s="149">
        <v>0.326710084419642</v>
      </c>
      <c r="AK7" s="149">
        <v>-7.2476328433138795E-2</v>
      </c>
      <c r="AL7" s="149">
        <v>-4.4219631129892301E-2</v>
      </c>
      <c r="AM7" s="149">
        <v>-1.05403877417595</v>
      </c>
      <c r="AN7" s="149">
        <v>-7.4754863688810902E-2</v>
      </c>
      <c r="AO7" s="149">
        <v>-0.53880655021178503</v>
      </c>
      <c r="AP7" s="149">
        <v>-0.188489432454999</v>
      </c>
      <c r="AQ7" s="149">
        <v>-1.8856707865224202E-2</v>
      </c>
      <c r="AR7" s="149">
        <v>0</v>
      </c>
      <c r="AS7" s="149">
        <v>-5.5593456930414897E-2</v>
      </c>
      <c r="AT7" s="149">
        <v>-2.3818140223142201E-2</v>
      </c>
      <c r="AU7" s="149">
        <v>-0.140623202352994</v>
      </c>
      <c r="AV7" s="149">
        <v>-7.1464316427119007E-2</v>
      </c>
      <c r="AW7" s="149">
        <v>0.32541440828000801</v>
      </c>
      <c r="AX7" s="149">
        <v>-2.9953840506057702E-2</v>
      </c>
      <c r="AY7" s="149">
        <v>0.728062797223894</v>
      </c>
      <c r="AZ7" s="149">
        <v>0.88587066771482403</v>
      </c>
      <c r="BA7" s="149">
        <v>0.29267592009509202</v>
      </c>
      <c r="BB7" s="149">
        <v>0.27060689529874299</v>
      </c>
      <c r="BC7" s="149">
        <v>0.508389563491084</v>
      </c>
      <c r="BD7" s="149">
        <v>0.37376628643933602</v>
      </c>
      <c r="BE7" s="149">
        <v>0.236802179751952</v>
      </c>
      <c r="BF7" s="149">
        <v>-3.0526182070763399</v>
      </c>
      <c r="BG7" s="149">
        <v>0.192140361019281</v>
      </c>
      <c r="BH7" s="149">
        <v>0.27039608766762702</v>
      </c>
      <c r="BI7" s="149">
        <v>0.595971497619737</v>
      </c>
      <c r="BJ7" s="149">
        <v>0.42696282949036501</v>
      </c>
      <c r="BK7" s="149">
        <v>4.4953081121888498E-2</v>
      </c>
      <c r="BL7" s="149">
        <v>0.42793926006722099</v>
      </c>
      <c r="BM7" s="149">
        <v>0.34232127222234099</v>
      </c>
      <c r="BN7" s="149">
        <v>0.136594777849502</v>
      </c>
      <c r="BO7" s="149">
        <v>-2.6737271319715001E-2</v>
      </c>
      <c r="BP7" s="149">
        <v>0.11781394776278301</v>
      </c>
      <c r="BQ7" s="149">
        <v>0.19586079241038801</v>
      </c>
      <c r="BR7" s="149">
        <v>0.18040174091995001</v>
      </c>
      <c r="BS7" s="149">
        <v>0.27142970536252797</v>
      </c>
      <c r="BT7" s="149">
        <v>-7.0165863990623897E-2</v>
      </c>
      <c r="BU7" s="149">
        <v>-0.34843659966634799</v>
      </c>
      <c r="BV7" s="149">
        <v>-0.108646253803414</v>
      </c>
      <c r="BW7" s="149">
        <v>-0.64817065564834897</v>
      </c>
      <c r="BX7" s="149">
        <v>-4.52074301368389</v>
      </c>
      <c r="BY7" s="149">
        <v>-4.5694430536592296</v>
      </c>
      <c r="BZ7" s="149">
        <v>-4.5268358531824102</v>
      </c>
      <c r="CA7" s="149">
        <v>-2.29113701349742</v>
      </c>
      <c r="CB7" s="149">
        <v>-4.5208781054785003</v>
      </c>
      <c r="CC7" s="149">
        <v>-4.6144516440921404</v>
      </c>
      <c r="CD7" s="149">
        <v>-1.3977256191891301</v>
      </c>
      <c r="CE7" s="149">
        <v>-4.4339236678012499</v>
      </c>
      <c r="CF7" s="149">
        <v>-4.4430223555380799</v>
      </c>
      <c r="CG7" s="149">
        <v>-4.5197220752767997</v>
      </c>
      <c r="CH7" s="149">
        <v>-4.5450765804569002</v>
      </c>
      <c r="CI7" s="149">
        <v>-4.48354099938296</v>
      </c>
      <c r="CJ7" s="149">
        <v>-4.64108357954726</v>
      </c>
      <c r="CK7" s="149">
        <v>-4.5042446550249799</v>
      </c>
      <c r="CL7" s="149">
        <v>-4.5911502261210702</v>
      </c>
      <c r="CM7" s="149">
        <v>-4.41491835170409</v>
      </c>
      <c r="CN7" s="149">
        <v>-4.5239941705077502</v>
      </c>
      <c r="CO7" s="149">
        <v>-4.28921577304423</v>
      </c>
      <c r="CP7" s="149">
        <v>-4.1316373569376497</v>
      </c>
      <c r="CQ7" s="149">
        <v>-4.5105551379247801</v>
      </c>
      <c r="CR7" s="149">
        <v>-4.4378054070491899</v>
      </c>
      <c r="CS7" s="149">
        <v>-4.3937651537504196</v>
      </c>
      <c r="CT7" s="149">
        <v>-4.2274771750797102</v>
      </c>
      <c r="CU7" s="149">
        <v>-1.7821153455603</v>
      </c>
      <c r="CV7" s="149">
        <v>-1.04514071964442</v>
      </c>
      <c r="CW7" s="149">
        <v>-3.4336059865893902</v>
      </c>
      <c r="CX7" s="149">
        <v>-4.3079172135411401</v>
      </c>
      <c r="CY7" s="149">
        <v>-4.4869059061923604</v>
      </c>
      <c r="CZ7" s="149">
        <v>-4.2949122432298497</v>
      </c>
      <c r="DA7" s="149">
        <v>-4.5750234291546699</v>
      </c>
      <c r="DB7" s="149">
        <v>-1.1418137809370399</v>
      </c>
      <c r="DC7" s="149">
        <v>-1.15624449542914</v>
      </c>
      <c r="DD7" s="149">
        <v>-1.3294387544916</v>
      </c>
      <c r="DE7" s="149">
        <v>-4.1401427815019396</v>
      </c>
    </row>
    <row r="8" spans="1:193" x14ac:dyDescent="0.25">
      <c r="A8" s="149" t="s">
        <v>265</v>
      </c>
      <c r="B8" s="149" t="s">
        <v>600</v>
      </c>
      <c r="C8" s="149">
        <v>1.0237535422778601</v>
      </c>
      <c r="D8" s="149">
        <v>1.25045315174329</v>
      </c>
      <c r="E8" s="149">
        <v>1.4921672812769</v>
      </c>
      <c r="F8" s="149">
        <v>1.6368898188922101</v>
      </c>
      <c r="G8" s="149">
        <v>1.4822080349631901</v>
      </c>
      <c r="H8" s="149">
        <v>1.4974963803777599</v>
      </c>
      <c r="I8" s="149">
        <v>1.52828099665719</v>
      </c>
      <c r="J8" s="149">
        <v>1.8155245722317499</v>
      </c>
      <c r="K8" s="149">
        <v>1.79396999921641</v>
      </c>
      <c r="L8" s="149">
        <v>1.3552838634581399</v>
      </c>
      <c r="M8" s="149">
        <v>1.80485045647647</v>
      </c>
      <c r="N8" s="149">
        <v>1.57639721005983</v>
      </c>
      <c r="O8" s="149">
        <v>1.5606693599614401</v>
      </c>
      <c r="P8" s="149">
        <v>1.66942793010938</v>
      </c>
      <c r="Q8" s="149">
        <v>1.79436927551592</v>
      </c>
      <c r="R8" s="149">
        <v>1.6343728391780601</v>
      </c>
      <c r="S8" s="149">
        <v>1.7663843423095</v>
      </c>
      <c r="T8" s="149">
        <v>1.8659700478851</v>
      </c>
      <c r="U8" s="149">
        <v>1.70504031964049</v>
      </c>
      <c r="V8" s="149">
        <v>1.67393427134874</v>
      </c>
      <c r="W8" s="149">
        <v>1.8454932205275101</v>
      </c>
      <c r="X8" s="149">
        <v>1.72484977336103</v>
      </c>
      <c r="Y8" s="149">
        <v>1.83011069477039</v>
      </c>
      <c r="Z8" s="149">
        <v>1.67481417988452</v>
      </c>
      <c r="AA8" s="149">
        <v>1.67256460046094</v>
      </c>
      <c r="AB8" s="149">
        <v>1.58702645111814</v>
      </c>
      <c r="AC8" s="149">
        <v>1.5868790397188901</v>
      </c>
      <c r="AD8" s="149">
        <v>1.8801564545673699</v>
      </c>
      <c r="AE8" s="149">
        <v>1.8432641381197299</v>
      </c>
      <c r="AF8" s="149">
        <v>1.7496709715376699</v>
      </c>
      <c r="AG8" s="149">
        <v>1.8340058142025899</v>
      </c>
      <c r="AH8" s="149">
        <v>1.75088821774671</v>
      </c>
      <c r="AI8" s="149">
        <v>1.60299849880824</v>
      </c>
      <c r="AJ8" s="149">
        <v>1.76017781059399</v>
      </c>
      <c r="AK8" s="149">
        <v>1.04835092294454</v>
      </c>
      <c r="AL8" s="149">
        <v>1.0501564472816201</v>
      </c>
      <c r="AM8" s="149">
        <v>2.0874924243275101</v>
      </c>
      <c r="AN8" s="149">
        <v>1.5687600043479699</v>
      </c>
      <c r="AO8" s="149">
        <v>1.7719554407834099</v>
      </c>
      <c r="AP8" s="149">
        <v>1.1711858416958301</v>
      </c>
      <c r="AQ8" s="149">
        <v>1.3489598180450799</v>
      </c>
      <c r="AR8" s="149">
        <v>1.21128685213721</v>
      </c>
      <c r="AS8" s="149">
        <v>1.5167275707335199</v>
      </c>
      <c r="AT8" s="149">
        <v>1.32877790417427</v>
      </c>
      <c r="AU8" s="149">
        <v>1.4073027045453399</v>
      </c>
      <c r="AV8" s="149">
        <v>1.3648299346931201</v>
      </c>
      <c r="AW8" s="149">
        <v>0.32979298302960403</v>
      </c>
      <c r="AX8" s="149">
        <v>0.61886969211994403</v>
      </c>
      <c r="AY8" s="149">
        <v>0.76271697948323602</v>
      </c>
      <c r="AZ8" s="149">
        <v>0.25528348299007397</v>
      </c>
      <c r="BA8" s="149">
        <v>-0.38884101442303598</v>
      </c>
      <c r="BB8" s="149">
        <v>-1.3036393126435599</v>
      </c>
      <c r="BC8" s="149">
        <v>-0.64681427864913499</v>
      </c>
      <c r="BD8" s="149">
        <v>-1.0225535708115501</v>
      </c>
      <c r="BE8" s="149">
        <v>-1.2722896284985299</v>
      </c>
      <c r="BF8" s="149">
        <v>-1.0307911988126699</v>
      </c>
      <c r="BG8" s="149">
        <v>-0.94122728390114696</v>
      </c>
      <c r="BH8" s="149">
        <v>-1.11922871202185</v>
      </c>
      <c r="BI8" s="149">
        <v>-0.52083071228397504</v>
      </c>
      <c r="BJ8" s="149">
        <v>-0.90312648360617098</v>
      </c>
      <c r="BK8" s="149">
        <v>-1.4939955031740799</v>
      </c>
      <c r="BL8" s="149">
        <v>-0.56039297015344103</v>
      </c>
      <c r="BM8" s="149">
        <v>0.63178556807598796</v>
      </c>
      <c r="BN8" s="149">
        <v>-8.4197328160789994E-2</v>
      </c>
      <c r="BO8" s="149">
        <v>-0.37808421106429801</v>
      </c>
      <c r="BP8" s="149">
        <v>0.43245368263895001</v>
      </c>
      <c r="BQ8" s="149">
        <v>-0.24929014049519199</v>
      </c>
      <c r="BR8" s="149">
        <v>-3.1412520457177302E-2</v>
      </c>
      <c r="BS8" s="149">
        <v>-1.21035011091176</v>
      </c>
      <c r="BT8" s="149">
        <v>-0.32131190722930603</v>
      </c>
      <c r="BU8" s="149">
        <v>-1.2063524782013899</v>
      </c>
      <c r="BV8" s="149">
        <v>-0.52726643127953698</v>
      </c>
      <c r="BW8" s="149">
        <v>-1.2520580530704599</v>
      </c>
      <c r="BX8" s="149">
        <v>-3.3510268832758801</v>
      </c>
      <c r="BY8" s="149">
        <v>-3.3331344184062401</v>
      </c>
      <c r="BZ8" s="149">
        <v>-3.3121199284037499</v>
      </c>
      <c r="CA8" s="149">
        <v>-1.3060638658864601</v>
      </c>
      <c r="CB8" s="149">
        <v>-3.2486292975875402</v>
      </c>
      <c r="CC8" s="149">
        <v>-3.3357849730259201</v>
      </c>
      <c r="CD8" s="149">
        <v>-0.20416862063900701</v>
      </c>
      <c r="CE8" s="149">
        <v>-3.08676764049053</v>
      </c>
      <c r="CF8" s="149">
        <v>-3.1602530586859299</v>
      </c>
      <c r="CG8" s="149">
        <v>-3.2253842328920599</v>
      </c>
      <c r="CH8" s="149">
        <v>-3.2018321956553901</v>
      </c>
      <c r="CI8" s="149">
        <v>-3.2269489177131399</v>
      </c>
      <c r="CJ8" s="149">
        <v>-3.3399342341202098</v>
      </c>
      <c r="CK8" s="149">
        <v>-3.32206757240768</v>
      </c>
      <c r="CL8" s="149">
        <v>-3.2689134929875401</v>
      </c>
      <c r="CM8" s="149">
        <v>-2.9821997188199498</v>
      </c>
      <c r="CN8" s="149">
        <v>-3.3362365819699802</v>
      </c>
      <c r="CO8" s="149">
        <v>-3.1249336304264199</v>
      </c>
      <c r="CP8" s="149">
        <v>-3.1865345080757801</v>
      </c>
      <c r="CQ8" s="149">
        <v>-3.15798678718861</v>
      </c>
      <c r="CR8" s="149">
        <v>-3.3629392028407401</v>
      </c>
      <c r="CS8" s="149">
        <v>-3.1395182367086401</v>
      </c>
      <c r="CT8" s="149">
        <v>-3.0680221731496302</v>
      </c>
      <c r="CU8" s="149">
        <v>-0.75445401988284</v>
      </c>
      <c r="CV8" s="149">
        <v>6.8101786234866096E-3</v>
      </c>
      <c r="CW8" s="149">
        <v>-2.53596624948098</v>
      </c>
      <c r="CX8" s="149">
        <v>-3.1652173254479301</v>
      </c>
      <c r="CY8" s="149">
        <v>-3.2165952229078401</v>
      </c>
      <c r="CZ8" s="149">
        <v>-2.7550992727144501</v>
      </c>
      <c r="DA8" s="149">
        <v>-3.2306596927912001</v>
      </c>
      <c r="DB8" s="149">
        <v>0</v>
      </c>
      <c r="DC8" s="149">
        <v>-0.125883852483932</v>
      </c>
      <c r="DD8" s="149">
        <v>-0.789919397670093</v>
      </c>
      <c r="DE8" s="149">
        <v>-2.9429044490229899</v>
      </c>
    </row>
    <row r="9" spans="1:193" x14ac:dyDescent="0.25">
      <c r="A9" s="149" t="s">
        <v>265</v>
      </c>
      <c r="B9" s="149" t="s">
        <v>604</v>
      </c>
      <c r="C9" s="149">
        <v>0.48936055914930698</v>
      </c>
      <c r="D9" s="149">
        <v>0.26932129680042199</v>
      </c>
      <c r="E9" s="149">
        <v>0.48463490892526601</v>
      </c>
      <c r="F9" s="149">
        <v>0.93063289003148797</v>
      </c>
      <c r="G9" s="149">
        <v>0.89086868180920897</v>
      </c>
      <c r="H9" s="149">
        <v>0.91484319834041905</v>
      </c>
      <c r="I9" s="149">
        <v>0.81282654981589697</v>
      </c>
      <c r="J9" s="149">
        <v>0.89848748913394805</v>
      </c>
      <c r="K9" s="149">
        <v>0.82867190051114303</v>
      </c>
      <c r="L9" s="149">
        <v>0.56032379070401295</v>
      </c>
      <c r="M9" s="149">
        <v>0.83851851268527799</v>
      </c>
      <c r="N9" s="149">
        <v>0.89256100853327802</v>
      </c>
      <c r="O9" s="149">
        <v>0.128378547875835</v>
      </c>
      <c r="P9" s="149">
        <v>3.2561881311184898E-2</v>
      </c>
      <c r="Q9" s="149">
        <v>0.27234125965358802</v>
      </c>
      <c r="R9" s="149">
        <v>-1.5451672115715499E-2</v>
      </c>
      <c r="S9" s="149">
        <v>-3.3503497536019299E-2</v>
      </c>
      <c r="T9" s="149">
        <v>-0.26591318232428102</v>
      </c>
      <c r="U9" s="149">
        <v>-0.10824892704476401</v>
      </c>
      <c r="V9" s="149">
        <v>4.2189907266392698E-2</v>
      </c>
      <c r="W9" s="149">
        <v>0.24589408265440399</v>
      </c>
      <c r="X9" s="149">
        <v>0.37470970784976598</v>
      </c>
      <c r="Y9" s="149">
        <v>0.39513573251828099</v>
      </c>
      <c r="Z9" s="149">
        <v>0.21885396216845801</v>
      </c>
      <c r="AA9" s="149">
        <v>0.48587181810174102</v>
      </c>
      <c r="AB9" s="149">
        <v>0.65627209873860504</v>
      </c>
      <c r="AC9" s="149">
        <v>0.34487265225340102</v>
      </c>
      <c r="AD9" s="149">
        <v>0.66140341746612896</v>
      </c>
      <c r="AE9" s="149">
        <v>0.54353449331953096</v>
      </c>
      <c r="AF9" s="149">
        <v>0.57248052724860599</v>
      </c>
      <c r="AG9" s="149">
        <v>0.35775615628610002</v>
      </c>
      <c r="AH9" s="149">
        <v>0.44494436644911101</v>
      </c>
      <c r="AI9" s="149">
        <v>0.46007100880858798</v>
      </c>
      <c r="AJ9" s="149">
        <v>0.65549152049860204</v>
      </c>
      <c r="AK9" s="149">
        <v>5.09304174708523E-3</v>
      </c>
      <c r="AL9" s="149">
        <v>-4.44283480933442E-2</v>
      </c>
      <c r="AM9" s="149">
        <v>-1.7078794369029899</v>
      </c>
      <c r="AN9" s="149">
        <v>4.2745388692592796E-3</v>
      </c>
      <c r="AO9" s="149">
        <v>-0.52567234951191799</v>
      </c>
      <c r="AP9" s="149">
        <v>-0.36756684627276098</v>
      </c>
      <c r="AQ9" s="149">
        <v>-0.23174749661914801</v>
      </c>
      <c r="AR9" s="149">
        <v>-0.38960024148695799</v>
      </c>
      <c r="AS9" s="149">
        <v>0.22839887553527999</v>
      </c>
      <c r="AT9" s="149">
        <v>-3.2115089269790398E-2</v>
      </c>
      <c r="AU9" s="149">
        <v>-0.136394827496294</v>
      </c>
      <c r="AV9" s="149">
        <v>-0.63451953434098995</v>
      </c>
      <c r="AW9" s="149">
        <v>0.35602902602967701</v>
      </c>
      <c r="AX9" s="149">
        <v>0.78013941327962699</v>
      </c>
      <c r="AY9" s="149">
        <v>0.93527799816662405</v>
      </c>
      <c r="AZ9" s="149">
        <v>0.61025763445133796</v>
      </c>
      <c r="BA9" s="149">
        <v>0.12716601614230399</v>
      </c>
      <c r="BB9" s="149">
        <v>0.20136551689651699</v>
      </c>
      <c r="BC9" s="149">
        <v>-0.59265531471768595</v>
      </c>
      <c r="BD9" s="149">
        <v>-0.165301854849424</v>
      </c>
      <c r="BE9" s="149">
        <v>-1.45984530410844</v>
      </c>
      <c r="BF9" s="149">
        <v>-0.143730091715597</v>
      </c>
      <c r="BG9" s="149">
        <v>-1.0820998113978699</v>
      </c>
      <c r="BH9" s="149">
        <v>-0.54586030100034399</v>
      </c>
      <c r="BI9" s="149">
        <v>-0.44420095918552199</v>
      </c>
      <c r="BJ9" s="149">
        <v>-0.87054520620244802</v>
      </c>
      <c r="BK9" s="149">
        <v>-0.50089945483640097</v>
      </c>
      <c r="BL9" s="149">
        <v>0.342733910191583</v>
      </c>
      <c r="BM9" s="149">
        <v>0.43855823276621297</v>
      </c>
      <c r="BN9" s="149">
        <v>0.69809903039461596</v>
      </c>
      <c r="BO9" s="149">
        <v>0.72907554686861198</v>
      </c>
      <c r="BP9" s="149">
        <v>-6.32109925224852E-3</v>
      </c>
      <c r="BQ9" s="149">
        <v>0.21576832259055101</v>
      </c>
      <c r="BR9" s="149">
        <v>0.48839254968333501</v>
      </c>
      <c r="BS9" s="149">
        <v>0.204195375037305</v>
      </c>
      <c r="BT9" s="149">
        <v>-1.32477038104525</v>
      </c>
      <c r="BU9" s="149">
        <v>6.3688827933824604E-2</v>
      </c>
      <c r="BV9" s="149">
        <v>0.482633449287521</v>
      </c>
      <c r="BW9" s="149">
        <v>3.0427757019366401E-2</v>
      </c>
      <c r="BX9" s="149">
        <v>0.225228786350468</v>
      </c>
      <c r="BY9" s="149">
        <v>0.215151090759514</v>
      </c>
      <c r="BZ9" s="149">
        <v>0.60559366013474003</v>
      </c>
      <c r="CA9" s="149">
        <v>0</v>
      </c>
      <c r="CB9" s="149">
        <v>-3.8439227669093698</v>
      </c>
      <c r="CC9" s="149">
        <v>-4.00577894793122</v>
      </c>
      <c r="CD9" s="149">
        <v>-1.3654893883742101</v>
      </c>
      <c r="CE9" s="149">
        <v>-4.0010085270176896</v>
      </c>
      <c r="CF9" s="149">
        <v>-3.7214098647119398</v>
      </c>
      <c r="CG9" s="149">
        <v>-3.8733593982265302</v>
      </c>
      <c r="CH9" s="149">
        <v>-3.9326571950704001</v>
      </c>
      <c r="CI9" s="149">
        <v>-4.0816198600563496</v>
      </c>
      <c r="CJ9" s="149">
        <v>-3.9514598442447202</v>
      </c>
      <c r="CK9" s="149">
        <v>-4.1257326478531304</v>
      </c>
      <c r="CL9" s="149">
        <v>-4.0975095864369004</v>
      </c>
      <c r="CM9" s="149">
        <v>-3.89948440125506</v>
      </c>
      <c r="CN9" s="149">
        <v>-4.0570046636687396</v>
      </c>
      <c r="CO9" s="149">
        <v>-4.0121333688377403</v>
      </c>
      <c r="CP9" s="149">
        <v>-3.5826144303333698</v>
      </c>
      <c r="CQ9" s="149">
        <v>-3.88803609548295</v>
      </c>
      <c r="CR9" s="149">
        <v>-3.2785768699050299</v>
      </c>
      <c r="CS9" s="149">
        <v>-3.70507925860462</v>
      </c>
      <c r="CT9" s="149">
        <v>-3.8253386253536101</v>
      </c>
      <c r="CU9" s="149">
        <v>-1.0121383409148901</v>
      </c>
      <c r="CV9" s="149">
        <v>-1.18050636308847</v>
      </c>
      <c r="CW9" s="149">
        <v>-3.0715359223326999</v>
      </c>
      <c r="CX9" s="149">
        <v>-3.88796137470124</v>
      </c>
      <c r="CY9" s="149">
        <v>-4.0312037975066604</v>
      </c>
      <c r="CZ9" s="149">
        <v>-3.7470684244962702</v>
      </c>
      <c r="DA9" s="149">
        <v>-3.7647884806085101</v>
      </c>
      <c r="DB9" s="149">
        <v>0.36762805312293401</v>
      </c>
      <c r="DC9" s="149">
        <v>-0.189248535730835</v>
      </c>
      <c r="DD9" s="149">
        <v>-5.24115233351116E-2</v>
      </c>
      <c r="DE9" s="149">
        <v>-0.37345838310273899</v>
      </c>
    </row>
    <row r="10" spans="1:193" x14ac:dyDescent="0.25">
      <c r="A10" s="149" t="s">
        <v>265</v>
      </c>
      <c r="B10" s="149" t="s">
        <v>605</v>
      </c>
      <c r="C10" s="149">
        <v>0.18323948333749901</v>
      </c>
      <c r="D10" s="149">
        <v>6.5865001619756303E-3</v>
      </c>
      <c r="E10" s="149">
        <v>1.5803354649129799</v>
      </c>
      <c r="F10" s="149">
        <v>0.31523951315836202</v>
      </c>
      <c r="G10" s="149">
        <v>0.45855461685302801</v>
      </c>
      <c r="H10" s="149">
        <v>0.42247861471585602</v>
      </c>
      <c r="I10" s="149">
        <v>0.70002600605165399</v>
      </c>
      <c r="J10" s="149">
        <v>0.501552321146017</v>
      </c>
      <c r="K10" s="149">
        <v>0.26172540068309802</v>
      </c>
      <c r="L10" s="149">
        <v>0.38096248564190199</v>
      </c>
      <c r="M10" s="149">
        <v>0.65079110997299805</v>
      </c>
      <c r="N10" s="149">
        <v>5.68047537637471E-2</v>
      </c>
      <c r="O10" s="149">
        <v>5.8854841192665798E-2</v>
      </c>
      <c r="P10" s="149">
        <v>0.237564142853851</v>
      </c>
      <c r="Q10" s="149">
        <v>-0.103371304495883</v>
      </c>
      <c r="R10" s="149">
        <v>3.8389064576109799E-2</v>
      </c>
      <c r="S10" s="149">
        <v>0.109903484857704</v>
      </c>
      <c r="T10" s="149">
        <v>0.33419852111914</v>
      </c>
      <c r="U10" s="149">
        <v>-0.21878289212624699</v>
      </c>
      <c r="V10" s="149">
        <v>0.271663684337209</v>
      </c>
      <c r="W10" s="149">
        <v>0.372376563514074</v>
      </c>
      <c r="X10" s="149">
        <v>0.29398940263355899</v>
      </c>
      <c r="Y10" s="149">
        <v>0.14142304812378101</v>
      </c>
      <c r="Z10" s="149">
        <v>0.50439424484925299</v>
      </c>
      <c r="AA10" s="149">
        <v>9.96587429420695E-2</v>
      </c>
      <c r="AB10" s="149">
        <v>0.14025841492119101</v>
      </c>
      <c r="AC10" s="149">
        <v>0.57849973400817301</v>
      </c>
      <c r="AD10" s="149">
        <v>0.25286215568241999</v>
      </c>
      <c r="AE10" s="149">
        <v>0.38009770708236301</v>
      </c>
      <c r="AF10" s="149">
        <v>0.465953154489476</v>
      </c>
      <c r="AG10" s="149">
        <v>0.11037707111388</v>
      </c>
      <c r="AH10" s="149">
        <v>-0.104712859236597</v>
      </c>
      <c r="AI10" s="149">
        <v>0.34717860447125198</v>
      </c>
      <c r="AJ10" s="149">
        <v>0.38863323830670798</v>
      </c>
      <c r="AK10" s="149">
        <v>0.173523161271988</v>
      </c>
      <c r="AL10" s="149">
        <v>-7.8749870412049595E-3</v>
      </c>
      <c r="AM10" s="149">
        <v>0.39919697798256898</v>
      </c>
      <c r="AN10" s="149">
        <v>1.1530008475093001</v>
      </c>
      <c r="AO10" s="149">
        <v>-0.29776145653944602</v>
      </c>
      <c r="AP10" s="149">
        <v>-3.9288838635800398E-2</v>
      </c>
      <c r="AQ10" s="149">
        <v>-5.4269566450458502E-3</v>
      </c>
      <c r="AR10" s="149">
        <v>7.0941053057582901E-2</v>
      </c>
      <c r="AS10" s="149">
        <v>-0.199398801716626</v>
      </c>
      <c r="AT10" s="149">
        <v>-0.25984912146385802</v>
      </c>
      <c r="AU10" s="149">
        <v>-0.23027365391305399</v>
      </c>
      <c r="AV10" s="149">
        <v>-0.33849627036317598</v>
      </c>
      <c r="AW10" s="149">
        <v>1.0154100482853201</v>
      </c>
      <c r="AX10" s="149">
        <v>1.3756034678037401</v>
      </c>
      <c r="AY10" s="149">
        <v>0.53859470682813704</v>
      </c>
      <c r="AZ10" s="149">
        <v>0.58660545660149999</v>
      </c>
      <c r="BA10" s="149">
        <v>9.4256173242860397E-2</v>
      </c>
      <c r="BB10" s="154">
        <v>2.2193479631037699E-5</v>
      </c>
      <c r="BC10" s="149">
        <v>-0.418561489033342</v>
      </c>
      <c r="BD10" s="149">
        <v>-0.26249155597724899</v>
      </c>
      <c r="BE10" s="149">
        <v>-0.32180801428814299</v>
      </c>
      <c r="BF10" s="149">
        <v>-0.18448678130565599</v>
      </c>
      <c r="BG10" s="149">
        <v>-0.213426941864924</v>
      </c>
      <c r="BH10" s="149">
        <v>-0.247772808604386</v>
      </c>
      <c r="BI10" s="149">
        <v>3.8793384606951802E-2</v>
      </c>
      <c r="BJ10" s="149">
        <v>-0.38236622910107398</v>
      </c>
      <c r="BK10" s="149">
        <v>0</v>
      </c>
      <c r="BL10" s="149">
        <v>-0.39255036537452498</v>
      </c>
      <c r="BM10" s="149">
        <v>-0.128313016477311</v>
      </c>
      <c r="BN10" s="149">
        <v>-6.4682785709001406E-2</v>
      </c>
      <c r="BO10" s="149">
        <v>-0.188505248739437</v>
      </c>
      <c r="BP10" s="149">
        <v>0.24763127716575301</v>
      </c>
      <c r="BQ10" s="149">
        <v>-0.28126486935334699</v>
      </c>
      <c r="BR10" s="149">
        <v>9.1102854576960393E-2</v>
      </c>
      <c r="BS10" s="149">
        <v>-0.51298503580685795</v>
      </c>
      <c r="BT10" s="149">
        <v>2.8775291593141499E-2</v>
      </c>
      <c r="BU10" s="149">
        <v>0.20716577452433599</v>
      </c>
      <c r="BV10" s="149">
        <v>0.36336358049675899</v>
      </c>
      <c r="BW10" s="149">
        <v>-0.31316531570360701</v>
      </c>
      <c r="BX10" s="149">
        <v>0.45844204146102002</v>
      </c>
      <c r="BY10" s="149">
        <v>0.57215046230359601</v>
      </c>
      <c r="BZ10" s="149">
        <v>1.33632122404304</v>
      </c>
      <c r="CA10" s="149">
        <v>0.38479906740251901</v>
      </c>
      <c r="CB10" s="149">
        <v>-0.73434699188848196</v>
      </c>
      <c r="CC10" s="149">
        <v>-0.72637808345754096</v>
      </c>
      <c r="CD10" s="149">
        <v>-0.42561143866844398</v>
      </c>
      <c r="CE10" s="149">
        <v>-0.71003566478273705</v>
      </c>
      <c r="CF10" s="149">
        <v>-0.68848861011302198</v>
      </c>
      <c r="CG10" s="149">
        <v>-0.75476307820258104</v>
      </c>
      <c r="CH10" s="149">
        <v>-0.73324731054491499</v>
      </c>
      <c r="CI10" s="149">
        <v>-0.71309136532602901</v>
      </c>
      <c r="CJ10" s="149">
        <v>-0.69557983696911696</v>
      </c>
      <c r="CK10" s="149">
        <v>-0.68695146206692903</v>
      </c>
      <c r="CL10" s="149">
        <v>-0.71958267719881097</v>
      </c>
      <c r="CM10" s="149">
        <v>-0.70681529176260405</v>
      </c>
      <c r="CN10" s="149">
        <v>-0.74345098115931996</v>
      </c>
      <c r="CO10" s="149">
        <v>-0.75476307820258104</v>
      </c>
      <c r="CP10" s="149">
        <v>-0.75476307820258104</v>
      </c>
      <c r="CQ10" s="149">
        <v>-0.71136016268622004</v>
      </c>
      <c r="CR10" s="149">
        <v>-0.75476307820258104</v>
      </c>
      <c r="CS10" s="149">
        <v>-0.75476307820258104</v>
      </c>
      <c r="CT10" s="149">
        <v>-0.67262717327758603</v>
      </c>
      <c r="CU10" s="149">
        <v>-0.29909489345054202</v>
      </c>
      <c r="CV10" s="149">
        <v>-0.27910220777454298</v>
      </c>
      <c r="CW10" s="149">
        <v>-0.69281275366268602</v>
      </c>
      <c r="CX10" s="149">
        <v>-0.75476307820258104</v>
      </c>
      <c r="CY10" s="149">
        <v>-0.70935122947690898</v>
      </c>
      <c r="CZ10" s="149">
        <v>-0.55723713848925505</v>
      </c>
      <c r="DA10" s="149">
        <v>-0.75476307820258104</v>
      </c>
      <c r="DB10" s="149">
        <v>0.32609614614054599</v>
      </c>
      <c r="DC10" s="149">
        <v>-0.20353235830425101</v>
      </c>
      <c r="DD10" s="149">
        <v>-2.9472568649801498E-2</v>
      </c>
      <c r="DE10" s="149">
        <v>0.28709690104401597</v>
      </c>
    </row>
    <row r="11" spans="1:193" x14ac:dyDescent="0.25">
      <c r="A11" s="149" t="s">
        <v>265</v>
      </c>
      <c r="B11" s="149" t="s">
        <v>614</v>
      </c>
      <c r="C11" s="149">
        <v>9.3561488434365001E-2</v>
      </c>
      <c r="D11" s="149">
        <v>8.4314617175853396E-2</v>
      </c>
      <c r="E11" s="149">
        <v>0.175672591751205</v>
      </c>
      <c r="F11" s="149">
        <v>5.6909672818757598E-2</v>
      </c>
      <c r="G11" s="149">
        <v>0.12902078698081301</v>
      </c>
      <c r="H11" s="149">
        <v>4.3182241278336498E-3</v>
      </c>
      <c r="I11" s="149">
        <v>6.0888608491473602E-2</v>
      </c>
      <c r="J11" s="149">
        <v>0.188650651101582</v>
      </c>
      <c r="K11" s="149">
        <v>8.9083264932059397E-2</v>
      </c>
      <c r="L11" s="149">
        <v>0.102227929958631</v>
      </c>
      <c r="M11" s="149">
        <v>0.15326162401872401</v>
      </c>
      <c r="N11" s="149">
        <v>1.17838083939697E-2</v>
      </c>
      <c r="O11" s="149">
        <v>0.117064012455591</v>
      </c>
      <c r="P11" s="149">
        <v>0.107336179793261</v>
      </c>
      <c r="Q11" s="149">
        <v>0.34159493333603402</v>
      </c>
      <c r="R11" s="149">
        <v>0.25666858252566799</v>
      </c>
      <c r="S11" s="149">
        <v>0.114548704016909</v>
      </c>
      <c r="T11" s="149">
        <v>0.31840762459180599</v>
      </c>
      <c r="U11" s="149">
        <v>0.191412590930958</v>
      </c>
      <c r="V11" s="149">
        <v>0.20100099231818799</v>
      </c>
      <c r="W11" s="149">
        <v>0.36384286437482999</v>
      </c>
      <c r="X11" s="149">
        <v>0.220145566247644</v>
      </c>
      <c r="Y11" s="149">
        <v>0.121642423867637</v>
      </c>
      <c r="Z11" s="149">
        <v>0.20687804596934001</v>
      </c>
      <c r="AA11" s="149">
        <v>0.23045853957187001</v>
      </c>
      <c r="AB11" s="149">
        <v>0.119259152161359</v>
      </c>
      <c r="AC11" s="149">
        <v>0.157881905973701</v>
      </c>
      <c r="AD11" s="149">
        <v>0.22816715454330899</v>
      </c>
      <c r="AE11" s="149">
        <v>0.19103352710406701</v>
      </c>
      <c r="AF11" s="149">
        <v>4.7959285804336498E-2</v>
      </c>
      <c r="AG11" s="149">
        <v>0.14913835720958901</v>
      </c>
      <c r="AH11" s="149">
        <v>0.20657099165178799</v>
      </c>
      <c r="AI11" s="149">
        <v>0.25676867923906699</v>
      </c>
      <c r="AJ11" s="149">
        <v>0.37441250670802301</v>
      </c>
      <c r="AK11" s="149">
        <v>6.5117205909366399E-2</v>
      </c>
      <c r="AL11" s="149">
        <v>6.4372788576566198E-2</v>
      </c>
      <c r="AM11" s="149">
        <v>0.52714543376095901</v>
      </c>
      <c r="AN11" s="149">
        <v>0.26139635302501402</v>
      </c>
      <c r="AO11" s="149">
        <v>0.12718322521537101</v>
      </c>
      <c r="AP11" s="149">
        <v>0.11217281049784</v>
      </c>
      <c r="AQ11" s="149">
        <v>0.12203175719856001</v>
      </c>
      <c r="AR11" s="149">
        <v>0.15462669104759</v>
      </c>
      <c r="AS11" s="149">
        <v>0.138117735878487</v>
      </c>
      <c r="AT11" s="149">
        <v>0.23239695702195901</v>
      </c>
      <c r="AU11" s="149">
        <v>0.189687948823693</v>
      </c>
      <c r="AV11" s="149">
        <v>6.6568192759660097E-2</v>
      </c>
      <c r="AW11" s="149">
        <v>-0.101886350880539</v>
      </c>
      <c r="AX11" s="149">
        <v>-1.6246448145702499E-2</v>
      </c>
      <c r="AY11" s="149">
        <v>-4.9808885338869097E-2</v>
      </c>
      <c r="AZ11" s="149">
        <v>-7.9796827571702797E-2</v>
      </c>
      <c r="BA11" s="149">
        <v>-1.11823099350087E-2</v>
      </c>
      <c r="BB11" s="149">
        <v>-0.101886350880539</v>
      </c>
      <c r="BC11" s="149">
        <v>-2.2045020116780199E-2</v>
      </c>
      <c r="BD11" s="149">
        <v>-0.101886350880539</v>
      </c>
      <c r="BE11" s="149">
        <v>1.8207754989112101E-2</v>
      </c>
      <c r="BF11" s="149">
        <v>-0.101886350880539</v>
      </c>
      <c r="BG11" s="149">
        <v>1.0111040533071601E-2</v>
      </c>
      <c r="BH11" s="149">
        <v>-0.101886350880539</v>
      </c>
      <c r="BI11" s="149">
        <v>-0.101886350880539</v>
      </c>
      <c r="BJ11" s="149">
        <v>0</v>
      </c>
      <c r="BK11" s="149">
        <v>-0.101886350880539</v>
      </c>
      <c r="BL11" s="149">
        <v>-0.101886350880539</v>
      </c>
      <c r="BM11" s="149">
        <v>-0.101886350880539</v>
      </c>
      <c r="BN11" s="149">
        <v>-7.5960317587536894E-2</v>
      </c>
      <c r="BO11" s="149">
        <v>-4.1345214642367102E-2</v>
      </c>
      <c r="BP11" s="149">
        <v>0.15572627447186099</v>
      </c>
      <c r="BQ11" s="149">
        <v>-2.5129074037264301E-2</v>
      </c>
      <c r="BR11" s="149">
        <v>-0.101886350880539</v>
      </c>
      <c r="BS11" s="149">
        <v>2.3685017686705102E-2</v>
      </c>
      <c r="BT11" s="149">
        <v>4.5934830985639601E-2</v>
      </c>
      <c r="BU11" s="149">
        <v>-0.101886350880539</v>
      </c>
      <c r="BV11" s="149">
        <v>-0.101886350880539</v>
      </c>
      <c r="BW11" s="149">
        <v>2.0763697564656701E-2</v>
      </c>
      <c r="BX11" s="149">
        <v>-0.101886350880539</v>
      </c>
      <c r="BY11" s="149">
        <v>-0.101886350880539</v>
      </c>
      <c r="BZ11" s="149">
        <v>-0.101886350880539</v>
      </c>
      <c r="CA11" s="149">
        <v>-6.9025955311654993E-2</v>
      </c>
      <c r="CB11" s="149">
        <v>-0.101886350880539</v>
      </c>
      <c r="CC11" s="149">
        <v>-0.101886350880539</v>
      </c>
      <c r="CD11" s="149">
        <v>2.1840273211688299E-2</v>
      </c>
      <c r="CE11" s="149">
        <v>-0.101886350880539</v>
      </c>
      <c r="CF11" s="149">
        <v>-0.101886350880539</v>
      </c>
      <c r="CG11" s="149">
        <v>-0.101886350880539</v>
      </c>
      <c r="CH11" s="149">
        <v>-0.101886350880539</v>
      </c>
      <c r="CI11" s="149">
        <v>-0.101886350880539</v>
      </c>
      <c r="CJ11" s="149">
        <v>-7.2061989990275299E-2</v>
      </c>
      <c r="CK11" s="149">
        <v>-5.8816975166756998E-2</v>
      </c>
      <c r="CL11" s="149">
        <v>-0.101886350880539</v>
      </c>
      <c r="CM11" s="149">
        <v>-0.101886350880539</v>
      </c>
      <c r="CN11" s="149">
        <v>-0.101886350880539</v>
      </c>
      <c r="CO11" s="149">
        <v>-0.101886350880539</v>
      </c>
      <c r="CP11" s="149">
        <v>-0.101886350880539</v>
      </c>
      <c r="CQ11" s="149">
        <v>-0.101886350880539</v>
      </c>
      <c r="CR11" s="149">
        <v>-6.7750995809949796E-2</v>
      </c>
      <c r="CS11" s="149">
        <v>-0.101886350880539</v>
      </c>
      <c r="CT11" s="149">
        <v>-0.101886350880539</v>
      </c>
      <c r="CU11" s="149">
        <v>-0.101886350880539</v>
      </c>
      <c r="CV11" s="149">
        <v>-1.6801381448732802E-2</v>
      </c>
      <c r="CW11" s="149">
        <v>-0.101886350880539</v>
      </c>
      <c r="CX11" s="149">
        <v>-0.101886350880539</v>
      </c>
      <c r="CY11" s="149">
        <v>-0.101886350880539</v>
      </c>
      <c r="CZ11" s="149">
        <v>-6.7623834591167706E-2</v>
      </c>
      <c r="DA11" s="149">
        <v>-0.101886350880539</v>
      </c>
      <c r="DB11" s="149">
        <v>-0.101886350880539</v>
      </c>
      <c r="DC11" s="149">
        <v>-1.04141216354116E-2</v>
      </c>
      <c r="DD11" s="149">
        <v>-0.101886350880539</v>
      </c>
      <c r="DE11" s="149">
        <v>-0.101886350880539</v>
      </c>
    </row>
    <row r="12" spans="1:193" x14ac:dyDescent="0.25">
      <c r="A12" s="149" t="s">
        <v>265</v>
      </c>
      <c r="B12" s="149" t="s">
        <v>617</v>
      </c>
      <c r="C12" s="149">
        <v>0</v>
      </c>
      <c r="D12" s="149">
        <v>8.5340693916176706E-3</v>
      </c>
      <c r="E12" s="149">
        <v>0</v>
      </c>
      <c r="F12" s="149">
        <v>0</v>
      </c>
      <c r="G12" s="149">
        <v>0</v>
      </c>
      <c r="H12" s="149">
        <v>0</v>
      </c>
      <c r="I12" s="149">
        <v>0</v>
      </c>
      <c r="J12" s="149">
        <v>0</v>
      </c>
      <c r="K12" s="149">
        <v>0</v>
      </c>
      <c r="L12" s="149">
        <v>0</v>
      </c>
      <c r="M12" s="149">
        <v>0</v>
      </c>
      <c r="N12" s="149">
        <v>0</v>
      </c>
      <c r="O12" s="149">
        <v>0</v>
      </c>
      <c r="P12" s="149">
        <v>3.66719252577219E-2</v>
      </c>
      <c r="Q12" s="149">
        <v>4.5296438327811203E-2</v>
      </c>
      <c r="R12" s="149">
        <v>0</v>
      </c>
      <c r="S12" s="149">
        <v>0</v>
      </c>
      <c r="T12" s="149">
        <v>0</v>
      </c>
      <c r="U12" s="149">
        <v>0</v>
      </c>
      <c r="V12" s="149">
        <v>0</v>
      </c>
      <c r="W12" s="149">
        <v>0</v>
      </c>
      <c r="X12" s="149">
        <v>0</v>
      </c>
      <c r="Y12" s="149">
        <v>3.9282692250949401E-2</v>
      </c>
      <c r="Z12" s="149">
        <v>1.8493506636390801E-2</v>
      </c>
      <c r="AA12" s="149">
        <v>0</v>
      </c>
      <c r="AB12" s="149">
        <v>0</v>
      </c>
      <c r="AC12" s="149">
        <v>0</v>
      </c>
      <c r="AD12" s="149">
        <v>0</v>
      </c>
      <c r="AE12" s="149">
        <v>0</v>
      </c>
      <c r="AF12" s="149">
        <v>0</v>
      </c>
      <c r="AG12" s="149">
        <v>0</v>
      </c>
      <c r="AH12" s="149">
        <v>0</v>
      </c>
      <c r="AI12" s="149">
        <v>3.0315586374611601E-2</v>
      </c>
      <c r="AJ12" s="149">
        <v>0</v>
      </c>
      <c r="AK12" s="149">
        <v>1.3299706440590199E-2</v>
      </c>
      <c r="AL12" s="149">
        <v>3.2291724876975403E-2</v>
      </c>
      <c r="AM12" s="149">
        <v>0</v>
      </c>
      <c r="AN12" s="149">
        <v>0</v>
      </c>
      <c r="AO12" s="149">
        <v>0</v>
      </c>
      <c r="AP12" s="149">
        <v>0</v>
      </c>
      <c r="AQ12" s="149">
        <v>0</v>
      </c>
      <c r="AR12" s="149">
        <v>0</v>
      </c>
      <c r="AS12" s="149">
        <v>0</v>
      </c>
      <c r="AT12" s="149">
        <v>0</v>
      </c>
      <c r="AU12" s="149">
        <v>0</v>
      </c>
      <c r="AV12" s="149">
        <v>0</v>
      </c>
      <c r="AW12" s="149">
        <v>0</v>
      </c>
      <c r="AX12" s="149">
        <v>0</v>
      </c>
      <c r="AY12" s="149">
        <v>1.3164616278658101E-2</v>
      </c>
      <c r="AZ12" s="149">
        <v>0</v>
      </c>
      <c r="BA12" s="149">
        <v>0</v>
      </c>
      <c r="BB12" s="149">
        <v>0</v>
      </c>
      <c r="BC12" s="149">
        <v>0</v>
      </c>
      <c r="BD12" s="149">
        <v>0</v>
      </c>
      <c r="BE12" s="149">
        <v>0</v>
      </c>
      <c r="BF12" s="149">
        <v>0</v>
      </c>
      <c r="BG12" s="149">
        <v>0</v>
      </c>
      <c r="BH12" s="149">
        <v>0</v>
      </c>
      <c r="BI12" s="149">
        <v>0</v>
      </c>
      <c r="BJ12" s="149">
        <v>0</v>
      </c>
      <c r="BK12" s="149">
        <v>0</v>
      </c>
      <c r="BL12" s="149">
        <v>0</v>
      </c>
      <c r="BM12" s="149">
        <v>0</v>
      </c>
      <c r="BN12" s="149">
        <v>0</v>
      </c>
      <c r="BO12" s="149">
        <v>0</v>
      </c>
      <c r="BP12" s="149">
        <v>0</v>
      </c>
      <c r="BQ12" s="149">
        <v>0</v>
      </c>
      <c r="BR12" s="149">
        <v>0</v>
      </c>
      <c r="BS12" s="149">
        <v>0</v>
      </c>
      <c r="BT12" s="149">
        <v>0</v>
      </c>
      <c r="BU12" s="149">
        <v>0</v>
      </c>
      <c r="BV12" s="149">
        <v>0</v>
      </c>
      <c r="BW12" s="149">
        <v>0</v>
      </c>
      <c r="BX12" s="149">
        <v>1.8691843578676499</v>
      </c>
      <c r="BY12" s="149">
        <v>2.0152307019361002</v>
      </c>
      <c r="BZ12" s="149">
        <v>1.9353870070158801</v>
      </c>
      <c r="CA12" s="149">
        <v>1.7293355180243399</v>
      </c>
      <c r="CB12" s="149">
        <v>0</v>
      </c>
      <c r="CC12" s="149">
        <v>0</v>
      </c>
      <c r="CD12" s="149">
        <v>2.6342543515750501E-2</v>
      </c>
      <c r="CE12" s="149">
        <v>0</v>
      </c>
      <c r="CF12" s="149">
        <v>0</v>
      </c>
      <c r="CG12" s="149">
        <v>0</v>
      </c>
      <c r="CH12" s="149">
        <v>0</v>
      </c>
      <c r="CI12" s="149">
        <v>0</v>
      </c>
      <c r="CJ12" s="149">
        <v>0</v>
      </c>
      <c r="CK12" s="149">
        <v>0</v>
      </c>
      <c r="CL12" s="149">
        <v>0</v>
      </c>
      <c r="CM12" s="149">
        <v>0</v>
      </c>
      <c r="CN12" s="149">
        <v>0</v>
      </c>
      <c r="CO12" s="149">
        <v>0</v>
      </c>
      <c r="CP12" s="149">
        <v>0</v>
      </c>
      <c r="CQ12" s="149">
        <v>0</v>
      </c>
      <c r="CR12" s="149">
        <v>0</v>
      </c>
      <c r="CS12" s="149">
        <v>0</v>
      </c>
      <c r="CT12" s="149">
        <v>5.2305405449318498E-2</v>
      </c>
      <c r="CU12" s="149">
        <v>0.13716318962472099</v>
      </c>
      <c r="CV12" s="149">
        <v>1.7244460216518001E-2</v>
      </c>
      <c r="CW12" s="149">
        <v>0</v>
      </c>
      <c r="CX12" s="149">
        <v>0</v>
      </c>
      <c r="CY12" s="149">
        <v>1.5252551619131201E-2</v>
      </c>
      <c r="CZ12" s="149">
        <v>0</v>
      </c>
      <c r="DA12" s="149">
        <v>0</v>
      </c>
      <c r="DB12" s="149">
        <v>0</v>
      </c>
      <c r="DC12" s="149">
        <v>0</v>
      </c>
      <c r="DD12" s="149">
        <v>0.40803128144020201</v>
      </c>
      <c r="DE12" s="149">
        <v>1.2794951332737601</v>
      </c>
    </row>
    <row r="13" spans="1:193" x14ac:dyDescent="0.25">
      <c r="A13" s="149" t="s">
        <v>265</v>
      </c>
      <c r="B13" s="149" t="s">
        <v>619</v>
      </c>
      <c r="C13" s="149">
        <v>0</v>
      </c>
      <c r="D13" s="149">
        <v>4.2387730810083402E-2</v>
      </c>
      <c r="E13" s="149">
        <v>1.0412901379310099E-2</v>
      </c>
      <c r="F13" s="149">
        <v>1.2076981813185899E-2</v>
      </c>
      <c r="G13" s="149">
        <v>0</v>
      </c>
      <c r="H13" s="149">
        <v>1.6881137969431199E-2</v>
      </c>
      <c r="I13" s="149">
        <v>0</v>
      </c>
      <c r="J13" s="149">
        <v>7.6407890911512301E-3</v>
      </c>
      <c r="K13" s="149">
        <v>7.7578630721494004E-3</v>
      </c>
      <c r="L13" s="149">
        <v>0</v>
      </c>
      <c r="M13" s="149">
        <v>0</v>
      </c>
      <c r="N13" s="149">
        <v>0</v>
      </c>
      <c r="O13" s="149">
        <v>0</v>
      </c>
      <c r="P13" s="149">
        <v>0</v>
      </c>
      <c r="Q13" s="149">
        <v>4.5296438327811203E-2</v>
      </c>
      <c r="R13" s="149">
        <v>3.7210476449207698E-2</v>
      </c>
      <c r="S13" s="149">
        <v>0</v>
      </c>
      <c r="T13" s="149">
        <v>0</v>
      </c>
      <c r="U13" s="149">
        <v>0</v>
      </c>
      <c r="V13" s="149">
        <v>0</v>
      </c>
      <c r="W13" s="149">
        <v>0</v>
      </c>
      <c r="X13" s="149">
        <v>0</v>
      </c>
      <c r="Y13" s="149">
        <v>7.7702418961245398E-2</v>
      </c>
      <c r="Z13" s="149">
        <v>0</v>
      </c>
      <c r="AA13" s="149">
        <v>0</v>
      </c>
      <c r="AB13" s="149">
        <v>3.3340148926552501E-2</v>
      </c>
      <c r="AC13" s="149">
        <v>0</v>
      </c>
      <c r="AD13" s="149">
        <v>0</v>
      </c>
      <c r="AE13" s="149">
        <v>0</v>
      </c>
      <c r="AF13" s="149">
        <v>0</v>
      </c>
      <c r="AG13" s="149">
        <v>3.8120590402693E-2</v>
      </c>
      <c r="AH13" s="149">
        <v>0</v>
      </c>
      <c r="AI13" s="149">
        <v>0</v>
      </c>
      <c r="AJ13" s="149">
        <v>0</v>
      </c>
      <c r="AK13" s="149">
        <v>0</v>
      </c>
      <c r="AL13" s="149">
        <v>1.6199873646318801E-2</v>
      </c>
      <c r="AM13" s="149">
        <v>7.3889103624435196E-2</v>
      </c>
      <c r="AN13" s="149">
        <v>3.5928179508163099E-2</v>
      </c>
      <c r="AO13" s="149">
        <v>0</v>
      </c>
      <c r="AP13" s="149">
        <v>0</v>
      </c>
      <c r="AQ13" s="149">
        <v>0</v>
      </c>
      <c r="AR13" s="149">
        <v>0</v>
      </c>
      <c r="AS13" s="149">
        <v>0</v>
      </c>
      <c r="AT13" s="149">
        <v>0</v>
      </c>
      <c r="AU13" s="149">
        <v>7.2611011397386599E-2</v>
      </c>
      <c r="AV13" s="149">
        <v>0</v>
      </c>
      <c r="AW13" s="149">
        <v>0</v>
      </c>
      <c r="AX13" s="149">
        <v>2.9030539339025802E-2</v>
      </c>
      <c r="AY13" s="149">
        <v>1.3164616278658101E-2</v>
      </c>
      <c r="AZ13" s="149">
        <v>2.2089523308836099E-2</v>
      </c>
      <c r="BA13" s="149">
        <v>0</v>
      </c>
      <c r="BB13" s="149">
        <v>0</v>
      </c>
      <c r="BC13" s="149">
        <v>0</v>
      </c>
      <c r="BD13" s="149">
        <v>0</v>
      </c>
      <c r="BE13" s="149">
        <v>0</v>
      </c>
      <c r="BF13" s="149">
        <v>0</v>
      </c>
      <c r="BG13" s="149">
        <v>0</v>
      </c>
      <c r="BH13" s="149">
        <v>0</v>
      </c>
      <c r="BI13" s="149">
        <v>0</v>
      </c>
      <c r="BJ13" s="149">
        <v>0.101886350880539</v>
      </c>
      <c r="BK13" s="149">
        <v>0</v>
      </c>
      <c r="BL13" s="149">
        <v>0</v>
      </c>
      <c r="BM13" s="149">
        <v>0</v>
      </c>
      <c r="BN13" s="149">
        <v>2.5926033293002099E-2</v>
      </c>
      <c r="BO13" s="149">
        <v>0</v>
      </c>
      <c r="BP13" s="149">
        <v>0</v>
      </c>
      <c r="BQ13" s="149">
        <v>0</v>
      </c>
      <c r="BR13" s="149">
        <v>0</v>
      </c>
      <c r="BS13" s="149">
        <v>0</v>
      </c>
      <c r="BT13" s="149">
        <v>0.14782118186617799</v>
      </c>
      <c r="BU13" s="149">
        <v>0</v>
      </c>
      <c r="BV13" s="149">
        <v>4.0861500124491003E-2</v>
      </c>
      <c r="BW13" s="149">
        <v>0</v>
      </c>
      <c r="BX13" s="149">
        <v>2.2677193992526798</v>
      </c>
      <c r="BY13" s="149">
        <v>2.4097419018968602</v>
      </c>
      <c r="BZ13" s="149">
        <v>2.3957394635842202</v>
      </c>
      <c r="CA13" s="149">
        <v>1.8736271585984801</v>
      </c>
      <c r="CB13" s="149">
        <v>1.04372056302637</v>
      </c>
      <c r="CC13" s="149">
        <v>0.61194923552097802</v>
      </c>
      <c r="CD13" s="149">
        <v>0.50085721734053201</v>
      </c>
      <c r="CE13" s="149">
        <v>1.01085846254575</v>
      </c>
      <c r="CF13" s="149">
        <v>0.53851974992973695</v>
      </c>
      <c r="CG13" s="149">
        <v>1.44726015585892</v>
      </c>
      <c r="CH13" s="149">
        <v>0.47986712040984902</v>
      </c>
      <c r="CI13" s="149">
        <v>1.0926928792008701</v>
      </c>
      <c r="CJ13" s="149">
        <v>0.86947736136854803</v>
      </c>
      <c r="CK13" s="149">
        <v>0.10937026355115501</v>
      </c>
      <c r="CL13" s="149">
        <v>3.5180401003769603E-2</v>
      </c>
      <c r="CM13" s="149">
        <v>6.1784282108592402E-2</v>
      </c>
      <c r="CN13" s="149">
        <v>2.2573506268145499E-2</v>
      </c>
      <c r="CO13" s="149">
        <v>2.3769068153012898E-2</v>
      </c>
      <c r="CP13" s="149">
        <v>0.57432132309697603</v>
      </c>
      <c r="CQ13" s="149">
        <v>0.38883268157130602</v>
      </c>
      <c r="CR13" s="149">
        <v>1.13520979708993</v>
      </c>
      <c r="CS13" s="149">
        <v>0.69865629314798805</v>
      </c>
      <c r="CT13" s="149">
        <v>0</v>
      </c>
      <c r="CU13" s="149">
        <v>4.7006302908322001E-2</v>
      </c>
      <c r="CV13" s="149">
        <v>5.1388002564158902E-2</v>
      </c>
      <c r="CW13" s="149">
        <v>0</v>
      </c>
      <c r="CX13" s="149">
        <v>9.7540643862073798E-2</v>
      </c>
      <c r="CY13" s="149">
        <v>0</v>
      </c>
      <c r="CZ13" s="149">
        <v>3.42625162893712E-2</v>
      </c>
      <c r="DA13" s="149">
        <v>0</v>
      </c>
      <c r="DB13" s="149">
        <v>0</v>
      </c>
      <c r="DC13" s="149">
        <v>9.1472229245127198E-2</v>
      </c>
      <c r="DD13" s="149">
        <v>8.1086508665917906E-2</v>
      </c>
      <c r="DE13" s="149">
        <v>1.63197730418234</v>
      </c>
    </row>
    <row r="14" spans="1:193" x14ac:dyDescent="0.25">
      <c r="A14" s="149" t="s">
        <v>265</v>
      </c>
      <c r="B14" s="149" t="s">
        <v>626</v>
      </c>
      <c r="C14" s="149">
        <v>0</v>
      </c>
      <c r="D14" s="149">
        <v>0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0</v>
      </c>
      <c r="M14" s="149">
        <v>0</v>
      </c>
      <c r="N14" s="149">
        <v>0</v>
      </c>
      <c r="O14" s="149">
        <v>0</v>
      </c>
      <c r="P14" s="149">
        <v>0</v>
      </c>
      <c r="Q14" s="149">
        <v>0</v>
      </c>
      <c r="R14" s="149">
        <v>0</v>
      </c>
      <c r="S14" s="149">
        <v>0</v>
      </c>
      <c r="T14" s="149">
        <v>0</v>
      </c>
      <c r="U14" s="149">
        <v>0</v>
      </c>
      <c r="V14" s="149">
        <v>0</v>
      </c>
      <c r="W14" s="149">
        <v>0</v>
      </c>
      <c r="X14" s="149">
        <v>0</v>
      </c>
      <c r="Y14" s="149">
        <v>0</v>
      </c>
      <c r="Z14" s="149">
        <v>1.8493506636390801E-2</v>
      </c>
      <c r="AA14" s="149">
        <v>0</v>
      </c>
      <c r="AB14" s="149">
        <v>0</v>
      </c>
      <c r="AC14" s="149">
        <v>2.3167288214229999E-2</v>
      </c>
      <c r="AD14" s="149">
        <v>0</v>
      </c>
      <c r="AE14" s="149">
        <v>0</v>
      </c>
      <c r="AF14" s="149">
        <v>0</v>
      </c>
      <c r="AG14" s="149">
        <v>3.8120590402693E-2</v>
      </c>
      <c r="AH14" s="149">
        <v>0</v>
      </c>
      <c r="AI14" s="149">
        <v>0</v>
      </c>
      <c r="AJ14" s="149">
        <v>0</v>
      </c>
      <c r="AK14" s="149">
        <v>0</v>
      </c>
      <c r="AL14" s="149">
        <v>1.6199873646318801E-2</v>
      </c>
      <c r="AM14" s="149">
        <v>0</v>
      </c>
      <c r="AN14" s="149">
        <v>0</v>
      </c>
      <c r="AO14" s="149">
        <v>0</v>
      </c>
      <c r="AP14" s="149">
        <v>0</v>
      </c>
      <c r="AQ14" s="149">
        <v>0</v>
      </c>
      <c r="AR14" s="149">
        <v>0</v>
      </c>
      <c r="AS14" s="149">
        <v>0</v>
      </c>
      <c r="AT14" s="149">
        <v>0</v>
      </c>
      <c r="AU14" s="149">
        <v>0</v>
      </c>
      <c r="AV14" s="149">
        <v>0</v>
      </c>
      <c r="AW14" s="149">
        <v>0</v>
      </c>
      <c r="AX14" s="149">
        <v>0</v>
      </c>
      <c r="AY14" s="149">
        <v>0</v>
      </c>
      <c r="AZ14" s="149">
        <v>0</v>
      </c>
      <c r="BA14" s="149">
        <v>0</v>
      </c>
      <c r="BB14" s="149">
        <v>0</v>
      </c>
      <c r="BC14" s="149">
        <v>7.9841330763758697E-2</v>
      </c>
      <c r="BD14" s="149">
        <v>0</v>
      </c>
      <c r="BE14" s="149">
        <v>0</v>
      </c>
      <c r="BF14" s="149">
        <v>0</v>
      </c>
      <c r="BG14" s="149">
        <v>0</v>
      </c>
      <c r="BH14" s="149">
        <v>0</v>
      </c>
      <c r="BI14" s="149">
        <v>0</v>
      </c>
      <c r="BJ14" s="149">
        <v>0</v>
      </c>
      <c r="BK14" s="149">
        <v>0</v>
      </c>
      <c r="BL14" s="149">
        <v>0</v>
      </c>
      <c r="BM14" s="149">
        <v>0</v>
      </c>
      <c r="BN14" s="149">
        <v>0</v>
      </c>
      <c r="BO14" s="149">
        <v>0</v>
      </c>
      <c r="BP14" s="149">
        <v>0</v>
      </c>
      <c r="BQ14" s="149">
        <v>0</v>
      </c>
      <c r="BR14" s="149">
        <v>0</v>
      </c>
      <c r="BS14" s="149">
        <v>0</v>
      </c>
      <c r="BT14" s="149">
        <v>0</v>
      </c>
      <c r="BU14" s="149">
        <v>0</v>
      </c>
      <c r="BV14" s="149">
        <v>0</v>
      </c>
      <c r="BW14" s="149">
        <v>0</v>
      </c>
      <c r="BX14" s="149">
        <v>0.81669022987361894</v>
      </c>
      <c r="BY14" s="149">
        <v>0.94546112259756099</v>
      </c>
      <c r="BZ14" s="149">
        <v>1.0955552405425899</v>
      </c>
      <c r="CA14" s="149">
        <v>0.70386338771650303</v>
      </c>
      <c r="CB14" s="149">
        <v>0</v>
      </c>
      <c r="CC14" s="149">
        <v>0</v>
      </c>
      <c r="CD14" s="149">
        <v>0</v>
      </c>
      <c r="CE14" s="149">
        <v>0</v>
      </c>
      <c r="CF14" s="149">
        <v>0</v>
      </c>
      <c r="CG14" s="149">
        <v>0</v>
      </c>
      <c r="CH14" s="149">
        <v>0</v>
      </c>
      <c r="CI14" s="149">
        <v>0</v>
      </c>
      <c r="CJ14" s="149">
        <v>0</v>
      </c>
      <c r="CK14" s="149">
        <v>0</v>
      </c>
      <c r="CL14" s="149">
        <v>0</v>
      </c>
      <c r="CM14" s="149">
        <v>2.4099553021549199E-2</v>
      </c>
      <c r="CN14" s="149">
        <v>0</v>
      </c>
      <c r="CO14" s="149">
        <v>0</v>
      </c>
      <c r="CP14" s="149">
        <v>0</v>
      </c>
      <c r="CQ14" s="149">
        <v>0</v>
      </c>
      <c r="CR14" s="149">
        <v>0</v>
      </c>
      <c r="CS14" s="149">
        <v>0</v>
      </c>
      <c r="CT14" s="149">
        <v>0</v>
      </c>
      <c r="CU14" s="149">
        <v>0</v>
      </c>
      <c r="CV14" s="149">
        <v>0</v>
      </c>
      <c r="CW14" s="149">
        <v>0</v>
      </c>
      <c r="CX14" s="149">
        <v>0</v>
      </c>
      <c r="CY14" s="149">
        <v>0</v>
      </c>
      <c r="CZ14" s="149">
        <v>0</v>
      </c>
      <c r="DA14" s="149">
        <v>0</v>
      </c>
      <c r="DB14" s="149">
        <v>0</v>
      </c>
      <c r="DC14" s="149">
        <v>0</v>
      </c>
      <c r="DD14" s="149">
        <v>0.23188957350073999</v>
      </c>
      <c r="DE14" s="149">
        <v>0.67502480149262001</v>
      </c>
    </row>
    <row r="15" spans="1:193" x14ac:dyDescent="0.25">
      <c r="A15" s="149" t="s">
        <v>265</v>
      </c>
      <c r="B15" s="149" t="s">
        <v>629</v>
      </c>
      <c r="C15" s="149">
        <v>-0.104960736799334</v>
      </c>
      <c r="D15" s="149">
        <v>0.31790902413649202</v>
      </c>
      <c r="E15" s="149">
        <v>2.5772653256327799E-2</v>
      </c>
      <c r="F15" s="149">
        <v>-0.18911691450871601</v>
      </c>
      <c r="G15" s="149">
        <v>-0.28225862897721699</v>
      </c>
      <c r="H15" s="149">
        <v>-0.22983148449461499</v>
      </c>
      <c r="I15" s="149">
        <v>-0.18739530503063201</v>
      </c>
      <c r="J15" s="149">
        <v>-0.25395675626384501</v>
      </c>
      <c r="K15" s="149">
        <v>-0.21027691659771999</v>
      </c>
      <c r="L15" s="149">
        <v>-0.18406782786129799</v>
      </c>
      <c r="M15" s="149">
        <v>-0.28609965445095698</v>
      </c>
      <c r="N15" s="149">
        <v>-0.23757985517197699</v>
      </c>
      <c r="O15" s="149">
        <v>-3.7658602110210201E-2</v>
      </c>
      <c r="P15" s="149">
        <v>-0.305925925847152</v>
      </c>
      <c r="Q15" s="149">
        <v>-0.32425073271001598</v>
      </c>
      <c r="R15" s="149">
        <v>-0.16856219182832899</v>
      </c>
      <c r="S15" s="149">
        <v>0</v>
      </c>
      <c r="T15" s="149">
        <v>-0.162399813998341</v>
      </c>
      <c r="U15" s="149">
        <v>-0.185456932839935</v>
      </c>
      <c r="V15" s="149">
        <v>-0.155057145098528</v>
      </c>
      <c r="W15" s="149">
        <v>-0.26771418323344798</v>
      </c>
      <c r="X15" s="149">
        <v>-0.12883313921353301</v>
      </c>
      <c r="Y15" s="149">
        <v>-0.155489751085891</v>
      </c>
      <c r="Z15" s="149">
        <v>-0.216481280170565</v>
      </c>
      <c r="AA15" s="149">
        <v>-0.25499696648717501</v>
      </c>
      <c r="AB15" s="149">
        <v>-0.222494757358915</v>
      </c>
      <c r="AC15" s="149">
        <v>-0.30078903173346999</v>
      </c>
      <c r="AD15" s="149">
        <v>-0.153680085694264</v>
      </c>
      <c r="AE15" s="149">
        <v>9.8091619491370394E-2</v>
      </c>
      <c r="AF15" s="149">
        <v>-0.152404262047309</v>
      </c>
      <c r="AG15" s="149">
        <v>-0.11040644268716</v>
      </c>
      <c r="AH15" s="149">
        <v>-4.9913478657625597E-2</v>
      </c>
      <c r="AI15" s="149">
        <v>-0.105755024547355</v>
      </c>
      <c r="AJ15" s="149">
        <v>-0.113394556435379</v>
      </c>
      <c r="AK15" s="149">
        <v>0.43013178317269402</v>
      </c>
      <c r="AL15" s="149">
        <v>1.4062158845495101</v>
      </c>
      <c r="AM15" s="149">
        <v>0.143927665470064</v>
      </c>
      <c r="AN15" s="149">
        <v>5.9158721589397202E-2</v>
      </c>
      <c r="AO15" s="149">
        <v>0.380576774463038</v>
      </c>
      <c r="AP15" s="149">
        <v>0.23152303305324901</v>
      </c>
      <c r="AQ15" s="149">
        <v>9.8824231718394107E-2</v>
      </c>
      <c r="AR15" s="149">
        <v>0.100634824915039</v>
      </c>
      <c r="AS15" s="149">
        <v>0.19484499154476101</v>
      </c>
      <c r="AT15" s="149">
        <v>8.7305481741782695E-2</v>
      </c>
      <c r="AU15" s="149">
        <v>-1.7169547253739199E-3</v>
      </c>
      <c r="AV15" s="149">
        <v>-9.2231175140661398E-2</v>
      </c>
      <c r="AW15" s="149">
        <v>0.23311273259895299</v>
      </c>
      <c r="AX15" s="149">
        <v>4.5920918306459599E-2</v>
      </c>
      <c r="AY15" s="149">
        <v>8.0053471580874197E-2</v>
      </c>
      <c r="AZ15" s="149">
        <v>-0.117151936982526</v>
      </c>
      <c r="BA15" s="149">
        <v>-3.4844950522781297E-2</v>
      </c>
      <c r="BB15" s="149">
        <v>9.0650806756212302E-2</v>
      </c>
      <c r="BC15" s="149">
        <v>0.18932028871956</v>
      </c>
      <c r="BD15" s="149">
        <v>0.14741212149698901</v>
      </c>
      <c r="BE15" s="149">
        <v>0.19776359286849499</v>
      </c>
      <c r="BF15" s="149">
        <v>0.156592288919948</v>
      </c>
      <c r="BG15" s="149">
        <v>7.9056383890818899E-2</v>
      </c>
      <c r="BH15" s="149">
        <v>0.723798592747673</v>
      </c>
      <c r="BI15" s="149">
        <v>7.1097778161039904E-2</v>
      </c>
      <c r="BJ15" s="149">
        <v>0.32568705198520498</v>
      </c>
      <c r="BK15" s="149">
        <v>6.2002062485321002E-2</v>
      </c>
      <c r="BL15" s="149">
        <v>0.257627089010873</v>
      </c>
      <c r="BM15" s="149">
        <v>-3.5706448510777498E-2</v>
      </c>
      <c r="BN15" s="149">
        <v>0.34595459967348402</v>
      </c>
      <c r="BO15" s="149">
        <v>-0.29481935825675598</v>
      </c>
      <c r="BP15" s="149">
        <v>0.71192545347154401</v>
      </c>
      <c r="BQ15" s="149">
        <v>0.35911909340818399</v>
      </c>
      <c r="BR15" s="149">
        <v>0.172400816687234</v>
      </c>
      <c r="BS15" s="149">
        <v>0.132710075649832</v>
      </c>
      <c r="BT15" s="149">
        <v>-7.2063144255970699E-3</v>
      </c>
      <c r="BU15" s="149">
        <v>0.22970651902631201</v>
      </c>
      <c r="BV15" s="149">
        <v>0.12876642571952901</v>
      </c>
      <c r="BW15" s="149">
        <v>8.3230635373233705E-2</v>
      </c>
      <c r="BX15" s="149">
        <v>7.8476649545125197</v>
      </c>
      <c r="BY15" s="149">
        <v>7.6610412230445801</v>
      </c>
      <c r="BZ15" s="149">
        <v>7.6618416780149703</v>
      </c>
      <c r="CA15" s="149">
        <v>7.0684532999200798</v>
      </c>
      <c r="CB15" s="149">
        <v>-0.225828688265895</v>
      </c>
      <c r="CC15" s="149">
        <v>-0.20580207657392</v>
      </c>
      <c r="CD15" s="149">
        <v>1.3186198462754199E-2</v>
      </c>
      <c r="CE15" s="149">
        <v>-9.8628141060944696E-2</v>
      </c>
      <c r="CF15" s="149">
        <v>0.175924303635972</v>
      </c>
      <c r="CG15" s="149">
        <v>-0.26991991253297998</v>
      </c>
      <c r="CH15" s="149">
        <v>0.14449702955359101</v>
      </c>
      <c r="CI15" s="149">
        <v>-5.2878936860132397E-2</v>
      </c>
      <c r="CJ15" s="149">
        <v>-0.18725910556136199</v>
      </c>
      <c r="CK15" s="149">
        <v>-0.168859326907669</v>
      </c>
      <c r="CL15" s="149">
        <v>-0.116959572787056</v>
      </c>
      <c r="CM15" s="149">
        <v>0.121311045686682</v>
      </c>
      <c r="CN15" s="149">
        <v>-0.26233084948831897</v>
      </c>
      <c r="CO15" s="149">
        <v>-0.15420130239105101</v>
      </c>
      <c r="CP15" s="149">
        <v>-0.150809866307688</v>
      </c>
      <c r="CQ15" s="149">
        <v>0.320515936303159</v>
      </c>
      <c r="CR15" s="149">
        <v>2.9786155944035602</v>
      </c>
      <c r="CS15" s="149">
        <v>0.265546368068244</v>
      </c>
      <c r="CT15" s="149">
        <v>7.8622897968555497E-2</v>
      </c>
      <c r="CU15" s="149">
        <v>2.79109699098951</v>
      </c>
      <c r="CV15" s="149">
        <v>4.9621832030444901E-2</v>
      </c>
      <c r="CW15" s="149">
        <v>-2.04356840137794E-2</v>
      </c>
      <c r="CX15" s="149">
        <v>-0.13513178317483401</v>
      </c>
      <c r="CY15" s="149">
        <v>-0.26613843346250599</v>
      </c>
      <c r="CZ15" s="149">
        <v>-4.7538608804882303E-2</v>
      </c>
      <c r="DA15" s="149">
        <v>-3.4917004998415303E-2</v>
      </c>
      <c r="DB15" s="149">
        <v>0.73990053881533102</v>
      </c>
      <c r="DC15" s="149">
        <v>0.482104908762927</v>
      </c>
      <c r="DD15" s="149">
        <v>4.7621290473796698</v>
      </c>
      <c r="DE15" s="149">
        <v>7.2639530420352898</v>
      </c>
    </row>
    <row r="16" spans="1:193" x14ac:dyDescent="0.25">
      <c r="A16" s="149" t="s">
        <v>265</v>
      </c>
      <c r="B16" s="149" t="s">
        <v>633</v>
      </c>
      <c r="C16" s="149">
        <v>1.45949557508116E-2</v>
      </c>
      <c r="D16" s="149">
        <v>8.5340693916176706E-3</v>
      </c>
      <c r="E16" s="149">
        <v>1.0412901379310099E-2</v>
      </c>
      <c r="F16" s="149">
        <v>1.2076981813185899E-2</v>
      </c>
      <c r="G16" s="149">
        <v>0</v>
      </c>
      <c r="H16" s="149">
        <v>0</v>
      </c>
      <c r="I16" s="149">
        <v>0</v>
      </c>
      <c r="J16" s="149">
        <v>7.6407890911512301E-3</v>
      </c>
      <c r="K16" s="149">
        <v>0</v>
      </c>
      <c r="L16" s="149">
        <v>9.7287379764071594E-3</v>
      </c>
      <c r="M16" s="149">
        <v>5.8817733070896097E-3</v>
      </c>
      <c r="N16" s="149">
        <v>0</v>
      </c>
      <c r="O16" s="149">
        <v>0</v>
      </c>
      <c r="P16" s="149">
        <v>0</v>
      </c>
      <c r="Q16" s="149">
        <v>0</v>
      </c>
      <c r="R16" s="149">
        <v>0</v>
      </c>
      <c r="S16" s="149">
        <v>0</v>
      </c>
      <c r="T16" s="149">
        <v>0</v>
      </c>
      <c r="U16" s="149">
        <v>0</v>
      </c>
      <c r="V16" s="149">
        <v>0</v>
      </c>
      <c r="W16" s="149">
        <v>0</v>
      </c>
      <c r="X16" s="149">
        <v>4.3655576055466799E-2</v>
      </c>
      <c r="Y16" s="149">
        <v>0</v>
      </c>
      <c r="Z16" s="149">
        <v>0</v>
      </c>
      <c r="AA16" s="149">
        <v>0</v>
      </c>
      <c r="AB16" s="149">
        <v>0</v>
      </c>
      <c r="AC16" s="149">
        <v>0</v>
      </c>
      <c r="AD16" s="149">
        <v>0</v>
      </c>
      <c r="AE16" s="149">
        <v>2.1113754830738199E-2</v>
      </c>
      <c r="AF16" s="149">
        <v>3.1002547898568201E-2</v>
      </c>
      <c r="AG16" s="149">
        <v>0</v>
      </c>
      <c r="AH16" s="149">
        <v>0</v>
      </c>
      <c r="AI16" s="149">
        <v>0</v>
      </c>
      <c r="AJ16" s="149">
        <v>2.70289733178741E-2</v>
      </c>
      <c r="AK16" s="149">
        <v>0</v>
      </c>
      <c r="AL16" s="149">
        <v>4.1655541890499498E-2</v>
      </c>
      <c r="AM16" s="149">
        <v>0</v>
      </c>
      <c r="AN16" s="149">
        <v>1.8054535298380699E-2</v>
      </c>
      <c r="AO16" s="149">
        <v>0</v>
      </c>
      <c r="AP16" s="149">
        <v>0</v>
      </c>
      <c r="AQ16" s="149">
        <v>0</v>
      </c>
      <c r="AR16" s="149">
        <v>0</v>
      </c>
      <c r="AS16" s="149">
        <v>0</v>
      </c>
      <c r="AT16" s="149">
        <v>7.16971589450347E-2</v>
      </c>
      <c r="AU16" s="149">
        <v>0</v>
      </c>
      <c r="AV16" s="149">
        <v>0</v>
      </c>
      <c r="AW16" s="149">
        <v>0</v>
      </c>
      <c r="AX16" s="149">
        <v>0</v>
      </c>
      <c r="AY16" s="149">
        <v>1.3164616278658101E-2</v>
      </c>
      <c r="AZ16" s="149">
        <v>0</v>
      </c>
      <c r="BA16" s="149">
        <v>0</v>
      </c>
      <c r="BB16" s="149">
        <v>0</v>
      </c>
      <c r="BC16" s="149">
        <v>0</v>
      </c>
      <c r="BD16" s="149">
        <v>9.3694366595759707E-2</v>
      </c>
      <c r="BE16" s="149">
        <v>0</v>
      </c>
      <c r="BF16" s="149">
        <v>0</v>
      </c>
      <c r="BG16" s="149">
        <v>0</v>
      </c>
      <c r="BH16" s="149">
        <v>0</v>
      </c>
      <c r="BI16" s="149">
        <v>0.13085379474544501</v>
      </c>
      <c r="BJ16" s="149">
        <v>0</v>
      </c>
      <c r="BK16" s="149">
        <v>0</v>
      </c>
      <c r="BL16" s="149">
        <v>0</v>
      </c>
      <c r="BM16" s="149">
        <v>0</v>
      </c>
      <c r="BN16" s="149">
        <v>0</v>
      </c>
      <c r="BO16" s="149">
        <v>0</v>
      </c>
      <c r="BP16" s="149">
        <v>0</v>
      </c>
      <c r="BQ16" s="149">
        <v>0</v>
      </c>
      <c r="BR16" s="149">
        <v>0</v>
      </c>
      <c r="BS16" s="149">
        <v>0</v>
      </c>
      <c r="BT16" s="149">
        <v>0</v>
      </c>
      <c r="BU16" s="149">
        <v>0</v>
      </c>
      <c r="BV16" s="149">
        <v>0</v>
      </c>
      <c r="BW16" s="149">
        <v>0</v>
      </c>
      <c r="BX16" s="149">
        <v>0.67559591361773097</v>
      </c>
      <c r="BY16" s="149">
        <v>0.85444458201141804</v>
      </c>
      <c r="BZ16" s="149">
        <v>0.74426432515494001</v>
      </c>
      <c r="CA16" s="149">
        <v>0.68442573945995699</v>
      </c>
      <c r="CB16" s="149">
        <v>0.11151129530495001</v>
      </c>
      <c r="CC16" s="149">
        <v>0.75958892137181599</v>
      </c>
      <c r="CD16" s="149">
        <v>0.69238237528811597</v>
      </c>
      <c r="CE16" s="149">
        <v>1.3768380436526499</v>
      </c>
      <c r="CF16" s="149">
        <v>6.6274468089558697E-2</v>
      </c>
      <c r="CG16" s="149">
        <v>0.91861443793783903</v>
      </c>
      <c r="CH16" s="149">
        <v>0.84546390705580099</v>
      </c>
      <c r="CI16" s="149">
        <v>1.58509279373684</v>
      </c>
      <c r="CJ16" s="149">
        <v>1.0346746607829</v>
      </c>
      <c r="CK16" s="149">
        <v>1.2158193002633699</v>
      </c>
      <c r="CL16" s="149">
        <v>1.1613789009881701</v>
      </c>
      <c r="CM16" s="149">
        <v>1.0815979332960799</v>
      </c>
      <c r="CN16" s="149">
        <v>0.78507653892137497</v>
      </c>
      <c r="CO16" s="149">
        <v>4.7256157010953599E-2</v>
      </c>
      <c r="CP16" s="149">
        <v>6.9585821778514495E-2</v>
      </c>
      <c r="CQ16" s="149">
        <v>0.61897423113384598</v>
      </c>
      <c r="CR16" s="149">
        <v>1.33231790342048</v>
      </c>
      <c r="CS16" s="149">
        <v>1.2942175135669201</v>
      </c>
      <c r="CT16" s="149">
        <v>0</v>
      </c>
      <c r="CU16" s="149">
        <v>0</v>
      </c>
      <c r="CV16" s="149">
        <v>1.7244460216518001E-2</v>
      </c>
      <c r="CW16" s="149">
        <v>3.1187054633167802E-2</v>
      </c>
      <c r="CX16" s="149">
        <v>0</v>
      </c>
      <c r="CY16" s="149">
        <v>0</v>
      </c>
      <c r="CZ16" s="149">
        <v>0</v>
      </c>
      <c r="DA16" s="149">
        <v>0</v>
      </c>
      <c r="DB16" s="149">
        <v>0</v>
      </c>
      <c r="DC16" s="149">
        <v>0</v>
      </c>
      <c r="DD16" s="149">
        <v>0</v>
      </c>
      <c r="DE16" s="149">
        <v>0.11738510627405099</v>
      </c>
    </row>
    <row r="17" spans="1:109" x14ac:dyDescent="0.25">
      <c r="A17" s="149" t="s">
        <v>265</v>
      </c>
      <c r="B17" s="149" t="s">
        <v>634</v>
      </c>
      <c r="C17" s="149">
        <v>0.15406366911222599</v>
      </c>
      <c r="D17" s="149">
        <v>-1.19165961277812E-3</v>
      </c>
      <c r="E17" s="149">
        <v>3.38193218392479E-2</v>
      </c>
      <c r="F17" s="149">
        <v>0.24786895200850201</v>
      </c>
      <c r="G17" s="149">
        <v>0.12543666832703801</v>
      </c>
      <c r="H17" s="149">
        <v>0</v>
      </c>
      <c r="I17" s="149">
        <v>8.3512033773171193E-2</v>
      </c>
      <c r="J17" s="149">
        <v>0.157296941082185</v>
      </c>
      <c r="K17" s="149">
        <v>0.16554952040385801</v>
      </c>
      <c r="L17" s="149">
        <v>8.76903826861819E-2</v>
      </c>
      <c r="M17" s="149">
        <v>0.317752387199983</v>
      </c>
      <c r="N17" s="149">
        <v>8.3216619197861996E-2</v>
      </c>
      <c r="O17" s="149">
        <v>0.52487572578786101</v>
      </c>
      <c r="P17" s="149">
        <v>0.480348479385585</v>
      </c>
      <c r="Q17" s="149">
        <v>0.45916672462601299</v>
      </c>
      <c r="R17" s="149">
        <v>0.36367621425492802</v>
      </c>
      <c r="S17" s="149">
        <v>0.37387280099154102</v>
      </c>
      <c r="T17" s="149">
        <v>0.317451067124769</v>
      </c>
      <c r="U17" s="149">
        <v>0.34098906376851401</v>
      </c>
      <c r="V17" s="149">
        <v>0.28776588039539402</v>
      </c>
      <c r="W17" s="149">
        <v>0.37149424176386803</v>
      </c>
      <c r="X17" s="149">
        <v>0.60526339516900995</v>
      </c>
      <c r="Y17" s="149">
        <v>0.35573386505485699</v>
      </c>
      <c r="Z17" s="149">
        <v>0.34937915997251401</v>
      </c>
      <c r="AA17" s="149">
        <v>0.31910578211103102</v>
      </c>
      <c r="AB17" s="149">
        <v>0.47183141259003802</v>
      </c>
      <c r="AC17" s="149">
        <v>0.36958055929218703</v>
      </c>
      <c r="AD17" s="149">
        <v>0.242341680585345</v>
      </c>
      <c r="AE17" s="149">
        <v>0.45959534031297899</v>
      </c>
      <c r="AF17" s="149">
        <v>0.40042158872228201</v>
      </c>
      <c r="AG17" s="149">
        <v>0.52159476112275405</v>
      </c>
      <c r="AH17" s="149">
        <v>0.257616653865612</v>
      </c>
      <c r="AI17" s="149">
        <v>0.32818582958325399</v>
      </c>
      <c r="AJ17" s="149">
        <v>0.52103947825113905</v>
      </c>
      <c r="AK17" s="149">
        <v>7.7844402704018399E-3</v>
      </c>
      <c r="AL17" s="149">
        <v>-0.10232165115075</v>
      </c>
      <c r="AM17" s="149">
        <v>0.38635176569535101</v>
      </c>
      <c r="AN17" s="149">
        <v>0.191567641100956</v>
      </c>
      <c r="AO17" s="149">
        <v>0.215484380910372</v>
      </c>
      <c r="AP17" s="149">
        <v>8.0570064155731896E-2</v>
      </c>
      <c r="AQ17" s="149">
        <v>0.181306473439106</v>
      </c>
      <c r="AR17" s="149">
        <v>0.193631963733955</v>
      </c>
      <c r="AS17" s="149">
        <v>0.22810219830196801</v>
      </c>
      <c r="AT17" s="149">
        <v>4.6292447594734297E-2</v>
      </c>
      <c r="AU17" s="149">
        <v>-5.6511716823773997E-2</v>
      </c>
      <c r="AV17" s="149">
        <v>-2.86299952902088E-2</v>
      </c>
      <c r="AW17" s="149">
        <v>-0.33566271299822698</v>
      </c>
      <c r="AX17" s="149">
        <v>-0.112757601621072</v>
      </c>
      <c r="AY17" s="149">
        <v>-0.17910321581327701</v>
      </c>
      <c r="AZ17" s="149">
        <v>-0.32785204714522098</v>
      </c>
      <c r="BA17" s="149">
        <v>-0.761686358924753</v>
      </c>
      <c r="BB17" s="149">
        <v>-0.80590159324301602</v>
      </c>
      <c r="BC17" s="149">
        <v>-0.98465027297074903</v>
      </c>
      <c r="BD17" s="149">
        <v>-0.767999962615598</v>
      </c>
      <c r="BE17" s="149">
        <v>-0.60171737800601599</v>
      </c>
      <c r="BF17" s="149">
        <v>-1.0871059867982</v>
      </c>
      <c r="BG17" s="149">
        <v>-0.68281022213018105</v>
      </c>
      <c r="BH17" s="149">
        <v>-0.78087811081243097</v>
      </c>
      <c r="BI17" s="149">
        <v>-0.84289887369788197</v>
      </c>
      <c r="BJ17" s="149">
        <v>-0.65321502492288597</v>
      </c>
      <c r="BK17" s="149">
        <v>-0.99030297778511001</v>
      </c>
      <c r="BL17" s="149">
        <v>-0.60844835297188304</v>
      </c>
      <c r="BM17" s="149">
        <v>-0.51127501577775403</v>
      </c>
      <c r="BN17" s="149">
        <v>-0.469394424529752</v>
      </c>
      <c r="BO17" s="149">
        <v>-0.451636111893012</v>
      </c>
      <c r="BP17" s="149">
        <v>-0.66162487277890303</v>
      </c>
      <c r="BQ17" s="149">
        <v>-0.70022467199192895</v>
      </c>
      <c r="BR17" s="149">
        <v>-0.591444099042577</v>
      </c>
      <c r="BS17" s="149">
        <v>-0.98810519193643098</v>
      </c>
      <c r="BT17" s="149">
        <v>-0.95970639503526201</v>
      </c>
      <c r="BU17" s="149">
        <v>-1.23320144780184</v>
      </c>
      <c r="BV17" s="149">
        <v>-0.51228233524440103</v>
      </c>
      <c r="BW17" s="149">
        <v>-0.33196946162458602</v>
      </c>
      <c r="BX17" s="149">
        <v>-0.27473678087932402</v>
      </c>
      <c r="BY17" s="149">
        <v>-0.106481808736249</v>
      </c>
      <c r="BZ17" s="149">
        <v>-0.166637983774445</v>
      </c>
      <c r="CA17" s="149">
        <v>-4.69397865615949E-2</v>
      </c>
      <c r="CB17" s="149">
        <v>-0.33605946007920801</v>
      </c>
      <c r="CC17" s="149">
        <v>-1.6731148838712798E-2</v>
      </c>
      <c r="CD17" s="149">
        <v>0.30401157914638799</v>
      </c>
      <c r="CE17" s="149">
        <v>-0.12508372798731801</v>
      </c>
      <c r="CF17" s="149">
        <v>-0.235246959957157</v>
      </c>
      <c r="CG17" s="149">
        <v>0.64934954799836297</v>
      </c>
      <c r="CH17" s="149">
        <v>0.34572491607472</v>
      </c>
      <c r="CI17" s="149">
        <v>0.87625823590805896</v>
      </c>
      <c r="CJ17" s="149">
        <v>0.53522894428341905</v>
      </c>
      <c r="CK17" s="149">
        <v>0.34026641943156</v>
      </c>
      <c r="CL17" s="149">
        <v>0.28741474720031202</v>
      </c>
      <c r="CM17" s="149">
        <v>0.61572974589945295</v>
      </c>
      <c r="CN17" s="149">
        <v>0.58531103767192605</v>
      </c>
      <c r="CO17" s="149">
        <v>-1.3885669424356</v>
      </c>
      <c r="CP17" s="149">
        <v>-0.29990532745960502</v>
      </c>
      <c r="CQ17" s="149">
        <v>-2.9478796487258999E-2</v>
      </c>
      <c r="CR17" s="149">
        <v>0.30367738530878902</v>
      </c>
      <c r="CS17" s="149">
        <v>-0.145383059741097</v>
      </c>
      <c r="CT17" s="149">
        <v>-0.51468749728025698</v>
      </c>
      <c r="CU17" s="149">
        <v>-0.78526578346498199</v>
      </c>
      <c r="CV17" s="149">
        <v>1.8251353009938E-2</v>
      </c>
      <c r="CW17" s="149">
        <v>-0.104059311888394</v>
      </c>
      <c r="CX17" s="149">
        <v>-0.66835241380369204</v>
      </c>
      <c r="CY17" s="149">
        <v>9.7836344520788807E-2</v>
      </c>
      <c r="CZ17" s="149">
        <v>-0.50350813353286905</v>
      </c>
      <c r="DA17" s="149">
        <v>-0.32775400790496201</v>
      </c>
      <c r="DB17" s="149">
        <v>-0.28951553811734299</v>
      </c>
      <c r="DC17" s="149">
        <v>-0.87268640841040801</v>
      </c>
      <c r="DD17" s="149">
        <v>-0.52461785684582596</v>
      </c>
      <c r="DE17" s="149">
        <v>-0.589876791207392</v>
      </c>
    </row>
    <row r="18" spans="1:109" x14ac:dyDescent="0.25">
      <c r="A18" s="149" t="s">
        <v>265</v>
      </c>
      <c r="B18" s="149" t="s">
        <v>635</v>
      </c>
      <c r="C18" s="149">
        <v>9.3192791275074294E-2</v>
      </c>
      <c r="D18" s="149">
        <v>0.32824111914827903</v>
      </c>
      <c r="E18" s="149">
        <v>0.464050627847167</v>
      </c>
      <c r="F18" s="149">
        <v>0.53167480084573404</v>
      </c>
      <c r="G18" s="149">
        <v>0.25119773760774</v>
      </c>
      <c r="H18" s="149">
        <v>0.47522526944985599</v>
      </c>
      <c r="I18" s="149">
        <v>0.33946777157174801</v>
      </c>
      <c r="J18" s="149">
        <v>0.33887648263807801</v>
      </c>
      <c r="K18" s="149">
        <v>0.53394229983241803</v>
      </c>
      <c r="L18" s="149">
        <v>0.80159330865691802</v>
      </c>
      <c r="M18" s="149">
        <v>0.73207654501400798</v>
      </c>
      <c r="N18" s="149">
        <v>0.67041405411975397</v>
      </c>
      <c r="O18" s="149">
        <v>0.22534724815274701</v>
      </c>
      <c r="P18" s="149">
        <v>-0.26932471391183399</v>
      </c>
      <c r="Q18" s="149">
        <v>2.9644664371715201E-2</v>
      </c>
      <c r="R18" s="149">
        <v>0.28157118677041598</v>
      </c>
      <c r="S18" s="149">
        <v>0.59997676722318505</v>
      </c>
      <c r="T18" s="149">
        <v>0.55903464501558797</v>
      </c>
      <c r="U18" s="149">
        <v>0.48719748918268602</v>
      </c>
      <c r="V18" s="149">
        <v>1.1844213168248801</v>
      </c>
      <c r="W18" s="149">
        <v>0.89560381976572201</v>
      </c>
      <c r="X18" s="149">
        <v>-0.51150587867747199</v>
      </c>
      <c r="Y18" s="149">
        <v>0.32757145859973902</v>
      </c>
      <c r="Z18" s="149">
        <v>1.0947936687522599</v>
      </c>
      <c r="AA18" s="149">
        <v>0.64602744538773904</v>
      </c>
      <c r="AB18" s="149">
        <v>-0.51111748998377105</v>
      </c>
      <c r="AC18" s="149">
        <v>0.17342724036113899</v>
      </c>
      <c r="AD18" s="149">
        <v>1.4583439032662401E-2</v>
      </c>
      <c r="AE18" s="149">
        <v>0.19201504694955299</v>
      </c>
      <c r="AF18" s="149">
        <v>0.45278457989530402</v>
      </c>
      <c r="AG18" s="149">
        <v>0.63603335762197299</v>
      </c>
      <c r="AH18" s="149">
        <v>0.35093860404956101</v>
      </c>
      <c r="AI18" s="149">
        <v>0.23441862844255501</v>
      </c>
      <c r="AJ18" s="149">
        <v>-0.100757159627806</v>
      </c>
      <c r="AK18" s="149">
        <v>8.9979970332112399E-2</v>
      </c>
      <c r="AL18" s="149">
        <v>2.88492325542891E-2</v>
      </c>
      <c r="AM18" s="149">
        <v>-8.2989015947655106E-2</v>
      </c>
      <c r="AN18" s="149">
        <v>0.33733520331626499</v>
      </c>
      <c r="AO18" s="149">
        <v>0.33762461971733998</v>
      </c>
      <c r="AP18" s="149">
        <v>-0.124890299210727</v>
      </c>
      <c r="AQ18" s="149">
        <v>0.17755698897272801</v>
      </c>
      <c r="AR18" s="149">
        <v>-0.341801631222998</v>
      </c>
      <c r="AS18" s="149">
        <v>0</v>
      </c>
      <c r="AT18" s="149">
        <v>0.33882552409573602</v>
      </c>
      <c r="AU18" s="149">
        <v>6.0048790346674097E-2</v>
      </c>
      <c r="AV18" s="149">
        <v>-0.19082877325639699</v>
      </c>
      <c r="AW18" s="149">
        <v>0.56694514195953505</v>
      </c>
      <c r="AX18" s="149">
        <v>0.33334152193452699</v>
      </c>
      <c r="AY18" s="149">
        <v>0.31717071546718101</v>
      </c>
      <c r="AZ18" s="149">
        <v>0.76618622554327598</v>
      </c>
      <c r="BA18" s="149">
        <v>-8.3840516270699106E-2</v>
      </c>
      <c r="BB18" s="149">
        <v>7.6243548813348494E-2</v>
      </c>
      <c r="BC18" s="149">
        <v>0.37048116942376202</v>
      </c>
      <c r="BD18" s="149">
        <v>0.20325376950240001</v>
      </c>
      <c r="BE18" s="149">
        <v>0.35328351755193599</v>
      </c>
      <c r="BF18" s="149">
        <v>-0.35201878093942701</v>
      </c>
      <c r="BG18" s="149">
        <v>-0.18273319071584401</v>
      </c>
      <c r="BH18" s="149">
        <v>-0.44245878727933602</v>
      </c>
      <c r="BI18" s="149">
        <v>1.0294396268031299E-2</v>
      </c>
      <c r="BJ18" s="149">
        <v>-8.0643140384675099E-2</v>
      </c>
      <c r="BK18" s="149">
        <v>-0.43888454926025</v>
      </c>
      <c r="BL18" s="149">
        <v>0.72250185946887402</v>
      </c>
      <c r="BM18" s="149">
        <v>-0.271476822723829</v>
      </c>
      <c r="BN18" s="149">
        <v>-0.20477191245791501</v>
      </c>
      <c r="BO18" s="149">
        <v>8.1484756930169794E-2</v>
      </c>
      <c r="BP18" s="149">
        <v>0.111509271593953</v>
      </c>
      <c r="BQ18" s="149">
        <v>-0.46000615915354198</v>
      </c>
      <c r="BR18" s="149">
        <v>0.23418734468292601</v>
      </c>
      <c r="BS18" s="149">
        <v>0.74636873612105903</v>
      </c>
      <c r="BT18" s="149">
        <v>9.7393960343698099E-2</v>
      </c>
      <c r="BU18" s="149">
        <v>-7.3093216004336506E-2</v>
      </c>
      <c r="BV18" s="149">
        <v>-0.315852019366193</v>
      </c>
      <c r="BW18" s="149">
        <v>0.333612585752947</v>
      </c>
      <c r="BX18" s="149">
        <v>-1.87697585950234</v>
      </c>
      <c r="BY18" s="149">
        <v>-1.9374946166876399</v>
      </c>
      <c r="BZ18" s="149">
        <v>-1.8944484612964101</v>
      </c>
      <c r="CA18" s="149">
        <v>-1.18270446011515</v>
      </c>
      <c r="CB18" s="149">
        <v>-1.9374946166876399</v>
      </c>
      <c r="CC18" s="149">
        <v>-1.82579955294517</v>
      </c>
      <c r="CD18" s="149">
        <v>-0.84334739899245603</v>
      </c>
      <c r="CE18" s="149">
        <v>-1.9374946166876399</v>
      </c>
      <c r="CF18" s="149">
        <v>-1.6848399408555199</v>
      </c>
      <c r="CG18" s="149">
        <v>-1.81696528533341</v>
      </c>
      <c r="CH18" s="149">
        <v>-1.87361613563539</v>
      </c>
      <c r="CI18" s="149">
        <v>-1.8282733413105701</v>
      </c>
      <c r="CJ18" s="149">
        <v>-1.9076702557973799</v>
      </c>
      <c r="CK18" s="149">
        <v>-1.89442524097386</v>
      </c>
      <c r="CL18" s="149">
        <v>-1.86773877967335</v>
      </c>
      <c r="CM18" s="149">
        <v>-1.81944455097207</v>
      </c>
      <c r="CN18" s="149">
        <v>-1.8483832116274199</v>
      </c>
      <c r="CO18" s="149">
        <v>-1.85357092337415</v>
      </c>
      <c r="CP18" s="149">
        <v>-1.80104534590864</v>
      </c>
      <c r="CQ18" s="149">
        <v>-1.80972481489063</v>
      </c>
      <c r="CR18" s="149">
        <v>-1.83675283552475</v>
      </c>
      <c r="CS18" s="149">
        <v>-1.9003810662598299</v>
      </c>
      <c r="CT18" s="149">
        <v>-1.78538643809797</v>
      </c>
      <c r="CU18" s="149">
        <v>-1.2581547898529499</v>
      </c>
      <c r="CV18" s="149">
        <v>-0.570974792038481</v>
      </c>
      <c r="CW18" s="149">
        <v>-1.7276008124161799</v>
      </c>
      <c r="CX18" s="149">
        <v>-1.83995397282557</v>
      </c>
      <c r="CY18" s="149">
        <v>-1.9222420650685099</v>
      </c>
      <c r="CZ18" s="149">
        <v>-1.8037463001308101</v>
      </c>
      <c r="DA18" s="149">
        <v>-1.88888369214149</v>
      </c>
      <c r="DB18" s="149">
        <v>-0.81322500106344897</v>
      </c>
      <c r="DC18" s="149">
        <v>-1.0736261026098299</v>
      </c>
      <c r="DD18" s="149">
        <v>-1.1296829631057901</v>
      </c>
      <c r="DE18" s="149">
        <v>-1.9374946166876399</v>
      </c>
    </row>
    <row r="19" spans="1:109" x14ac:dyDescent="0.25">
      <c r="A19" s="149" t="s">
        <v>265</v>
      </c>
      <c r="B19" s="149" t="s">
        <v>638</v>
      </c>
      <c r="C19" s="149">
        <v>0.56987582426972905</v>
      </c>
      <c r="D19" s="149">
        <v>0.63338948229785297</v>
      </c>
      <c r="E19" s="149">
        <v>0.40290619115096499</v>
      </c>
      <c r="F19" s="149">
        <v>0.58400486356203896</v>
      </c>
      <c r="G19" s="149">
        <v>0.78134534451573001</v>
      </c>
      <c r="H19" s="149">
        <v>0.62315519203015501</v>
      </c>
      <c r="I19" s="149">
        <v>0.41899537942687898</v>
      </c>
      <c r="J19" s="149">
        <v>0.56868978419800298</v>
      </c>
      <c r="K19" s="149">
        <v>0.55393047720872701</v>
      </c>
      <c r="L19" s="149">
        <v>0.74586990054529201</v>
      </c>
      <c r="M19" s="149">
        <v>0.64470668817912602</v>
      </c>
      <c r="N19" s="149">
        <v>0.71383276580374799</v>
      </c>
      <c r="O19" s="149">
        <v>0.92529221717956001</v>
      </c>
      <c r="P19" s="149">
        <v>1.0755618850347699</v>
      </c>
      <c r="Q19" s="149">
        <v>1.01879689313022</v>
      </c>
      <c r="R19" s="149">
        <v>1.12554224328161</v>
      </c>
      <c r="S19" s="149">
        <v>1.0467348105938199</v>
      </c>
      <c r="T19" s="149">
        <v>1.14744104977148</v>
      </c>
      <c r="U19" s="149">
        <v>1.1947941861912801</v>
      </c>
      <c r="V19" s="149">
        <v>1.06884216111818</v>
      </c>
      <c r="W19" s="149">
        <v>1.15142811683618</v>
      </c>
      <c r="X19" s="149">
        <v>0.70655872435381595</v>
      </c>
      <c r="Y19" s="149">
        <v>1.0001320847297701</v>
      </c>
      <c r="Z19" s="149">
        <v>0.97241697531224103</v>
      </c>
      <c r="AA19" s="149">
        <v>0.80531015954617402</v>
      </c>
      <c r="AB19" s="149">
        <v>0.93489022648641296</v>
      </c>
      <c r="AC19" s="149">
        <v>0.50937131560395998</v>
      </c>
      <c r="AD19" s="149">
        <v>0.70982999142382697</v>
      </c>
      <c r="AE19" s="149">
        <v>0.50250741473957095</v>
      </c>
      <c r="AF19" s="149">
        <v>0.56210010596886695</v>
      </c>
      <c r="AG19" s="149">
        <v>0.84181702091140698</v>
      </c>
      <c r="AH19" s="149">
        <v>0.89315594657014896</v>
      </c>
      <c r="AI19" s="149">
        <v>0.647925422575235</v>
      </c>
      <c r="AJ19" s="149">
        <v>0.81415545333239003</v>
      </c>
      <c r="AK19" s="149">
        <v>0.275331255134873</v>
      </c>
      <c r="AL19" s="149">
        <v>0.56916688106136804</v>
      </c>
      <c r="AM19" s="149">
        <v>1.20128305923175</v>
      </c>
      <c r="AN19" s="149">
        <v>0.51507242305896395</v>
      </c>
      <c r="AO19" s="149">
        <v>1.13688327637292</v>
      </c>
      <c r="AP19" s="149">
        <v>0.983964078740305</v>
      </c>
      <c r="AQ19" s="149">
        <v>1.19235912658607</v>
      </c>
      <c r="AR19" s="149">
        <v>1.0175813536218301</v>
      </c>
      <c r="AS19" s="149">
        <v>0.89682474221276098</v>
      </c>
      <c r="AT19" s="149">
        <v>0.96456903143592898</v>
      </c>
      <c r="AU19" s="149">
        <v>1.1997211256125599</v>
      </c>
      <c r="AV19" s="149">
        <v>1.0776862840628001</v>
      </c>
      <c r="AW19" s="149">
        <v>3.2051534485696601E-2</v>
      </c>
      <c r="AX19" s="149">
        <v>0</v>
      </c>
      <c r="AY19" s="149">
        <v>0.50206532547674898</v>
      </c>
      <c r="AZ19" s="149">
        <v>0.359759048253322</v>
      </c>
      <c r="BA19" s="149">
        <v>-0.17338769568179099</v>
      </c>
      <c r="BB19" s="149">
        <v>0.198242726667194</v>
      </c>
      <c r="BC19" s="149">
        <v>-0.56348973714948702</v>
      </c>
      <c r="BD19" s="149">
        <v>-2.9398926025508199E-2</v>
      </c>
      <c r="BE19" s="149">
        <v>-1.0818841108367001</v>
      </c>
      <c r="BF19" s="149">
        <v>-0.94643933403681701</v>
      </c>
      <c r="BG19" s="149">
        <v>-0.106946233593729</v>
      </c>
      <c r="BH19" s="149">
        <v>-0.46067037192195898</v>
      </c>
      <c r="BI19" s="149">
        <v>-0.67888242921477304</v>
      </c>
      <c r="BJ19" s="149">
        <v>-0.36919989264756198</v>
      </c>
      <c r="BK19" s="149">
        <v>-0.96652974601854702</v>
      </c>
      <c r="BL19" s="149">
        <v>6.3086673038971405E-2</v>
      </c>
      <c r="BM19" s="149">
        <v>-0.67679789787199196</v>
      </c>
      <c r="BN19" s="149">
        <v>0.123188384733263</v>
      </c>
      <c r="BO19" s="149">
        <v>-0.261135027231783</v>
      </c>
      <c r="BP19" s="149">
        <v>-0.86218499913364899</v>
      </c>
      <c r="BQ19" s="149">
        <v>0.316582212051844</v>
      </c>
      <c r="BR19" s="149">
        <v>-0.83746929450111796</v>
      </c>
      <c r="BS19" s="149">
        <v>-1.1226362231834299</v>
      </c>
      <c r="BT19" s="149">
        <v>-0.66420633996755396</v>
      </c>
      <c r="BU19" s="149">
        <v>-0.63158062224002598</v>
      </c>
      <c r="BV19" s="149">
        <v>-0.14051161850280799</v>
      </c>
      <c r="BW19" s="149">
        <v>-0.13612721923610799</v>
      </c>
      <c r="BX19" s="149">
        <v>-0.38467592302244102</v>
      </c>
      <c r="BY19" s="149">
        <v>-0.54547756608745401</v>
      </c>
      <c r="BZ19" s="149">
        <v>-0.96389547830822497</v>
      </c>
      <c r="CA19" s="149">
        <v>-0.30136857307176401</v>
      </c>
      <c r="CB19" s="149">
        <v>-3.0470603454074401</v>
      </c>
      <c r="CC19" s="149">
        <v>-3.13186432059933</v>
      </c>
      <c r="CD19" s="149">
        <v>-0.96450508754043196</v>
      </c>
      <c r="CE19" s="149">
        <v>-3.0433466969999801</v>
      </c>
      <c r="CF19" s="149">
        <v>-3.0236390090545102</v>
      </c>
      <c r="CG19" s="149">
        <v>-3.0723235426151398</v>
      </c>
      <c r="CH19" s="149">
        <v>-3.0902562780785101</v>
      </c>
      <c r="CI19" s="149">
        <v>-3.0138307148495</v>
      </c>
      <c r="CJ19" s="149">
        <v>-3.09951822424213</v>
      </c>
      <c r="CK19" s="149">
        <v>-3.1730182623453498</v>
      </c>
      <c r="CL19" s="149">
        <v>-3.1463318010448398</v>
      </c>
      <c r="CM19" s="149">
        <v>-2.9384670066427399</v>
      </c>
      <c r="CN19" s="149">
        <v>-3.03466116963377</v>
      </c>
      <c r="CO19" s="149">
        <v>-2.99910162117185</v>
      </c>
      <c r="CP19" s="149">
        <v>-2.8987758252615001</v>
      </c>
      <c r="CQ19" s="149">
        <v>-2.9477458218049102</v>
      </c>
      <c r="CR19" s="149">
        <v>-3.0192869443244299</v>
      </c>
      <c r="CS19" s="149">
        <v>-3.0378824707870198</v>
      </c>
      <c r="CT19" s="149">
        <v>-2.7325675731718699</v>
      </c>
      <c r="CU19" s="149">
        <v>-1.02840375268033</v>
      </c>
      <c r="CV19" s="149">
        <v>-0.77836790249743504</v>
      </c>
      <c r="CW19" s="149">
        <v>-2.4645216300500801</v>
      </c>
      <c r="CX19" s="149">
        <v>-2.8053561947649599</v>
      </c>
      <c r="CY19" s="149">
        <v>-3.0828213977722299</v>
      </c>
      <c r="CZ19" s="149">
        <v>-2.7925943556050101</v>
      </c>
      <c r="DA19" s="149">
        <v>-2.9013771057250799</v>
      </c>
      <c r="DB19" s="149">
        <v>-0.22749369269710201</v>
      </c>
      <c r="DC19" s="149">
        <v>-0.79349030127485398</v>
      </c>
      <c r="DD19" s="149">
        <v>-0.29627177187793702</v>
      </c>
      <c r="DE19" s="149">
        <v>-1.7800356954591601</v>
      </c>
    </row>
    <row r="20" spans="1:109" x14ac:dyDescent="0.25">
      <c r="A20" s="149" t="s">
        <v>265</v>
      </c>
      <c r="B20" s="149" t="s">
        <v>640</v>
      </c>
      <c r="C20" s="149">
        <v>0.12803798815432499</v>
      </c>
      <c r="D20" s="149">
        <v>4.3387373658417501E-2</v>
      </c>
      <c r="E20" s="149">
        <v>0.18334904816081499</v>
      </c>
      <c r="F20" s="149">
        <v>-5.2257839758889098E-2</v>
      </c>
      <c r="G20" s="149">
        <v>1.19210889663995E-2</v>
      </c>
      <c r="H20" s="149">
        <v>-2.37798008163164E-2</v>
      </c>
      <c r="I20" s="149">
        <v>1.09269128200646E-2</v>
      </c>
      <c r="J20" s="149">
        <v>4.0105746131530199E-3</v>
      </c>
      <c r="K20" s="149">
        <v>-3.3187278868965997E-2</v>
      </c>
      <c r="L20" s="149">
        <v>-2.9921553823964702E-3</v>
      </c>
      <c r="M20" s="149">
        <v>4.7741399779195597E-3</v>
      </c>
      <c r="N20" s="149">
        <v>-6.0901344640559497E-2</v>
      </c>
      <c r="O20" s="149">
        <v>-6.1465848387071802E-2</v>
      </c>
      <c r="P20" s="149">
        <v>1.73634356404271E-2</v>
      </c>
      <c r="Q20" s="149">
        <v>-6.9253766222841004E-2</v>
      </c>
      <c r="R20" s="149">
        <v>-4.93800082823918E-2</v>
      </c>
      <c r="S20" s="149">
        <v>-6.2625646071620703E-2</v>
      </c>
      <c r="T20" s="149">
        <v>2.0979845511769301E-2</v>
      </c>
      <c r="U20" s="149">
        <v>7.34397211731106E-3</v>
      </c>
      <c r="V20" s="149">
        <v>0.144200301708926</v>
      </c>
      <c r="W20" s="149">
        <v>1.0472227957616801E-2</v>
      </c>
      <c r="X20" s="149">
        <v>-7.2450949593353298E-2</v>
      </c>
      <c r="Y20" s="149">
        <v>6.4841733258374307E-2</v>
      </c>
      <c r="Z20" s="149">
        <v>3.5659328293937802E-2</v>
      </c>
      <c r="AA20" s="149">
        <v>0</v>
      </c>
      <c r="AB20" s="149">
        <v>-2.8960635894401801E-2</v>
      </c>
      <c r="AC20" s="149">
        <v>-2.4055046130473899E-2</v>
      </c>
      <c r="AD20" s="149">
        <v>-4.1837401083730498E-2</v>
      </c>
      <c r="AE20" s="149">
        <v>3.5168061770203098E-3</v>
      </c>
      <c r="AF20" s="149">
        <v>-8.8414048049257603E-3</v>
      </c>
      <c r="AG20" s="149">
        <v>-1.09272742989702E-2</v>
      </c>
      <c r="AH20" s="149">
        <v>-7.6419235791478898E-2</v>
      </c>
      <c r="AI20" s="149">
        <v>-6.9269110832429606E-2</v>
      </c>
      <c r="AJ20" s="149">
        <v>-8.9641316976396906E-2</v>
      </c>
      <c r="AK20" s="149">
        <v>4.7239029989252702E-2</v>
      </c>
      <c r="AL20" s="149">
        <v>0.18368897344587301</v>
      </c>
      <c r="AM20" s="149">
        <v>0.38489997802474202</v>
      </c>
      <c r="AN20" s="149">
        <v>9.7475753706154106E-2</v>
      </c>
      <c r="AO20" s="149">
        <v>0.44962701244562397</v>
      </c>
      <c r="AP20" s="149">
        <v>0.31514954567283898</v>
      </c>
      <c r="AQ20" s="149">
        <v>0.32404113166842402</v>
      </c>
      <c r="AR20" s="149">
        <v>0.26006655189816402</v>
      </c>
      <c r="AS20" s="149">
        <v>0.18984908959749899</v>
      </c>
      <c r="AT20" s="149">
        <v>0.22782329512404501</v>
      </c>
      <c r="AU20" s="149">
        <v>0.17645283664835801</v>
      </c>
      <c r="AV20" s="149">
        <v>-0.100609634346302</v>
      </c>
      <c r="AW20" s="149">
        <v>7.1332689632595606E-2</v>
      </c>
      <c r="AX20" s="149">
        <v>8.4882953263859893E-3</v>
      </c>
      <c r="AY20" s="149">
        <v>6.4495557802411396E-2</v>
      </c>
      <c r="AZ20" s="149">
        <v>1.0366615973137599E-2</v>
      </c>
      <c r="BA20" s="149">
        <v>1.7783797119531999E-2</v>
      </c>
      <c r="BB20" s="149">
        <v>-1.6890315286759199E-2</v>
      </c>
      <c r="BC20" s="149">
        <v>0.24205814617557</v>
      </c>
      <c r="BD20" s="149">
        <v>2.3328723539203299E-2</v>
      </c>
      <c r="BE20" s="149">
        <v>7.2833876502540001E-2</v>
      </c>
      <c r="BF20" s="149">
        <v>0.11176354856776601</v>
      </c>
      <c r="BG20" s="149">
        <v>0.209810889204155</v>
      </c>
      <c r="BH20" s="149">
        <v>2.94737534859142E-2</v>
      </c>
      <c r="BI20" s="149">
        <v>9.2767549009034E-2</v>
      </c>
      <c r="BJ20" s="149">
        <v>3.8738628499332399E-2</v>
      </c>
      <c r="BK20" s="149">
        <v>-0.15868704148980101</v>
      </c>
      <c r="BL20" s="149">
        <v>9.1910477486368505E-2</v>
      </c>
      <c r="BM20" s="149">
        <v>-0.15868704148980101</v>
      </c>
      <c r="BN20" s="149">
        <v>1.4938118247883899E-2</v>
      </c>
      <c r="BO20" s="149">
        <v>0.123401003217808</v>
      </c>
      <c r="BP20" s="149">
        <v>0.21337585279590801</v>
      </c>
      <c r="BQ20" s="149">
        <v>-8.6850252840427605E-3</v>
      </c>
      <c r="BR20" s="149">
        <v>8.6988839156910303E-2</v>
      </c>
      <c r="BS20" s="149">
        <v>0.19128016214386301</v>
      </c>
      <c r="BT20" s="149">
        <v>0.24779065206157799</v>
      </c>
      <c r="BU20" s="149">
        <v>-3.1338781794953398E-2</v>
      </c>
      <c r="BV20" s="149">
        <v>0.18192189944263401</v>
      </c>
      <c r="BW20" s="149">
        <v>-3.6036993044605399E-2</v>
      </c>
      <c r="BX20" s="149">
        <v>8.5654411269985797E-2</v>
      </c>
      <c r="BY20" s="149">
        <v>0.265718322407693</v>
      </c>
      <c r="BZ20" s="149">
        <v>5.3170497054525798E-2</v>
      </c>
      <c r="CA20" s="149">
        <v>8.0604574314221203E-2</v>
      </c>
      <c r="CB20" s="149">
        <v>-0.13827095517570201</v>
      </c>
      <c r="CC20" s="149">
        <v>-0.15868704148980101</v>
      </c>
      <c r="CD20" s="149">
        <v>-9.3361836325741202E-2</v>
      </c>
      <c r="CE20" s="149">
        <v>-0.15868704148980101</v>
      </c>
      <c r="CF20" s="149">
        <v>-0.15868704148980101</v>
      </c>
      <c r="CG20" s="149">
        <v>-0.109570289825815</v>
      </c>
      <c r="CH20" s="149">
        <v>-0.15868704148980101</v>
      </c>
      <c r="CI20" s="149">
        <v>-0.15868704148980101</v>
      </c>
      <c r="CJ20" s="149">
        <v>-0.12886268059953801</v>
      </c>
      <c r="CK20" s="149">
        <v>-0.15868704148980101</v>
      </c>
      <c r="CL20" s="149">
        <v>-0.15868704148980101</v>
      </c>
      <c r="CM20" s="149">
        <v>-0.15868704148980101</v>
      </c>
      <c r="CN20" s="149">
        <v>-0.15868704148980101</v>
      </c>
      <c r="CO20" s="149">
        <v>-0.13491797333678801</v>
      </c>
      <c r="CP20" s="149">
        <v>-2.22377707108046E-2</v>
      </c>
      <c r="CQ20" s="149">
        <v>-0.136879779974762</v>
      </c>
      <c r="CR20" s="149">
        <v>-9.09783825008776E-2</v>
      </c>
      <c r="CS20" s="149">
        <v>-0.15868704148980101</v>
      </c>
      <c r="CT20" s="149">
        <v>-0.10638163604048299</v>
      </c>
      <c r="CU20" s="149">
        <v>-2.15238518650805E-2</v>
      </c>
      <c r="CV20" s="149">
        <v>-4.0335728824988197E-2</v>
      </c>
      <c r="CW20" s="149">
        <v>-0.15868704148980101</v>
      </c>
      <c r="CX20" s="149">
        <v>-0.15868704148980101</v>
      </c>
      <c r="CY20" s="149">
        <v>-0.11327519276413001</v>
      </c>
      <c r="CZ20" s="149">
        <v>-0.12442452520043</v>
      </c>
      <c r="DA20" s="149">
        <v>-0.11007611694365101</v>
      </c>
      <c r="DB20" s="149">
        <v>0.172496593156199</v>
      </c>
      <c r="DC20" s="149">
        <v>-6.7214812244673905E-2</v>
      </c>
      <c r="DD20" s="149">
        <v>-7.7600532823883406E-2</v>
      </c>
      <c r="DE20" s="149">
        <v>1.4312451698748599E-2</v>
      </c>
    </row>
    <row r="21" spans="1:109" x14ac:dyDescent="0.25">
      <c r="A21" s="149" t="s">
        <v>265</v>
      </c>
      <c r="B21" s="149" t="s">
        <v>641</v>
      </c>
      <c r="C21" s="149">
        <v>0.89362934057430499</v>
      </c>
      <c r="D21" s="149">
        <v>0.65749934212556904</v>
      </c>
      <c r="E21" s="149">
        <v>0.39027885386467698</v>
      </c>
      <c r="F21" s="149">
        <v>0.45490819973907998</v>
      </c>
      <c r="G21" s="149">
        <v>0.46083581996123602</v>
      </c>
      <c r="H21" s="149">
        <v>0.51363033522536305</v>
      </c>
      <c r="I21" s="149">
        <v>0.52913820071805295</v>
      </c>
      <c r="J21" s="149">
        <v>0.49214859594148402</v>
      </c>
      <c r="K21" s="149">
        <v>0.48609834490557702</v>
      </c>
      <c r="L21" s="149">
        <v>0.30823007630621002</v>
      </c>
      <c r="M21" s="149">
        <v>0.40377962984844801</v>
      </c>
      <c r="N21" s="149">
        <v>0.49044538688784001</v>
      </c>
      <c r="O21" s="149">
        <v>-0.20775941664720901</v>
      </c>
      <c r="P21" s="149">
        <v>-0.20624636302550101</v>
      </c>
      <c r="Q21" s="149">
        <v>-0.21380304942740899</v>
      </c>
      <c r="R21" s="149">
        <v>-0.23822107154201</v>
      </c>
      <c r="S21" s="149">
        <v>-0.304457494048535</v>
      </c>
      <c r="T21" s="149">
        <v>-0.45874197542977002</v>
      </c>
      <c r="U21" s="149">
        <v>-0.31585508408791202</v>
      </c>
      <c r="V21" s="149">
        <v>-0.35155469023528502</v>
      </c>
      <c r="W21" s="149">
        <v>-0.169160547421252</v>
      </c>
      <c r="X21" s="149">
        <v>-0.11941722957935599</v>
      </c>
      <c r="Y21" s="149">
        <v>6.9875194471546595E-2</v>
      </c>
      <c r="Z21" s="149">
        <v>-0.15908974464828299</v>
      </c>
      <c r="AA21" s="149">
        <v>-2.4465459137804599E-2</v>
      </c>
      <c r="AB21" s="149">
        <v>0.120158025480931</v>
      </c>
      <c r="AC21" s="149">
        <v>0</v>
      </c>
      <c r="AD21" s="149">
        <v>0.22749816488909599</v>
      </c>
      <c r="AE21" s="149">
        <v>-2.1342049478843599E-2</v>
      </c>
      <c r="AF21" s="149">
        <v>3.07444813632115E-2</v>
      </c>
      <c r="AG21" s="149">
        <v>-6.3415703986685903E-2</v>
      </c>
      <c r="AH21" s="149">
        <v>5.4794909575562802E-2</v>
      </c>
      <c r="AI21" s="149">
        <v>0.182139296801655</v>
      </c>
      <c r="AJ21" s="149">
        <v>0.148365971069786</v>
      </c>
      <c r="AK21" s="149">
        <v>-4.7907080706936001E-2</v>
      </c>
      <c r="AL21" s="149">
        <v>0.29965929162442501</v>
      </c>
      <c r="AM21" s="149">
        <v>-1.8856406359253901</v>
      </c>
      <c r="AN21" s="149">
        <v>-0.19975794024501101</v>
      </c>
      <c r="AO21" s="149">
        <v>-0.46314058531532698</v>
      </c>
      <c r="AP21" s="149">
        <v>-8.5430787718694695E-2</v>
      </c>
      <c r="AQ21" s="149">
        <v>-5.7002182899054503E-2</v>
      </c>
      <c r="AR21" s="149">
        <v>0.13363834957217699</v>
      </c>
      <c r="AS21" s="149">
        <v>0.20944349918716301</v>
      </c>
      <c r="AT21" s="149">
        <v>0.17128904614005899</v>
      </c>
      <c r="AU21" s="149">
        <v>-5.4324993670073103E-2</v>
      </c>
      <c r="AV21" s="149">
        <v>-0.140651979038698</v>
      </c>
      <c r="AW21" s="149">
        <v>0.67354705726507702</v>
      </c>
      <c r="AX21" s="149">
        <v>0.80834721476285798</v>
      </c>
      <c r="AY21" s="149">
        <v>0.70658476675479898</v>
      </c>
      <c r="AZ21" s="149">
        <v>0.70521994369669405</v>
      </c>
      <c r="BA21" s="149">
        <v>0.68938162294217498</v>
      </c>
      <c r="BB21" s="149">
        <v>0.81260736877392703</v>
      </c>
      <c r="BC21" s="149">
        <v>0.44657389205777398</v>
      </c>
      <c r="BD21" s="149">
        <v>0.50690448395652699</v>
      </c>
      <c r="BE21" s="149">
        <v>0.57190999470627701</v>
      </c>
      <c r="BF21" s="149">
        <v>0.62686748148775995</v>
      </c>
      <c r="BG21" s="149">
        <v>0.37089206116162299</v>
      </c>
      <c r="BH21" s="149">
        <v>0.51689450810917303</v>
      </c>
      <c r="BI21" s="149">
        <v>0.49998454260407399</v>
      </c>
      <c r="BJ21" s="149">
        <v>0.43833261235891502</v>
      </c>
      <c r="BK21" s="149">
        <v>0.65125920951446903</v>
      </c>
      <c r="BL21" s="149">
        <v>0.92260426714160904</v>
      </c>
      <c r="BM21" s="149">
        <v>0.80909096601267505</v>
      </c>
      <c r="BN21" s="149">
        <v>1.1499097783117</v>
      </c>
      <c r="BO21" s="149">
        <v>1.13285551452981</v>
      </c>
      <c r="BP21" s="149">
        <v>0.72594462594565501</v>
      </c>
      <c r="BQ21" s="149">
        <v>0.87915650898863196</v>
      </c>
      <c r="BR21" s="149">
        <v>0.81139120806927501</v>
      </c>
      <c r="BS21" s="149">
        <v>0.68988998579629501</v>
      </c>
      <c r="BT21" s="149">
        <v>0.56695183901266</v>
      </c>
      <c r="BU21" s="149">
        <v>0.96875184741565801</v>
      </c>
      <c r="BV21" s="149">
        <v>1.08850579371169</v>
      </c>
      <c r="BW21" s="149">
        <v>1.0199488013494999</v>
      </c>
      <c r="BX21" s="149">
        <v>-0.73855632584866704</v>
      </c>
      <c r="BY21" s="149">
        <v>-0.87731762547510095</v>
      </c>
      <c r="BZ21" s="149">
        <v>-0.82767434968223197</v>
      </c>
      <c r="CA21" s="149">
        <v>-0.54800947576129599</v>
      </c>
      <c r="CB21" s="149">
        <v>-5.0295250281756303</v>
      </c>
      <c r="CC21" s="149">
        <v>-5.1078562004885004</v>
      </c>
      <c r="CD21" s="149">
        <v>-1.3950537711797399</v>
      </c>
      <c r="CE21" s="149">
        <v>-4.9157822182679203</v>
      </c>
      <c r="CF21" s="149">
        <v>-4.4162402662471001</v>
      </c>
      <c r="CG21" s="149">
        <v>-4.7782751192851602</v>
      </c>
      <c r="CH21" s="149">
        <v>-2.36696925557847</v>
      </c>
      <c r="CI21" s="149">
        <v>-4.5757980752360998</v>
      </c>
      <c r="CJ21" s="149">
        <v>-5.1075003145355398</v>
      </c>
      <c r="CK21" s="149">
        <v>-5.0130015750625896</v>
      </c>
      <c r="CL21" s="149">
        <v>-5.0573922700109701</v>
      </c>
      <c r="CM21" s="149">
        <v>-4.6748318880427098</v>
      </c>
      <c r="CN21" s="149">
        <v>-5.2859378748975399</v>
      </c>
      <c r="CO21" s="149">
        <v>-5.0275401950263303</v>
      </c>
      <c r="CP21" s="149">
        <v>-4.4702698563232204</v>
      </c>
      <c r="CQ21" s="149">
        <v>-4.5380653419166501</v>
      </c>
      <c r="CR21" s="149">
        <v>-4.0508089073973501</v>
      </c>
      <c r="CS21" s="149">
        <v>-3.99322637157784</v>
      </c>
      <c r="CT21" s="149">
        <v>-4.14323207331456</v>
      </c>
      <c r="CU21" s="149">
        <v>-0.57324691535579197</v>
      </c>
      <c r="CV21" s="149">
        <v>-1.17142080413234</v>
      </c>
      <c r="CW21" s="149">
        <v>-3.25518326119535</v>
      </c>
      <c r="CX21" s="149">
        <v>-5.1461642677702599</v>
      </c>
      <c r="CY21" s="149">
        <v>-5.1148440657160599</v>
      </c>
      <c r="CZ21" s="149">
        <v>-4.2086157283064596</v>
      </c>
      <c r="DA21" s="149">
        <v>-4.7185114586618502</v>
      </c>
      <c r="DB21" s="149">
        <v>0.87369576028582996</v>
      </c>
      <c r="DC21" s="149">
        <v>0.31832229228277997</v>
      </c>
      <c r="DD21" s="149">
        <v>0.32652908626267002</v>
      </c>
      <c r="DE21" s="149">
        <v>-0.76559202279364602</v>
      </c>
    </row>
    <row r="22" spans="1:109" x14ac:dyDescent="0.25">
      <c r="A22" s="149" t="s">
        <v>265</v>
      </c>
      <c r="B22" s="149" t="s">
        <v>643</v>
      </c>
      <c r="C22" s="149">
        <v>0.22549535314066699</v>
      </c>
      <c r="D22" s="149">
        <v>0.49255544520933597</v>
      </c>
      <c r="E22" s="149">
        <v>0.48991647773653202</v>
      </c>
      <c r="F22" s="149">
        <v>0.418018421521829</v>
      </c>
      <c r="G22" s="149">
        <v>0.398852182720904</v>
      </c>
      <c r="H22" s="149">
        <v>0.25637235590288199</v>
      </c>
      <c r="I22" s="149">
        <v>0.172029688895072</v>
      </c>
      <c r="J22" s="149">
        <v>0.228210699911053</v>
      </c>
      <c r="K22" s="149">
        <v>0.26026419032290699</v>
      </c>
      <c r="L22" s="149">
        <v>0.62391982490616604</v>
      </c>
      <c r="M22" s="149">
        <v>0.45262365195152499</v>
      </c>
      <c r="N22" s="149">
        <v>0.23443550944760999</v>
      </c>
      <c r="O22" s="149">
        <v>0.56666548528248195</v>
      </c>
      <c r="P22" s="149">
        <v>0.41769708542383899</v>
      </c>
      <c r="Q22" s="149">
        <v>0.73594331336540497</v>
      </c>
      <c r="R22" s="149">
        <v>0.47738432833719802</v>
      </c>
      <c r="S22" s="149">
        <v>0.47640449740013202</v>
      </c>
      <c r="T22" s="149">
        <v>0.43272769421815799</v>
      </c>
      <c r="U22" s="149">
        <v>0.81678172484592604</v>
      </c>
      <c r="V22" s="149">
        <v>0.56699148705799596</v>
      </c>
      <c r="W22" s="149">
        <v>0.67700963669935199</v>
      </c>
      <c r="X22" s="149">
        <v>0.22363840526683301</v>
      </c>
      <c r="Y22" s="149">
        <v>0.66878489671359598</v>
      </c>
      <c r="Z22" s="149">
        <v>0.59790687566683698</v>
      </c>
      <c r="AA22" s="149">
        <v>0.61297744183157898</v>
      </c>
      <c r="AB22" s="149">
        <v>0.66673742291194904</v>
      </c>
      <c r="AC22" s="149">
        <v>0.31678628297081601</v>
      </c>
      <c r="AD22" s="149">
        <v>0.431604016240004</v>
      </c>
      <c r="AE22" s="149">
        <v>0.37680019325896102</v>
      </c>
      <c r="AF22" s="149">
        <v>0.36141249664222003</v>
      </c>
      <c r="AG22" s="149">
        <v>0.264960959007702</v>
      </c>
      <c r="AH22" s="149">
        <v>0.30961224949424698</v>
      </c>
      <c r="AI22" s="149">
        <v>0.32015455963390499</v>
      </c>
      <c r="AJ22" s="149">
        <v>0.47646442197991801</v>
      </c>
      <c r="AK22" s="149">
        <v>0.16883042556015601</v>
      </c>
      <c r="AL22" s="149">
        <v>0.205967859591071</v>
      </c>
      <c r="AM22" s="149">
        <v>0.39124242552480298</v>
      </c>
      <c r="AN22" s="149">
        <v>0.68155183567790001</v>
      </c>
      <c r="AO22" s="149">
        <v>2.02529041733473E-2</v>
      </c>
      <c r="AP22" s="149">
        <v>0.362613396064279</v>
      </c>
      <c r="AQ22" s="149">
        <v>0.38287323736780998</v>
      </c>
      <c r="AR22" s="149">
        <v>0.46536296242824898</v>
      </c>
      <c r="AS22" s="149">
        <v>0.34212457984751099</v>
      </c>
      <c r="AT22" s="149">
        <v>0.45606607312952702</v>
      </c>
      <c r="AU22" s="149">
        <v>0.39490393201443802</v>
      </c>
      <c r="AV22" s="149">
        <v>0.56741190318102297</v>
      </c>
      <c r="AW22" s="149">
        <v>-0.13538502780619599</v>
      </c>
      <c r="AX22" s="149">
        <v>0.25885781162787302</v>
      </c>
      <c r="AY22" s="149">
        <v>0.178690397831512</v>
      </c>
      <c r="AZ22" s="149">
        <v>0.139064834202244</v>
      </c>
      <c r="BA22" s="149">
        <v>-0.53894669650141303</v>
      </c>
      <c r="BB22" s="149">
        <v>-0.17829857801253099</v>
      </c>
      <c r="BC22" s="149">
        <v>-0.45464970702061702</v>
      </c>
      <c r="BD22" s="149">
        <v>-5.2252207846048303E-2</v>
      </c>
      <c r="BE22" s="149">
        <v>-0.43102465973523801</v>
      </c>
      <c r="BF22" s="149">
        <v>-0.47839843821393802</v>
      </c>
      <c r="BG22" s="149">
        <v>-0.47500862360985002</v>
      </c>
      <c r="BH22" s="149">
        <v>-0.41035169922295101</v>
      </c>
      <c r="BI22" s="149">
        <v>-0.448257942978118</v>
      </c>
      <c r="BJ22" s="149">
        <v>-0.121140850980091</v>
      </c>
      <c r="BK22" s="149">
        <v>-0.19126376056981001</v>
      </c>
      <c r="BL22" s="149">
        <v>0.25501327894204501</v>
      </c>
      <c r="BM22" s="149">
        <v>1.9589611085707202E-2</v>
      </c>
      <c r="BN22" s="149">
        <v>0</v>
      </c>
      <c r="BO22" s="149">
        <v>-2.7226261291816999E-2</v>
      </c>
      <c r="BP22" s="149">
        <v>-6.0385547295908101E-2</v>
      </c>
      <c r="BQ22" s="149">
        <v>-0.14007499122040801</v>
      </c>
      <c r="BR22" s="149">
        <v>-0.38852037812412998</v>
      </c>
      <c r="BS22" s="149">
        <v>-5.9898889087649697E-2</v>
      </c>
      <c r="BT22" s="149">
        <v>-0.30122809753054097</v>
      </c>
      <c r="BU22" s="149">
        <v>-0.35073383637808597</v>
      </c>
      <c r="BV22" s="149">
        <v>-0.104628140933018</v>
      </c>
      <c r="BW22" s="149">
        <v>0.42940401584100302</v>
      </c>
      <c r="BX22" s="149">
        <v>-0.55509988921392095</v>
      </c>
      <c r="BY22" s="149">
        <v>-0.43466918857940801</v>
      </c>
      <c r="BZ22" s="149">
        <v>-7.0361937535718899E-2</v>
      </c>
      <c r="CA22" s="149">
        <v>-0.41902194765702699</v>
      </c>
      <c r="CB22" s="149">
        <v>-1.1047904534609301</v>
      </c>
      <c r="CC22" s="149">
        <v>-1.1670048127560599</v>
      </c>
      <c r="CD22" s="149">
        <v>-0.58401958913990504</v>
      </c>
      <c r="CE22" s="149">
        <v>-1.5669068321655</v>
      </c>
      <c r="CF22" s="149">
        <v>-1.63167640902005</v>
      </c>
      <c r="CG22" s="149">
        <v>-1.6009356123667</v>
      </c>
      <c r="CH22" s="149">
        <v>-1.65514414612281</v>
      </c>
      <c r="CI22" s="149">
        <v>-1.6289816031199</v>
      </c>
      <c r="CJ22" s="149">
        <v>-1.63876763587614</v>
      </c>
      <c r="CK22" s="149">
        <v>-1.5715967258161201</v>
      </c>
      <c r="CL22" s="149">
        <v>-1.6111265122167999</v>
      </c>
      <c r="CM22" s="149">
        <v>-1.62639949939581</v>
      </c>
      <c r="CN22" s="149">
        <v>-1.6530041523883601</v>
      </c>
      <c r="CO22" s="149">
        <v>-1.58184871636461</v>
      </c>
      <c r="CP22" s="149">
        <v>-1.39977051637033</v>
      </c>
      <c r="CQ22" s="149">
        <v>-1.54956971457833</v>
      </c>
      <c r="CR22" s="149">
        <v>-1.6302422181206799</v>
      </c>
      <c r="CS22" s="149">
        <v>-1.58888471202193</v>
      </c>
      <c r="CT22" s="149">
        <v>-1.36284294185564</v>
      </c>
      <c r="CU22" s="149">
        <v>-0.76427148685115298</v>
      </c>
      <c r="CV22" s="149">
        <v>-0.320811116341231</v>
      </c>
      <c r="CW22" s="149">
        <v>-1.20201765501097</v>
      </c>
      <c r="CX22" s="149">
        <v>-1.6979508771096099</v>
      </c>
      <c r="CY22" s="149">
        <v>-1.45313482237731</v>
      </c>
      <c r="CZ22" s="149">
        <v>-1.1911030821722299</v>
      </c>
      <c r="DA22" s="149">
        <v>-1.3425580528735099</v>
      </c>
      <c r="DB22" s="149">
        <v>1.48082804884846E-2</v>
      </c>
      <c r="DC22" s="149">
        <v>-0.46071966193713698</v>
      </c>
      <c r="DD22" s="149">
        <v>-0.81143925406065298</v>
      </c>
      <c r="DE22" s="149">
        <v>-1.15567901355627</v>
      </c>
    </row>
    <row r="23" spans="1:109" x14ac:dyDescent="0.25">
      <c r="A23" s="149" t="s">
        <v>265</v>
      </c>
      <c r="B23" s="149" t="s">
        <v>646</v>
      </c>
      <c r="C23" s="149">
        <v>0.37794209035943499</v>
      </c>
      <c r="D23" s="149">
        <v>0.43233063438830199</v>
      </c>
      <c r="E23" s="149">
        <v>-1.6167427593312699E-2</v>
      </c>
      <c r="F23" s="149">
        <v>0.20934444163633401</v>
      </c>
      <c r="G23" s="149">
        <v>0.31064035347736002</v>
      </c>
      <c r="H23" s="149">
        <v>0.26625110204312902</v>
      </c>
      <c r="I23" s="149">
        <v>7.44256288161739E-2</v>
      </c>
      <c r="J23" s="149">
        <v>0.100386711992907</v>
      </c>
      <c r="K23" s="149">
        <v>7.5240976381671903E-2</v>
      </c>
      <c r="L23" s="149">
        <v>0.42912921628061301</v>
      </c>
      <c r="M23" s="149">
        <v>0.105541588384531</v>
      </c>
      <c r="N23" s="149">
        <v>0.183524793769616</v>
      </c>
      <c r="O23" s="149">
        <v>6.7725474418098203E-2</v>
      </c>
      <c r="P23" s="149">
        <v>-7.0164608671230297E-2</v>
      </c>
      <c r="Q23" s="149">
        <v>4.8319108767895897E-3</v>
      </c>
      <c r="R23" s="149">
        <v>-6.1904400813954E-2</v>
      </c>
      <c r="S23" s="149">
        <v>0</v>
      </c>
      <c r="T23" s="149">
        <v>-0.16073006884148999</v>
      </c>
      <c r="U23" s="149">
        <v>-0.17828373560040001</v>
      </c>
      <c r="V23" s="149">
        <v>-7.24591071603123E-2</v>
      </c>
      <c r="W23" s="149">
        <v>-0.22886928948017399</v>
      </c>
      <c r="X23" s="149">
        <v>-0.10318286156001601</v>
      </c>
      <c r="Y23" s="149">
        <v>4.7730600408526801E-2</v>
      </c>
      <c r="Z23" s="149">
        <v>-7.80168522047434E-2</v>
      </c>
      <c r="AA23" s="149">
        <v>-9.4239458257785999E-2</v>
      </c>
      <c r="AB23" s="149">
        <v>0.12057468510062801</v>
      </c>
      <c r="AC23" s="149">
        <v>-0.23507558397911099</v>
      </c>
      <c r="AD23" s="149">
        <v>-0.117376977048814</v>
      </c>
      <c r="AE23" s="149">
        <v>-0.338852951607923</v>
      </c>
      <c r="AF23" s="149">
        <v>-0.245275736682739</v>
      </c>
      <c r="AG23" s="149">
        <v>-0.24259144263212301</v>
      </c>
      <c r="AH23" s="149">
        <v>-9.4049318507871196E-2</v>
      </c>
      <c r="AI23" s="149">
        <v>-0.10238399073394</v>
      </c>
      <c r="AJ23" s="149">
        <v>-6.3779097743691393E-2</v>
      </c>
      <c r="AK23" s="149">
        <v>-6.3953991851910197E-2</v>
      </c>
      <c r="AL23" s="149">
        <v>0.33356274983928103</v>
      </c>
      <c r="AM23" s="149">
        <v>-1.5302308646516201</v>
      </c>
      <c r="AN23" s="149">
        <v>-0.259261990901615</v>
      </c>
      <c r="AO23" s="149">
        <v>-0.16842082479845399</v>
      </c>
      <c r="AP23" s="149">
        <v>0.18961472251342201</v>
      </c>
      <c r="AQ23" s="149">
        <v>0.29864799776478901</v>
      </c>
      <c r="AR23" s="149">
        <v>0.42193619137294902</v>
      </c>
      <c r="AS23" s="149">
        <v>0.32489832478492398</v>
      </c>
      <c r="AT23" s="149">
        <v>0.27176482238794097</v>
      </c>
      <c r="AU23" s="149">
        <v>0.27143038764893002</v>
      </c>
      <c r="AV23" s="149">
        <v>0.23552576759538099</v>
      </c>
      <c r="AW23" s="149">
        <v>0.95687330508098201</v>
      </c>
      <c r="AX23" s="149">
        <v>0.64462463505684198</v>
      </c>
      <c r="AY23" s="149">
        <v>0.57877853543386004</v>
      </c>
      <c r="AZ23" s="149">
        <v>1.01833586495174</v>
      </c>
      <c r="BA23" s="149">
        <v>1.2729193731677799</v>
      </c>
      <c r="BB23" s="149">
        <v>1.1423711262218199</v>
      </c>
      <c r="BC23" s="149">
        <v>1.3280667217398501</v>
      </c>
      <c r="BD23" s="149">
        <v>1.2634284038430601</v>
      </c>
      <c r="BE23" s="149">
        <v>1.2895985610595999</v>
      </c>
      <c r="BF23" s="149">
        <v>1.26448002583028</v>
      </c>
      <c r="BG23" s="149">
        <v>1.31719489278708</v>
      </c>
      <c r="BH23" s="149">
        <v>1.2970804253516199</v>
      </c>
      <c r="BI23" s="149">
        <v>1.3065945236556</v>
      </c>
      <c r="BJ23" s="149">
        <v>1.3177579049232899</v>
      </c>
      <c r="BK23" s="149">
        <v>1.27728308300574</v>
      </c>
      <c r="BL23" s="149">
        <v>0.99781245227505799</v>
      </c>
      <c r="BM23" s="149">
        <v>1.03133053731012</v>
      </c>
      <c r="BN23" s="149">
        <v>0.894346101855098</v>
      </c>
      <c r="BO23" s="149">
        <v>0.90646343648527405</v>
      </c>
      <c r="BP23" s="149">
        <v>1.25631226295263</v>
      </c>
      <c r="BQ23" s="149">
        <v>1.1887083406499801</v>
      </c>
      <c r="BR23" s="149">
        <v>1.10731960488254</v>
      </c>
      <c r="BS23" s="149">
        <v>1.1147300131043301</v>
      </c>
      <c r="BT23" s="149">
        <v>1.3559274277900399</v>
      </c>
      <c r="BU23" s="149">
        <v>1.1403354344957799</v>
      </c>
      <c r="BV23" s="149">
        <v>0.89881943242515705</v>
      </c>
      <c r="BW23" s="149">
        <v>1.02350958300122</v>
      </c>
      <c r="BX23" s="149">
        <v>-5.5270012910536499</v>
      </c>
      <c r="BY23" s="149">
        <v>-5.6491884362139597</v>
      </c>
      <c r="BZ23" s="149">
        <v>-5.6619370921042496</v>
      </c>
      <c r="CA23" s="149">
        <v>-2.0837392128744301</v>
      </c>
      <c r="CB23" s="149">
        <v>-5.7018081517334398</v>
      </c>
      <c r="CC23" s="149">
        <v>-5.8750835559091401</v>
      </c>
      <c r="CD23" s="149">
        <v>-1.3587043601459201</v>
      </c>
      <c r="CE23" s="149">
        <v>-5.3778328309598402</v>
      </c>
      <c r="CF23" s="149">
        <v>-5.5751638336688698</v>
      </c>
      <c r="CG23" s="149">
        <v>-5.3179927114711498</v>
      </c>
      <c r="CH23" s="149">
        <v>-5.6674386910830297</v>
      </c>
      <c r="CI23" s="149">
        <v>-5.5703760538664904</v>
      </c>
      <c r="CJ23" s="149">
        <v>-5.7617829027476599</v>
      </c>
      <c r="CK23" s="149">
        <v>-5.3167589077303097</v>
      </c>
      <c r="CL23" s="149">
        <v>-5.7887919780137098</v>
      </c>
      <c r="CM23" s="149">
        <v>-5.2068708915047299</v>
      </c>
      <c r="CN23" s="149">
        <v>-5.9433615091368699</v>
      </c>
      <c r="CO23" s="149">
        <v>-5.3162641972257196</v>
      </c>
      <c r="CP23" s="149">
        <v>-4.8904887026711004</v>
      </c>
      <c r="CQ23" s="149">
        <v>-5.2822923417885796</v>
      </c>
      <c r="CR23" s="149">
        <v>-5.4522361024610504</v>
      </c>
      <c r="CS23" s="149">
        <v>-5.0103442373149303</v>
      </c>
      <c r="CT23" s="149">
        <v>-4.6358617289018298</v>
      </c>
      <c r="CU23" s="149">
        <v>-0.28186590028243502</v>
      </c>
      <c r="CV23" s="149">
        <v>-1.1137407829439301</v>
      </c>
      <c r="CW23" s="149">
        <v>-3.2207228250797502</v>
      </c>
      <c r="CX23" s="149">
        <v>-5.5058917065964197</v>
      </c>
      <c r="CY23" s="149">
        <v>-5.7727779274036104</v>
      </c>
      <c r="CZ23" s="149">
        <v>-4.7641971547523596</v>
      </c>
      <c r="DA23" s="149">
        <v>-5.1153821206541403</v>
      </c>
      <c r="DB23" s="149">
        <v>0.76203050608740597</v>
      </c>
      <c r="DC23" s="149">
        <v>0.63548853034834696</v>
      </c>
      <c r="DD23" s="149">
        <v>0.24989057265801201</v>
      </c>
      <c r="DE23" s="149">
        <v>-3.8475608637060001</v>
      </c>
    </row>
    <row r="24" spans="1:109" s="147" customFormat="1" ht="15.75" thickBot="1" x14ac:dyDescent="0.3">
      <c r="A24" s="147" t="s">
        <v>265</v>
      </c>
      <c r="B24" s="147" t="s">
        <v>650</v>
      </c>
      <c r="C24" s="147">
        <v>7.2094386471965893E-2</v>
      </c>
      <c r="D24" s="147">
        <v>7.9114128325818697E-2</v>
      </c>
      <c r="E24" s="147">
        <v>-0.17265118922782</v>
      </c>
      <c r="F24" s="147">
        <v>-1.00655298561963E-2</v>
      </c>
      <c r="G24" s="147">
        <v>3.9244131871690902E-2</v>
      </c>
      <c r="H24" s="147">
        <v>9.9252784332550706E-2</v>
      </c>
      <c r="I24" s="147">
        <v>6.3548864878716402E-2</v>
      </c>
      <c r="J24" s="147">
        <v>6.3268779530128204E-3</v>
      </c>
      <c r="K24" s="147">
        <v>4.8062416513052202E-2</v>
      </c>
      <c r="L24" s="147">
        <v>5.6878920673492102E-2</v>
      </c>
      <c r="M24" s="147">
        <v>2.8859082033950899E-2</v>
      </c>
      <c r="N24" s="147">
        <v>9.8679566979831601E-2</v>
      </c>
      <c r="O24" s="147">
        <v>0.133477853986957</v>
      </c>
      <c r="P24" s="147">
        <v>6.6618660662334905E-2</v>
      </c>
      <c r="Q24" s="147">
        <v>3.1208883403257E-2</v>
      </c>
      <c r="R24" s="147">
        <v>7.5155189440888004E-2</v>
      </c>
      <c r="S24" s="147">
        <v>3.7335975360472E-2</v>
      </c>
      <c r="T24" s="147">
        <v>2.54611438527052E-2</v>
      </c>
      <c r="U24" s="147">
        <v>0.15652913158301299</v>
      </c>
      <c r="V24" s="147">
        <v>7.1427062999387295E-2</v>
      </c>
      <c r="W24" s="147">
        <v>3.8795229570208999E-2</v>
      </c>
      <c r="X24" s="147">
        <v>0.13550499810762601</v>
      </c>
      <c r="Y24" s="147">
        <v>0.15796022874936899</v>
      </c>
      <c r="Z24" s="147">
        <v>0.113723933127444</v>
      </c>
      <c r="AA24" s="147">
        <v>0.26276462012116403</v>
      </c>
      <c r="AB24" s="147">
        <v>0.18197171621872299</v>
      </c>
      <c r="AC24" s="147">
        <v>0.19362855414149699</v>
      </c>
      <c r="AD24" s="147">
        <v>-0.10904320061746101</v>
      </c>
      <c r="AE24" s="147">
        <v>-4.5616468113556997E-2</v>
      </c>
      <c r="AF24" s="147">
        <v>0.171232314470257</v>
      </c>
      <c r="AG24" s="147">
        <v>9.6387488233250995E-2</v>
      </c>
      <c r="AH24" s="147">
        <v>8.6702025014145104E-2</v>
      </c>
      <c r="AI24" s="147">
        <v>3.7380739231885701E-2</v>
      </c>
      <c r="AJ24" s="147">
        <v>-1.68635785835793E-2</v>
      </c>
      <c r="AK24" s="147">
        <v>-0.10617779960179501</v>
      </c>
      <c r="AL24" s="147">
        <v>9.7934990147416301E-2</v>
      </c>
      <c r="AM24" s="147">
        <v>-0.159115428571938</v>
      </c>
      <c r="AN24" s="147">
        <v>-0.13500740793079999</v>
      </c>
      <c r="AO24" s="147">
        <v>1.6767003396357599E-2</v>
      </c>
      <c r="AP24" s="147">
        <v>-0.177541125734449</v>
      </c>
      <c r="AQ24" s="147">
        <v>-7.4673767334805297E-2</v>
      </c>
      <c r="AR24" s="147">
        <v>9.0749739912517696E-2</v>
      </c>
      <c r="AS24" s="147">
        <v>0.26291263642039298</v>
      </c>
      <c r="AT24" s="147">
        <v>0.126090205603413</v>
      </c>
      <c r="AU24" s="147">
        <v>7.2147643816049101E-2</v>
      </c>
      <c r="AV24" s="147">
        <v>2.2962321788716201E-2</v>
      </c>
      <c r="AW24" s="147">
        <v>5.8608660234671699E-2</v>
      </c>
      <c r="AX24" s="147">
        <v>-0.16994986961063099</v>
      </c>
      <c r="AY24" s="147">
        <v>6.7503712613632499E-2</v>
      </c>
      <c r="AZ24" s="147">
        <v>-1.17002275649892E-2</v>
      </c>
      <c r="BA24" s="147">
        <v>-0.22429339999803199</v>
      </c>
      <c r="BB24" s="147">
        <v>-0.129030560975744</v>
      </c>
      <c r="BC24" s="147">
        <v>-8.6936177714299095E-2</v>
      </c>
      <c r="BD24" s="147">
        <v>0.26531493756438901</v>
      </c>
      <c r="BE24" s="147">
        <v>6.0308669721577203E-2</v>
      </c>
      <c r="BF24" s="147">
        <v>4.1453073273165997E-2</v>
      </c>
      <c r="BG24" s="147">
        <v>-0.140624983841138</v>
      </c>
      <c r="BH24" s="147">
        <v>7.6101899093353298E-2</v>
      </c>
      <c r="BI24" s="147">
        <v>-0.27002765675122098</v>
      </c>
      <c r="BJ24" s="147">
        <v>-0.26096852660742598</v>
      </c>
      <c r="BK24" s="147">
        <v>-0.30619542546482598</v>
      </c>
      <c r="BL24" s="147">
        <v>0.192398656928951</v>
      </c>
      <c r="BM24" s="147">
        <v>0.113383650608156</v>
      </c>
      <c r="BN24" s="147">
        <v>-2.8804217199081099E-2</v>
      </c>
      <c r="BO24" s="147">
        <v>0.45805034490327801</v>
      </c>
      <c r="BP24" s="147">
        <v>3.9446986450945701E-2</v>
      </c>
      <c r="BQ24" s="147">
        <v>0.234903495474938</v>
      </c>
      <c r="BR24" s="147">
        <v>-0.109857668848476</v>
      </c>
      <c r="BS24" s="147">
        <v>0.31931448158530701</v>
      </c>
      <c r="BT24" s="147">
        <v>0.51693309866731496</v>
      </c>
      <c r="BU24" s="147">
        <v>-0.278912253843489</v>
      </c>
      <c r="BV24" s="147">
        <v>-0.108327512409887</v>
      </c>
      <c r="BW24" s="147">
        <v>-0.13645073235872299</v>
      </c>
      <c r="BX24" s="147">
        <v>0</v>
      </c>
      <c r="BY24" s="147">
        <v>0.24495037130596101</v>
      </c>
      <c r="BZ24" s="147">
        <v>0.261662421290415</v>
      </c>
      <c r="CA24" s="147">
        <v>7.4856868340955299E-2</v>
      </c>
      <c r="CB24" s="147">
        <v>-0.61294928939483395</v>
      </c>
      <c r="CC24" s="147">
        <v>-0.63336537570893303</v>
      </c>
      <c r="CD24" s="147">
        <v>-7.9529498130130105E-2</v>
      </c>
      <c r="CE24" s="147">
        <v>-0.54497527399242296</v>
      </c>
      <c r="CF24" s="147">
        <v>-0.322247496035523</v>
      </c>
      <c r="CG24" s="147">
        <v>-0.39930580296116702</v>
      </c>
      <c r="CH24" s="147">
        <v>-0.35075290053618702</v>
      </c>
      <c r="CI24" s="147">
        <v>-0.239593550598488</v>
      </c>
      <c r="CJ24" s="147">
        <v>-0.57418213447546895</v>
      </c>
      <c r="CK24" s="147">
        <v>-0.35061319601058399</v>
      </c>
      <c r="CL24" s="147">
        <v>-0.36759092093742202</v>
      </c>
      <c r="CM24" s="147">
        <v>-0.412059384313467</v>
      </c>
      <c r="CN24" s="147">
        <v>-0.458126857720911</v>
      </c>
      <c r="CO24" s="147">
        <v>-0.60959630755591998</v>
      </c>
      <c r="CP24" s="147">
        <v>-0.56377955393041801</v>
      </c>
      <c r="CQ24" s="147">
        <v>-0.54738554961805497</v>
      </c>
      <c r="CR24" s="147">
        <v>-0.41833601642602702</v>
      </c>
      <c r="CS24" s="147">
        <v>-0.369590229278213</v>
      </c>
      <c r="CT24" s="147">
        <v>-0.63336537570893303</v>
      </c>
      <c r="CU24" s="147">
        <v>-0.17769719095689401</v>
      </c>
      <c r="CV24" s="147">
        <v>-0.293025981766662</v>
      </c>
      <c r="CW24" s="147">
        <v>-0.54106104582380399</v>
      </c>
      <c r="CX24" s="147">
        <v>-0.63336537570893303</v>
      </c>
      <c r="CY24" s="147">
        <v>-0.61811282408980195</v>
      </c>
      <c r="CZ24" s="147">
        <v>-0.63336537570893303</v>
      </c>
      <c r="DA24" s="147">
        <v>-0.63336537570893303</v>
      </c>
      <c r="DB24" s="147">
        <v>-0.18705181790247999</v>
      </c>
      <c r="DC24" s="147">
        <v>-8.2134655810603405E-2</v>
      </c>
      <c r="DD24" s="147">
        <v>0.174446277872921</v>
      </c>
      <c r="DE24" s="147">
        <v>-3.05239321681306E-2</v>
      </c>
    </row>
    <row r="25" spans="1:109" x14ac:dyDescent="0.25">
      <c r="A25" s="149" t="s">
        <v>266</v>
      </c>
      <c r="B25" s="149" t="s">
        <v>581</v>
      </c>
      <c r="C25" s="149">
        <v>0.31725691721905303</v>
      </c>
      <c r="D25" s="149">
        <v>0.29374067185358799</v>
      </c>
      <c r="E25" s="149">
        <v>0.45723921692833802</v>
      </c>
      <c r="F25" s="149">
        <v>0.53295754547163299</v>
      </c>
      <c r="G25" s="149">
        <v>0.51968371450522599</v>
      </c>
      <c r="H25" s="149">
        <v>0.55056503009478597</v>
      </c>
      <c r="I25" s="149">
        <v>0.332649981922987</v>
      </c>
      <c r="J25" s="149">
        <v>0.58017293326201402</v>
      </c>
      <c r="K25" s="149">
        <v>0.55979058661039705</v>
      </c>
      <c r="L25" s="149">
        <v>0.27578304915806601</v>
      </c>
      <c r="M25" s="149">
        <v>0.55540578956907205</v>
      </c>
      <c r="N25" s="149">
        <v>0.52196620054548704</v>
      </c>
      <c r="O25" s="149">
        <v>0.182025801124304</v>
      </c>
      <c r="P25" s="149">
        <v>7.4770558049001304E-2</v>
      </c>
      <c r="Q25" s="149">
        <v>0.17067181475878801</v>
      </c>
      <c r="R25" s="149">
        <v>0.329302656762132</v>
      </c>
      <c r="S25" s="149">
        <v>0.16759838715073</v>
      </c>
      <c r="T25" s="149">
        <v>0</v>
      </c>
      <c r="U25" s="149">
        <v>-4.4122564398693699E-2</v>
      </c>
      <c r="V25" s="149">
        <v>6.8638796041032998E-2</v>
      </c>
      <c r="W25" s="149">
        <v>0.25971472242668803</v>
      </c>
      <c r="X25" s="149">
        <v>0.25818800241758599</v>
      </c>
      <c r="Y25" s="149">
        <v>0.28777203064981199</v>
      </c>
      <c r="Z25" s="149">
        <v>0.20719279673680699</v>
      </c>
      <c r="AA25" s="149">
        <v>0.32862125174762102</v>
      </c>
      <c r="AB25" s="149">
        <v>0.33539235977277798</v>
      </c>
      <c r="AC25" s="149">
        <v>2.9802582971627099E-2</v>
      </c>
      <c r="AD25" s="149">
        <v>0.367464915590825</v>
      </c>
      <c r="AE25" s="149">
        <v>0.29534911308810102</v>
      </c>
      <c r="AF25" s="149">
        <v>0.230304801950209</v>
      </c>
      <c r="AG25" s="149">
        <v>0.26138582582116798</v>
      </c>
      <c r="AH25" s="149">
        <v>0.26760304716728101</v>
      </c>
      <c r="AI25" s="149">
        <v>0.34998419500618</v>
      </c>
      <c r="AJ25" s="149">
        <v>0.360548395182968</v>
      </c>
      <c r="AK25" s="149">
        <v>-7.87494674892011E-2</v>
      </c>
      <c r="AL25" s="149">
        <v>-8.3291891276824903E-3</v>
      </c>
      <c r="AM25" s="149">
        <v>-0.26253320928828799</v>
      </c>
      <c r="AN25" s="149">
        <v>0.16501370117742101</v>
      </c>
      <c r="AO25" s="149">
        <v>-0.23562131672619899</v>
      </c>
      <c r="AP25" s="149">
        <v>-5.38825141612451E-2</v>
      </c>
      <c r="AQ25" s="149">
        <v>8.2283032146460398E-3</v>
      </c>
      <c r="AR25" s="149">
        <v>-0.275133168787769</v>
      </c>
      <c r="AS25" s="149">
        <v>6.3839105895145798E-2</v>
      </c>
      <c r="AT25" s="149">
        <v>0.108298827548446</v>
      </c>
      <c r="AU25" s="149">
        <v>7.2281164302220494E-2</v>
      </c>
      <c r="AV25" s="149">
        <v>2.2008303642238599E-2</v>
      </c>
      <c r="AW25" s="149">
        <v>0.31571478036085299</v>
      </c>
      <c r="AX25" s="149">
        <v>0.53231799307537397</v>
      </c>
      <c r="AY25" s="149">
        <v>0.43309091381856002</v>
      </c>
      <c r="AZ25" s="149">
        <v>0.39945228941837502</v>
      </c>
      <c r="BA25" s="149">
        <v>0.15672621450854399</v>
      </c>
      <c r="BB25" s="149">
        <v>0.22470309897528701</v>
      </c>
      <c r="BC25" s="149">
        <v>-0.70529931780579003</v>
      </c>
      <c r="BD25" s="149">
        <v>-2.45665571151422</v>
      </c>
      <c r="BE25" s="149">
        <v>-0.10663719400324401</v>
      </c>
      <c r="BF25" s="149">
        <v>-1.4007546256822601</v>
      </c>
      <c r="BG25" s="149">
        <v>-0.67514853919069795</v>
      </c>
      <c r="BH25" s="149">
        <v>-0.39688893628215</v>
      </c>
      <c r="BI25" s="149">
        <v>-0.52166353317042202</v>
      </c>
      <c r="BJ25" s="149">
        <v>6.4507658461863598E-2</v>
      </c>
      <c r="BK25" s="149">
        <v>-0.80430079755730799</v>
      </c>
      <c r="BL25" s="149">
        <v>-0.62730391688498899</v>
      </c>
      <c r="BM25" s="149">
        <v>0.198340581454577</v>
      </c>
      <c r="BN25" s="149">
        <v>0.199756486359562</v>
      </c>
      <c r="BO25" s="149">
        <v>0.383826507783051</v>
      </c>
      <c r="BP25" s="149">
        <v>0.66335434294015905</v>
      </c>
      <c r="BQ25" s="149">
        <v>-0.27378932075364498</v>
      </c>
      <c r="BR25" s="149">
        <v>4.6209204273679701E-2</v>
      </c>
      <c r="BS25" s="149">
        <v>-0.76463551872618396</v>
      </c>
      <c r="BT25" s="149">
        <v>2.0482778092300799E-2</v>
      </c>
      <c r="BU25" s="149">
        <v>-0.72492148848118698</v>
      </c>
      <c r="BV25" s="149">
        <v>-0.20499682912828801</v>
      </c>
      <c r="BW25" s="149">
        <v>7.8307035848950005E-2</v>
      </c>
      <c r="BX25" s="149">
        <v>-3.9549048532953099</v>
      </c>
      <c r="BY25" s="149">
        <v>-3.95996701995844</v>
      </c>
      <c r="BZ25" s="149">
        <v>-3.8944052829317499</v>
      </c>
      <c r="CA25" s="149">
        <v>-2.05188418697696</v>
      </c>
      <c r="CB25" s="149">
        <v>-2.95474045513124</v>
      </c>
      <c r="CC25" s="149">
        <v>-3.0672036071872002</v>
      </c>
      <c r="CD25" s="149">
        <v>-1.3314322212740699</v>
      </c>
      <c r="CE25" s="149">
        <v>-3.59076891484714</v>
      </c>
      <c r="CF25" s="149">
        <v>-3.1933354566052699</v>
      </c>
      <c r="CG25" s="149">
        <v>-3.8590477144967501</v>
      </c>
      <c r="CH25" s="149">
        <v>-3.4087708196372999</v>
      </c>
      <c r="CI25" s="149">
        <v>-3.8030022235109202</v>
      </c>
      <c r="CJ25" s="149">
        <v>-3.6020608773848002</v>
      </c>
      <c r="CK25" s="149">
        <v>-3.8008367639253602</v>
      </c>
      <c r="CL25" s="149">
        <v>-3.8923070258567098</v>
      </c>
      <c r="CM25" s="149">
        <v>-3.47680310597887</v>
      </c>
      <c r="CN25" s="149">
        <v>-3.9594848668210498</v>
      </c>
      <c r="CO25" s="149">
        <v>-3.4485609136243598</v>
      </c>
      <c r="CP25" s="149">
        <v>-2.9406280769970898</v>
      </c>
      <c r="CQ25" s="149">
        <v>-3.4749023080399799</v>
      </c>
      <c r="CR25" s="149">
        <v>-3.7783953430379502</v>
      </c>
      <c r="CS25" s="149">
        <v>-3.33491701860543</v>
      </c>
      <c r="CT25" s="149">
        <v>-3.4880432088081701</v>
      </c>
      <c r="CU25" s="149">
        <v>-0.913008161344248</v>
      </c>
      <c r="CV25" s="149">
        <v>-0.92629659515061102</v>
      </c>
      <c r="CW25" s="149">
        <v>-2.6590239697072602</v>
      </c>
      <c r="CX25" s="149">
        <v>-3.7067351044043502</v>
      </c>
      <c r="CY25" s="149">
        <v>-3.7070160838084698</v>
      </c>
      <c r="CZ25" s="149">
        <v>-3.27950578132543</v>
      </c>
      <c r="DA25" s="149">
        <v>-3.6258542621801002</v>
      </c>
      <c r="DB25" s="149">
        <v>0.30812734483620602</v>
      </c>
      <c r="DC25" s="149">
        <v>-0.23671466197596699</v>
      </c>
      <c r="DD25" s="149">
        <v>-0.65399850702454498</v>
      </c>
      <c r="DE25" s="149">
        <v>-3.3693045160755299</v>
      </c>
    </row>
    <row r="26" spans="1:109" x14ac:dyDescent="0.25">
      <c r="A26" s="149" t="s">
        <v>266</v>
      </c>
      <c r="B26" s="149" t="s">
        <v>584</v>
      </c>
      <c r="C26" s="149">
        <v>0</v>
      </c>
      <c r="D26" s="149">
        <v>1.35129410694581E-2</v>
      </c>
      <c r="E26" s="149">
        <v>1.0412901379310099E-2</v>
      </c>
      <c r="F26" s="149">
        <v>0</v>
      </c>
      <c r="G26" s="149">
        <v>0</v>
      </c>
      <c r="H26" s="149">
        <v>0</v>
      </c>
      <c r="I26" s="149">
        <v>0</v>
      </c>
      <c r="J26" s="149">
        <v>7.6407890911512301E-3</v>
      </c>
      <c r="K26" s="149">
        <v>0</v>
      </c>
      <c r="L26" s="149">
        <v>0</v>
      </c>
      <c r="M26" s="149">
        <v>0</v>
      </c>
      <c r="N26" s="149">
        <v>0</v>
      </c>
      <c r="O26" s="149">
        <v>0</v>
      </c>
      <c r="P26" s="149">
        <v>0</v>
      </c>
      <c r="Q26" s="149">
        <v>0</v>
      </c>
      <c r="R26" s="149">
        <v>0</v>
      </c>
      <c r="S26" s="149">
        <v>0</v>
      </c>
      <c r="T26" s="149">
        <v>0</v>
      </c>
      <c r="U26" s="149">
        <v>0</v>
      </c>
      <c r="V26" s="149">
        <v>0</v>
      </c>
      <c r="W26" s="149">
        <v>0</v>
      </c>
      <c r="X26" s="149">
        <v>0</v>
      </c>
      <c r="Y26" s="149">
        <v>0</v>
      </c>
      <c r="Z26" s="149">
        <v>0</v>
      </c>
      <c r="AA26" s="149">
        <v>0</v>
      </c>
      <c r="AB26" s="149">
        <v>0</v>
      </c>
      <c r="AC26" s="149">
        <v>0</v>
      </c>
      <c r="AD26" s="149">
        <v>0</v>
      </c>
      <c r="AE26" s="149">
        <v>2.1113754830738199E-2</v>
      </c>
      <c r="AF26" s="149">
        <v>0</v>
      </c>
      <c r="AG26" s="149">
        <v>0</v>
      </c>
      <c r="AH26" s="149">
        <v>0</v>
      </c>
      <c r="AI26" s="149">
        <v>0</v>
      </c>
      <c r="AJ26" s="149">
        <v>0</v>
      </c>
      <c r="AK26" s="149">
        <v>1.3299706440590199E-2</v>
      </c>
      <c r="AL26" s="149">
        <v>1.6199873646318801E-2</v>
      </c>
      <c r="AM26" s="149">
        <v>0</v>
      </c>
      <c r="AN26" s="149">
        <v>1.8054535298380699E-2</v>
      </c>
      <c r="AO26" s="149">
        <v>0</v>
      </c>
      <c r="AP26" s="149">
        <v>0</v>
      </c>
      <c r="AQ26" s="149">
        <v>0</v>
      </c>
      <c r="AR26" s="149">
        <v>0</v>
      </c>
      <c r="AS26" s="149">
        <v>0</v>
      </c>
      <c r="AT26" s="149">
        <v>0</v>
      </c>
      <c r="AU26" s="149">
        <v>0</v>
      </c>
      <c r="AV26" s="149">
        <v>0</v>
      </c>
      <c r="AW26" s="149">
        <v>0</v>
      </c>
      <c r="AX26" s="149">
        <v>0</v>
      </c>
      <c r="AY26" s="149">
        <v>0</v>
      </c>
      <c r="AZ26" s="149">
        <v>0</v>
      </c>
      <c r="BA26" s="149">
        <v>0</v>
      </c>
      <c r="BB26" s="149">
        <v>0</v>
      </c>
      <c r="BC26" s="149">
        <v>0</v>
      </c>
      <c r="BD26" s="149">
        <v>9.3694366595759707E-2</v>
      </c>
      <c r="BE26" s="149">
        <v>0</v>
      </c>
      <c r="BF26" s="149">
        <v>0</v>
      </c>
      <c r="BG26" s="149">
        <v>0</v>
      </c>
      <c r="BH26" s="149">
        <v>0</v>
      </c>
      <c r="BI26" s="149">
        <v>0</v>
      </c>
      <c r="BJ26" s="149">
        <v>0</v>
      </c>
      <c r="BK26" s="149">
        <v>0</v>
      </c>
      <c r="BL26" s="149">
        <v>0</v>
      </c>
      <c r="BM26" s="149">
        <v>0</v>
      </c>
      <c r="BN26" s="149">
        <v>0</v>
      </c>
      <c r="BO26" s="149">
        <v>0</v>
      </c>
      <c r="BP26" s="149">
        <v>0</v>
      </c>
      <c r="BQ26" s="149">
        <v>0</v>
      </c>
      <c r="BR26" s="149">
        <v>0</v>
      </c>
      <c r="BS26" s="149">
        <v>0</v>
      </c>
      <c r="BT26" s="149">
        <v>0</v>
      </c>
      <c r="BU26" s="149">
        <v>0</v>
      </c>
      <c r="BV26" s="149">
        <v>0</v>
      </c>
      <c r="BW26" s="149">
        <v>0</v>
      </c>
      <c r="BX26" s="149">
        <v>2.03446529860562E-2</v>
      </c>
      <c r="BY26" s="149">
        <v>0</v>
      </c>
      <c r="BZ26" s="149">
        <v>1.08126324730554E-2</v>
      </c>
      <c r="CA26" s="149">
        <v>0</v>
      </c>
      <c r="CB26" s="149">
        <v>6.06477911025122E-2</v>
      </c>
      <c r="CC26" s="149">
        <v>0</v>
      </c>
      <c r="CD26" s="149">
        <v>1.3207370493076199E-2</v>
      </c>
      <c r="CE26" s="149">
        <v>0</v>
      </c>
      <c r="CF26" s="149">
        <v>0</v>
      </c>
      <c r="CG26" s="149">
        <v>2.4715176768857001E-2</v>
      </c>
      <c r="CH26" s="149">
        <v>2.15157676576655E-2</v>
      </c>
      <c r="CI26" s="149">
        <v>4.1671712876551401E-2</v>
      </c>
      <c r="CJ26" s="149">
        <v>0</v>
      </c>
      <c r="CK26" s="149">
        <v>0</v>
      </c>
      <c r="CL26" s="149">
        <v>1.7667403141190901E-2</v>
      </c>
      <c r="CM26" s="149">
        <v>0</v>
      </c>
      <c r="CN26" s="149">
        <v>1.13120970432603E-2</v>
      </c>
      <c r="CO26" s="149">
        <v>9.3415353355444902E-2</v>
      </c>
      <c r="CP26" s="149">
        <v>6.9585821778514495E-2</v>
      </c>
      <c r="CQ26" s="149">
        <v>0</v>
      </c>
      <c r="CR26" s="149">
        <v>0</v>
      </c>
      <c r="CS26" s="149">
        <v>3.7113550427815702E-2</v>
      </c>
      <c r="CT26" s="149">
        <v>0</v>
      </c>
      <c r="CU26" s="149">
        <v>0</v>
      </c>
      <c r="CV26" s="149">
        <v>0</v>
      </c>
      <c r="CW26" s="149">
        <v>0</v>
      </c>
      <c r="CX26" s="149">
        <v>0</v>
      </c>
      <c r="CY26" s="149">
        <v>1.5252551619131201E-2</v>
      </c>
      <c r="CZ26" s="149">
        <v>0</v>
      </c>
      <c r="DA26" s="149">
        <v>0</v>
      </c>
      <c r="DB26" s="149">
        <v>0</v>
      </c>
      <c r="DC26" s="149">
        <v>0</v>
      </c>
      <c r="DD26" s="149">
        <v>0</v>
      </c>
      <c r="DE26" s="149">
        <v>0</v>
      </c>
    </row>
    <row r="27" spans="1:109" x14ac:dyDescent="0.25">
      <c r="A27" s="149" t="s">
        <v>266</v>
      </c>
      <c r="B27" s="149" t="s">
        <v>587</v>
      </c>
      <c r="C27" s="149">
        <v>0.63344583760848605</v>
      </c>
      <c r="D27" s="149">
        <v>0.45252109151742398</v>
      </c>
      <c r="E27" s="149">
        <v>1.80389244638572</v>
      </c>
      <c r="F27" s="149">
        <v>1.54443910397255</v>
      </c>
      <c r="G27" s="149">
        <v>1.32006291549342</v>
      </c>
      <c r="H27" s="149">
        <v>1.49430835235338</v>
      </c>
      <c r="I27" s="149">
        <v>1.37449738553558</v>
      </c>
      <c r="J27" s="149">
        <v>1.6576084988422399</v>
      </c>
      <c r="K27" s="149">
        <v>1.60280330120138</v>
      </c>
      <c r="L27" s="149">
        <v>0.66214758917087302</v>
      </c>
      <c r="M27" s="149">
        <v>1.4481301781817699</v>
      </c>
      <c r="N27" s="149">
        <v>1.4847027154789201</v>
      </c>
      <c r="O27" s="149">
        <v>0.60333535103339098</v>
      </c>
      <c r="P27" s="149">
        <v>0.60575588711051198</v>
      </c>
      <c r="Q27" s="149">
        <v>0.66307394234251804</v>
      </c>
      <c r="R27" s="149">
        <v>0.58229685591254998</v>
      </c>
      <c r="S27" s="149">
        <v>0.50318842444251699</v>
      </c>
      <c r="T27" s="149">
        <v>0.44462114582575801</v>
      </c>
      <c r="U27" s="149">
        <v>0.58940103649311704</v>
      </c>
      <c r="V27" s="149">
        <v>0.50328619031280297</v>
      </c>
      <c r="W27" s="149">
        <v>0.93843305815307398</v>
      </c>
      <c r="X27" s="149">
        <v>0.87911048397008196</v>
      </c>
      <c r="Y27" s="149">
        <v>0.94299329587626401</v>
      </c>
      <c r="Z27" s="149">
        <v>0.77576581969323799</v>
      </c>
      <c r="AA27" s="149">
        <v>1.1134503786344001</v>
      </c>
      <c r="AB27" s="149">
        <v>1.0368546701267201</v>
      </c>
      <c r="AC27" s="149">
        <v>1.1188648211182799</v>
      </c>
      <c r="AD27" s="149">
        <v>1.4388065527501199</v>
      </c>
      <c r="AE27" s="149">
        <v>1.41346823744373</v>
      </c>
      <c r="AF27" s="149">
        <v>1.3063475580357999</v>
      </c>
      <c r="AG27" s="149">
        <v>1.23902257059994</v>
      </c>
      <c r="AH27" s="149">
        <v>1.06716229608838</v>
      </c>
      <c r="AI27" s="149">
        <v>1.26941729004226</v>
      </c>
      <c r="AJ27" s="149">
        <v>1.2621993732700501</v>
      </c>
      <c r="AK27" s="149">
        <v>0.36051389788002303</v>
      </c>
      <c r="AL27" s="149">
        <v>6.6504184544014605E-2</v>
      </c>
      <c r="AM27" s="149">
        <v>1.14536271105277</v>
      </c>
      <c r="AN27" s="149">
        <v>1.44340683487331</v>
      </c>
      <c r="AO27" s="149">
        <v>0.20056767000543699</v>
      </c>
      <c r="AP27" s="149">
        <v>5.39023794911037E-2</v>
      </c>
      <c r="AQ27" s="149">
        <v>0</v>
      </c>
      <c r="AR27" s="149">
        <v>-6.6199990414367804E-2</v>
      </c>
      <c r="AS27" s="149">
        <v>0.39630193248643802</v>
      </c>
      <c r="AT27" s="149">
        <v>8.4035610964504306E-2</v>
      </c>
      <c r="AU27" s="149">
        <v>-6.3772467914513506E-2</v>
      </c>
      <c r="AV27" s="149">
        <v>0.131666826309355</v>
      </c>
      <c r="AW27" s="149">
        <v>0.76874251021975304</v>
      </c>
      <c r="AX27" s="149">
        <v>1.54588709793629</v>
      </c>
      <c r="AY27" s="149">
        <v>1.31748933299712</v>
      </c>
      <c r="AZ27" s="149">
        <v>0.388836652088353</v>
      </c>
      <c r="BA27" s="149">
        <v>-0.357526323550029</v>
      </c>
      <c r="BB27" s="149">
        <v>-0.45976078191007003</v>
      </c>
      <c r="BC27" s="149">
        <v>-0.52701752206340102</v>
      </c>
      <c r="BD27" s="149">
        <v>-0.50751331635576802</v>
      </c>
      <c r="BE27" s="149">
        <v>-0.48892909147723301</v>
      </c>
      <c r="BF27" s="149">
        <v>-1.0774669309444</v>
      </c>
      <c r="BG27" s="149">
        <v>-1.82417684010923</v>
      </c>
      <c r="BH27" s="149">
        <v>-3.9373638063496399</v>
      </c>
      <c r="BI27" s="149">
        <v>-0.537765992572663</v>
      </c>
      <c r="BJ27" s="149">
        <v>-0.74639241129338896</v>
      </c>
      <c r="BK27" s="149">
        <v>-1.43710834979378</v>
      </c>
      <c r="BL27" s="149">
        <v>-5.06032320875218E-2</v>
      </c>
      <c r="BM27" s="149">
        <v>0.224383551152466</v>
      </c>
      <c r="BN27" s="149">
        <v>0.56595631610135</v>
      </c>
      <c r="BO27" s="149">
        <v>0.44905789367142801</v>
      </c>
      <c r="BP27" s="149">
        <v>-0.25629099990351201</v>
      </c>
      <c r="BQ27" s="149">
        <v>-0.13685652571934301</v>
      </c>
      <c r="BR27" s="149">
        <v>3.7700106234433602E-2</v>
      </c>
      <c r="BS27" s="149">
        <v>-0.28058380011497402</v>
      </c>
      <c r="BT27" s="149">
        <v>-0.70075482615690599</v>
      </c>
      <c r="BU27" s="149">
        <v>-0.288574348330428</v>
      </c>
      <c r="BV27" s="149">
        <v>0.12802470652237899</v>
      </c>
      <c r="BW27" s="149">
        <v>-0.116548642176173</v>
      </c>
      <c r="BX27" s="149">
        <v>-5.1091367261883001</v>
      </c>
      <c r="BY27" s="149">
        <v>-5.1723108481594799</v>
      </c>
      <c r="BZ27" s="149">
        <v>-4.8441827863336302</v>
      </c>
      <c r="CA27" s="149">
        <v>-2.1606600909323599</v>
      </c>
      <c r="CB27" s="149">
        <v>-4.8556908257567803</v>
      </c>
      <c r="CC27" s="149">
        <v>-4.6184436083335596</v>
      </c>
      <c r="CD27" s="149">
        <v>-1.2383622321126799</v>
      </c>
      <c r="CE27" s="149">
        <v>-4.3974233709141801</v>
      </c>
      <c r="CF27" s="149">
        <v>-4.47289117043755</v>
      </c>
      <c r="CG27" s="149">
        <v>-4.6252484632198296</v>
      </c>
      <c r="CH27" s="149">
        <v>-4.4505019302928099</v>
      </c>
      <c r="CI27" s="149">
        <v>-4.5931136469005898</v>
      </c>
      <c r="CJ27" s="149">
        <v>-4.6578502622744402</v>
      </c>
      <c r="CK27" s="149">
        <v>-5.1071433263075399</v>
      </c>
      <c r="CL27" s="149">
        <v>-5.1733724957945402</v>
      </c>
      <c r="CM27" s="149">
        <v>-3.9145761286638598</v>
      </c>
      <c r="CN27" s="149">
        <v>-5.0585180251163502</v>
      </c>
      <c r="CO27" s="149">
        <v>-4.6372752928839898</v>
      </c>
      <c r="CP27" s="149">
        <v>-4.5288072596262703</v>
      </c>
      <c r="CQ27" s="149">
        <v>-4.8879401977418002</v>
      </c>
      <c r="CR27" s="149">
        <v>-5.1071521066004797</v>
      </c>
      <c r="CS27" s="149">
        <v>-4.5029555049048797</v>
      </c>
      <c r="CT27" s="149">
        <v>-4.1088299771550698</v>
      </c>
      <c r="CU27" s="149">
        <v>-1.2527827674021299</v>
      </c>
      <c r="CV27" s="149">
        <v>-0.90210554167949097</v>
      </c>
      <c r="CW27" s="149">
        <v>-3.1850727623719401</v>
      </c>
      <c r="CX27" s="149">
        <v>-4.5082444274056801</v>
      </c>
      <c r="CY27" s="149">
        <v>-4.8098658285509197</v>
      </c>
      <c r="CZ27" s="149">
        <v>-3.3871948455577798</v>
      </c>
      <c r="DA27" s="149">
        <v>-5.0026405194315302</v>
      </c>
      <c r="DB27" s="149">
        <v>0.167720238473444</v>
      </c>
      <c r="DC27" s="149">
        <v>-0.42740951815255601</v>
      </c>
      <c r="DD27" s="149">
        <v>-0.413400411269576</v>
      </c>
      <c r="DE27" s="149">
        <v>-4.0363416739976499</v>
      </c>
    </row>
    <row r="28" spans="1:109" x14ac:dyDescent="0.25">
      <c r="A28" s="149" t="s">
        <v>266</v>
      </c>
      <c r="B28" s="149" t="s">
        <v>591</v>
      </c>
      <c r="C28" s="149">
        <v>0.94123209717132905</v>
      </c>
      <c r="D28" s="149">
        <v>0.632282955338205</v>
      </c>
      <c r="E28" s="149">
        <v>1.0940392225612501</v>
      </c>
      <c r="F28" s="149">
        <v>1.12317666922926</v>
      </c>
      <c r="G28" s="149">
        <v>1.02296827599341</v>
      </c>
      <c r="H28" s="149">
        <v>1.0987521133267399</v>
      </c>
      <c r="I28" s="149">
        <v>0.993234239190247</v>
      </c>
      <c r="J28" s="149">
        <v>1.10572272054584</v>
      </c>
      <c r="K28" s="149">
        <v>1.10804447826846</v>
      </c>
      <c r="L28" s="149">
        <v>0.59972888902217603</v>
      </c>
      <c r="M28" s="149">
        <v>1.0003624853527699</v>
      </c>
      <c r="N28" s="149">
        <v>1.0756720681888301</v>
      </c>
      <c r="O28" s="149">
        <v>-0.30827130821565901</v>
      </c>
      <c r="P28" s="149">
        <v>-0.226226179961939</v>
      </c>
      <c r="Q28" s="149">
        <v>-0.22257805875370601</v>
      </c>
      <c r="R28" s="149">
        <v>-0.28013165444538402</v>
      </c>
      <c r="S28" s="149">
        <v>-0.36441910122169702</v>
      </c>
      <c r="T28" s="149">
        <v>-0.34061593278840502</v>
      </c>
      <c r="U28" s="149">
        <v>-0.29788168087879202</v>
      </c>
      <c r="V28" s="149">
        <v>-0.16848394089256999</v>
      </c>
      <c r="W28" s="149">
        <v>2.3115721605127901E-2</v>
      </c>
      <c r="X28" s="149">
        <v>1.16067467715164E-2</v>
      </c>
      <c r="Y28" s="149">
        <v>-0.117502559718206</v>
      </c>
      <c r="Z28" s="149">
        <v>-6.7939855162108098E-2</v>
      </c>
      <c r="AA28" s="149">
        <v>0.18877738058691401</v>
      </c>
      <c r="AB28" s="149">
        <v>-8.9691641748354797E-2</v>
      </c>
      <c r="AC28" s="149">
        <v>0.19675688197553101</v>
      </c>
      <c r="AD28" s="149">
        <v>0.26960851091655103</v>
      </c>
      <c r="AE28" s="149">
        <v>0.27220278418888799</v>
      </c>
      <c r="AF28" s="149">
        <v>0.34712276592007701</v>
      </c>
      <c r="AG28" s="149">
        <v>0.51340403566756798</v>
      </c>
      <c r="AH28" s="149">
        <v>0.168999899146868</v>
      </c>
      <c r="AI28" s="149">
        <v>0.310482081384166</v>
      </c>
      <c r="AJ28" s="149">
        <v>0.13367077244449099</v>
      </c>
      <c r="AK28" s="149">
        <v>0.12614553312968599</v>
      </c>
      <c r="AL28" s="149">
        <v>0</v>
      </c>
      <c r="AM28" s="149">
        <v>-0.72993021280399195</v>
      </c>
      <c r="AN28" s="149">
        <v>0.19046789657111499</v>
      </c>
      <c r="AO28" s="149">
        <v>-0.16023498903337199</v>
      </c>
      <c r="AP28" s="149">
        <v>-0.30303788469509302</v>
      </c>
      <c r="AQ28" s="149">
        <v>-0.333625822507154</v>
      </c>
      <c r="AR28" s="149">
        <v>-0.29649429991272502</v>
      </c>
      <c r="AS28" s="149">
        <v>-0.102617324325412</v>
      </c>
      <c r="AT28" s="149">
        <v>2.0398864012749298E-3</v>
      </c>
      <c r="AU28" s="149">
        <v>-0.30957398254276403</v>
      </c>
      <c r="AV28" s="149">
        <v>-0.155973752661414</v>
      </c>
      <c r="AW28" s="149">
        <v>1.73407380961402</v>
      </c>
      <c r="AX28" s="149">
        <v>1.7841753178119799</v>
      </c>
      <c r="AY28" s="149">
        <v>1.3512897864709801</v>
      </c>
      <c r="AZ28" s="149">
        <v>0.94815639705003796</v>
      </c>
      <c r="BA28" s="149">
        <v>0.51349923824666899</v>
      </c>
      <c r="BB28" s="149">
        <v>0.73746054145908801</v>
      </c>
      <c r="BC28" s="149">
        <v>0.437194463968199</v>
      </c>
      <c r="BD28" s="149">
        <v>0.55556531435360701</v>
      </c>
      <c r="BE28" s="149">
        <v>0.63402477359267995</v>
      </c>
      <c r="BF28" s="149">
        <v>0.25527397144682001</v>
      </c>
      <c r="BG28" s="149">
        <v>0.339723213324156</v>
      </c>
      <c r="BH28" s="149">
        <v>0.47591796802976999</v>
      </c>
      <c r="BI28" s="149">
        <v>0.55211497369936802</v>
      </c>
      <c r="BJ28" s="149">
        <v>0.35590036562656502</v>
      </c>
      <c r="BK28" s="149">
        <v>0.43965963332911701</v>
      </c>
      <c r="BL28" s="149">
        <v>1.5462161080183201</v>
      </c>
      <c r="BM28" s="149">
        <v>1.43533179193575</v>
      </c>
      <c r="BN28" s="149">
        <v>1.38197385503083</v>
      </c>
      <c r="BO28" s="149">
        <v>1.47662320863193</v>
      </c>
      <c r="BP28" s="149">
        <v>0.51616166421059395</v>
      </c>
      <c r="BQ28" s="149">
        <v>0.68702992271766405</v>
      </c>
      <c r="BR28" s="149">
        <v>0.88911694981593303</v>
      </c>
      <c r="BS28" s="149">
        <v>0.88997821541327404</v>
      </c>
      <c r="BT28" s="149">
        <v>0.73437246358015595</v>
      </c>
      <c r="BU28" s="149">
        <v>1.06560070476838</v>
      </c>
      <c r="BV28" s="149">
        <v>1.33758200712168</v>
      </c>
      <c r="BW28" s="149">
        <v>1.2989611779172401</v>
      </c>
      <c r="BX28" s="149">
        <v>-5.0331655625051797</v>
      </c>
      <c r="BY28" s="149">
        <v>-5.3969217384180501</v>
      </c>
      <c r="BZ28" s="149">
        <v>-5.2550541665421404</v>
      </c>
      <c r="CA28" s="149">
        <v>-2.6197460018207099</v>
      </c>
      <c r="CB28" s="149">
        <v>-5.0384381818936097</v>
      </c>
      <c r="CC28" s="149">
        <v>-5.4979266624106504</v>
      </c>
      <c r="CD28" s="149">
        <v>-1.3289891008296999</v>
      </c>
      <c r="CE28" s="149">
        <v>-4.9821602573848303</v>
      </c>
      <c r="CF28" s="149">
        <v>-5.0759858193945799</v>
      </c>
      <c r="CG28" s="149">
        <v>-5.1424639671604897</v>
      </c>
      <c r="CH28" s="149">
        <v>-5.0458427991372199</v>
      </c>
      <c r="CI28" s="149">
        <v>-5.0902508155303998</v>
      </c>
      <c r="CJ28" s="149">
        <v>-5.3476998618982696</v>
      </c>
      <c r="CK28" s="149">
        <v>-5.4293311011077501</v>
      </c>
      <c r="CL28" s="149">
        <v>-5.1214519439525503</v>
      </c>
      <c r="CM28" s="149">
        <v>-4.4078407746664103</v>
      </c>
      <c r="CN28" s="149">
        <v>-5.5513733387419704</v>
      </c>
      <c r="CO28" s="149">
        <v>-4.8311407432687004</v>
      </c>
      <c r="CP28" s="149">
        <v>-5.0616276307317598</v>
      </c>
      <c r="CQ28" s="149">
        <v>-5.2479639945178</v>
      </c>
      <c r="CR28" s="149">
        <v>-4.8899740708725501</v>
      </c>
      <c r="CS28" s="149">
        <v>-4.9521601351233402</v>
      </c>
      <c r="CT28" s="149">
        <v>-4.6489286748407102</v>
      </c>
      <c r="CU28" s="149">
        <v>-1.9252530895842701</v>
      </c>
      <c r="CV28" s="149">
        <v>-0.983250234383935</v>
      </c>
      <c r="CW28" s="149">
        <v>-3.8622182164330199</v>
      </c>
      <c r="CX28" s="149">
        <v>-5.0365842881294203</v>
      </c>
      <c r="CY28" s="149">
        <v>-5.2858207946828699</v>
      </c>
      <c r="CZ28" s="149">
        <v>-4.4173829925509001</v>
      </c>
      <c r="DA28" s="149">
        <v>-5.1124260352402402</v>
      </c>
      <c r="DB28" s="149">
        <v>-0.83462197605763</v>
      </c>
      <c r="DC28" s="149">
        <v>-0.55578397749280894</v>
      </c>
      <c r="DD28" s="149">
        <v>-1.38516647398982</v>
      </c>
      <c r="DE28" s="149">
        <v>-4.6876638327393803</v>
      </c>
    </row>
    <row r="29" spans="1:109" x14ac:dyDescent="0.25">
      <c r="A29" s="149" t="s">
        <v>266</v>
      </c>
      <c r="B29" s="149" t="s">
        <v>592</v>
      </c>
      <c r="C29" s="149">
        <v>0</v>
      </c>
      <c r="D29" s="149">
        <v>0</v>
      </c>
      <c r="E29" s="149">
        <v>1.0412901379310099E-2</v>
      </c>
      <c r="F29" s="149">
        <v>2.4089086543632499E-2</v>
      </c>
      <c r="G29" s="149">
        <v>0</v>
      </c>
      <c r="H29" s="149">
        <v>1.06654929442947E-2</v>
      </c>
      <c r="I29" s="149">
        <v>1.4595578857175001E-2</v>
      </c>
      <c r="J29" s="149">
        <v>7.6407890911512301E-3</v>
      </c>
      <c r="K29" s="149">
        <v>2.31972901723148E-2</v>
      </c>
      <c r="L29" s="149">
        <v>0</v>
      </c>
      <c r="M29" s="149">
        <v>0</v>
      </c>
      <c r="N29" s="149">
        <v>0</v>
      </c>
      <c r="O29" s="149">
        <v>0</v>
      </c>
      <c r="P29" s="149">
        <v>0</v>
      </c>
      <c r="Q29" s="149">
        <v>4.5296438327811203E-2</v>
      </c>
      <c r="R29" s="149">
        <v>0</v>
      </c>
      <c r="S29" s="149">
        <v>0</v>
      </c>
      <c r="T29" s="149">
        <v>5.3285916784659902E-2</v>
      </c>
      <c r="U29" s="149">
        <v>6.8346807842356402E-2</v>
      </c>
      <c r="V29" s="149">
        <v>0</v>
      </c>
      <c r="W29" s="149">
        <v>2.5192772583470899E-2</v>
      </c>
      <c r="X29" s="149">
        <v>0</v>
      </c>
      <c r="Y29" s="149">
        <v>0</v>
      </c>
      <c r="Z29" s="149">
        <v>0</v>
      </c>
      <c r="AA29" s="149">
        <v>3.2889619509771199E-2</v>
      </c>
      <c r="AB29" s="149">
        <v>0</v>
      </c>
      <c r="AC29" s="149">
        <v>0</v>
      </c>
      <c r="AD29" s="149">
        <v>0</v>
      </c>
      <c r="AE29" s="149">
        <v>2.1113754830738199E-2</v>
      </c>
      <c r="AF29" s="149">
        <v>0</v>
      </c>
      <c r="AG29" s="149">
        <v>0</v>
      </c>
      <c r="AH29" s="149">
        <v>0</v>
      </c>
      <c r="AI29" s="149">
        <v>3.0315586374611601E-2</v>
      </c>
      <c r="AJ29" s="149">
        <v>2.70289733178741E-2</v>
      </c>
      <c r="AK29" s="149">
        <v>5.27253314820985E-2</v>
      </c>
      <c r="AL29" s="149">
        <v>3.2291724876975403E-2</v>
      </c>
      <c r="AM29" s="149">
        <v>4.7021867771105397E-2</v>
      </c>
      <c r="AN29" s="149">
        <v>0</v>
      </c>
      <c r="AO29" s="149">
        <v>0</v>
      </c>
      <c r="AP29" s="149">
        <v>0</v>
      </c>
      <c r="AQ29" s="149">
        <v>0</v>
      </c>
      <c r="AR29" s="149">
        <v>0</v>
      </c>
      <c r="AS29" s="149">
        <v>0</v>
      </c>
      <c r="AT29" s="149">
        <v>0</v>
      </c>
      <c r="AU29" s="149">
        <v>0</v>
      </c>
      <c r="AV29" s="149">
        <v>0</v>
      </c>
      <c r="AW29" s="149">
        <v>0</v>
      </c>
      <c r="AX29" s="149">
        <v>0</v>
      </c>
      <c r="AY29" s="149">
        <v>0</v>
      </c>
      <c r="AZ29" s="149">
        <v>0</v>
      </c>
      <c r="BA29" s="149">
        <v>0</v>
      </c>
      <c r="BB29" s="149">
        <v>0</v>
      </c>
      <c r="BC29" s="149">
        <v>0</v>
      </c>
      <c r="BD29" s="149">
        <v>0</v>
      </c>
      <c r="BE29" s="149">
        <v>0</v>
      </c>
      <c r="BF29" s="149">
        <v>0</v>
      </c>
      <c r="BG29" s="149">
        <v>0</v>
      </c>
      <c r="BH29" s="149">
        <v>0</v>
      </c>
      <c r="BI29" s="149">
        <v>0</v>
      </c>
      <c r="BJ29" s="149">
        <v>0</v>
      </c>
      <c r="BK29" s="149">
        <v>0</v>
      </c>
      <c r="BL29" s="149">
        <v>0</v>
      </c>
      <c r="BM29" s="149">
        <v>0</v>
      </c>
      <c r="BN29" s="149">
        <v>0</v>
      </c>
      <c r="BO29" s="149">
        <v>0</v>
      </c>
      <c r="BP29" s="149">
        <v>0</v>
      </c>
      <c r="BQ29" s="149">
        <v>0</v>
      </c>
      <c r="BR29" s="149">
        <v>0</v>
      </c>
      <c r="BS29" s="149">
        <v>0</v>
      </c>
      <c r="BT29" s="149">
        <v>0</v>
      </c>
      <c r="BU29" s="149">
        <v>0</v>
      </c>
      <c r="BV29" s="149">
        <v>0</v>
      </c>
      <c r="BW29" s="149">
        <v>0</v>
      </c>
      <c r="BX29" s="149">
        <v>1.4061611527910201</v>
      </c>
      <c r="BY29" s="149">
        <v>1.32012058579723</v>
      </c>
      <c r="BZ29" s="149">
        <v>1.86107846262568</v>
      </c>
      <c r="CA29" s="149">
        <v>0.99203015831072605</v>
      </c>
      <c r="CB29" s="149">
        <v>2.0416086314099101E-2</v>
      </c>
      <c r="CC29" s="149">
        <v>0</v>
      </c>
      <c r="CD29" s="149">
        <v>0</v>
      </c>
      <c r="CE29" s="149">
        <v>0</v>
      </c>
      <c r="CF29" s="149">
        <v>0</v>
      </c>
      <c r="CG29" s="149">
        <v>2.4715176768857001E-2</v>
      </c>
      <c r="CH29" s="149">
        <v>0</v>
      </c>
      <c r="CI29" s="149">
        <v>0</v>
      </c>
      <c r="CJ29" s="149">
        <v>2.98243608902636E-2</v>
      </c>
      <c r="CK29" s="149">
        <v>4.3069375713781999E-2</v>
      </c>
      <c r="CL29" s="149">
        <v>0</v>
      </c>
      <c r="CM29" s="149">
        <v>0</v>
      </c>
      <c r="CN29" s="149">
        <v>0</v>
      </c>
      <c r="CO29" s="149">
        <v>0</v>
      </c>
      <c r="CP29" s="149">
        <v>0</v>
      </c>
      <c r="CQ29" s="149">
        <v>0</v>
      </c>
      <c r="CR29" s="149">
        <v>3.4135355070589103E-2</v>
      </c>
      <c r="CS29" s="149">
        <v>0</v>
      </c>
      <c r="CT29" s="149">
        <v>0</v>
      </c>
      <c r="CU29" s="149">
        <v>0</v>
      </c>
      <c r="CV29" s="149">
        <v>1.7244460216518001E-2</v>
      </c>
      <c r="CW29" s="149">
        <v>0</v>
      </c>
      <c r="CX29" s="149">
        <v>0</v>
      </c>
      <c r="CY29" s="149">
        <v>1.5252551619131201E-2</v>
      </c>
      <c r="CZ29" s="149">
        <v>3.42625162893712E-2</v>
      </c>
      <c r="DA29" s="149">
        <v>0</v>
      </c>
      <c r="DB29" s="149">
        <v>0</v>
      </c>
      <c r="DC29" s="149">
        <v>0</v>
      </c>
      <c r="DD29" s="149">
        <v>8.1086508665917906E-2</v>
      </c>
      <c r="DE29" s="149">
        <v>0.42555365246580701</v>
      </c>
    </row>
    <row r="30" spans="1:109" x14ac:dyDescent="0.25">
      <c r="A30" s="149" t="s">
        <v>266</v>
      </c>
      <c r="B30" s="149" t="s">
        <v>594</v>
      </c>
      <c r="C30" s="149">
        <v>0</v>
      </c>
      <c r="D30" s="149">
        <v>0</v>
      </c>
      <c r="E30" s="149">
        <v>0</v>
      </c>
      <c r="F30" s="149">
        <v>0</v>
      </c>
      <c r="G30" s="149">
        <v>0</v>
      </c>
      <c r="H30" s="149">
        <v>0</v>
      </c>
      <c r="I30" s="149">
        <v>0</v>
      </c>
      <c r="J30" s="149">
        <v>7.6407890911512301E-3</v>
      </c>
      <c r="K30" s="149">
        <v>0</v>
      </c>
      <c r="L30" s="149">
        <v>0</v>
      </c>
      <c r="M30" s="149">
        <v>5.8817733070896097E-3</v>
      </c>
      <c r="N30" s="149">
        <v>1.6603898487098399E-2</v>
      </c>
      <c r="O30" s="149">
        <v>0</v>
      </c>
      <c r="P30" s="149">
        <v>0</v>
      </c>
      <c r="Q30" s="149">
        <v>0</v>
      </c>
      <c r="R30" s="149">
        <v>0</v>
      </c>
      <c r="S30" s="149">
        <v>0</v>
      </c>
      <c r="T30" s="149">
        <v>0</v>
      </c>
      <c r="U30" s="149">
        <v>3.4514437491121597E-2</v>
      </c>
      <c r="V30" s="149">
        <v>3.6407013405354599E-2</v>
      </c>
      <c r="W30" s="149">
        <v>0</v>
      </c>
      <c r="X30" s="149">
        <v>4.3655576055466799E-2</v>
      </c>
      <c r="Y30" s="149">
        <v>3.9282692250949401E-2</v>
      </c>
      <c r="Z30" s="149">
        <v>0</v>
      </c>
      <c r="AA30" s="149">
        <v>0</v>
      </c>
      <c r="AB30" s="149">
        <v>0</v>
      </c>
      <c r="AC30" s="149">
        <v>2.3167288214229999E-2</v>
      </c>
      <c r="AD30" s="149">
        <v>0</v>
      </c>
      <c r="AE30" s="149">
        <v>2.1113754830738199E-2</v>
      </c>
      <c r="AF30" s="149">
        <v>0</v>
      </c>
      <c r="AG30" s="149">
        <v>0</v>
      </c>
      <c r="AH30" s="149">
        <v>4.1614650759907203E-2</v>
      </c>
      <c r="AI30" s="149">
        <v>3.0315586374611601E-2</v>
      </c>
      <c r="AJ30" s="149">
        <v>0</v>
      </c>
      <c r="AK30" s="149">
        <v>0</v>
      </c>
      <c r="AL30" s="149">
        <v>1.6199873646318801E-2</v>
      </c>
      <c r="AM30" s="149">
        <v>0</v>
      </c>
      <c r="AN30" s="149">
        <v>0</v>
      </c>
      <c r="AO30" s="149">
        <v>0</v>
      </c>
      <c r="AP30" s="149">
        <v>0</v>
      </c>
      <c r="AQ30" s="149">
        <v>3.9470693945445397E-2</v>
      </c>
      <c r="AR30" s="149">
        <v>0</v>
      </c>
      <c r="AS30" s="149">
        <v>0</v>
      </c>
      <c r="AT30" s="149">
        <v>0</v>
      </c>
      <c r="AU30" s="149">
        <v>3.6702932390418899E-2</v>
      </c>
      <c r="AV30" s="149">
        <v>0</v>
      </c>
      <c r="AW30" s="149">
        <v>0</v>
      </c>
      <c r="AX30" s="149">
        <v>0</v>
      </c>
      <c r="AY30" s="149">
        <v>0</v>
      </c>
      <c r="AZ30" s="149">
        <v>0</v>
      </c>
      <c r="BA30" s="149">
        <v>0</v>
      </c>
      <c r="BB30" s="149">
        <v>0</v>
      </c>
      <c r="BC30" s="149">
        <v>0</v>
      </c>
      <c r="BD30" s="149">
        <v>0</v>
      </c>
      <c r="BE30" s="149">
        <v>0</v>
      </c>
      <c r="BF30" s="149">
        <v>0</v>
      </c>
      <c r="BG30" s="149">
        <v>0</v>
      </c>
      <c r="BH30" s="149">
        <v>0</v>
      </c>
      <c r="BI30" s="149">
        <v>0</v>
      </c>
      <c r="BJ30" s="149">
        <v>0</v>
      </c>
      <c r="BK30" s="149">
        <v>0</v>
      </c>
      <c r="BL30" s="149">
        <v>0</v>
      </c>
      <c r="BM30" s="149">
        <v>0</v>
      </c>
      <c r="BN30" s="149">
        <v>0</v>
      </c>
      <c r="BO30" s="149">
        <v>0</v>
      </c>
      <c r="BP30" s="149">
        <v>0</v>
      </c>
      <c r="BQ30" s="149">
        <v>0</v>
      </c>
      <c r="BR30" s="149">
        <v>0</v>
      </c>
      <c r="BS30" s="149">
        <v>0</v>
      </c>
      <c r="BT30" s="149">
        <v>0</v>
      </c>
      <c r="BU30" s="149">
        <v>0</v>
      </c>
      <c r="BV30" s="149">
        <v>0</v>
      </c>
      <c r="BW30" s="149">
        <v>0</v>
      </c>
      <c r="BX30" s="149">
        <v>2.03446529860562E-2</v>
      </c>
      <c r="BY30" s="149">
        <v>2.2524407487623702E-2</v>
      </c>
      <c r="BZ30" s="149">
        <v>0</v>
      </c>
      <c r="CA30" s="149">
        <v>6.5296293770330999E-2</v>
      </c>
      <c r="CB30" s="149">
        <v>4.0630430221910097E-2</v>
      </c>
      <c r="CC30" s="149">
        <v>0</v>
      </c>
      <c r="CD30" s="149">
        <v>0</v>
      </c>
      <c r="CE30" s="149">
        <v>0</v>
      </c>
      <c r="CF30" s="149">
        <v>6.6274468089558697E-2</v>
      </c>
      <c r="CG30" s="149">
        <v>2.4715176768857001E-2</v>
      </c>
      <c r="CH30" s="149">
        <v>0</v>
      </c>
      <c r="CI30" s="149">
        <v>1.3989445917531601E-2</v>
      </c>
      <c r="CJ30" s="149">
        <v>0</v>
      </c>
      <c r="CK30" s="149">
        <v>0.12635415129349001</v>
      </c>
      <c r="CL30" s="149">
        <v>1.7667403141190901E-2</v>
      </c>
      <c r="CM30" s="149">
        <v>0</v>
      </c>
      <c r="CN30" s="149">
        <v>3.3784846285005797E-2</v>
      </c>
      <c r="CO30" s="149">
        <v>0.51487057747073905</v>
      </c>
      <c r="CP30" s="149">
        <v>6.9585821778514495E-2</v>
      </c>
      <c r="CQ30" s="149">
        <v>0</v>
      </c>
      <c r="CR30" s="149">
        <v>0</v>
      </c>
      <c r="CS30" s="149">
        <v>0</v>
      </c>
      <c r="CT30" s="149">
        <v>0</v>
      </c>
      <c r="CU30" s="149">
        <v>0</v>
      </c>
      <c r="CV30" s="149">
        <v>0</v>
      </c>
      <c r="CW30" s="149">
        <v>0</v>
      </c>
      <c r="CX30" s="149">
        <v>0</v>
      </c>
      <c r="CY30" s="149">
        <v>0</v>
      </c>
      <c r="CZ30" s="149">
        <v>0</v>
      </c>
      <c r="DA30" s="149">
        <v>4.8610924546149799E-2</v>
      </c>
      <c r="DB30" s="149">
        <v>0</v>
      </c>
      <c r="DC30" s="149">
        <v>0</v>
      </c>
      <c r="DD30" s="149">
        <v>0</v>
      </c>
      <c r="DE30" s="149">
        <v>0</v>
      </c>
    </row>
    <row r="31" spans="1:109" x14ac:dyDescent="0.25">
      <c r="A31" s="149" t="s">
        <v>266</v>
      </c>
      <c r="B31" s="149" t="s">
        <v>596</v>
      </c>
      <c r="C31" s="149">
        <v>-5.0107937284751401E-2</v>
      </c>
      <c r="D31" s="149">
        <v>-2.9373228367786702E-2</v>
      </c>
      <c r="E31" s="149">
        <v>-3.46365570195898E-2</v>
      </c>
      <c r="F31" s="149">
        <v>0.105163402664592</v>
      </c>
      <c r="G31" s="149">
        <v>5.5447229375941702E-2</v>
      </c>
      <c r="H31" s="149">
        <v>8.4492784793903097E-3</v>
      </c>
      <c r="I31" s="149">
        <v>-9.7500399872915196E-3</v>
      </c>
      <c r="J31" s="149">
        <v>9.5089386948354407E-2</v>
      </c>
      <c r="K31" s="149">
        <v>6.7823707267912398E-2</v>
      </c>
      <c r="L31" s="149">
        <v>4.5646868415163702E-2</v>
      </c>
      <c r="M31" s="149">
        <v>9.7599566981237507E-2</v>
      </c>
      <c r="N31" s="149">
        <v>-2.27250580277614E-2</v>
      </c>
      <c r="O31" s="149">
        <v>0.23146594913302801</v>
      </c>
      <c r="P31" s="149">
        <v>0.14860906179917999</v>
      </c>
      <c r="Q31" s="149">
        <v>-6.7438962239197403E-2</v>
      </c>
      <c r="R31" s="149">
        <v>0.41071177097193901</v>
      </c>
      <c r="S31" s="149">
        <v>4.7038012757875003E-2</v>
      </c>
      <c r="T31" s="149">
        <v>0.10008782185975899</v>
      </c>
      <c r="U31" s="149">
        <v>0.16306352303827901</v>
      </c>
      <c r="V31" s="149">
        <v>1.39495592432672E-3</v>
      </c>
      <c r="W31" s="149">
        <v>0.114913962591059</v>
      </c>
      <c r="X31" s="149">
        <v>0.377538624480447</v>
      </c>
      <c r="Y31" s="149">
        <v>0.144474935159843</v>
      </c>
      <c r="Z31" s="149">
        <v>0.11071587383794</v>
      </c>
      <c r="AA31" s="149">
        <v>2.4553330500259402E-2</v>
      </c>
      <c r="AB31" s="149">
        <v>0.184559265022882</v>
      </c>
      <c r="AC31" s="149">
        <v>0.18018085706103801</v>
      </c>
      <c r="AD31" s="149">
        <v>0.1876283007664</v>
      </c>
      <c r="AE31" s="149">
        <v>0.144407479109874</v>
      </c>
      <c r="AF31" s="149">
        <v>0.192069705600031</v>
      </c>
      <c r="AG31" s="149">
        <v>0.27909103894209197</v>
      </c>
      <c r="AH31" s="149">
        <v>6.9063184481222104E-2</v>
      </c>
      <c r="AI31" s="149">
        <v>0.117445828655673</v>
      </c>
      <c r="AJ31" s="149">
        <v>5.0000253071427102E-2</v>
      </c>
      <c r="AK31" s="149">
        <v>-9.6190927740232704E-2</v>
      </c>
      <c r="AL31" s="149">
        <v>2.8196827597377901E-2</v>
      </c>
      <c r="AM31" s="149">
        <v>0.126672214755462</v>
      </c>
      <c r="AN31" s="149">
        <v>6.5610711106967604E-2</v>
      </c>
      <c r="AO31" s="149">
        <v>-0.18741689725663799</v>
      </c>
      <c r="AP31" s="149">
        <v>-5.05329402210416E-2</v>
      </c>
      <c r="AQ31" s="149">
        <v>3.3353468450088797E-2</v>
      </c>
      <c r="AR31" s="149">
        <v>2.5281612634387701E-2</v>
      </c>
      <c r="AS31" s="149">
        <v>0.13750515919787601</v>
      </c>
      <c r="AT31" s="149">
        <v>2.42976237857906E-2</v>
      </c>
      <c r="AU31" s="149">
        <v>-0.153230139827888</v>
      </c>
      <c r="AV31" s="149">
        <v>5.4054095011349397E-2</v>
      </c>
      <c r="AW31" s="149">
        <v>-0.16747857271727901</v>
      </c>
      <c r="AX31" s="149">
        <v>-0.27657281009321899</v>
      </c>
      <c r="AY31" s="149">
        <v>-1.3279331962505799E-2</v>
      </c>
      <c r="AZ31" s="149">
        <v>-1.0612974110815101E-2</v>
      </c>
      <c r="BA31" s="149">
        <v>-0.27150867188252498</v>
      </c>
      <c r="BB31" s="149">
        <v>-2.8946658334978101E-2</v>
      </c>
      <c r="BC31" s="149">
        <v>-0.20647651076017301</v>
      </c>
      <c r="BD31" s="149">
        <v>-9.6647425084659996E-2</v>
      </c>
      <c r="BE31" s="149">
        <v>-2.6728004973034201E-2</v>
      </c>
      <c r="BF31" s="149">
        <v>-4.4139339849633301E-2</v>
      </c>
      <c r="BG31" s="149">
        <v>-0.14585696239415699</v>
      </c>
      <c r="BH31" s="149">
        <v>-0.362212712828056</v>
      </c>
      <c r="BI31" s="149">
        <v>-0.362212712828056</v>
      </c>
      <c r="BJ31" s="149">
        <v>-0.362212712828056</v>
      </c>
      <c r="BK31" s="149">
        <v>6.0289140399567197E-2</v>
      </c>
      <c r="BL31" s="149">
        <v>0</v>
      </c>
      <c r="BM31" s="149">
        <v>-5.2914821396142703E-2</v>
      </c>
      <c r="BN31" s="149">
        <v>-0.212326776570432</v>
      </c>
      <c r="BO31" s="149">
        <v>-0.18707774560293899</v>
      </c>
      <c r="BP31" s="149">
        <v>-0.22808015560362799</v>
      </c>
      <c r="BQ31" s="149">
        <v>-0.212210696622297</v>
      </c>
      <c r="BR31" s="149">
        <v>-0.194259991173726</v>
      </c>
      <c r="BS31" s="149">
        <v>-0.120434670432334</v>
      </c>
      <c r="BT31" s="149">
        <v>-7.9623578872682801E-2</v>
      </c>
      <c r="BU31" s="149">
        <v>9.4530226941066595E-2</v>
      </c>
      <c r="BV31" s="149">
        <v>-9.5942227634270794E-2</v>
      </c>
      <c r="BW31" s="149">
        <v>-0.12588171370758799</v>
      </c>
      <c r="BX31" s="149">
        <v>0.43313354119533498</v>
      </c>
      <c r="BY31" s="149">
        <v>0.41072711206977203</v>
      </c>
      <c r="BZ31" s="149">
        <v>0.68157989990825296</v>
      </c>
      <c r="CA31" s="149">
        <v>0.14049359930903799</v>
      </c>
      <c r="CB31" s="149">
        <v>-5.43551381591173E-2</v>
      </c>
      <c r="CC31" s="149">
        <v>9.6917766476389E-3</v>
      </c>
      <c r="CD31" s="149">
        <v>6.0187988224731502E-2</v>
      </c>
      <c r="CE31" s="149">
        <v>4.9256978380703101E-2</v>
      </c>
      <c r="CF31" s="149">
        <v>0.12397266043393999</v>
      </c>
      <c r="CG31" s="149">
        <v>-6.3016121061209004E-2</v>
      </c>
      <c r="CH31" s="149">
        <v>0.52150510803352601</v>
      </c>
      <c r="CI31" s="149">
        <v>0.229307841512884</v>
      </c>
      <c r="CJ31" s="149">
        <v>0.114628460975036</v>
      </c>
      <c r="CK31" s="149">
        <v>-4.2255865414553603E-2</v>
      </c>
      <c r="CL31" s="149">
        <v>-0.143732828626742</v>
      </c>
      <c r="CM31" s="149">
        <v>8.7048239568377397E-3</v>
      </c>
      <c r="CN31" s="149">
        <v>-0.13101441483958801</v>
      </c>
      <c r="CO31" s="149">
        <v>-0.362212712828056</v>
      </c>
      <c r="CP31" s="149">
        <v>-0.124828288599272</v>
      </c>
      <c r="CQ31" s="149">
        <v>-0.14141769298283799</v>
      </c>
      <c r="CR31" s="149">
        <v>0.126840575353839</v>
      </c>
      <c r="CS31" s="149">
        <v>0.21993414330578001</v>
      </c>
      <c r="CT31" s="149">
        <v>-0.25923965510785701</v>
      </c>
      <c r="CU31" s="149">
        <v>-0.22504952320333499</v>
      </c>
      <c r="CV31" s="149">
        <v>6.4484571030669194E-2</v>
      </c>
      <c r="CW31" s="149">
        <v>-0.210373647778028</v>
      </c>
      <c r="CX31" s="149">
        <v>-8.3660488025913901E-2</v>
      </c>
      <c r="CY31" s="149">
        <v>-0.25780918594097402</v>
      </c>
      <c r="CZ31" s="149">
        <v>-0.26109744376774702</v>
      </c>
      <c r="DA31" s="149">
        <v>-0.26632820154520498</v>
      </c>
      <c r="DB31" s="149">
        <v>-3.1029078182055699E-2</v>
      </c>
      <c r="DC31" s="149">
        <v>-0.362212712828056</v>
      </c>
      <c r="DD31" s="149">
        <v>-5.9901045848867698E-2</v>
      </c>
      <c r="DE31" s="149">
        <v>-3.3025281216860901E-2</v>
      </c>
    </row>
    <row r="32" spans="1:109" x14ac:dyDescent="0.25">
      <c r="A32" s="149" t="s">
        <v>266</v>
      </c>
      <c r="B32" s="149" t="s">
        <v>602</v>
      </c>
      <c r="C32" s="149">
        <v>-1.88365051101031E-2</v>
      </c>
      <c r="D32" s="149">
        <v>1.9566201213681501E-2</v>
      </c>
      <c r="E32" s="149">
        <v>4.0033133732793401E-2</v>
      </c>
      <c r="F32" s="149">
        <v>0</v>
      </c>
      <c r="G32" s="149">
        <v>-2.8649228283399799E-2</v>
      </c>
      <c r="H32" s="149">
        <v>-5.5584746590320901E-3</v>
      </c>
      <c r="I32" s="149">
        <v>-1.1598344810657E-2</v>
      </c>
      <c r="J32" s="149">
        <v>1.9438935413145599E-3</v>
      </c>
      <c r="K32" s="149">
        <v>-3.2431955784446402E-2</v>
      </c>
      <c r="L32" s="149">
        <v>9.7679115139948092E-3</v>
      </c>
      <c r="M32" s="149">
        <v>2.18514632469855E-2</v>
      </c>
      <c r="N32" s="149">
        <v>-1.4839974791865799E-2</v>
      </c>
      <c r="O32" s="149">
        <v>-4.7922175738006299E-2</v>
      </c>
      <c r="P32" s="149">
        <v>2.46577374028829E-2</v>
      </c>
      <c r="Q32" s="149">
        <v>-4.7922175738006299E-2</v>
      </c>
      <c r="R32" s="149">
        <v>2.5712100187771599E-2</v>
      </c>
      <c r="S32" s="149">
        <v>-4.7922175738006299E-2</v>
      </c>
      <c r="T32" s="149">
        <v>5.3637410466534901E-3</v>
      </c>
      <c r="U32" s="149">
        <v>2.04246321043502E-2</v>
      </c>
      <c r="V32" s="149">
        <v>2.4131761929133501E-2</v>
      </c>
      <c r="W32" s="149">
        <v>5.0732003241460599E-2</v>
      </c>
      <c r="X32" s="149">
        <v>-4.2665996825394801E-3</v>
      </c>
      <c r="Y32" s="149">
        <v>2.9780243223239199E-2</v>
      </c>
      <c r="Z32" s="149">
        <v>4.28232126053497E-2</v>
      </c>
      <c r="AA32" s="149">
        <v>4.8972765609792801E-2</v>
      </c>
      <c r="AB32" s="149">
        <v>-1.45820268114538E-2</v>
      </c>
      <c r="AC32" s="149">
        <v>2.0680550731651801E-2</v>
      </c>
      <c r="AD32" s="149">
        <v>-2.5927178639427402E-4</v>
      </c>
      <c r="AE32" s="149">
        <v>7.5107507034010396E-2</v>
      </c>
      <c r="AF32" s="149">
        <v>1.35465586550134E-2</v>
      </c>
      <c r="AG32" s="149">
        <v>6.4042205171732799E-2</v>
      </c>
      <c r="AH32" s="149">
        <v>-6.3075249780991504E-3</v>
      </c>
      <c r="AI32" s="149">
        <v>-1.76065893633949E-2</v>
      </c>
      <c r="AJ32" s="149">
        <v>-2.0893202420132199E-2</v>
      </c>
      <c r="AK32" s="149">
        <v>1.7791106403023099E-2</v>
      </c>
      <c r="AL32" s="149">
        <v>-3.1722302091687499E-2</v>
      </c>
      <c r="AM32" s="149">
        <v>-4.7922175738006299E-2</v>
      </c>
      <c r="AN32" s="149">
        <v>5.77698656436876E-2</v>
      </c>
      <c r="AO32" s="149">
        <v>-4.7922175738006299E-2</v>
      </c>
      <c r="AP32" s="149">
        <v>8.2196358425701103E-3</v>
      </c>
      <c r="AQ32" s="149">
        <v>0.104634772450239</v>
      </c>
      <c r="AR32" s="149">
        <v>6.6795964055998705E-2</v>
      </c>
      <c r="AS32" s="149">
        <v>1.5318807961488601E-2</v>
      </c>
      <c r="AT32" s="149">
        <v>1.7830114058115499E-4</v>
      </c>
      <c r="AU32" s="149">
        <v>-4.7922175738006299E-2</v>
      </c>
      <c r="AV32" s="149">
        <v>1.01552314054932E-2</v>
      </c>
      <c r="AW32" s="149">
        <v>1.97432274067239E-2</v>
      </c>
      <c r="AX32" s="149">
        <v>-1.88916363989803E-2</v>
      </c>
      <c r="AY32" s="149">
        <v>1.6937780935939999E-2</v>
      </c>
      <c r="AZ32" s="149">
        <v>-4.7922175738006299E-2</v>
      </c>
      <c r="BA32" s="149">
        <v>-4.7922175738006299E-2</v>
      </c>
      <c r="BB32" s="149">
        <v>2.4566004090171002E-2</v>
      </c>
      <c r="BC32" s="149">
        <v>3.1919155025752301E-2</v>
      </c>
      <c r="BD32" s="149">
        <v>-4.7922175738006299E-2</v>
      </c>
      <c r="BE32" s="149">
        <v>7.2171930131644593E-2</v>
      </c>
      <c r="BF32" s="149">
        <v>-4.7922175738006299E-2</v>
      </c>
      <c r="BG32" s="149">
        <v>-4.7922175738006299E-2</v>
      </c>
      <c r="BH32" s="149">
        <v>-4.7922175738006299E-2</v>
      </c>
      <c r="BI32" s="149">
        <v>-4.7922175738006299E-2</v>
      </c>
      <c r="BJ32" s="149">
        <v>-4.7922175738006299E-2</v>
      </c>
      <c r="BK32" s="149">
        <v>6.9011067280389304E-2</v>
      </c>
      <c r="BL32" s="149">
        <v>8.2440613955058001E-2</v>
      </c>
      <c r="BM32" s="149">
        <v>-4.7922175738006299E-2</v>
      </c>
      <c r="BN32" s="149">
        <v>-4.7922175738006299E-2</v>
      </c>
      <c r="BO32" s="149">
        <v>-4.7922175738006299E-2</v>
      </c>
      <c r="BP32" s="149">
        <v>8.6210381486421503E-2</v>
      </c>
      <c r="BQ32" s="149">
        <v>-4.7922175738006299E-2</v>
      </c>
      <c r="BR32" s="149">
        <v>-4.7922175738006299E-2</v>
      </c>
      <c r="BS32" s="149">
        <v>-4.7922175738006299E-2</v>
      </c>
      <c r="BT32" s="149">
        <v>-4.7922175738006299E-2</v>
      </c>
      <c r="BU32" s="149">
        <v>-4.7922175738006299E-2</v>
      </c>
      <c r="BV32" s="149">
        <v>-7.0606756135153303E-3</v>
      </c>
      <c r="BW32" s="149">
        <v>-4.7922175738006299E-2</v>
      </c>
      <c r="BX32" s="149">
        <v>-2.75775227519501E-2</v>
      </c>
      <c r="BY32" s="149">
        <v>4.0848617068026297E-2</v>
      </c>
      <c r="BZ32" s="149">
        <v>5.8015543168241403E-3</v>
      </c>
      <c r="CA32" s="149">
        <v>-4.7922175738006299E-2</v>
      </c>
      <c r="CB32" s="149">
        <v>3.25505877761436E-2</v>
      </c>
      <c r="CC32" s="149">
        <v>3.63011417217982E-2</v>
      </c>
      <c r="CD32" s="149">
        <v>1.2047099987728099E-2</v>
      </c>
      <c r="CE32" s="149">
        <v>0.14878548409415401</v>
      </c>
      <c r="CF32" s="149">
        <v>1.83522923515523E-2</v>
      </c>
      <c r="CG32" s="149">
        <v>1.19457592597998E-3</v>
      </c>
      <c r="CH32" s="149">
        <v>-2.6406408080340699E-2</v>
      </c>
      <c r="CI32" s="149">
        <v>6.1299099639061799E-2</v>
      </c>
      <c r="CJ32" s="149">
        <v>0.124357894600731</v>
      </c>
      <c r="CK32" s="149">
        <v>-4.8528000242243604E-3</v>
      </c>
      <c r="CL32" s="149">
        <v>4.8820526568052601E-2</v>
      </c>
      <c r="CM32" s="149">
        <v>2.3629201975789899E-2</v>
      </c>
      <c r="CN32" s="149">
        <v>1.92022982509432E-2</v>
      </c>
      <c r="CO32" s="149">
        <v>2.2546909502622899E-2</v>
      </c>
      <c r="CP32" s="149">
        <v>2.16636460405083E-2</v>
      </c>
      <c r="CQ32" s="149">
        <v>-2.61149142229673E-2</v>
      </c>
      <c r="CR32" s="149">
        <v>-4.7922175738006299E-2</v>
      </c>
      <c r="CS32" s="149">
        <v>-1.0808625310190501E-2</v>
      </c>
      <c r="CT32" s="149">
        <v>-4.7922175738006299E-2</v>
      </c>
      <c r="CU32" s="149">
        <v>-9.1587282968410004E-4</v>
      </c>
      <c r="CV32" s="149">
        <v>2.0369115358602499E-2</v>
      </c>
      <c r="CW32" s="149">
        <v>-1.6735121104838501E-2</v>
      </c>
      <c r="CX32" s="149">
        <v>-4.7922175738006299E-2</v>
      </c>
      <c r="CY32" s="149">
        <v>-2.51032701233481E-3</v>
      </c>
      <c r="CZ32" s="149">
        <v>-1.3659659448635101E-2</v>
      </c>
      <c r="DA32" s="149">
        <v>-4.7922175738006299E-2</v>
      </c>
      <c r="DB32" s="149">
        <v>-4.7922175738006299E-2</v>
      </c>
      <c r="DC32" s="149">
        <v>4.35500535071211E-2</v>
      </c>
      <c r="DD32" s="149">
        <v>3.3164332927911599E-2</v>
      </c>
      <c r="DE32" s="149">
        <v>1.1849066793069501E-2</v>
      </c>
    </row>
    <row r="33" spans="1:109" x14ac:dyDescent="0.25">
      <c r="A33" s="149" t="s">
        <v>266</v>
      </c>
      <c r="B33" s="149" t="s">
        <v>608</v>
      </c>
      <c r="C33" s="149">
        <v>0.14443539949794601</v>
      </c>
      <c r="D33" s="149">
        <v>-1.26645741479863E-2</v>
      </c>
      <c r="E33" s="149">
        <v>-0.14518862560680901</v>
      </c>
      <c r="F33" s="149">
        <v>0.76917064398716395</v>
      </c>
      <c r="G33" s="149">
        <v>0.87519562026880504</v>
      </c>
      <c r="H33" s="149">
        <v>0.74402380770296195</v>
      </c>
      <c r="I33" s="149">
        <v>0.60126966084810496</v>
      </c>
      <c r="J33" s="149">
        <v>0.76659625323795499</v>
      </c>
      <c r="K33" s="149">
        <v>0.75459169093257505</v>
      </c>
      <c r="L33" s="149">
        <v>0.67433883497582903</v>
      </c>
      <c r="M33" s="149">
        <v>0.657470901424559</v>
      </c>
      <c r="N33" s="149">
        <v>0.70227398189136703</v>
      </c>
      <c r="O33" s="149">
        <v>0</v>
      </c>
      <c r="P33" s="149">
        <v>4.3289247435524598E-2</v>
      </c>
      <c r="Q33" s="149">
        <v>3.4488440848680003E-2</v>
      </c>
      <c r="R33" s="149">
        <v>-8.8825895341970093E-2</v>
      </c>
      <c r="S33" s="149">
        <v>-4.9372976165795598E-2</v>
      </c>
      <c r="T33" s="149">
        <v>-0.21482301272944701</v>
      </c>
      <c r="U33" s="149">
        <v>-4.8364058948156E-2</v>
      </c>
      <c r="V33" s="149">
        <v>-0.121979235169135</v>
      </c>
      <c r="W33" s="149">
        <v>-2.93881574966431E-2</v>
      </c>
      <c r="X33" s="149">
        <v>8.6409022912762895E-2</v>
      </c>
      <c r="Y33" s="149">
        <v>0.21348428951467599</v>
      </c>
      <c r="Z33" s="149">
        <v>-3.2871771917213799E-2</v>
      </c>
      <c r="AA33" s="149">
        <v>0.17754368747229399</v>
      </c>
      <c r="AB33" s="149">
        <v>0.201771865831499</v>
      </c>
      <c r="AC33" s="149">
        <v>8.1585372806184005E-3</v>
      </c>
      <c r="AD33" s="149">
        <v>0.257918295780386</v>
      </c>
      <c r="AE33" s="149">
        <v>7.3251478295638495E-2</v>
      </c>
      <c r="AF33" s="149">
        <v>5.8051654908735303E-2</v>
      </c>
      <c r="AG33" s="149">
        <v>8.6395976280382605E-2</v>
      </c>
      <c r="AH33" s="149">
        <v>0.25008040938374998</v>
      </c>
      <c r="AI33" s="149">
        <v>0.24613926524752799</v>
      </c>
      <c r="AJ33" s="149">
        <v>0.260124889135319</v>
      </c>
      <c r="AK33" s="149">
        <v>-0.28018273918018699</v>
      </c>
      <c r="AL33" s="149">
        <v>-0.35495941429594302</v>
      </c>
      <c r="AM33" s="149">
        <v>-1.61881684651268</v>
      </c>
      <c r="AN33" s="149">
        <v>-0.42472059379470101</v>
      </c>
      <c r="AO33" s="149">
        <v>-0.83713244524939501</v>
      </c>
      <c r="AP33" s="149">
        <v>-0.55385473521868001</v>
      </c>
      <c r="AQ33" s="149">
        <v>-0.395960548825318</v>
      </c>
      <c r="AR33" s="149">
        <v>-0.39129598616454297</v>
      </c>
      <c r="AS33" s="149">
        <v>-0.206125008066048</v>
      </c>
      <c r="AT33" s="149">
        <v>-0.41767836160630101</v>
      </c>
      <c r="AU33" s="149">
        <v>-0.48619652026961702</v>
      </c>
      <c r="AV33" s="149">
        <v>-0.48308323863781999</v>
      </c>
      <c r="AW33" s="149">
        <v>0.60820180665457801</v>
      </c>
      <c r="AX33" s="149">
        <v>0.73680394071466704</v>
      </c>
      <c r="AY33" s="149">
        <v>1.1701955913730899</v>
      </c>
      <c r="AZ33" s="149">
        <v>1.2180916468021801</v>
      </c>
      <c r="BA33" s="149">
        <v>0.87440325075361103</v>
      </c>
      <c r="BB33" s="149">
        <v>0.84890540477916798</v>
      </c>
      <c r="BC33" s="149">
        <v>0.87590483018622201</v>
      </c>
      <c r="BD33" s="149">
        <v>0.76509700634015698</v>
      </c>
      <c r="BE33" s="149">
        <v>0.82240132080746797</v>
      </c>
      <c r="BF33" s="149">
        <v>0.89194746213311804</v>
      </c>
      <c r="BG33" s="149">
        <v>0.76907097068323405</v>
      </c>
      <c r="BH33" s="149">
        <v>0.81572761481309997</v>
      </c>
      <c r="BI33" s="149">
        <v>0.800650641346628</v>
      </c>
      <c r="BJ33" s="149">
        <v>0.82001145510009499</v>
      </c>
      <c r="BK33" s="149">
        <v>0.49489286121735399</v>
      </c>
      <c r="BL33" s="149">
        <v>0.67855464319038405</v>
      </c>
      <c r="BM33" s="149">
        <v>0.83704362477866101</v>
      </c>
      <c r="BN33" s="149">
        <v>0.86032468430881104</v>
      </c>
      <c r="BO33" s="149">
        <v>0.83077167469394497</v>
      </c>
      <c r="BP33" s="149">
        <v>0.77594291368382196</v>
      </c>
      <c r="BQ33" s="149">
        <v>0.80995289358219102</v>
      </c>
      <c r="BR33" s="149">
        <v>0.83176279905361195</v>
      </c>
      <c r="BS33" s="149">
        <v>0.87401341206657202</v>
      </c>
      <c r="BT33" s="149">
        <v>0.87831287738524599</v>
      </c>
      <c r="BU33" s="149">
        <v>0.79178313685051105</v>
      </c>
      <c r="BV33" s="149">
        <v>0.55965533991636895</v>
      </c>
      <c r="BW33" s="149">
        <v>0.84402084170815295</v>
      </c>
      <c r="BX33" s="149">
        <v>-6.2604653713621099</v>
      </c>
      <c r="BY33" s="149">
        <v>-6.0649940009902901</v>
      </c>
      <c r="BZ33" s="149">
        <v>-5.8817548879781896</v>
      </c>
      <c r="CA33" s="149">
        <v>-2.6816708462691499</v>
      </c>
      <c r="CB33" s="149">
        <v>-6.0726993021649802</v>
      </c>
      <c r="CC33" s="149">
        <v>-5.9442296172828897</v>
      </c>
      <c r="CD33" s="149">
        <v>-1.7931999285209299</v>
      </c>
      <c r="CE33" s="149">
        <v>-5.5291038927137004</v>
      </c>
      <c r="CF33" s="149">
        <v>-5.4739564201782303</v>
      </c>
      <c r="CG33" s="149">
        <v>-5.3266780771762097</v>
      </c>
      <c r="CH33" s="149">
        <v>-5.6120087101245302</v>
      </c>
      <c r="CI33" s="149">
        <v>-5.6218696899135496</v>
      </c>
      <c r="CJ33" s="149">
        <v>-5.5013013126546202</v>
      </c>
      <c r="CK33" s="149">
        <v>-5.71575672375615</v>
      </c>
      <c r="CL33" s="149">
        <v>-5.9016758674496703</v>
      </c>
      <c r="CM33" s="149">
        <v>-5.6202096161605297</v>
      </c>
      <c r="CN33" s="149">
        <v>-5.7921629531717098</v>
      </c>
      <c r="CO33" s="149">
        <v>-5.6545605771418996</v>
      </c>
      <c r="CP33" s="149">
        <v>-5.0133145376272203</v>
      </c>
      <c r="CQ33" s="149">
        <v>-5.72948849294926</v>
      </c>
      <c r="CR33" s="149">
        <v>-5.8235494438471402</v>
      </c>
      <c r="CS33" s="149">
        <v>-5.5679638541780703</v>
      </c>
      <c r="CT33" s="149">
        <v>-4.7387321472302002</v>
      </c>
      <c r="CU33" s="149">
        <v>-0.87399404416172699</v>
      </c>
      <c r="CV33" s="149">
        <v>-1.22445918029559</v>
      </c>
      <c r="CW33" s="149">
        <v>-2.9690653395195001</v>
      </c>
      <c r="CX33" s="149">
        <v>-5.8722884678243696</v>
      </c>
      <c r="CY33" s="149">
        <v>-5.4948872324339799</v>
      </c>
      <c r="CZ33" s="149">
        <v>-5.2181663500937301</v>
      </c>
      <c r="DA33" s="149">
        <v>-5.5630019472736798</v>
      </c>
      <c r="DB33" s="149">
        <v>0.38082059821226799</v>
      </c>
      <c r="DC33" s="149">
        <v>0.13948605610184001</v>
      </c>
      <c r="DD33" s="149">
        <v>-0.228438392679292</v>
      </c>
      <c r="DE33" s="149">
        <v>-4.5450070915204899</v>
      </c>
    </row>
    <row r="34" spans="1:109" x14ac:dyDescent="0.25">
      <c r="A34" s="149" t="s">
        <v>266</v>
      </c>
      <c r="B34" s="149" t="s">
        <v>609</v>
      </c>
      <c r="C34" s="149">
        <v>2.9085670627903001E-2</v>
      </c>
      <c r="D34" s="149">
        <v>1.7039616768258201E-2</v>
      </c>
      <c r="E34" s="149">
        <v>0</v>
      </c>
      <c r="F34" s="149">
        <v>0</v>
      </c>
      <c r="G34" s="149">
        <v>0</v>
      </c>
      <c r="H34" s="149">
        <v>3.1846748538299503E-2</v>
      </c>
      <c r="I34" s="149">
        <v>7.3089160435213301E-3</v>
      </c>
      <c r="J34" s="149">
        <v>7.6407890911512301E-3</v>
      </c>
      <c r="K34" s="149">
        <v>1.5490219953559699E-2</v>
      </c>
      <c r="L34" s="149">
        <v>9.7287379764071594E-3</v>
      </c>
      <c r="M34" s="149">
        <v>0</v>
      </c>
      <c r="N34" s="149">
        <v>0</v>
      </c>
      <c r="O34" s="149">
        <v>0</v>
      </c>
      <c r="P34" s="149">
        <v>3.66719252577219E-2</v>
      </c>
      <c r="Q34" s="149">
        <v>4.5296438327811203E-2</v>
      </c>
      <c r="R34" s="149">
        <v>0</v>
      </c>
      <c r="S34" s="149">
        <v>0</v>
      </c>
      <c r="T34" s="149">
        <v>0</v>
      </c>
      <c r="U34" s="149">
        <v>0</v>
      </c>
      <c r="V34" s="149">
        <v>0</v>
      </c>
      <c r="W34" s="149">
        <v>0</v>
      </c>
      <c r="X34" s="149">
        <v>0</v>
      </c>
      <c r="Y34" s="149">
        <v>0</v>
      </c>
      <c r="Z34" s="149">
        <v>1.8493506636390801E-2</v>
      </c>
      <c r="AA34" s="149">
        <v>0</v>
      </c>
      <c r="AB34" s="149">
        <v>0</v>
      </c>
      <c r="AC34" s="149">
        <v>0</v>
      </c>
      <c r="AD34" s="149">
        <v>2.3991406177544E-2</v>
      </c>
      <c r="AE34" s="149">
        <v>0</v>
      </c>
      <c r="AF34" s="149">
        <v>3.1002547898568201E-2</v>
      </c>
      <c r="AG34" s="149">
        <v>0</v>
      </c>
      <c r="AH34" s="149">
        <v>0</v>
      </c>
      <c r="AI34" s="149">
        <v>0</v>
      </c>
      <c r="AJ34" s="149">
        <v>0</v>
      </c>
      <c r="AK34" s="149">
        <v>2.6519702691267698E-2</v>
      </c>
      <c r="AL34" s="149">
        <v>3.2291724876975403E-2</v>
      </c>
      <c r="AM34" s="149">
        <v>4.7021867771105397E-2</v>
      </c>
      <c r="AN34" s="149">
        <v>0</v>
      </c>
      <c r="AO34" s="149">
        <v>0</v>
      </c>
      <c r="AP34" s="149">
        <v>0.110451465510189</v>
      </c>
      <c r="AQ34" s="149">
        <v>0</v>
      </c>
      <c r="AR34" s="149">
        <v>0</v>
      </c>
      <c r="AS34" s="149">
        <v>0</v>
      </c>
      <c r="AT34" s="149">
        <v>2.42043892227547E-2</v>
      </c>
      <c r="AU34" s="149">
        <v>3.6702932390418899E-2</v>
      </c>
      <c r="AV34" s="149">
        <v>0</v>
      </c>
      <c r="AW34" s="149">
        <v>0</v>
      </c>
      <c r="AX34" s="149">
        <v>5.7571300821117999E-2</v>
      </c>
      <c r="AY34" s="149">
        <v>0</v>
      </c>
      <c r="AZ34" s="149">
        <v>0</v>
      </c>
      <c r="BA34" s="149">
        <v>0</v>
      </c>
      <c r="BB34" s="149">
        <v>0</v>
      </c>
      <c r="BC34" s="149">
        <v>0</v>
      </c>
      <c r="BD34" s="149">
        <v>0</v>
      </c>
      <c r="BE34" s="149">
        <v>0</v>
      </c>
      <c r="BF34" s="149">
        <v>0</v>
      </c>
      <c r="BG34" s="149">
        <v>0.11199739141361</v>
      </c>
      <c r="BH34" s="149">
        <v>0</v>
      </c>
      <c r="BI34" s="149">
        <v>0</v>
      </c>
      <c r="BJ34" s="149">
        <v>0</v>
      </c>
      <c r="BK34" s="149">
        <v>0</v>
      </c>
      <c r="BL34" s="149">
        <v>0</v>
      </c>
      <c r="BM34" s="149">
        <v>0</v>
      </c>
      <c r="BN34" s="149">
        <v>2.5926033293002099E-2</v>
      </c>
      <c r="BO34" s="149">
        <v>0</v>
      </c>
      <c r="BP34" s="149">
        <v>0.13413255722442799</v>
      </c>
      <c r="BQ34" s="149">
        <v>0</v>
      </c>
      <c r="BR34" s="149">
        <v>0</v>
      </c>
      <c r="BS34" s="149">
        <v>0</v>
      </c>
      <c r="BT34" s="149">
        <v>0</v>
      </c>
      <c r="BU34" s="149">
        <v>0</v>
      </c>
      <c r="BV34" s="149">
        <v>0</v>
      </c>
      <c r="BW34" s="149">
        <v>0</v>
      </c>
      <c r="BX34" s="149">
        <v>0</v>
      </c>
      <c r="BY34" s="149">
        <v>0</v>
      </c>
      <c r="BZ34" s="149">
        <v>0</v>
      </c>
      <c r="CA34" s="149">
        <v>0</v>
      </c>
      <c r="CB34" s="149">
        <v>0</v>
      </c>
      <c r="CC34" s="149">
        <v>0</v>
      </c>
      <c r="CD34" s="149">
        <v>2.6342543515750501E-2</v>
      </c>
      <c r="CE34" s="149">
        <v>0</v>
      </c>
      <c r="CF34" s="149">
        <v>0</v>
      </c>
      <c r="CG34" s="149">
        <v>0</v>
      </c>
      <c r="CH34" s="149">
        <v>0</v>
      </c>
      <c r="CI34" s="149">
        <v>0</v>
      </c>
      <c r="CJ34" s="149">
        <v>0</v>
      </c>
      <c r="CK34" s="149">
        <v>0</v>
      </c>
      <c r="CL34" s="149">
        <v>1.7667403141190901E-2</v>
      </c>
      <c r="CM34" s="149">
        <v>0</v>
      </c>
      <c r="CN34" s="149">
        <v>0</v>
      </c>
      <c r="CO34" s="149">
        <v>4.7256157010953599E-2</v>
      </c>
      <c r="CP34" s="149">
        <v>0</v>
      </c>
      <c r="CQ34" s="149">
        <v>4.3402915516360698E-2</v>
      </c>
      <c r="CR34" s="149">
        <v>0</v>
      </c>
      <c r="CS34" s="149">
        <v>0</v>
      </c>
      <c r="CT34" s="149">
        <v>0.37785319891378399</v>
      </c>
      <c r="CU34" s="149">
        <v>0</v>
      </c>
      <c r="CV34" s="149">
        <v>0.118351312664813</v>
      </c>
      <c r="CW34" s="149">
        <v>0.16896780199664799</v>
      </c>
      <c r="CX34" s="149">
        <v>0.36299072689638001</v>
      </c>
      <c r="CY34" s="149">
        <v>4.5411848725671403E-2</v>
      </c>
      <c r="CZ34" s="149">
        <v>0.19752593971332599</v>
      </c>
      <c r="DA34" s="149">
        <v>9.5884511282850707E-2</v>
      </c>
      <c r="DB34" s="149">
        <v>0</v>
      </c>
      <c r="DC34" s="149">
        <v>9.1472229245127198E-2</v>
      </c>
      <c r="DD34" s="149">
        <v>0</v>
      </c>
      <c r="DE34" s="149">
        <v>0</v>
      </c>
    </row>
    <row r="35" spans="1:109" x14ac:dyDescent="0.25">
      <c r="A35" s="149" t="s">
        <v>266</v>
      </c>
      <c r="B35" s="149" t="s">
        <v>610</v>
      </c>
      <c r="C35" s="149">
        <v>-1.6871843779979901E-3</v>
      </c>
      <c r="D35" s="149">
        <v>-3.9201767640554698E-2</v>
      </c>
      <c r="E35" s="149">
        <v>2.1800252838444401E-3</v>
      </c>
      <c r="F35" s="149">
        <v>7.8750858020841502E-2</v>
      </c>
      <c r="G35" s="149">
        <v>-3.9201767640554698E-2</v>
      </c>
      <c r="H35" s="149">
        <v>-1.7920891923177799E-2</v>
      </c>
      <c r="I35" s="149">
        <v>-2.87793671320537E-3</v>
      </c>
      <c r="J35" s="149">
        <v>2.1244691324641098E-2</v>
      </c>
      <c r="K35" s="149">
        <v>8.9356028455357298E-2</v>
      </c>
      <c r="L35" s="149">
        <v>-5.6181199135976897E-4</v>
      </c>
      <c r="M35" s="149">
        <v>7.5070004645810201E-3</v>
      </c>
      <c r="N35" s="149">
        <v>-6.1195666944141398E-3</v>
      </c>
      <c r="O35" s="149">
        <v>-3.9201767640554698E-2</v>
      </c>
      <c r="P35" s="149">
        <v>3.3378145500334598E-2</v>
      </c>
      <c r="Q35" s="149">
        <v>-3.9201767640554698E-2</v>
      </c>
      <c r="R35" s="149">
        <v>-1.9912911913468E-3</v>
      </c>
      <c r="S35" s="149">
        <v>-3.9201767640554698E-2</v>
      </c>
      <c r="T35" s="149">
        <v>-1.2350340675644099E-2</v>
      </c>
      <c r="U35" s="149">
        <v>-3.9201767640554698E-2</v>
      </c>
      <c r="V35" s="149">
        <v>-3.9201767640554698E-2</v>
      </c>
      <c r="W35" s="149">
        <v>-1.40089950570837E-2</v>
      </c>
      <c r="X35" s="149">
        <v>4.7034324255893302E-2</v>
      </c>
      <c r="Y35" s="154">
        <v>8.0924610394684206E-5</v>
      </c>
      <c r="Z35" s="149">
        <v>-3.9201767640554698E-2</v>
      </c>
      <c r="AA35" s="149">
        <v>-6.3121481307833599E-3</v>
      </c>
      <c r="AB35" s="149">
        <v>-5.8616187140022096E-3</v>
      </c>
      <c r="AC35" s="149">
        <v>-1.6034479426324601E-2</v>
      </c>
      <c r="AD35" s="149">
        <v>3.1822094863239198E-2</v>
      </c>
      <c r="AE35" s="149">
        <v>2.7737162330135801E-3</v>
      </c>
      <c r="AF35" s="149">
        <v>-8.1992197419865701E-3</v>
      </c>
      <c r="AG35" s="149">
        <v>-1.0811772378614801E-3</v>
      </c>
      <c r="AH35" s="149">
        <v>2.41288311935264E-3</v>
      </c>
      <c r="AI35" s="149">
        <v>2.0913440613762199E-2</v>
      </c>
      <c r="AJ35" s="149">
        <v>-1.2172794322680499E-2</v>
      </c>
      <c r="AK35" s="149">
        <v>0.171772164634169</v>
      </c>
      <c r="AL35" s="149">
        <v>-2.30018939942358E-2</v>
      </c>
      <c r="AM35" s="149">
        <v>7.82010013055103E-3</v>
      </c>
      <c r="AN35" s="149">
        <v>1.44231714746409E-2</v>
      </c>
      <c r="AO35" s="149">
        <v>-3.9201767640554698E-2</v>
      </c>
      <c r="AP35" s="149">
        <v>-3.9201767640554698E-2</v>
      </c>
      <c r="AQ35" s="149">
        <v>-3.9201767640554698E-2</v>
      </c>
      <c r="AR35" s="149">
        <v>3.8138451473502998E-2</v>
      </c>
      <c r="AS35" s="149">
        <v>-3.9201767640554698E-2</v>
      </c>
      <c r="AT35" s="149">
        <v>3.2495391304480002E-2</v>
      </c>
      <c r="AU35" s="149">
        <v>-3.9201767640554698E-2</v>
      </c>
      <c r="AV35" s="149">
        <v>1.8875639502945001E-2</v>
      </c>
      <c r="AW35" s="149">
        <v>9.3296509899784399E-2</v>
      </c>
      <c r="AX35" s="149">
        <v>1.83695331805632E-2</v>
      </c>
      <c r="AY35" s="149">
        <v>0</v>
      </c>
      <c r="AZ35" s="149">
        <v>-3.9201767640554698E-2</v>
      </c>
      <c r="BA35" s="149">
        <v>-3.9201767640554698E-2</v>
      </c>
      <c r="BB35" s="149">
        <v>-3.9201767640554698E-2</v>
      </c>
      <c r="BC35" s="149">
        <v>-3.9201767640554698E-2</v>
      </c>
      <c r="BD35" s="149">
        <v>-3.9201767640554698E-2</v>
      </c>
      <c r="BE35" s="149">
        <v>-3.9201767640554698E-2</v>
      </c>
      <c r="BF35" s="149">
        <v>5.63380643655889E-2</v>
      </c>
      <c r="BG35" s="149">
        <v>-3.9201767640554698E-2</v>
      </c>
      <c r="BH35" s="149">
        <v>5.7768014411520699E-2</v>
      </c>
      <c r="BI35" s="149">
        <v>-3.9201767640554698E-2</v>
      </c>
      <c r="BJ35" s="149">
        <v>-3.9201767640554698E-2</v>
      </c>
      <c r="BK35" s="149">
        <v>-3.9201767640554698E-2</v>
      </c>
      <c r="BL35" s="149">
        <v>-3.9201767640554698E-2</v>
      </c>
      <c r="BM35" s="149">
        <v>-3.9201767640554698E-2</v>
      </c>
      <c r="BN35" s="149">
        <v>1.22558554198825E-2</v>
      </c>
      <c r="BO35" s="149">
        <v>-3.9201767640554698E-2</v>
      </c>
      <c r="BP35" s="149">
        <v>-3.9201767640554698E-2</v>
      </c>
      <c r="BQ35" s="149">
        <v>-3.9201767640554698E-2</v>
      </c>
      <c r="BR35" s="149">
        <v>-3.9201767640554698E-2</v>
      </c>
      <c r="BS35" s="149">
        <v>-3.9201767640554698E-2</v>
      </c>
      <c r="BT35" s="149">
        <v>-3.9201767640554698E-2</v>
      </c>
      <c r="BU35" s="149">
        <v>8.8146492054293202E-2</v>
      </c>
      <c r="BV35" s="149">
        <v>-3.9201767640554698E-2</v>
      </c>
      <c r="BW35" s="149">
        <v>-3.9201767640554698E-2</v>
      </c>
      <c r="BX35" s="149">
        <v>-1.8857114654498401E-2</v>
      </c>
      <c r="BY35" s="149">
        <v>-3.9201767640554698E-2</v>
      </c>
      <c r="BZ35" s="149">
        <v>1.4521962414275899E-2</v>
      </c>
      <c r="CA35" s="149">
        <v>-6.3413720716707402E-3</v>
      </c>
      <c r="CB35" s="149">
        <v>0.63079278310873999</v>
      </c>
      <c r="CC35" s="149">
        <v>0.82428771695446401</v>
      </c>
      <c r="CD35" s="149">
        <v>0.14876916285153</v>
      </c>
      <c r="CE35" s="149">
        <v>0.133539173418596</v>
      </c>
      <c r="CF35" s="149">
        <v>0.21345290819156701</v>
      </c>
      <c r="CG35" s="149">
        <v>0.172666274944481</v>
      </c>
      <c r="CH35" s="149">
        <v>0.29170791883316799</v>
      </c>
      <c r="CI35" s="149">
        <v>0.32647047536465001</v>
      </c>
      <c r="CJ35" s="149">
        <v>0.33093654013083701</v>
      </c>
      <c r="CK35" s="149">
        <v>3.86760807322744E-3</v>
      </c>
      <c r="CL35" s="149">
        <v>1.3340414199086201E-2</v>
      </c>
      <c r="CM35" s="149">
        <v>-3.9201767640554698E-2</v>
      </c>
      <c r="CN35" s="149">
        <v>0.1254246825765</v>
      </c>
      <c r="CO35" s="149">
        <v>0.76189442435782295</v>
      </c>
      <c r="CP35" s="149">
        <v>0.61451508834462998</v>
      </c>
      <c r="CQ35" s="149">
        <v>0.32784281093422302</v>
      </c>
      <c r="CR35" s="149">
        <v>-5.0664125699655099E-3</v>
      </c>
      <c r="CS35" s="149">
        <v>6.9864397447120405E-2</v>
      </c>
      <c r="CT35" s="149">
        <v>0.86361532156828902</v>
      </c>
      <c r="CU35" s="149">
        <v>0.30398636389024303</v>
      </c>
      <c r="CV35" s="149">
        <v>0.51176333516691597</v>
      </c>
      <c r="CW35" s="149">
        <v>0.61971629579457699</v>
      </c>
      <c r="CX35" s="149">
        <v>0.67049708504793704</v>
      </c>
      <c r="CY35" s="149">
        <v>0.74675501232603303</v>
      </c>
      <c r="CZ35" s="149">
        <v>0.93096288977866504</v>
      </c>
      <c r="DA35" s="149">
        <v>1.0979138489323499</v>
      </c>
      <c r="DB35" s="149">
        <v>3.2894115151045303E-2</v>
      </c>
      <c r="DC35" s="149">
        <v>0.29863057816566202</v>
      </c>
      <c r="DD35" s="149">
        <v>0.119054936008181</v>
      </c>
      <c r="DE35" s="149">
        <v>2.05694748905214E-2</v>
      </c>
    </row>
    <row r="36" spans="1:109" x14ac:dyDescent="0.25">
      <c r="A36" s="149" t="s">
        <v>266</v>
      </c>
      <c r="B36" s="149" t="s">
        <v>611</v>
      </c>
      <c r="C36" s="149">
        <v>0</v>
      </c>
      <c r="D36" s="149">
        <v>0</v>
      </c>
      <c r="E36" s="149">
        <v>1.0412901379310099E-2</v>
      </c>
      <c r="F36" s="149">
        <v>0</v>
      </c>
      <c r="G36" s="149">
        <v>0</v>
      </c>
      <c r="H36" s="149">
        <v>0</v>
      </c>
      <c r="I36" s="149">
        <v>1.8847759117942401E-2</v>
      </c>
      <c r="J36" s="149">
        <v>0</v>
      </c>
      <c r="K36" s="149">
        <v>0</v>
      </c>
      <c r="L36" s="149">
        <v>0</v>
      </c>
      <c r="M36" s="149">
        <v>0</v>
      </c>
      <c r="N36" s="149">
        <v>0</v>
      </c>
      <c r="O36" s="149">
        <v>0</v>
      </c>
      <c r="P36" s="149">
        <v>0</v>
      </c>
      <c r="Q36" s="149">
        <v>0</v>
      </c>
      <c r="R36" s="149">
        <v>0</v>
      </c>
      <c r="S36" s="149">
        <v>3.2615773191287598E-2</v>
      </c>
      <c r="T36" s="149">
        <v>0</v>
      </c>
      <c r="U36" s="149">
        <v>0</v>
      </c>
      <c r="V36" s="149">
        <v>0</v>
      </c>
      <c r="W36" s="149">
        <v>0</v>
      </c>
      <c r="X36" s="149">
        <v>0</v>
      </c>
      <c r="Y36" s="149">
        <v>0</v>
      </c>
      <c r="Z36" s="149">
        <v>0</v>
      </c>
      <c r="AA36" s="149">
        <v>0</v>
      </c>
      <c r="AB36" s="149">
        <v>0</v>
      </c>
      <c r="AC36" s="149">
        <v>0</v>
      </c>
      <c r="AD36" s="149">
        <v>0</v>
      </c>
      <c r="AE36" s="149">
        <v>0</v>
      </c>
      <c r="AF36" s="149">
        <v>0</v>
      </c>
      <c r="AG36" s="149">
        <v>0</v>
      </c>
      <c r="AH36" s="149">
        <v>0</v>
      </c>
      <c r="AI36" s="149">
        <v>0</v>
      </c>
      <c r="AJ36" s="149">
        <v>0</v>
      </c>
      <c r="AK36" s="149">
        <v>0</v>
      </c>
      <c r="AL36" s="149">
        <v>2.5625992691499799E-2</v>
      </c>
      <c r="AM36" s="149">
        <v>0</v>
      </c>
      <c r="AN36" s="149">
        <v>3.5928179508163099E-2</v>
      </c>
      <c r="AO36" s="149">
        <v>0</v>
      </c>
      <c r="AP36" s="149">
        <v>0</v>
      </c>
      <c r="AQ36" s="149">
        <v>0</v>
      </c>
      <c r="AR36" s="149">
        <v>0</v>
      </c>
      <c r="AS36" s="149">
        <v>0</v>
      </c>
      <c r="AT36" s="149">
        <v>0</v>
      </c>
      <c r="AU36" s="149">
        <v>0</v>
      </c>
      <c r="AV36" s="149">
        <v>0</v>
      </c>
      <c r="AW36" s="149">
        <v>0</v>
      </c>
      <c r="AX36" s="149">
        <v>0</v>
      </c>
      <c r="AY36" s="149">
        <v>0</v>
      </c>
      <c r="AZ36" s="149">
        <v>0</v>
      </c>
      <c r="BA36" s="149">
        <v>9.0704040945530001E-2</v>
      </c>
      <c r="BB36" s="149">
        <v>0</v>
      </c>
      <c r="BC36" s="149">
        <v>0</v>
      </c>
      <c r="BD36" s="149">
        <v>0</v>
      </c>
      <c r="BE36" s="149">
        <v>0</v>
      </c>
      <c r="BF36" s="149">
        <v>0</v>
      </c>
      <c r="BG36" s="149">
        <v>0</v>
      </c>
      <c r="BH36" s="149">
        <v>0</v>
      </c>
      <c r="BI36" s="149">
        <v>0</v>
      </c>
      <c r="BJ36" s="149">
        <v>0</v>
      </c>
      <c r="BK36" s="149">
        <v>0</v>
      </c>
      <c r="BL36" s="149">
        <v>0</v>
      </c>
      <c r="BM36" s="149">
        <v>0</v>
      </c>
      <c r="BN36" s="149">
        <v>0</v>
      </c>
      <c r="BO36" s="149">
        <v>0</v>
      </c>
      <c r="BP36" s="149">
        <v>0</v>
      </c>
      <c r="BQ36" s="149">
        <v>0</v>
      </c>
      <c r="BR36" s="149">
        <v>0</v>
      </c>
      <c r="BS36" s="149">
        <v>0</v>
      </c>
      <c r="BT36" s="149">
        <v>0</v>
      </c>
      <c r="BU36" s="149">
        <v>0</v>
      </c>
      <c r="BV36" s="149">
        <v>0</v>
      </c>
      <c r="BW36" s="149">
        <v>0</v>
      </c>
      <c r="BX36" s="149">
        <v>0</v>
      </c>
      <c r="BY36" s="149">
        <v>0</v>
      </c>
      <c r="BZ36" s="149">
        <v>0</v>
      </c>
      <c r="CA36" s="149">
        <v>1.19172456529629</v>
      </c>
      <c r="CB36" s="149">
        <v>0</v>
      </c>
      <c r="CC36" s="149">
        <v>0</v>
      </c>
      <c r="CD36" s="149">
        <v>3.9406562749598403E-2</v>
      </c>
      <c r="CE36" s="149">
        <v>0</v>
      </c>
      <c r="CF36" s="149">
        <v>0</v>
      </c>
      <c r="CG36" s="149">
        <v>4.91167516639862E-2</v>
      </c>
      <c r="CH36" s="149">
        <v>0</v>
      </c>
      <c r="CI36" s="149">
        <v>1.3989445917531601E-2</v>
      </c>
      <c r="CJ36" s="149">
        <v>8.8093066794674393E-2</v>
      </c>
      <c r="CK36" s="149">
        <v>4.3069375713781999E-2</v>
      </c>
      <c r="CL36" s="149">
        <v>3.5180401003769603E-2</v>
      </c>
      <c r="CM36" s="149">
        <v>2.4099553021549199E-2</v>
      </c>
      <c r="CN36" s="149">
        <v>3.3784846285005797E-2</v>
      </c>
      <c r="CO36" s="149">
        <v>0</v>
      </c>
      <c r="CP36" s="149">
        <v>0</v>
      </c>
      <c r="CQ36" s="149">
        <v>4.3402915516360698E-2</v>
      </c>
      <c r="CR36" s="149">
        <v>3.4135355070589103E-2</v>
      </c>
      <c r="CS36" s="149">
        <v>0</v>
      </c>
      <c r="CT36" s="149">
        <v>0</v>
      </c>
      <c r="CU36" s="149">
        <v>0</v>
      </c>
      <c r="CV36" s="149">
        <v>0</v>
      </c>
      <c r="CW36" s="149">
        <v>0</v>
      </c>
      <c r="CX36" s="149">
        <v>0</v>
      </c>
      <c r="CY36" s="149">
        <v>0</v>
      </c>
      <c r="CZ36" s="149">
        <v>0</v>
      </c>
      <c r="DA36" s="149">
        <v>0</v>
      </c>
      <c r="DB36" s="149">
        <v>0</v>
      </c>
      <c r="DC36" s="149">
        <v>0</v>
      </c>
      <c r="DD36" s="149">
        <v>0</v>
      </c>
      <c r="DE36" s="149">
        <v>0</v>
      </c>
    </row>
    <row r="37" spans="1:109" x14ac:dyDescent="0.25">
      <c r="A37" s="149" t="s">
        <v>266</v>
      </c>
      <c r="B37" s="149" t="s">
        <v>613</v>
      </c>
      <c r="C37" s="149">
        <v>-1.9180163500700901E-2</v>
      </c>
      <c r="D37" s="149">
        <v>3.2203812648794197E-2</v>
      </c>
      <c r="E37" s="149">
        <v>1.6931446967005801E-2</v>
      </c>
      <c r="F37" s="149">
        <v>-3.4986666168164302E-2</v>
      </c>
      <c r="G37" s="149">
        <v>5.05058662720598E-3</v>
      </c>
      <c r="H37" s="149">
        <v>-1.4831601679236001E-2</v>
      </c>
      <c r="I37" s="149">
        <v>-2.6279376820954201E-2</v>
      </c>
      <c r="J37" s="149">
        <v>-4.0608026690144003E-2</v>
      </c>
      <c r="K37" s="149">
        <v>-4.0144572015567502E-2</v>
      </c>
      <c r="L37" s="149">
        <v>3.8951076752487303E-2</v>
      </c>
      <c r="M37" s="149">
        <v>-2.43150943986583E-2</v>
      </c>
      <c r="N37" s="149">
        <v>-7.1023862503793903E-2</v>
      </c>
      <c r="O37" s="149">
        <v>2.61973305989355E-2</v>
      </c>
      <c r="P37" s="149">
        <v>-3.4351937246072099E-2</v>
      </c>
      <c r="Q37" s="149">
        <v>1.8409412763166499E-2</v>
      </c>
      <c r="R37" s="149">
        <v>-7.1023862503793903E-2</v>
      </c>
      <c r="S37" s="149">
        <v>-6.3956372573861298E-3</v>
      </c>
      <c r="T37" s="149">
        <v>-4.4172435538883399E-2</v>
      </c>
      <c r="U37" s="149">
        <v>6.3055011490966303E-2</v>
      </c>
      <c r="V37" s="149">
        <v>3.5950760404221897E-2</v>
      </c>
      <c r="W37" s="149">
        <v>5.1447365779687199E-2</v>
      </c>
      <c r="X37" s="149">
        <v>-7.1023862503793903E-2</v>
      </c>
      <c r="Y37" s="149">
        <v>-3.1741170252844501E-2</v>
      </c>
      <c r="Z37" s="149">
        <v>-5.2530355867403102E-2</v>
      </c>
      <c r="AA37" s="149">
        <v>-7.1023862503793903E-2</v>
      </c>
      <c r="AB37" s="149">
        <v>-3.7683713577241401E-2</v>
      </c>
      <c r="AC37" s="149">
        <v>1.9863887679773901E-2</v>
      </c>
      <c r="AD37" s="149">
        <v>0</v>
      </c>
      <c r="AE37" s="149">
        <v>-2.9048378630225798E-2</v>
      </c>
      <c r="AF37" s="149">
        <v>-4.0021314605225802E-2</v>
      </c>
      <c r="AG37" s="149">
        <v>-3.2903272101100701E-2</v>
      </c>
      <c r="AH37" s="149">
        <v>-2.94092117438867E-2</v>
      </c>
      <c r="AI37" s="149">
        <v>-7.1023862503793903E-2</v>
      </c>
      <c r="AJ37" s="149">
        <v>-4.39948891859199E-2</v>
      </c>
      <c r="AK37" s="149">
        <v>0.16117323528699201</v>
      </c>
      <c r="AL37" s="149">
        <v>0.37355513575646698</v>
      </c>
      <c r="AM37" s="149">
        <v>2.1653381586712799E-2</v>
      </c>
      <c r="AN37" s="149">
        <v>0.101835991097256</v>
      </c>
      <c r="AO37" s="149">
        <v>-1.06085555958164E-2</v>
      </c>
      <c r="AP37" s="149">
        <v>3.9427603006394897E-2</v>
      </c>
      <c r="AQ37" s="149">
        <v>-7.1023862503793903E-2</v>
      </c>
      <c r="AR37" s="149">
        <v>6.3163566102636699E-3</v>
      </c>
      <c r="AS37" s="149">
        <v>-7.1023862503793903E-2</v>
      </c>
      <c r="AT37" s="149">
        <v>2.3979091454451599E-2</v>
      </c>
      <c r="AU37" s="149">
        <v>3.6736505817766801E-2</v>
      </c>
      <c r="AV37" s="149">
        <v>9.7430681136405101E-2</v>
      </c>
      <c r="AW37" s="149">
        <v>6.1474415036545299E-2</v>
      </c>
      <c r="AX37" s="149">
        <v>1.4616040231042401E-2</v>
      </c>
      <c r="AY37" s="149">
        <v>5.1290916675069603E-2</v>
      </c>
      <c r="AZ37" s="149">
        <v>7.7805113543233106E-2</v>
      </c>
      <c r="BA37" s="149">
        <v>-7.1023862503793903E-2</v>
      </c>
      <c r="BB37" s="149">
        <v>-7.1023862503793903E-2</v>
      </c>
      <c r="BC37" s="149">
        <v>0.19783655785595999</v>
      </c>
      <c r="BD37" s="149">
        <v>-7.1023862503793903E-2</v>
      </c>
      <c r="BE37" s="149">
        <v>0.26446084535122699</v>
      </c>
      <c r="BF37" s="149">
        <v>2.4515969502349501E-2</v>
      </c>
      <c r="BG37" s="149">
        <v>0.14533188793010501</v>
      </c>
      <c r="BH37" s="149">
        <v>7.9945091669849602E-2</v>
      </c>
      <c r="BI37" s="149">
        <v>-7.1023862503793903E-2</v>
      </c>
      <c r="BJ37" s="149">
        <v>-7.1023862503793903E-2</v>
      </c>
      <c r="BK37" s="149">
        <v>4.5909380514601798E-2</v>
      </c>
      <c r="BL37" s="149">
        <v>-7.1023862503793903E-2</v>
      </c>
      <c r="BM37" s="149">
        <v>-7.1023862503793903E-2</v>
      </c>
      <c r="BN37" s="149">
        <v>7.8862073753829698E-2</v>
      </c>
      <c r="BO37" s="149">
        <v>-7.1023862503793903E-2</v>
      </c>
      <c r="BP37" s="149">
        <v>-7.1023862503793903E-2</v>
      </c>
      <c r="BQ37" s="149">
        <v>4.8983447596385198E-2</v>
      </c>
      <c r="BR37" s="149">
        <v>-7.1023862503793903E-2</v>
      </c>
      <c r="BS37" s="149">
        <v>-7.1023862503793903E-2</v>
      </c>
      <c r="BT37" s="149">
        <v>-7.1023862503793903E-2</v>
      </c>
      <c r="BU37" s="149">
        <v>-7.1023862503793903E-2</v>
      </c>
      <c r="BV37" s="149">
        <v>7.0854061654795505E-2</v>
      </c>
      <c r="BW37" s="149">
        <v>-7.1023862503793903E-2</v>
      </c>
      <c r="BX37" s="149">
        <v>5.4719483764469699</v>
      </c>
      <c r="BY37" s="149">
        <v>5.4248273133625702</v>
      </c>
      <c r="BZ37" s="149">
        <v>5.0781389992739996</v>
      </c>
      <c r="CA37" s="149">
        <v>4.8593952191689302</v>
      </c>
      <c r="CB37" s="149">
        <v>-1.0376071401281601E-2</v>
      </c>
      <c r="CC37" s="149">
        <v>6.7856294455375193E-2</v>
      </c>
      <c r="CD37" s="149">
        <v>4.0082736412287802E-2</v>
      </c>
      <c r="CE37" s="149">
        <v>-2.6296449083950801E-2</v>
      </c>
      <c r="CF37" s="149">
        <v>-4.7493944142351103E-3</v>
      </c>
      <c r="CG37" s="149">
        <v>-7.7748141960566697E-3</v>
      </c>
      <c r="CH37" s="149">
        <v>5.4807497476834402E-2</v>
      </c>
      <c r="CI37" s="149">
        <v>8.5254184197300506E-2</v>
      </c>
      <c r="CJ37" s="149">
        <v>-1.1840621270329799E-2</v>
      </c>
      <c r="CK37" s="149">
        <v>0.13511661743283901</v>
      </c>
      <c r="CL37" s="149">
        <v>3.2726812029166601E-2</v>
      </c>
      <c r="CM37" s="149">
        <v>6.9933415506324106E-2</v>
      </c>
      <c r="CN37" s="149">
        <v>-5.9711765460533403E-2</v>
      </c>
      <c r="CO37" s="149">
        <v>-2.3767705492840002E-2</v>
      </c>
      <c r="CP37" s="149">
        <v>-7.1023862503793903E-2</v>
      </c>
      <c r="CQ37" s="149">
        <v>0.158011006519514</v>
      </c>
      <c r="CR37" s="149">
        <v>0.98925476838622695</v>
      </c>
      <c r="CS37" s="149">
        <v>2.33504642210563E-2</v>
      </c>
      <c r="CT37" s="149">
        <v>1.11120424212012E-2</v>
      </c>
      <c r="CU37" s="149">
        <v>0.86734159644176601</v>
      </c>
      <c r="CV37" s="149">
        <v>5.0134484700498999E-2</v>
      </c>
      <c r="CW37" s="149">
        <v>-3.9836807870626198E-2</v>
      </c>
      <c r="CX37" s="149">
        <v>-7.1023862503793903E-2</v>
      </c>
      <c r="CY37" s="149">
        <v>-7.1023862503793903E-2</v>
      </c>
      <c r="CZ37" s="149">
        <v>-3.0636004051874102E-3</v>
      </c>
      <c r="DA37" s="149">
        <v>-7.1023862503793903E-2</v>
      </c>
      <c r="DB37" s="149">
        <v>1.07202028780595E-3</v>
      </c>
      <c r="DC37" s="149">
        <v>0.106894873888076</v>
      </c>
      <c r="DD37" s="149">
        <v>2.0817793836918099</v>
      </c>
      <c r="DE37" s="149">
        <v>4.17832631785459</v>
      </c>
    </row>
    <row r="38" spans="1:109" x14ac:dyDescent="0.25">
      <c r="A38" s="149" t="s">
        <v>266</v>
      </c>
      <c r="B38" s="149" t="s">
        <v>615</v>
      </c>
      <c r="C38" s="149">
        <v>7.2860397072905102E-3</v>
      </c>
      <c r="D38" s="149">
        <v>9.7307007247369095E-3</v>
      </c>
      <c r="E38" s="149">
        <v>6.4647689908815795E-2</v>
      </c>
      <c r="F38" s="149">
        <v>4.7680657696646802E-3</v>
      </c>
      <c r="G38" s="149">
        <v>1.1964031411085201E-2</v>
      </c>
      <c r="H38" s="149">
        <v>-7.30891604352122E-3</v>
      </c>
      <c r="I38" s="149">
        <v>0</v>
      </c>
      <c r="J38" s="149">
        <v>3.3187304762999001E-4</v>
      </c>
      <c r="K38" s="149">
        <v>4.48947028628458E-4</v>
      </c>
      <c r="L38" s="149">
        <v>1.21023780449713E-2</v>
      </c>
      <c r="M38" s="149">
        <v>-1.4271427364315099E-3</v>
      </c>
      <c r="N38" s="149">
        <v>-7.30891604352122E-3</v>
      </c>
      <c r="O38" s="149">
        <v>-7.30891604352122E-3</v>
      </c>
      <c r="P38" s="149">
        <v>-7.30891604352122E-3</v>
      </c>
      <c r="Q38" s="149">
        <v>3.7987522284289997E-2</v>
      </c>
      <c r="R38" s="149">
        <v>-7.30891604352122E-3</v>
      </c>
      <c r="S38" s="149">
        <v>2.5306857147766201E-2</v>
      </c>
      <c r="T38" s="149">
        <v>-7.30891604352122E-3</v>
      </c>
      <c r="U38" s="149">
        <v>-7.30891604352122E-3</v>
      </c>
      <c r="V38" s="149">
        <v>-7.30891604352122E-3</v>
      </c>
      <c r="W38" s="149">
        <v>4.2716451544413898E-2</v>
      </c>
      <c r="X38" s="149">
        <v>7.8927175852926607E-2</v>
      </c>
      <c r="Y38" s="149">
        <v>-7.30891604352122E-3</v>
      </c>
      <c r="Z38" s="149">
        <v>-7.30891604352122E-3</v>
      </c>
      <c r="AA38" s="149">
        <v>-7.30891604352122E-3</v>
      </c>
      <c r="AB38" s="149">
        <v>-7.30891604352122E-3</v>
      </c>
      <c r="AC38" s="149">
        <v>1.58583721707088E-2</v>
      </c>
      <c r="AD38" s="149">
        <v>1.66824901340227E-2</v>
      </c>
      <c r="AE38" s="149">
        <v>1.38048387872171E-2</v>
      </c>
      <c r="AF38" s="149">
        <v>5.4159818349498401E-2</v>
      </c>
      <c r="AG38" s="149">
        <v>3.0811674359171901E-2</v>
      </c>
      <c r="AH38" s="149">
        <v>3.4305734716385899E-2</v>
      </c>
      <c r="AI38" s="149">
        <v>2.30066703310901E-2</v>
      </c>
      <c r="AJ38" s="149">
        <v>1.9720057274352599E-2</v>
      </c>
      <c r="AK38" s="149">
        <v>4.0003619881868797E-2</v>
      </c>
      <c r="AL38" s="149">
        <v>0.15263704595712299</v>
      </c>
      <c r="AM38" s="149">
        <v>0.17289458984536099</v>
      </c>
      <c r="AN38" s="149">
        <v>9.8383125338172506E-2</v>
      </c>
      <c r="AO38" s="149">
        <v>-7.30891604352122E-3</v>
      </c>
      <c r="AP38" s="149">
        <v>-7.30891604352122E-3</v>
      </c>
      <c r="AQ38" s="149">
        <v>-7.30891604352122E-3</v>
      </c>
      <c r="AR38" s="149">
        <v>3.1806170351726899E-2</v>
      </c>
      <c r="AS38" s="149">
        <v>-7.30891604352122E-3</v>
      </c>
      <c r="AT38" s="149">
        <v>-7.30891604352122E-3</v>
      </c>
      <c r="AU38" s="149">
        <v>-7.30891604352122E-3</v>
      </c>
      <c r="AV38" s="149">
        <v>-7.30891604352122E-3</v>
      </c>
      <c r="AW38" s="149">
        <v>-7.30891604352122E-3</v>
      </c>
      <c r="AX38" s="149">
        <v>2.1721623295504498E-2</v>
      </c>
      <c r="AY38" s="149">
        <v>3.1892851597033402E-2</v>
      </c>
      <c r="AZ38" s="149">
        <v>-7.30891604352122E-3</v>
      </c>
      <c r="BA38" s="149">
        <v>-7.30891604352122E-3</v>
      </c>
      <c r="BB38" s="149">
        <v>-7.30891604352122E-3</v>
      </c>
      <c r="BC38" s="149">
        <v>-7.30891604352122E-3</v>
      </c>
      <c r="BD38" s="149">
        <v>-7.30891604352122E-3</v>
      </c>
      <c r="BE38" s="149">
        <v>-7.30891604352122E-3</v>
      </c>
      <c r="BF38" s="149">
        <v>-7.30891604352122E-3</v>
      </c>
      <c r="BG38" s="149">
        <v>-7.30891604352122E-3</v>
      </c>
      <c r="BH38" s="149">
        <v>-7.30891604352122E-3</v>
      </c>
      <c r="BI38" s="149">
        <v>-7.30891604352122E-3</v>
      </c>
      <c r="BJ38" s="149">
        <v>-7.30891604352122E-3</v>
      </c>
      <c r="BK38" s="149">
        <v>-7.30891604352122E-3</v>
      </c>
      <c r="BL38" s="149">
        <v>-7.30891604352122E-3</v>
      </c>
      <c r="BM38" s="149">
        <v>-7.30891604352122E-3</v>
      </c>
      <c r="BN38" s="149">
        <v>4.4148707016915999E-2</v>
      </c>
      <c r="BO38" s="149">
        <v>-7.30891604352122E-3</v>
      </c>
      <c r="BP38" s="149">
        <v>-7.30891604352122E-3</v>
      </c>
      <c r="BQ38" s="149">
        <v>6.9448360799753403E-2</v>
      </c>
      <c r="BR38" s="149">
        <v>-7.30891604352122E-3</v>
      </c>
      <c r="BS38" s="149">
        <v>-7.30891604352122E-3</v>
      </c>
      <c r="BT38" s="149">
        <v>-7.30891604352122E-3</v>
      </c>
      <c r="BU38" s="149">
        <v>-7.30891604352122E-3</v>
      </c>
      <c r="BV38" s="149">
        <v>9.6243839602648304E-2</v>
      </c>
      <c r="BW38" s="149">
        <v>-7.30891604352122E-3</v>
      </c>
      <c r="BX38" s="149">
        <v>3.5769799021499802</v>
      </c>
      <c r="BY38" s="149">
        <v>2.4275636163862502</v>
      </c>
      <c r="BZ38" s="149">
        <v>3.22157542558497</v>
      </c>
      <c r="CA38" s="149">
        <v>1.9585350227843099</v>
      </c>
      <c r="CB38" s="149">
        <v>1.3107170270578001E-2</v>
      </c>
      <c r="CC38" s="149">
        <v>-7.30891604352122E-3</v>
      </c>
      <c r="CD38" s="149">
        <v>-7.30891604352122E-3</v>
      </c>
      <c r="CE38" s="149">
        <v>3.7418497376321802E-2</v>
      </c>
      <c r="CF38" s="149">
        <v>5.8965552046037498E-2</v>
      </c>
      <c r="CG38" s="149">
        <v>1.74062607253356E-2</v>
      </c>
      <c r="CH38" s="149">
        <v>5.6569565008733697E-2</v>
      </c>
      <c r="CI38" s="149">
        <v>6.6805298740105603E-3</v>
      </c>
      <c r="CJ38" s="149">
        <v>-7.30891604352122E-3</v>
      </c>
      <c r="CK38" s="149">
        <v>-7.30891604352122E-3</v>
      </c>
      <c r="CL38" s="149">
        <v>1.0358487097669801E-2</v>
      </c>
      <c r="CM38" s="149">
        <v>0.17880713494239001</v>
      </c>
      <c r="CN38" s="149">
        <v>-7.30891604352122E-3</v>
      </c>
      <c r="CO38" s="149">
        <v>-7.30891604352122E-3</v>
      </c>
      <c r="CP38" s="149">
        <v>-7.30891604352122E-3</v>
      </c>
      <c r="CQ38" s="149">
        <v>1.44983454715178E-2</v>
      </c>
      <c r="CR38" s="149">
        <v>0.22055939609182099</v>
      </c>
      <c r="CS38" s="149">
        <v>-7.30891604352122E-3</v>
      </c>
      <c r="CT38" s="149">
        <v>4.4996489405797403E-2</v>
      </c>
      <c r="CU38" s="149">
        <v>0.319711272759307</v>
      </c>
      <c r="CV38" s="149">
        <v>2.7064167823728499E-2</v>
      </c>
      <c r="CW38" s="149">
        <v>-7.30891604352122E-3</v>
      </c>
      <c r="CX38" s="149">
        <v>-7.30891604352122E-3</v>
      </c>
      <c r="CY38" s="149">
        <v>2.3080225739988001E-2</v>
      </c>
      <c r="CZ38" s="149">
        <v>6.0651346055085202E-2</v>
      </c>
      <c r="DA38" s="149">
        <v>4.13020085026286E-2</v>
      </c>
      <c r="DB38" s="149">
        <v>-7.30891604352122E-3</v>
      </c>
      <c r="DC38" s="149">
        <v>0.17060982034834901</v>
      </c>
      <c r="DD38" s="149">
        <v>0.489664305384864</v>
      </c>
      <c r="DE38" s="149">
        <v>2.6644199343146302</v>
      </c>
    </row>
    <row r="39" spans="1:109" x14ac:dyDescent="0.25">
      <c r="A39" s="149" t="s">
        <v>266</v>
      </c>
      <c r="B39" s="149" t="s">
        <v>616</v>
      </c>
      <c r="C39" s="149">
        <v>0</v>
      </c>
      <c r="D39" s="149">
        <v>0</v>
      </c>
      <c r="E39" s="149">
        <v>0</v>
      </c>
      <c r="F39" s="149">
        <v>1.2076981813185899E-2</v>
      </c>
      <c r="G39" s="149">
        <v>0</v>
      </c>
      <c r="H39" s="149">
        <v>0</v>
      </c>
      <c r="I39" s="149">
        <v>0</v>
      </c>
      <c r="J39" s="149">
        <v>0</v>
      </c>
      <c r="K39" s="149">
        <v>0</v>
      </c>
      <c r="L39" s="149">
        <v>0</v>
      </c>
      <c r="M39" s="149">
        <v>0</v>
      </c>
      <c r="N39" s="149">
        <v>0</v>
      </c>
      <c r="O39" s="149">
        <v>0</v>
      </c>
      <c r="P39" s="149">
        <v>0</v>
      </c>
      <c r="Q39" s="149">
        <v>0</v>
      </c>
      <c r="R39" s="149">
        <v>0</v>
      </c>
      <c r="S39" s="149">
        <v>0</v>
      </c>
      <c r="T39" s="149">
        <v>0</v>
      </c>
      <c r="U39" s="149">
        <v>0</v>
      </c>
      <c r="V39" s="149">
        <v>0</v>
      </c>
      <c r="W39" s="149">
        <v>0</v>
      </c>
      <c r="X39" s="149">
        <v>0</v>
      </c>
      <c r="Y39" s="149">
        <v>0</v>
      </c>
      <c r="Z39" s="149">
        <v>0</v>
      </c>
      <c r="AA39" s="149">
        <v>0</v>
      </c>
      <c r="AB39" s="149">
        <v>0</v>
      </c>
      <c r="AC39" s="149">
        <v>0</v>
      </c>
      <c r="AD39" s="149">
        <v>0</v>
      </c>
      <c r="AE39" s="149">
        <v>0</v>
      </c>
      <c r="AF39" s="149">
        <v>0</v>
      </c>
      <c r="AG39" s="149">
        <v>0</v>
      </c>
      <c r="AH39" s="149">
        <v>0</v>
      </c>
      <c r="AI39" s="149">
        <v>0</v>
      </c>
      <c r="AJ39" s="149">
        <v>0</v>
      </c>
      <c r="AK39" s="149">
        <v>0</v>
      </c>
      <c r="AL39" s="149">
        <v>0</v>
      </c>
      <c r="AM39" s="149">
        <v>0</v>
      </c>
      <c r="AN39" s="149">
        <v>0</v>
      </c>
      <c r="AO39" s="149">
        <v>0</v>
      </c>
      <c r="AP39" s="149">
        <v>0</v>
      </c>
      <c r="AQ39" s="149">
        <v>0</v>
      </c>
      <c r="AR39" s="149">
        <v>0</v>
      </c>
      <c r="AS39" s="149">
        <v>0</v>
      </c>
      <c r="AT39" s="149">
        <v>0</v>
      </c>
      <c r="AU39" s="149">
        <v>0</v>
      </c>
      <c r="AV39" s="149">
        <v>0</v>
      </c>
      <c r="AW39" s="149">
        <v>0</v>
      </c>
      <c r="AX39" s="149">
        <v>0</v>
      </c>
      <c r="AY39" s="149">
        <v>0</v>
      </c>
      <c r="AZ39" s="149">
        <v>2.2089523308836099E-2</v>
      </c>
      <c r="BA39" s="149">
        <v>0</v>
      </c>
      <c r="BB39" s="149">
        <v>0</v>
      </c>
      <c r="BC39" s="149">
        <v>0</v>
      </c>
      <c r="BD39" s="149">
        <v>0</v>
      </c>
      <c r="BE39" s="149">
        <v>0</v>
      </c>
      <c r="BF39" s="149">
        <v>0</v>
      </c>
      <c r="BG39" s="149">
        <v>0</v>
      </c>
      <c r="BH39" s="149">
        <v>0</v>
      </c>
      <c r="BI39" s="149">
        <v>0</v>
      </c>
      <c r="BJ39" s="149">
        <v>0</v>
      </c>
      <c r="BK39" s="149">
        <v>0</v>
      </c>
      <c r="BL39" s="149">
        <v>0</v>
      </c>
      <c r="BM39" s="149">
        <v>0</v>
      </c>
      <c r="BN39" s="149">
        <v>0</v>
      </c>
      <c r="BO39" s="149">
        <v>0</v>
      </c>
      <c r="BP39" s="149">
        <v>0</v>
      </c>
      <c r="BQ39" s="149">
        <v>0</v>
      </c>
      <c r="BR39" s="149">
        <v>0</v>
      </c>
      <c r="BS39" s="149">
        <v>0</v>
      </c>
      <c r="BT39" s="149">
        <v>0</v>
      </c>
      <c r="BU39" s="149">
        <v>0</v>
      </c>
      <c r="BV39" s="149">
        <v>0</v>
      </c>
      <c r="BW39" s="149">
        <v>0</v>
      </c>
      <c r="BX39" s="149">
        <v>0.56309946412374801</v>
      </c>
      <c r="BY39" s="149">
        <v>0.68439452346067597</v>
      </c>
      <c r="BZ39" s="149">
        <v>0.28597583199070498</v>
      </c>
      <c r="CA39" s="149">
        <v>0.414414871533759</v>
      </c>
      <c r="CB39" s="149">
        <v>0</v>
      </c>
      <c r="CC39" s="149">
        <v>0</v>
      </c>
      <c r="CD39" s="149">
        <v>0</v>
      </c>
      <c r="CE39" s="149">
        <v>0</v>
      </c>
      <c r="CF39" s="149">
        <v>0</v>
      </c>
      <c r="CG39" s="149">
        <v>0</v>
      </c>
      <c r="CH39" s="149">
        <v>0</v>
      </c>
      <c r="CI39" s="149">
        <v>1.3989445917531601E-2</v>
      </c>
      <c r="CJ39" s="149">
        <v>0</v>
      </c>
      <c r="CK39" s="149">
        <v>0</v>
      </c>
      <c r="CL39" s="149">
        <v>0</v>
      </c>
      <c r="CM39" s="149">
        <v>0</v>
      </c>
      <c r="CN39" s="149">
        <v>0</v>
      </c>
      <c r="CO39" s="149">
        <v>0</v>
      </c>
      <c r="CP39" s="149">
        <v>0</v>
      </c>
      <c r="CQ39" s="149">
        <v>0</v>
      </c>
      <c r="CR39" s="149">
        <v>0</v>
      </c>
      <c r="CS39" s="149">
        <v>0</v>
      </c>
      <c r="CT39" s="149">
        <v>0</v>
      </c>
      <c r="CU39" s="149">
        <v>0</v>
      </c>
      <c r="CV39" s="149">
        <v>0</v>
      </c>
      <c r="CW39" s="149">
        <v>0</v>
      </c>
      <c r="CX39" s="149">
        <v>0</v>
      </c>
      <c r="CY39" s="149">
        <v>1.5252551619131201E-2</v>
      </c>
      <c r="CZ39" s="149">
        <v>3.42625162893712E-2</v>
      </c>
      <c r="DA39" s="149">
        <v>0</v>
      </c>
      <c r="DB39" s="149">
        <v>0</v>
      </c>
      <c r="DC39" s="149">
        <v>0</v>
      </c>
      <c r="DD39" s="149">
        <v>0</v>
      </c>
      <c r="DE39" s="149">
        <v>0.50568389161393701</v>
      </c>
    </row>
    <row r="40" spans="1:109" x14ac:dyDescent="0.25">
      <c r="A40" s="149" t="s">
        <v>266</v>
      </c>
      <c r="B40" s="149" t="s">
        <v>622</v>
      </c>
      <c r="C40" s="149">
        <v>1.4425725567949001E-2</v>
      </c>
      <c r="D40" s="149">
        <v>-2.0514124888696E-2</v>
      </c>
      <c r="E40" s="149">
        <v>-1.8635292901003599E-2</v>
      </c>
      <c r="F40" s="149">
        <v>4.24579220848183E-2</v>
      </c>
      <c r="G40" s="149">
        <v>9.3256515033263692E-3</v>
      </c>
      <c r="H40" s="149">
        <v>-7.7673185629369397E-3</v>
      </c>
      <c r="I40" s="149">
        <v>-2.9048194280313699E-2</v>
      </c>
      <c r="J40" s="149">
        <v>2.3926019321135701E-2</v>
      </c>
      <c r="K40" s="149">
        <v>-2.12903312081642E-2</v>
      </c>
      <c r="L40" s="149">
        <v>0</v>
      </c>
      <c r="M40" s="149">
        <v>-1.7297136454900101E-2</v>
      </c>
      <c r="N40" s="149">
        <v>-1.24442957932153E-2</v>
      </c>
      <c r="O40" s="149">
        <v>3.6368242500559603E-2</v>
      </c>
      <c r="P40" s="149">
        <v>7.6237309774080299E-3</v>
      </c>
      <c r="Q40" s="149">
        <v>1.62482440474973E-2</v>
      </c>
      <c r="R40" s="149">
        <v>8.1622821688940392E-3</v>
      </c>
      <c r="S40" s="149">
        <v>3.5675789109740098E-3</v>
      </c>
      <c r="T40" s="149">
        <v>-2.9048194280313699E-2</v>
      </c>
      <c r="U40" s="149">
        <v>7.2477744902559996E-2</v>
      </c>
      <c r="V40" s="149">
        <v>-2.9048194280313699E-2</v>
      </c>
      <c r="W40" s="149">
        <v>-2.9048194280313699E-2</v>
      </c>
      <c r="X40" s="149">
        <v>-2.9048194280313699E-2</v>
      </c>
      <c r="Y40" s="149">
        <v>-2.9048194280313699E-2</v>
      </c>
      <c r="Z40" s="149">
        <v>-1.0554687643922899E-2</v>
      </c>
      <c r="AA40" s="149">
        <v>-2.9048194280313699E-2</v>
      </c>
      <c r="AB40" s="149">
        <v>3.7009866144305299E-2</v>
      </c>
      <c r="AC40" s="149">
        <v>-5.8809060660836602E-3</v>
      </c>
      <c r="AD40" s="149">
        <v>4.1975668223480103E-2</v>
      </c>
      <c r="AE40" s="149">
        <v>1.29272895932543E-2</v>
      </c>
      <c r="AF40" s="149">
        <v>3.2420540112705898E-2</v>
      </c>
      <c r="AG40" s="149">
        <v>-2.9048194280313699E-2</v>
      </c>
      <c r="AH40" s="149">
        <v>-2.9048194280313699E-2</v>
      </c>
      <c r="AI40" s="149">
        <v>1.2673920942977801E-3</v>
      </c>
      <c r="AJ40" s="149">
        <v>2.4605321329461201E-2</v>
      </c>
      <c r="AK40" s="149">
        <v>-2.5284915890459998E-3</v>
      </c>
      <c r="AL40" s="149">
        <v>3.5110743258581302E-2</v>
      </c>
      <c r="AM40" s="149">
        <v>0.10799840590481199</v>
      </c>
      <c r="AN40" s="149">
        <v>2.45767448348817E-2</v>
      </c>
      <c r="AO40" s="149">
        <v>8.9578054655637299E-2</v>
      </c>
      <c r="AP40" s="149">
        <v>2.7093617300262701E-2</v>
      </c>
      <c r="AQ40" s="149">
        <v>4.8976317584510799E-2</v>
      </c>
      <c r="AR40" s="149">
        <v>-2.9048194280313699E-2</v>
      </c>
      <c r="AS40" s="149">
        <v>-2.9048194280313699E-2</v>
      </c>
      <c r="AT40" s="149">
        <v>4.2648964664721102E-2</v>
      </c>
      <c r="AU40" s="149">
        <v>4.3562817117072897E-2</v>
      </c>
      <c r="AV40" s="149">
        <v>2.9029212863186001E-2</v>
      </c>
      <c r="AW40" s="149">
        <v>-2.9048194280313699E-2</v>
      </c>
      <c r="AX40" s="154">
        <v>-1.7654941287788698E-5</v>
      </c>
      <c r="AY40" s="149">
        <v>-2.8168557284056102E-3</v>
      </c>
      <c r="AZ40" s="149">
        <v>1.4841923046800799E-2</v>
      </c>
      <c r="BA40" s="149">
        <v>-2.9048194280313699E-2</v>
      </c>
      <c r="BB40" s="149">
        <v>-2.9048194280313699E-2</v>
      </c>
      <c r="BC40" s="149">
        <v>-2.9048194280313699E-2</v>
      </c>
      <c r="BD40" s="149">
        <v>-2.9048194280313699E-2</v>
      </c>
      <c r="BE40" s="149">
        <v>-2.9048194280313699E-2</v>
      </c>
      <c r="BF40" s="149">
        <v>-2.9048194280313699E-2</v>
      </c>
      <c r="BG40" s="149">
        <v>-2.9048194280313699E-2</v>
      </c>
      <c r="BH40" s="149">
        <v>-2.9048194280313699E-2</v>
      </c>
      <c r="BI40" s="149">
        <v>-2.9048194280313699E-2</v>
      </c>
      <c r="BJ40" s="149">
        <v>-2.9048194280313699E-2</v>
      </c>
      <c r="BK40" s="149">
        <v>-2.9048194280313699E-2</v>
      </c>
      <c r="BL40" s="149">
        <v>-2.9048194280313699E-2</v>
      </c>
      <c r="BM40" s="149">
        <v>5.41929307760027E-2</v>
      </c>
      <c r="BN40" s="149">
        <v>-2.9048194280313699E-2</v>
      </c>
      <c r="BO40" s="149">
        <v>-2.9048194280313699E-2</v>
      </c>
      <c r="BP40" s="149">
        <v>-2.9048194280313699E-2</v>
      </c>
      <c r="BQ40" s="149">
        <v>-2.9048194280313699E-2</v>
      </c>
      <c r="BR40" s="149">
        <v>-2.9048194280313699E-2</v>
      </c>
      <c r="BS40" s="149">
        <v>-2.9048194280313699E-2</v>
      </c>
      <c r="BT40" s="149">
        <v>0.25354093967505897</v>
      </c>
      <c r="BU40" s="149">
        <v>-2.9048194280313699E-2</v>
      </c>
      <c r="BV40" s="149">
        <v>1.18133058441772E-2</v>
      </c>
      <c r="BW40" s="149">
        <v>-2.9048194280313699E-2</v>
      </c>
      <c r="BX40" s="149">
        <v>3.1470562904991999E-2</v>
      </c>
      <c r="BY40" s="149">
        <v>1.5775753683253901E-2</v>
      </c>
      <c r="BZ40" s="149">
        <v>1.39979611109121E-2</v>
      </c>
      <c r="CA40" s="149">
        <v>3.81220128857028E-3</v>
      </c>
      <c r="CB40" s="149">
        <v>1.15822359415962E-2</v>
      </c>
      <c r="CC40" s="149">
        <v>-2.9048194280313699E-2</v>
      </c>
      <c r="CD40" s="149">
        <v>-1.5840823787237598E-2</v>
      </c>
      <c r="CE40" s="149">
        <v>1.5679219139529299E-2</v>
      </c>
      <c r="CF40" s="149">
        <v>3.7226273809245002E-2</v>
      </c>
      <c r="CG40" s="149">
        <v>2.0068557383672501E-2</v>
      </c>
      <c r="CH40" s="149">
        <v>5.5688210598523601E-2</v>
      </c>
      <c r="CI40" s="149">
        <v>2.63195976375496E-2</v>
      </c>
      <c r="CJ40" s="149">
        <v>5.9044872514360497E-2</v>
      </c>
      <c r="CK40" s="149">
        <v>1.4021181433468101E-2</v>
      </c>
      <c r="CL40" s="149">
        <v>4.0707642733980899E-2</v>
      </c>
      <c r="CM40" s="149">
        <v>-4.9486412587644701E-3</v>
      </c>
      <c r="CN40" s="149">
        <v>2.2405120632058E-2</v>
      </c>
      <c r="CO40" s="149">
        <v>0.109488227299915</v>
      </c>
      <c r="CP40" s="149">
        <v>4.0537627498200897E-2</v>
      </c>
      <c r="CQ40" s="149">
        <v>9.8721607516699006E-2</v>
      </c>
      <c r="CR40" s="149">
        <v>7.1693586882572699E-2</v>
      </c>
      <c r="CS40" s="149">
        <v>8.0653561475020098E-3</v>
      </c>
      <c r="CT40" s="149">
        <v>-2.9048194280313699E-2</v>
      </c>
      <c r="CU40" s="149">
        <v>1.7958108628008299E-2</v>
      </c>
      <c r="CV40" s="149">
        <v>-1.1803734063795699E-2</v>
      </c>
      <c r="CW40" s="149">
        <v>2.1388603528541199E-3</v>
      </c>
      <c r="CX40" s="149">
        <v>-2.9048194280313699E-2</v>
      </c>
      <c r="CY40" s="149">
        <v>-1.37956426611825E-2</v>
      </c>
      <c r="CZ40" s="149">
        <v>3.89120678182929E-2</v>
      </c>
      <c r="DA40" s="149">
        <v>6.6836317002536894E-2</v>
      </c>
      <c r="DB40" s="149">
        <v>-2.9048194280313699E-2</v>
      </c>
      <c r="DC40" s="149">
        <v>-2.9048194280313699E-2</v>
      </c>
      <c r="DD40" s="149">
        <v>-2.9048194280313699E-2</v>
      </c>
      <c r="DE40" s="149">
        <v>8.8336911993737596E-2</v>
      </c>
    </row>
    <row r="41" spans="1:109" x14ac:dyDescent="0.25">
      <c r="A41" s="149" t="s">
        <v>266</v>
      </c>
      <c r="B41" s="149" t="s">
        <v>623</v>
      </c>
      <c r="C41" s="149">
        <v>0</v>
      </c>
      <c r="D41" s="149">
        <v>0</v>
      </c>
      <c r="E41" s="149">
        <v>0</v>
      </c>
      <c r="F41" s="149">
        <v>0</v>
      </c>
      <c r="G41" s="149">
        <v>0</v>
      </c>
      <c r="H41" s="149">
        <v>0</v>
      </c>
      <c r="I41" s="149">
        <v>0</v>
      </c>
      <c r="J41" s="149">
        <v>7.6407890911512301E-3</v>
      </c>
      <c r="K41" s="149">
        <v>0</v>
      </c>
      <c r="L41" s="149">
        <v>9.7287379764071594E-3</v>
      </c>
      <c r="M41" s="149">
        <v>0</v>
      </c>
      <c r="N41" s="149">
        <v>0</v>
      </c>
      <c r="O41" s="149">
        <v>0</v>
      </c>
      <c r="P41" s="149">
        <v>0</v>
      </c>
      <c r="Q41" s="149">
        <v>0</v>
      </c>
      <c r="R41" s="149">
        <v>0</v>
      </c>
      <c r="S41" s="149">
        <v>0</v>
      </c>
      <c r="T41" s="149">
        <v>0</v>
      </c>
      <c r="U41" s="149">
        <v>0</v>
      </c>
      <c r="V41" s="149">
        <v>0</v>
      </c>
      <c r="W41" s="149">
        <v>0</v>
      </c>
      <c r="X41" s="149">
        <v>0</v>
      </c>
      <c r="Y41" s="149">
        <v>0</v>
      </c>
      <c r="Z41" s="149">
        <v>0</v>
      </c>
      <c r="AA41" s="149">
        <v>0</v>
      </c>
      <c r="AB41" s="149">
        <v>0</v>
      </c>
      <c r="AC41" s="149">
        <v>0</v>
      </c>
      <c r="AD41" s="149">
        <v>0</v>
      </c>
      <c r="AE41" s="149">
        <v>0</v>
      </c>
      <c r="AF41" s="149">
        <v>0</v>
      </c>
      <c r="AG41" s="149">
        <v>0</v>
      </c>
      <c r="AH41" s="149">
        <v>0</v>
      </c>
      <c r="AI41" s="149">
        <v>0</v>
      </c>
      <c r="AJ41" s="149">
        <v>0</v>
      </c>
      <c r="AK41" s="149">
        <v>0</v>
      </c>
      <c r="AL41" s="149">
        <v>0</v>
      </c>
      <c r="AM41" s="149">
        <v>0</v>
      </c>
      <c r="AN41" s="149">
        <v>0</v>
      </c>
      <c r="AO41" s="149">
        <v>0</v>
      </c>
      <c r="AP41" s="149">
        <v>0</v>
      </c>
      <c r="AQ41" s="149">
        <v>0</v>
      </c>
      <c r="AR41" s="149">
        <v>0</v>
      </c>
      <c r="AS41" s="149">
        <v>0</v>
      </c>
      <c r="AT41" s="149">
        <v>0</v>
      </c>
      <c r="AU41" s="149">
        <v>0</v>
      </c>
      <c r="AV41" s="149">
        <v>0</v>
      </c>
      <c r="AW41" s="149">
        <v>0</v>
      </c>
      <c r="AX41" s="149">
        <v>0</v>
      </c>
      <c r="AY41" s="149">
        <v>0</v>
      </c>
      <c r="AZ41" s="149">
        <v>0</v>
      </c>
      <c r="BA41" s="149">
        <v>0</v>
      </c>
      <c r="BB41" s="149">
        <v>0</v>
      </c>
      <c r="BC41" s="149">
        <v>0</v>
      </c>
      <c r="BD41" s="149">
        <v>0</v>
      </c>
      <c r="BE41" s="149">
        <v>0</v>
      </c>
      <c r="BF41" s="149">
        <v>0</v>
      </c>
      <c r="BG41" s="149">
        <v>0</v>
      </c>
      <c r="BH41" s="149">
        <v>0</v>
      </c>
      <c r="BI41" s="149">
        <v>0</v>
      </c>
      <c r="BJ41" s="149">
        <v>0</v>
      </c>
      <c r="BK41" s="149">
        <v>0</v>
      </c>
      <c r="BL41" s="149">
        <v>0</v>
      </c>
      <c r="BM41" s="149">
        <v>0</v>
      </c>
      <c r="BN41" s="149">
        <v>0</v>
      </c>
      <c r="BO41" s="149">
        <v>0</v>
      </c>
      <c r="BP41" s="149">
        <v>0</v>
      </c>
      <c r="BQ41" s="149">
        <v>0</v>
      </c>
      <c r="BR41" s="149">
        <v>0</v>
      </c>
      <c r="BS41" s="149">
        <v>0</v>
      </c>
      <c r="BT41" s="149">
        <v>0</v>
      </c>
      <c r="BU41" s="149">
        <v>0</v>
      </c>
      <c r="BV41" s="149">
        <v>0</v>
      </c>
      <c r="BW41" s="149">
        <v>0</v>
      </c>
      <c r="BX41" s="149">
        <v>8.0355770778039098E-2</v>
      </c>
      <c r="BY41" s="149">
        <v>6.6904264304603903E-2</v>
      </c>
      <c r="BZ41" s="149">
        <v>7.4980569904729497E-2</v>
      </c>
      <c r="CA41" s="149">
        <v>0</v>
      </c>
      <c r="CB41" s="149">
        <v>0</v>
      </c>
      <c r="CC41" s="149">
        <v>2.8384994745039499E-2</v>
      </c>
      <c r="CD41" s="149">
        <v>0</v>
      </c>
      <c r="CE41" s="149">
        <v>0</v>
      </c>
      <c r="CF41" s="149">
        <v>0</v>
      </c>
      <c r="CG41" s="149">
        <v>0</v>
      </c>
      <c r="CH41" s="149">
        <v>0</v>
      </c>
      <c r="CI41" s="149">
        <v>0</v>
      </c>
      <c r="CJ41" s="149">
        <v>0</v>
      </c>
      <c r="CK41" s="149">
        <v>4.3069375713781999E-2</v>
      </c>
      <c r="CL41" s="149">
        <v>0</v>
      </c>
      <c r="CM41" s="149">
        <v>0</v>
      </c>
      <c r="CN41" s="149">
        <v>0</v>
      </c>
      <c r="CO41" s="149">
        <v>0.138536421580229</v>
      </c>
      <c r="CP41" s="149">
        <v>0.13644927077899699</v>
      </c>
      <c r="CQ41" s="149">
        <v>0</v>
      </c>
      <c r="CR41" s="149">
        <v>0</v>
      </c>
      <c r="CS41" s="149">
        <v>0</v>
      </c>
      <c r="CT41" s="149">
        <v>0</v>
      </c>
      <c r="CU41" s="149">
        <v>0</v>
      </c>
      <c r="CV41" s="149">
        <v>0</v>
      </c>
      <c r="CW41" s="149">
        <v>0</v>
      </c>
      <c r="CX41" s="149">
        <v>0</v>
      </c>
      <c r="CY41" s="149">
        <v>0</v>
      </c>
      <c r="CZ41" s="149">
        <v>0</v>
      </c>
      <c r="DA41" s="149">
        <v>0</v>
      </c>
      <c r="DB41" s="149">
        <v>0</v>
      </c>
      <c r="DC41" s="149">
        <v>0</v>
      </c>
      <c r="DD41" s="149">
        <v>0</v>
      </c>
      <c r="DE41" s="149">
        <v>0</v>
      </c>
    </row>
    <row r="42" spans="1:109" x14ac:dyDescent="0.25">
      <c r="A42" s="149" t="s">
        <v>266</v>
      </c>
      <c r="B42" s="149" t="s">
        <v>627</v>
      </c>
      <c r="C42" s="149">
        <v>2.9085670627903001E-2</v>
      </c>
      <c r="D42" s="149">
        <v>8.5340693916176706E-3</v>
      </c>
      <c r="E42" s="149">
        <v>1.0412901379310099E-2</v>
      </c>
      <c r="F42" s="149">
        <v>0</v>
      </c>
      <c r="G42" s="149">
        <v>1.92729474546064E-2</v>
      </c>
      <c r="H42" s="149">
        <v>0</v>
      </c>
      <c r="I42" s="149">
        <v>1.4595578857175001E-2</v>
      </c>
      <c r="J42" s="149">
        <v>3.0415835813649799E-2</v>
      </c>
      <c r="K42" s="149">
        <v>1.5490219953559699E-2</v>
      </c>
      <c r="L42" s="149">
        <v>1.9411294088492501E-2</v>
      </c>
      <c r="M42" s="149">
        <v>5.8817733070896097E-3</v>
      </c>
      <c r="N42" s="149">
        <v>0</v>
      </c>
      <c r="O42" s="149">
        <v>0</v>
      </c>
      <c r="P42" s="149">
        <v>0</v>
      </c>
      <c r="Q42" s="149">
        <v>0</v>
      </c>
      <c r="R42" s="149">
        <v>0</v>
      </c>
      <c r="S42" s="149">
        <v>0</v>
      </c>
      <c r="T42" s="149">
        <v>2.68514269649106E-2</v>
      </c>
      <c r="U42" s="149">
        <v>3.4514437491121597E-2</v>
      </c>
      <c r="V42" s="149">
        <v>3.6407013405354599E-2</v>
      </c>
      <c r="W42" s="149">
        <v>2.5192772583470899E-2</v>
      </c>
      <c r="X42" s="149">
        <v>0</v>
      </c>
      <c r="Y42" s="149">
        <v>0</v>
      </c>
      <c r="Z42" s="149">
        <v>1.8493506636390801E-2</v>
      </c>
      <c r="AA42" s="149">
        <v>0</v>
      </c>
      <c r="AB42" s="149">
        <v>0</v>
      </c>
      <c r="AC42" s="149">
        <v>0</v>
      </c>
      <c r="AD42" s="149">
        <v>0</v>
      </c>
      <c r="AE42" s="149">
        <v>2.1113754830738199E-2</v>
      </c>
      <c r="AF42" s="149">
        <v>0</v>
      </c>
      <c r="AG42" s="149">
        <v>0</v>
      </c>
      <c r="AH42" s="149">
        <v>0</v>
      </c>
      <c r="AI42" s="149">
        <v>0</v>
      </c>
      <c r="AJ42" s="149">
        <v>0</v>
      </c>
      <c r="AK42" s="149">
        <v>3.96611870750763E-2</v>
      </c>
      <c r="AL42" s="149">
        <v>0</v>
      </c>
      <c r="AM42" s="149">
        <v>4.7021867771105397E-2</v>
      </c>
      <c r="AN42" s="149">
        <v>1.8054535298380699E-2</v>
      </c>
      <c r="AO42" s="149">
        <v>6.0415306907977501E-2</v>
      </c>
      <c r="AP42" s="149">
        <v>0</v>
      </c>
      <c r="AQ42" s="149">
        <v>0</v>
      </c>
      <c r="AR42" s="149">
        <v>3.9115086395248397E-2</v>
      </c>
      <c r="AS42" s="149">
        <v>0</v>
      </c>
      <c r="AT42" s="149">
        <v>0</v>
      </c>
      <c r="AU42" s="149">
        <v>3.6702932390418899E-2</v>
      </c>
      <c r="AV42" s="149">
        <v>5.8077407143499703E-2</v>
      </c>
      <c r="AW42" s="149">
        <v>0</v>
      </c>
      <c r="AX42" s="149">
        <v>0</v>
      </c>
      <c r="AY42" s="149">
        <v>2.62313385519083E-2</v>
      </c>
      <c r="AZ42" s="149">
        <v>0</v>
      </c>
      <c r="BA42" s="149">
        <v>0</v>
      </c>
      <c r="BB42" s="149">
        <v>7.2488179828177401E-2</v>
      </c>
      <c r="BC42" s="149">
        <v>0</v>
      </c>
      <c r="BD42" s="149">
        <v>9.3694366595759707E-2</v>
      </c>
      <c r="BE42" s="149">
        <v>0</v>
      </c>
      <c r="BF42" s="149">
        <v>9.5539832006143299E-2</v>
      </c>
      <c r="BG42" s="149">
        <v>0</v>
      </c>
      <c r="BH42" s="149">
        <v>0</v>
      </c>
      <c r="BI42" s="149">
        <v>0</v>
      </c>
      <c r="BJ42" s="149">
        <v>0</v>
      </c>
      <c r="BK42" s="149">
        <v>0</v>
      </c>
      <c r="BL42" s="149">
        <v>0</v>
      </c>
      <c r="BM42" s="149">
        <v>0</v>
      </c>
      <c r="BN42" s="149">
        <v>2.5926033293002099E-2</v>
      </c>
      <c r="BO42" s="149">
        <v>0</v>
      </c>
      <c r="BP42" s="149">
        <v>0</v>
      </c>
      <c r="BQ42" s="149">
        <v>0</v>
      </c>
      <c r="BR42" s="149">
        <v>0</v>
      </c>
      <c r="BS42" s="149">
        <v>0</v>
      </c>
      <c r="BT42" s="149">
        <v>0</v>
      </c>
      <c r="BU42" s="149">
        <v>0</v>
      </c>
      <c r="BV42" s="149">
        <v>4.0861500124491003E-2</v>
      </c>
      <c r="BW42" s="149">
        <v>0</v>
      </c>
      <c r="BX42" s="149">
        <v>0</v>
      </c>
      <c r="BY42" s="149">
        <v>2.2524407487623702E-2</v>
      </c>
      <c r="BZ42" s="149">
        <v>0</v>
      </c>
      <c r="CA42" s="149">
        <v>0</v>
      </c>
      <c r="CB42" s="149">
        <v>2.0416086314099101E-2</v>
      </c>
      <c r="CC42" s="149">
        <v>0</v>
      </c>
      <c r="CD42" s="149">
        <v>3.9406562749598403E-2</v>
      </c>
      <c r="CE42" s="149">
        <v>0</v>
      </c>
      <c r="CF42" s="149">
        <v>6.6274468089558697E-2</v>
      </c>
      <c r="CG42" s="149">
        <v>0</v>
      </c>
      <c r="CH42" s="149">
        <v>4.2806730986796E-2</v>
      </c>
      <c r="CI42" s="149">
        <v>5.5367791917863299E-2</v>
      </c>
      <c r="CJ42" s="149">
        <v>0</v>
      </c>
      <c r="CK42" s="149">
        <v>0</v>
      </c>
      <c r="CL42" s="149">
        <v>1.7667403141190901E-2</v>
      </c>
      <c r="CM42" s="149">
        <v>4.79477864399767E-2</v>
      </c>
      <c r="CN42" s="149">
        <v>2.2573506268145499E-2</v>
      </c>
      <c r="CO42" s="149">
        <v>9.3415353355444902E-2</v>
      </c>
      <c r="CP42" s="149">
        <v>6.9585821778514495E-2</v>
      </c>
      <c r="CQ42" s="149">
        <v>0</v>
      </c>
      <c r="CR42" s="149">
        <v>0</v>
      </c>
      <c r="CS42" s="149">
        <v>3.7113550427815702E-2</v>
      </c>
      <c r="CT42" s="149">
        <v>0</v>
      </c>
      <c r="CU42" s="149">
        <v>9.2702123428584596E-2</v>
      </c>
      <c r="CV42" s="149">
        <v>1.7244460216518001E-2</v>
      </c>
      <c r="CW42" s="149">
        <v>0</v>
      </c>
      <c r="CX42" s="149">
        <v>0</v>
      </c>
      <c r="CY42" s="149">
        <v>0</v>
      </c>
      <c r="CZ42" s="149">
        <v>0</v>
      </c>
      <c r="DA42" s="149">
        <v>0</v>
      </c>
      <c r="DB42" s="149">
        <v>0</v>
      </c>
      <c r="DC42" s="149">
        <v>9.1472229245127198E-2</v>
      </c>
      <c r="DD42" s="149">
        <v>0</v>
      </c>
      <c r="DE42" s="149">
        <v>0</v>
      </c>
    </row>
    <row r="43" spans="1:109" x14ac:dyDescent="0.25">
      <c r="A43" s="149" t="s">
        <v>266</v>
      </c>
      <c r="B43" s="149" t="s">
        <v>628</v>
      </c>
      <c r="C43" s="149">
        <v>0.48152902406384201</v>
      </c>
      <c r="D43" s="149">
        <v>8.0629244905414205E-2</v>
      </c>
      <c r="E43" s="149">
        <v>-0.44800248865103698</v>
      </c>
      <c r="F43" s="149">
        <v>0.69190639723185199</v>
      </c>
      <c r="G43" s="149">
        <v>0.48320007095974898</v>
      </c>
      <c r="H43" s="149">
        <v>0.68179478092052304</v>
      </c>
      <c r="I43" s="149">
        <v>1.2359365993265099</v>
      </c>
      <c r="J43" s="149">
        <v>0.71867252251383795</v>
      </c>
      <c r="K43" s="149">
        <v>2.1680973909238802E-2</v>
      </c>
      <c r="L43" s="149">
        <v>0.60882214783208899</v>
      </c>
      <c r="M43" s="149">
        <v>0.80848508974140398</v>
      </c>
      <c r="N43" s="149">
        <v>0.93821110431218402</v>
      </c>
      <c r="O43" s="149">
        <v>0.91610097153125603</v>
      </c>
      <c r="P43" s="149">
        <v>0.15544106565069599</v>
      </c>
      <c r="Q43" s="149">
        <v>0.43437958570662899</v>
      </c>
      <c r="R43" s="149">
        <v>-3.97958956496327E-2</v>
      </c>
      <c r="S43" s="149">
        <v>0.507101255053236</v>
      </c>
      <c r="T43" s="149">
        <v>0.17115190211988801</v>
      </c>
      <c r="U43" s="149">
        <v>-0.650110327562059</v>
      </c>
      <c r="V43" s="149">
        <v>5.0767413793142403E-2</v>
      </c>
      <c r="W43" s="149">
        <v>0.64930519519891805</v>
      </c>
      <c r="X43" s="149">
        <v>0.115219930392614</v>
      </c>
      <c r="Y43" s="149">
        <v>-0.18634324561437099</v>
      </c>
      <c r="Z43" s="149">
        <v>0.59368057996044599</v>
      </c>
      <c r="AA43" s="149">
        <v>4.3487972673503301E-2</v>
      </c>
      <c r="AB43" s="149">
        <v>1.2182711932423</v>
      </c>
      <c r="AC43" s="149">
        <v>1.31642060659708</v>
      </c>
      <c r="AD43" s="149">
        <v>0.72838369859267005</v>
      </c>
      <c r="AE43" s="149">
        <v>0.44977919604182098</v>
      </c>
      <c r="AF43" s="149">
        <v>-0.10249369702309</v>
      </c>
      <c r="AG43" s="149">
        <v>-0.121647883795069</v>
      </c>
      <c r="AH43" s="149">
        <v>0.43186309605429402</v>
      </c>
      <c r="AI43" s="149">
        <v>0.59260544523407499</v>
      </c>
      <c r="AJ43" s="149">
        <v>0.76747460229861797</v>
      </c>
      <c r="AK43" s="149">
        <v>0.15369926251327401</v>
      </c>
      <c r="AL43" s="149">
        <v>-1.76793388087596E-3</v>
      </c>
      <c r="AM43" s="149">
        <v>-0.39796369046033298</v>
      </c>
      <c r="AN43" s="149">
        <v>-0.70777814444505005</v>
      </c>
      <c r="AO43" s="149">
        <v>-0.17468356653758099</v>
      </c>
      <c r="AP43" s="149">
        <v>0.172895885043099</v>
      </c>
      <c r="AQ43" s="149">
        <v>5.9019354837266898E-2</v>
      </c>
      <c r="AR43" s="149">
        <v>0.87931116048898905</v>
      </c>
      <c r="AS43" s="149">
        <v>-0.59232385800555498</v>
      </c>
      <c r="AT43" s="149">
        <v>6.7233318700602798E-2</v>
      </c>
      <c r="AU43" s="149">
        <v>-8.6894009772453401E-2</v>
      </c>
      <c r="AV43" s="149">
        <v>4.1930221169790401E-2</v>
      </c>
      <c r="AW43" s="149">
        <v>-0.806272528057836</v>
      </c>
      <c r="AX43" s="149">
        <v>-0.453658061057162</v>
      </c>
      <c r="AY43" s="149">
        <v>0.65034373281192903</v>
      </c>
      <c r="AZ43" s="149">
        <v>0.22819247428888201</v>
      </c>
      <c r="BA43" s="149">
        <v>-0.98675123050625402</v>
      </c>
      <c r="BB43" s="149">
        <v>-0.14599915699913399</v>
      </c>
      <c r="BC43" s="149">
        <v>-1.2123401824442299</v>
      </c>
      <c r="BD43" s="149">
        <v>-0.56159437751482399</v>
      </c>
      <c r="BE43" s="149">
        <v>-0.133250384961701</v>
      </c>
      <c r="BF43" s="149">
        <v>-0.215987308665545</v>
      </c>
      <c r="BG43" s="149">
        <v>-0.81751394050456405</v>
      </c>
      <c r="BH43" s="149">
        <v>-0.31753064075178999</v>
      </c>
      <c r="BI43" s="149">
        <v>-0.58117300723116905</v>
      </c>
      <c r="BJ43" s="149">
        <v>-0.149055260447222</v>
      </c>
      <c r="BK43" s="149">
        <v>0.221331522569614</v>
      </c>
      <c r="BL43" s="149">
        <v>-0.63619135821384798</v>
      </c>
      <c r="BM43" s="149">
        <v>-0.20368688225324899</v>
      </c>
      <c r="BN43" s="149">
        <v>-0.100790413296638</v>
      </c>
      <c r="BO43" s="149">
        <v>-0.33986126164802499</v>
      </c>
      <c r="BP43" s="149">
        <v>-0.31835306070125102</v>
      </c>
      <c r="BQ43" s="149">
        <v>-0.74896751644285298</v>
      </c>
      <c r="BR43" s="149">
        <v>-0.390380277504559</v>
      </c>
      <c r="BS43" s="149">
        <v>0</v>
      </c>
      <c r="BT43" s="149">
        <v>-0.22106397780249001</v>
      </c>
      <c r="BU43" s="149">
        <v>-0.28341937598654898</v>
      </c>
      <c r="BV43" s="149">
        <v>0.86070496287160803</v>
      </c>
      <c r="BW43" s="149">
        <v>-0.48860004094849402</v>
      </c>
      <c r="BX43" s="149">
        <v>2.0455879678829101</v>
      </c>
      <c r="BY43" s="149">
        <v>1.9634845831843399</v>
      </c>
      <c r="BZ43" s="149">
        <v>2.0180790427898501</v>
      </c>
      <c r="CA43" s="149">
        <v>1.74470904050571</v>
      </c>
      <c r="CB43" s="149">
        <v>-1.63994215491858</v>
      </c>
      <c r="CC43" s="149">
        <v>-1.4706925461828599</v>
      </c>
      <c r="CD43" s="149">
        <v>0.29355703023211899</v>
      </c>
      <c r="CE43" s="149">
        <v>-1.1890219780076501</v>
      </c>
      <c r="CF43" s="149">
        <v>-1.75047355499348</v>
      </c>
      <c r="CG43" s="149">
        <v>1.0666543995748801</v>
      </c>
      <c r="CH43" s="149">
        <v>-1.18244929375184</v>
      </c>
      <c r="CI43" s="149">
        <v>1.02793262745805</v>
      </c>
      <c r="CJ43" s="149">
        <v>1.3050777109394101</v>
      </c>
      <c r="CK43" s="149">
        <v>0.36856626634043599</v>
      </c>
      <c r="CL43" s="149">
        <v>0.70950285788405598</v>
      </c>
      <c r="CM43" s="149">
        <v>1.16221552030133</v>
      </c>
      <c r="CN43" s="149">
        <v>1.41355274219035</v>
      </c>
      <c r="CO43" s="149">
        <v>-1.9779457734247601</v>
      </c>
      <c r="CP43" s="149">
        <v>-1.80848698511092</v>
      </c>
      <c r="CQ43" s="149">
        <v>-0.23275399637726099</v>
      </c>
      <c r="CR43" s="149">
        <v>0.56214778827560996</v>
      </c>
      <c r="CS43" s="149">
        <v>-1.47795381561483</v>
      </c>
      <c r="CT43" s="149">
        <v>-1.75432293025179</v>
      </c>
      <c r="CU43" s="149">
        <v>-0.63351981306991001</v>
      </c>
      <c r="CV43" s="149">
        <v>-0.59225378951965502</v>
      </c>
      <c r="CW43" s="149">
        <v>-1.47105968159656</v>
      </c>
      <c r="CX43" s="149">
        <v>-1.8811443139950399</v>
      </c>
      <c r="CY43" s="149">
        <v>-1.9380948864933101</v>
      </c>
      <c r="CZ43" s="149">
        <v>-1.9054821019297801</v>
      </c>
      <c r="DA43" s="149">
        <v>-1.92946219606808</v>
      </c>
      <c r="DB43" s="149">
        <v>-0.24883691105872799</v>
      </c>
      <c r="DC43" s="149">
        <v>-0.27848444636565201</v>
      </c>
      <c r="DD43" s="149">
        <v>0.23312590817553999</v>
      </c>
      <c r="DE43" s="149">
        <v>0.77526332074788995</v>
      </c>
    </row>
    <row r="44" spans="1:109" x14ac:dyDescent="0.25">
      <c r="A44" s="149" t="s">
        <v>266</v>
      </c>
      <c r="B44" s="149" t="s">
        <v>631</v>
      </c>
      <c r="C44" s="149">
        <v>1.7066870745492499E-2</v>
      </c>
      <c r="D44" s="149">
        <v>7.8739797428353395E-2</v>
      </c>
      <c r="E44" s="149">
        <v>5.9672960928395601E-2</v>
      </c>
      <c r="F44" s="149">
        <v>5.8673872116046598E-2</v>
      </c>
      <c r="G44" s="149">
        <v>1.25098685047046E-2</v>
      </c>
      <c r="H44" s="149">
        <v>9.5051880040182904E-2</v>
      </c>
      <c r="I44" s="149">
        <v>5.8603164663784601E-3</v>
      </c>
      <c r="J44" s="149">
        <v>4.2118551347939903E-2</v>
      </c>
      <c r="K44" s="149">
        <v>6.6228239943508904E-2</v>
      </c>
      <c r="L44" s="149">
        <v>-3.9256370746730301E-2</v>
      </c>
      <c r="M44" s="149">
        <v>5.0101650911004797E-2</v>
      </c>
      <c r="N44" s="149">
        <v>6.6856800747379305E-2</v>
      </c>
      <c r="O44" s="149">
        <v>-3.63163953910823E-2</v>
      </c>
      <c r="P44" s="149">
        <v>0.36670834112980799</v>
      </c>
      <c r="Q44" s="149">
        <v>5.29951287487773E-2</v>
      </c>
      <c r="R44" s="149">
        <v>0.11491559403382701</v>
      </c>
      <c r="S44" s="149">
        <v>7.6006877167511797E-2</v>
      </c>
      <c r="T44" s="149">
        <v>0.129751085839549</v>
      </c>
      <c r="U44" s="149">
        <v>2.6109253535728902E-3</v>
      </c>
      <c r="V44" s="149">
        <v>6.4404521302431406E-2</v>
      </c>
      <c r="W44" s="149">
        <v>0.131099413543038</v>
      </c>
      <c r="X44" s="149">
        <v>0.223723258749323</v>
      </c>
      <c r="Y44" s="149">
        <v>0.25830364285555302</v>
      </c>
      <c r="Z44" s="149">
        <v>0.13027057321580199</v>
      </c>
      <c r="AA44" s="149">
        <v>0.13413876172398601</v>
      </c>
      <c r="AB44" s="149">
        <v>-3.4426899165408198E-2</v>
      </c>
      <c r="AC44" s="149">
        <v>7.4001512924254595E-2</v>
      </c>
      <c r="AD44" s="149">
        <v>4.3044667072847403E-2</v>
      </c>
      <c r="AE44" s="149">
        <v>6.73037282011376E-2</v>
      </c>
      <c r="AF44" s="149">
        <v>0.21564480842332001</v>
      </c>
      <c r="AG44" s="149">
        <v>0.123073853691582</v>
      </c>
      <c r="AH44" s="149">
        <v>4.7060112491935202E-2</v>
      </c>
      <c r="AI44" s="149">
        <v>3.46071113345879E-3</v>
      </c>
      <c r="AJ44" s="149">
        <v>-4.4463099643605002E-2</v>
      </c>
      <c r="AK44" s="149">
        <v>1.4514821065665999E-2</v>
      </c>
      <c r="AL44" s="149">
        <v>3.01992081753619E-2</v>
      </c>
      <c r="AM44" s="149">
        <v>0.227779165692654</v>
      </c>
      <c r="AN44" s="149">
        <v>0.15859373656638501</v>
      </c>
      <c r="AO44" s="149">
        <v>0.44850210716751698</v>
      </c>
      <c r="AP44" s="149">
        <v>6.6261223226655494E-2</v>
      </c>
      <c r="AQ44" s="149">
        <v>0.214080160261643</v>
      </c>
      <c r="AR44" s="149">
        <v>6.4583822378083897E-2</v>
      </c>
      <c r="AS44" s="149">
        <v>-4.2534472427562302E-2</v>
      </c>
      <c r="AT44" s="149">
        <v>4.6274324214586902E-2</v>
      </c>
      <c r="AU44" s="149">
        <v>0.22699738620063201</v>
      </c>
      <c r="AV44" s="149">
        <v>0.36588410029299701</v>
      </c>
      <c r="AW44" s="149">
        <v>2.8964164218568001E-2</v>
      </c>
      <c r="AX44" s="149">
        <v>-0.13997624704863201</v>
      </c>
      <c r="AY44" s="149">
        <v>9.1856452269975398E-3</v>
      </c>
      <c r="AZ44" s="149">
        <v>-3.6576877446577997E-2</v>
      </c>
      <c r="BA44" s="149">
        <v>-0.134912108837939</v>
      </c>
      <c r="BB44" s="149">
        <v>-0.15312796995529099</v>
      </c>
      <c r="BC44" s="149">
        <v>-0.14577481901971001</v>
      </c>
      <c r="BD44" s="149">
        <v>-4.3600384754464303E-2</v>
      </c>
      <c r="BE44" s="149">
        <v>-0.225616149783469</v>
      </c>
      <c r="BF44" s="149">
        <v>-0.13007631777732501</v>
      </c>
      <c r="BG44" s="149">
        <v>8.8461639788147695E-2</v>
      </c>
      <c r="BH44" s="149">
        <v>-0.225616149783469</v>
      </c>
      <c r="BI44" s="149">
        <v>2.5838440715366499E-2</v>
      </c>
      <c r="BJ44" s="149">
        <v>-0.12372979890293</v>
      </c>
      <c r="BK44" s="149">
        <v>0</v>
      </c>
      <c r="BL44" s="149">
        <v>2.49813691927009E-2</v>
      </c>
      <c r="BM44" s="149">
        <v>1.18821790862302E-2</v>
      </c>
      <c r="BN44" s="149">
        <v>-2.8578032207012299E-2</v>
      </c>
      <c r="BO44" s="149">
        <v>-5.04811825583521E-2</v>
      </c>
      <c r="BP44" s="149">
        <v>0.14644674450223999</v>
      </c>
      <c r="BQ44" s="149">
        <v>6.1587806813173898E-2</v>
      </c>
      <c r="BR44" s="149">
        <v>-0.13940186140539601</v>
      </c>
      <c r="BS44" s="149">
        <v>-0.100044781216225</v>
      </c>
      <c r="BT44" s="149">
        <v>-0.225616149783469</v>
      </c>
      <c r="BU44" s="149">
        <v>1.9413001510655999E-2</v>
      </c>
      <c r="BV44" s="149">
        <v>-0.144915237035321</v>
      </c>
      <c r="BW44" s="149">
        <v>-0.225616149783469</v>
      </c>
      <c r="BX44" s="149">
        <v>-1.8519946136533801E-2</v>
      </c>
      <c r="BY44" s="149">
        <v>-6.0133336306746402E-2</v>
      </c>
      <c r="BZ44" s="149">
        <v>5.6959868880981701E-2</v>
      </c>
      <c r="CA44" s="149">
        <v>0.119641797614137</v>
      </c>
      <c r="CB44" s="149">
        <v>-0.20520006346937</v>
      </c>
      <c r="CC44" s="149">
        <v>-0.197231155038429</v>
      </c>
      <c r="CD44" s="149">
        <v>-4.6923891707738197E-2</v>
      </c>
      <c r="CE44" s="149">
        <v>-0.13722604806695901</v>
      </c>
      <c r="CF44" s="149">
        <v>-0.225616149783469</v>
      </c>
      <c r="CG44" s="149">
        <v>-0.225616149783469</v>
      </c>
      <c r="CH44" s="149">
        <v>-0.225616149783469</v>
      </c>
      <c r="CI44" s="149">
        <v>-0.19773668263893601</v>
      </c>
      <c r="CJ44" s="149">
        <v>-0.195791788893205</v>
      </c>
      <c r="CK44" s="149">
        <v>-0.225616149783469</v>
      </c>
      <c r="CL44" s="149">
        <v>-0.207948746642278</v>
      </c>
      <c r="CM44" s="149">
        <v>-0.15406477206967301</v>
      </c>
      <c r="CN44" s="149">
        <v>-0.225616149783469</v>
      </c>
      <c r="CO44" s="149">
        <v>-0.225616149783469</v>
      </c>
      <c r="CP44" s="149">
        <v>-0.225616149783469</v>
      </c>
      <c r="CQ44" s="149">
        <v>-0.225616149783469</v>
      </c>
      <c r="CR44" s="149">
        <v>-0.19148079471287999</v>
      </c>
      <c r="CS44" s="149">
        <v>-0.225616149783469</v>
      </c>
      <c r="CT44" s="149">
        <v>-0.225616149783469</v>
      </c>
      <c r="CU44" s="149">
        <v>-0.225616149783469</v>
      </c>
      <c r="CV44" s="149">
        <v>-9.0788389588096902E-2</v>
      </c>
      <c r="CW44" s="149">
        <v>-0.225616149783469</v>
      </c>
      <c r="CX44" s="149">
        <v>-0.225616149783469</v>
      </c>
      <c r="CY44" s="149">
        <v>-0.210363598164338</v>
      </c>
      <c r="CZ44" s="149">
        <v>-0.19135363349409801</v>
      </c>
      <c r="DA44" s="149">
        <v>-0.225616149783469</v>
      </c>
      <c r="DB44" s="149">
        <v>0.10556748486253099</v>
      </c>
      <c r="DC44" s="149">
        <v>-4.7697413391598699E-2</v>
      </c>
      <c r="DD44" s="149">
        <v>-0.225616149783469</v>
      </c>
      <c r="DE44" s="149">
        <v>-0.16584490725239301</v>
      </c>
    </row>
    <row r="45" spans="1:109" x14ac:dyDescent="0.25">
      <c r="A45" s="149" t="s">
        <v>266</v>
      </c>
      <c r="B45" s="149" t="s">
        <v>632</v>
      </c>
      <c r="C45" s="149">
        <v>5.67522593154818E-2</v>
      </c>
      <c r="D45" s="149">
        <v>-3.3113748216259002E-2</v>
      </c>
      <c r="E45" s="149">
        <v>-1.99063229761916E-2</v>
      </c>
      <c r="F45" s="149">
        <v>9.0066192580281104E-2</v>
      </c>
      <c r="G45" s="149">
        <v>0.20896524559698401</v>
      </c>
      <c r="H45" s="149">
        <v>0.26160530998081899</v>
      </c>
      <c r="I45" s="149">
        <v>0.40397964175467599</v>
      </c>
      <c r="J45" s="149">
        <v>0</v>
      </c>
      <c r="K45" s="149">
        <v>0.26736575982784899</v>
      </c>
      <c r="L45" s="149">
        <v>0.154805843977601</v>
      </c>
      <c r="M45" s="149">
        <v>0.40463919548888</v>
      </c>
      <c r="N45" s="149">
        <v>0.229244497549801</v>
      </c>
      <c r="O45" s="149">
        <v>-2.3156073903036201E-2</v>
      </c>
      <c r="P45" s="149">
        <v>-0.121153590480078</v>
      </c>
      <c r="Q45" s="149">
        <v>-0.18864650698209701</v>
      </c>
      <c r="R45" s="149">
        <v>-0.67111828092463699</v>
      </c>
      <c r="S45" s="149">
        <v>-0.48002745838534999</v>
      </c>
      <c r="T45" s="149">
        <v>-9.4663868105926904E-2</v>
      </c>
      <c r="U45" s="149">
        <v>-0.27492448508528899</v>
      </c>
      <c r="V45" s="149">
        <v>-0.30655978154119101</v>
      </c>
      <c r="W45" s="149">
        <v>-0.28320260153912002</v>
      </c>
      <c r="X45" s="149">
        <v>0.12900845798556501</v>
      </c>
      <c r="Y45" s="149">
        <v>0.34878988734916799</v>
      </c>
      <c r="Z45" s="149">
        <v>0.166282534877008</v>
      </c>
      <c r="AA45" s="149">
        <v>0.53565781923142397</v>
      </c>
      <c r="AB45" s="149">
        <v>-3.4188157503389098E-2</v>
      </c>
      <c r="AC45" s="149">
        <v>0.20012639272739099</v>
      </c>
      <c r="AD45" s="149">
        <v>0.19411010497984499</v>
      </c>
      <c r="AE45" s="149">
        <v>-0.27881005180174001</v>
      </c>
      <c r="AF45" s="149">
        <v>7.3068576801208304E-2</v>
      </c>
      <c r="AG45" s="149">
        <v>-5.0240887211648398E-2</v>
      </c>
      <c r="AH45" s="149">
        <v>0.57900465080367403</v>
      </c>
      <c r="AI45" s="149">
        <v>5.2861404134965699E-2</v>
      </c>
      <c r="AJ45" s="149">
        <v>0.25495718146233398</v>
      </c>
      <c r="AK45" s="149">
        <v>0.264302522399601</v>
      </c>
      <c r="AL45" s="149">
        <v>-0.29120439229192002</v>
      </c>
      <c r="AM45" s="149">
        <v>-0.41370698312232101</v>
      </c>
      <c r="AN45" s="149">
        <v>-0.48762176669256402</v>
      </c>
      <c r="AO45" s="149">
        <v>-0.248356631416152</v>
      </c>
      <c r="AP45" s="149">
        <v>-0.36548941839941701</v>
      </c>
      <c r="AQ45" s="149">
        <v>-0.70545938106176698</v>
      </c>
      <c r="AR45" s="149">
        <v>-0.332404427576385</v>
      </c>
      <c r="AS45" s="149">
        <v>-0.14916763850964401</v>
      </c>
      <c r="AT45" s="149">
        <v>-0.37403798558779799</v>
      </c>
      <c r="AU45" s="149">
        <v>-0.46266678097025599</v>
      </c>
      <c r="AV45" s="149">
        <v>-0.51155361193397997</v>
      </c>
      <c r="AW45" s="149">
        <v>-0.33718774383804501</v>
      </c>
      <c r="AX45" s="149">
        <v>0.19023741679860201</v>
      </c>
      <c r="AY45" s="149">
        <v>0.18532058444746199</v>
      </c>
      <c r="AZ45" s="149">
        <v>0.12906267099604599</v>
      </c>
      <c r="BA45" s="149">
        <v>-0.64598041350854296</v>
      </c>
      <c r="BB45" s="149">
        <v>-0.52974867328169895</v>
      </c>
      <c r="BC45" s="149">
        <v>-0.29053847561706198</v>
      </c>
      <c r="BD45" s="149">
        <v>-9.3667273047213007E-2</v>
      </c>
      <c r="BE45" s="149">
        <v>-0.121237600335022</v>
      </c>
      <c r="BF45" s="149">
        <v>-0.67023283899307895</v>
      </c>
      <c r="BG45" s="149">
        <v>-0.77995567779102803</v>
      </c>
      <c r="BH45" s="149">
        <v>-0.448781348104139</v>
      </c>
      <c r="BI45" s="149">
        <v>-0.45666805856056603</v>
      </c>
      <c r="BJ45" s="149">
        <v>-0.42821329227798199</v>
      </c>
      <c r="BK45" s="149">
        <v>4.9719262631825203E-2</v>
      </c>
      <c r="BL45" s="149">
        <v>-0.60073331227373605</v>
      </c>
      <c r="BM45" s="149">
        <v>-0.28324133092555598</v>
      </c>
      <c r="BN45" s="149">
        <v>6.3444354597056205E-2</v>
      </c>
      <c r="BO45" s="149">
        <v>-0.33457584819965602</v>
      </c>
      <c r="BP45" s="149">
        <v>-0.50378920671690897</v>
      </c>
      <c r="BQ45" s="149">
        <v>-0.33787708954852802</v>
      </c>
      <c r="BR45" s="149">
        <v>-0.73435819848860895</v>
      </c>
      <c r="BS45" s="149">
        <v>8.0587106331012098E-2</v>
      </c>
      <c r="BT45" s="149">
        <v>-2.9630882749695098E-2</v>
      </c>
      <c r="BU45" s="149">
        <v>-0.383572439947229</v>
      </c>
      <c r="BV45" s="149">
        <v>-0.133471946838193</v>
      </c>
      <c r="BW45" s="149">
        <v>-0.35303789859090301</v>
      </c>
      <c r="BX45" s="149">
        <v>-0.29852291461168601</v>
      </c>
      <c r="BY45" s="149">
        <v>-0.32144287841826502</v>
      </c>
      <c r="BZ45" s="149">
        <v>0.122645891364486</v>
      </c>
      <c r="CA45" s="149">
        <v>-0.215121835519654</v>
      </c>
      <c r="CB45" s="149">
        <v>1.70142396428327</v>
      </c>
      <c r="CC45" s="149">
        <v>2.5643756942798901</v>
      </c>
      <c r="CD45" s="149">
        <v>1.9069932886732599</v>
      </c>
      <c r="CE45" s="149">
        <v>1.4737315359154399</v>
      </c>
      <c r="CF45" s="149">
        <v>1.9421674029678799</v>
      </c>
      <c r="CG45" s="149">
        <v>2.0779077946868201</v>
      </c>
      <c r="CH45" s="149">
        <v>1.2167360953919</v>
      </c>
      <c r="CI45" s="149">
        <v>2.2503835851159999</v>
      </c>
      <c r="CJ45" s="149">
        <v>2.3882404802887001</v>
      </c>
      <c r="CK45" s="149">
        <v>3.5157623635768398</v>
      </c>
      <c r="CL45" s="149">
        <v>3.4624615073973</v>
      </c>
      <c r="CM45" s="149">
        <v>3.5946419207767599</v>
      </c>
      <c r="CN45" s="149">
        <v>4.1889695653941699</v>
      </c>
      <c r="CO45" s="149">
        <v>-0.105349244097348</v>
      </c>
      <c r="CP45" s="149">
        <v>1.6056393541291001</v>
      </c>
      <c r="CQ45" s="149">
        <v>2.3290320839499299</v>
      </c>
      <c r="CR45" s="149">
        <v>1.76077276149767</v>
      </c>
      <c r="CS45" s="149">
        <v>0.244038914451881</v>
      </c>
      <c r="CT45" s="149">
        <v>0.42731458254110399</v>
      </c>
      <c r="CU45" s="149">
        <v>4.13719569275353E-2</v>
      </c>
      <c r="CV45" s="149">
        <v>0.86634364069201397</v>
      </c>
      <c r="CW45" s="149">
        <v>1.1768459153558599</v>
      </c>
      <c r="CX45" s="149">
        <v>1.0740369638393401</v>
      </c>
      <c r="CY45" s="149">
        <v>1.1106049704861101</v>
      </c>
      <c r="CZ45" s="149">
        <v>0.86132707683471399</v>
      </c>
      <c r="DA45" s="149">
        <v>0.591142554823194</v>
      </c>
      <c r="DB45" s="149">
        <v>4.4483071642176401E-2</v>
      </c>
      <c r="DC45" s="149">
        <v>-3.6220853749113303E-2</v>
      </c>
      <c r="DD45" s="149">
        <v>-0.138839523885919</v>
      </c>
      <c r="DE45" s="149">
        <v>-0.181877177166861</v>
      </c>
    </row>
    <row r="46" spans="1:109" x14ac:dyDescent="0.25">
      <c r="A46" s="149" t="s">
        <v>266</v>
      </c>
      <c r="B46" s="149" t="s">
        <v>636</v>
      </c>
      <c r="C46" s="149">
        <v>-1.57382773356643E-2</v>
      </c>
      <c r="D46" s="149">
        <v>-1.4361145409617001E-2</v>
      </c>
      <c r="E46" s="149">
        <v>5.5398817061254199E-2</v>
      </c>
      <c r="F46" s="149">
        <v>-4.4823947963567499E-2</v>
      </c>
      <c r="G46" s="149">
        <v>-4.4823947963567499E-2</v>
      </c>
      <c r="H46" s="149">
        <v>-3.4158455019272803E-2</v>
      </c>
      <c r="I46" s="149">
        <v>-3.0228369106392601E-2</v>
      </c>
      <c r="J46" s="149">
        <v>-4.4823947963567499E-2</v>
      </c>
      <c r="K46" s="149">
        <v>-2.9333728010007699E-2</v>
      </c>
      <c r="L46" s="149">
        <v>-4.4823947963567499E-2</v>
      </c>
      <c r="M46" s="149">
        <v>-3.3072890138153899E-2</v>
      </c>
      <c r="N46" s="149">
        <v>-2.8220049476469E-2</v>
      </c>
      <c r="O46" s="149">
        <v>-1.1806252709562599E-2</v>
      </c>
      <c r="P46" s="149">
        <v>-4.4823947963567499E-2</v>
      </c>
      <c r="Q46" s="149">
        <v>-4.4823947963567499E-2</v>
      </c>
      <c r="R46" s="149">
        <v>-4.4823947963567499E-2</v>
      </c>
      <c r="S46" s="149">
        <v>1.9804277282840399E-2</v>
      </c>
      <c r="T46" s="149">
        <v>-1.7972520998657E-2</v>
      </c>
      <c r="U46" s="149">
        <v>-4.4823947963567499E-2</v>
      </c>
      <c r="V46" s="149">
        <v>-8.4169345582127096E-3</v>
      </c>
      <c r="W46" s="149">
        <v>5.2014196243675599E-3</v>
      </c>
      <c r="X46" s="149">
        <v>-1.16837190810077E-3</v>
      </c>
      <c r="Y46" s="149">
        <v>-4.4823947963567499E-2</v>
      </c>
      <c r="Z46" s="149">
        <v>-4.4823947963567499E-2</v>
      </c>
      <c r="AA46" s="149">
        <v>2.0356043434692501E-2</v>
      </c>
      <c r="AB46" s="149">
        <v>-4.4823947963567499E-2</v>
      </c>
      <c r="AC46" s="149">
        <v>-4.4823947963567499E-2</v>
      </c>
      <c r="AD46" s="149">
        <v>-4.4823947963567499E-2</v>
      </c>
      <c r="AE46" s="149">
        <v>-2.37101931328292E-2</v>
      </c>
      <c r="AF46" s="149">
        <v>-1.3821400064999399E-2</v>
      </c>
      <c r="AG46" s="149">
        <v>0.102935819227263</v>
      </c>
      <c r="AH46" s="149">
        <v>-3.2092972036603402E-3</v>
      </c>
      <c r="AI46" s="149">
        <v>-4.4823947963567499E-2</v>
      </c>
      <c r="AJ46" s="149">
        <v>6.0917850246710703E-2</v>
      </c>
      <c r="AK46" s="149">
        <v>2.0889334177461898E-2</v>
      </c>
      <c r="AL46" s="149">
        <v>1.9334989575327501E-2</v>
      </c>
      <c r="AM46" s="149">
        <v>0.39360954738408099</v>
      </c>
      <c r="AN46" s="149">
        <v>-8.8957684554043896E-3</v>
      </c>
      <c r="AO46" s="149">
        <v>0.18424562813234299</v>
      </c>
      <c r="AP46" s="149">
        <v>0.118229281355829</v>
      </c>
      <c r="AQ46" s="149">
        <v>3.3200563901257002E-2</v>
      </c>
      <c r="AR46" s="149">
        <v>-5.7088615683192597E-3</v>
      </c>
      <c r="AS46" s="149">
        <v>-4.4823947963567499E-2</v>
      </c>
      <c r="AT46" s="149">
        <v>3.27652891502008E-3</v>
      </c>
      <c r="AU46" s="149">
        <v>9.7360781333131502E-2</v>
      </c>
      <c r="AV46" s="149">
        <v>1.32534591799322E-2</v>
      </c>
      <c r="AW46" s="149">
        <v>-4.4823947963567499E-2</v>
      </c>
      <c r="AX46" s="149">
        <v>1.2747352857550499E-2</v>
      </c>
      <c r="AY46" s="149">
        <v>-3.1659331684909399E-2</v>
      </c>
      <c r="AZ46" s="149">
        <v>-4.4823947963567499E-2</v>
      </c>
      <c r="BA46" s="149">
        <v>-4.4823947963567499E-2</v>
      </c>
      <c r="BB46" s="149">
        <v>-4.4823947963567499E-2</v>
      </c>
      <c r="BC46" s="149">
        <v>7.9866215638069296E-2</v>
      </c>
      <c r="BD46" s="149">
        <v>4.8870418632192297E-2</v>
      </c>
      <c r="BE46" s="149">
        <v>-4.4823947963567499E-2</v>
      </c>
      <c r="BF46" s="149">
        <v>-4.4823947963567499E-2</v>
      </c>
      <c r="BG46" s="149">
        <v>0.17153180247033101</v>
      </c>
      <c r="BH46" s="149">
        <v>-4.4823947963567499E-2</v>
      </c>
      <c r="BI46" s="149">
        <v>-4.4823947963567499E-2</v>
      </c>
      <c r="BJ46" s="149">
        <v>0.15260172202556599</v>
      </c>
      <c r="BK46" s="149">
        <v>-4.4823947963567499E-2</v>
      </c>
      <c r="BL46" s="149">
        <v>-4.4823947963567499E-2</v>
      </c>
      <c r="BM46" s="149">
        <v>-4.4823947963567499E-2</v>
      </c>
      <c r="BN46" s="149">
        <v>-1.8897914670565601E-2</v>
      </c>
      <c r="BO46" s="149">
        <v>-4.4823947963567499E-2</v>
      </c>
      <c r="BP46" s="149">
        <v>8.9308609260860206E-2</v>
      </c>
      <c r="BQ46" s="149">
        <v>-4.4823947963567499E-2</v>
      </c>
      <c r="BR46" s="149">
        <v>-4.4823947963567499E-2</v>
      </c>
      <c r="BS46" s="149">
        <v>-4.4823947963567499E-2</v>
      </c>
      <c r="BT46" s="149">
        <v>-4.4823947963567499E-2</v>
      </c>
      <c r="BU46" s="149">
        <v>8.2524311731280303E-2</v>
      </c>
      <c r="BV46" s="149">
        <v>7.4746673651760701E-2</v>
      </c>
      <c r="BW46" s="149">
        <v>7.7826100481628302E-2</v>
      </c>
      <c r="BX46" s="149">
        <v>3.5531822814471703E-2</v>
      </c>
      <c r="BY46" s="149">
        <v>0</v>
      </c>
      <c r="BZ46" s="149">
        <v>-2.3232986494597301E-2</v>
      </c>
      <c r="CA46" s="149">
        <v>0.115376833650294</v>
      </c>
      <c r="CB46" s="149">
        <v>0.267085988758403</v>
      </c>
      <c r="CC46" s="149">
        <v>0.14759913135482899</v>
      </c>
      <c r="CD46" s="149">
        <v>3.06770293109766</v>
      </c>
      <c r="CE46" s="149">
        <v>2.3032476431278499</v>
      </c>
      <c r="CF46" s="149">
        <v>1.1179142663303101</v>
      </c>
      <c r="CG46" s="149">
        <v>3.8783813244104799</v>
      </c>
      <c r="CH46" s="149">
        <v>3.29275840255182</v>
      </c>
      <c r="CI46" s="149">
        <v>4.8307662205963</v>
      </c>
      <c r="CJ46" s="149">
        <v>3.8863208891991601</v>
      </c>
      <c r="CK46" s="149">
        <v>4.1670107092663198</v>
      </c>
      <c r="CL46" s="149">
        <v>4.5518940550626201</v>
      </c>
      <c r="CM46" s="149">
        <v>4.5530738067654601</v>
      </c>
      <c r="CN46" s="149">
        <v>4.5882075608403703</v>
      </c>
      <c r="CO46" s="149">
        <v>2.4322090473862198E-3</v>
      </c>
      <c r="CP46" s="149">
        <v>0.567741459058</v>
      </c>
      <c r="CQ46" s="149">
        <v>3.3313001489627099</v>
      </c>
      <c r="CR46" s="149">
        <v>4.7758557814757703</v>
      </c>
      <c r="CS46" s="149">
        <v>2.2720306258929699</v>
      </c>
      <c r="CT46" s="149">
        <v>0.20907706942846099</v>
      </c>
      <c r="CU46" s="149">
        <v>0.43193437824115799</v>
      </c>
      <c r="CV46" s="149">
        <v>7.6334399240725298E-2</v>
      </c>
      <c r="CW46" s="149">
        <v>-4.4823947963567499E-2</v>
      </c>
      <c r="CX46" s="149">
        <v>-4.4823947963567499E-2</v>
      </c>
      <c r="CY46" s="149">
        <v>-1.44348061800583E-2</v>
      </c>
      <c r="CZ46" s="149">
        <v>0.12105507688686</v>
      </c>
      <c r="DA46" s="149">
        <v>0.167599625664621</v>
      </c>
      <c r="DB46" s="149">
        <v>0.19951575023607099</v>
      </c>
      <c r="DC46" s="149">
        <v>0.57171016012650999</v>
      </c>
      <c r="DD46" s="149">
        <v>0.48755899563638699</v>
      </c>
      <c r="DE46" s="149">
        <v>0.76236628560790098</v>
      </c>
    </row>
    <row r="47" spans="1:109" x14ac:dyDescent="0.25">
      <c r="A47" s="149" t="s">
        <v>266</v>
      </c>
      <c r="B47" s="149" t="s">
        <v>639</v>
      </c>
      <c r="C47" s="149">
        <v>-4.1162166701896999E-2</v>
      </c>
      <c r="D47" s="149">
        <v>-1.4835660840068E-2</v>
      </c>
      <c r="E47" s="149">
        <v>-6.7962116509988997E-3</v>
      </c>
      <c r="F47" s="149">
        <v>1.9029024872174401E-2</v>
      </c>
      <c r="G47" s="149">
        <v>1.42069382030928E-2</v>
      </c>
      <c r="H47" s="149">
        <v>-1.49698545047636E-2</v>
      </c>
      <c r="I47" s="149">
        <v>-5.5936196411720497E-3</v>
      </c>
      <c r="J47" s="149">
        <v>-3.8477141824025902E-2</v>
      </c>
      <c r="K47" s="149">
        <v>0</v>
      </c>
      <c r="L47" s="149">
        <v>3.3259148425644897E-2</v>
      </c>
      <c r="M47" s="149">
        <v>-3.4898485953510597E-2</v>
      </c>
      <c r="N47" s="149">
        <v>1.4746558485286901E-2</v>
      </c>
      <c r="O47" s="149">
        <v>-6.5905905535216899E-2</v>
      </c>
      <c r="P47" s="149">
        <v>8.8344813406024802E-3</v>
      </c>
      <c r="Q47" s="149">
        <v>-5.3627162461410499E-2</v>
      </c>
      <c r="R47" s="149">
        <v>4.53384205892901E-2</v>
      </c>
      <c r="S47" s="149">
        <v>-9.8923600789221702E-2</v>
      </c>
      <c r="T47" s="149">
        <v>-9.8923600789221702E-2</v>
      </c>
      <c r="U47" s="149">
        <v>2.60233839365214E-3</v>
      </c>
      <c r="V47" s="149">
        <v>-2.6869663122081899E-2</v>
      </c>
      <c r="W47" s="149">
        <v>-7.3730828205750901E-2</v>
      </c>
      <c r="X47" s="149">
        <v>-1.2687508892773799E-2</v>
      </c>
      <c r="Y47" s="149">
        <v>1.6376483701075299E-2</v>
      </c>
      <c r="Z47" s="149">
        <v>-8.1782124458658605E-3</v>
      </c>
      <c r="AA47" s="149">
        <v>-2.0286594414225798E-3</v>
      </c>
      <c r="AB47" s="149">
        <v>-3.2865540364602798E-2</v>
      </c>
      <c r="AC47" s="149">
        <v>-9.8923600789221702E-2</v>
      </c>
      <c r="AD47" s="149">
        <v>-4.8403540111107302E-3</v>
      </c>
      <c r="AE47" s="149">
        <v>-3.6331851221683101E-2</v>
      </c>
      <c r="AF47" s="149">
        <v>-6.7921052890653602E-2</v>
      </c>
      <c r="AG47" s="149">
        <v>-9.8923600789221702E-2</v>
      </c>
      <c r="AH47" s="149">
        <v>-5.7308950029314701E-2</v>
      </c>
      <c r="AI47" s="149">
        <v>-9.5056701318502607E-3</v>
      </c>
      <c r="AJ47" s="149">
        <v>-7.18946274713477E-2</v>
      </c>
      <c r="AK47" s="149">
        <v>-3.3210318648192197E-2</v>
      </c>
      <c r="AL47" s="149">
        <v>-3.3072878955199198E-3</v>
      </c>
      <c r="AM47" s="149">
        <v>3.8122999395903703E-2</v>
      </c>
      <c r="AN47" s="149">
        <v>-4.52986616740262E-2</v>
      </c>
      <c r="AO47" s="149">
        <v>0.23351523929700299</v>
      </c>
      <c r="AP47" s="149">
        <v>-4.2781789208645303E-2</v>
      </c>
      <c r="AQ47" s="149">
        <v>1.6782504953494599E-2</v>
      </c>
      <c r="AR47" s="149">
        <v>-2.15833816751641E-2</v>
      </c>
      <c r="AS47" s="149">
        <v>-9.8923600789221702E-2</v>
      </c>
      <c r="AT47" s="149">
        <v>-3.6984159340656901E-2</v>
      </c>
      <c r="AU47" s="149">
        <v>4.3261128507477299E-2</v>
      </c>
      <c r="AV47" s="149">
        <v>-4.0846193645722E-2</v>
      </c>
      <c r="AW47" s="149">
        <v>3.3574676751117603E-2</v>
      </c>
      <c r="AX47" s="149">
        <v>4.15029050860449E-2</v>
      </c>
      <c r="AY47" s="149">
        <v>3.7392939636132399E-3</v>
      </c>
      <c r="AZ47" s="149">
        <v>8.7133773830669597E-3</v>
      </c>
      <c r="BA47" s="149">
        <v>-9.8923600789221702E-2</v>
      </c>
      <c r="BB47" s="149">
        <v>0.109281221956566</v>
      </c>
      <c r="BC47" s="149">
        <v>-9.8923600789221702E-2</v>
      </c>
      <c r="BD47" s="149">
        <v>-5.22923419346185E-3</v>
      </c>
      <c r="BE47" s="149">
        <v>-9.8923600789221702E-2</v>
      </c>
      <c r="BF47" s="149">
        <v>8.6553475119085801E-2</v>
      </c>
      <c r="BG47" s="149">
        <v>1.30737906243889E-2</v>
      </c>
      <c r="BH47" s="149">
        <v>-1.9538187371462901E-3</v>
      </c>
      <c r="BI47" s="149">
        <v>-9.8923600789221702E-2</v>
      </c>
      <c r="BJ47" s="149">
        <v>9.8502069199912001E-2</v>
      </c>
      <c r="BK47" s="149">
        <v>1.8009642229173801E-2</v>
      </c>
      <c r="BL47" s="149">
        <v>-9.8923600789221702E-2</v>
      </c>
      <c r="BM47" s="149">
        <v>-9.8923600789221702E-2</v>
      </c>
      <c r="BN47" s="149">
        <v>2.68867719702887E-2</v>
      </c>
      <c r="BO47" s="149">
        <v>-9.8923600789221702E-2</v>
      </c>
      <c r="BP47" s="149">
        <v>3.5208956435205899E-2</v>
      </c>
      <c r="BQ47" s="149">
        <v>-2.2166323945947201E-2</v>
      </c>
      <c r="BR47" s="149">
        <v>6.9029120865108207E-2</v>
      </c>
      <c r="BS47" s="149">
        <v>0.14285444160649999</v>
      </c>
      <c r="BT47" s="149">
        <v>-9.8923600789221702E-2</v>
      </c>
      <c r="BU47" s="149">
        <v>-9.8923600789221702E-2</v>
      </c>
      <c r="BV47" s="149">
        <v>-1.8222688041073801E-2</v>
      </c>
      <c r="BW47" s="149">
        <v>2.3726447655973999E-2</v>
      </c>
      <c r="BX47" s="149">
        <v>5.9196022381072098E-2</v>
      </c>
      <c r="BY47" s="149">
        <v>5.4215519759570799E-2</v>
      </c>
      <c r="BZ47" s="149">
        <v>2.43059718578175E-2</v>
      </c>
      <c r="CA47" s="149">
        <v>-1.6011648896753E-3</v>
      </c>
      <c r="CB47" s="149">
        <v>0.58869585600961505</v>
      </c>
      <c r="CC47" s="149">
        <v>0.51515646234597301</v>
      </c>
      <c r="CD47" s="149">
        <v>0.164537539753178</v>
      </c>
      <c r="CE47" s="149">
        <v>0.13806067184705501</v>
      </c>
      <c r="CF47" s="149">
        <v>0.269031392869162</v>
      </c>
      <c r="CG47" s="149">
        <v>0.25476371740749498</v>
      </c>
      <c r="CH47" s="149">
        <v>0.294196468155624</v>
      </c>
      <c r="CI47" s="149">
        <v>0.29681128863808898</v>
      </c>
      <c r="CJ47" s="149">
        <v>0.256642596277395</v>
      </c>
      <c r="CK47" s="149">
        <v>2.7430550504268899E-2</v>
      </c>
      <c r="CL47" s="149">
        <v>0.119556283412092</v>
      </c>
      <c r="CM47" s="149">
        <v>0.14432302747257</v>
      </c>
      <c r="CN47" s="149">
        <v>0.11401323875604299</v>
      </c>
      <c r="CO47" s="149">
        <v>1.4679295598817901</v>
      </c>
      <c r="CP47" s="149">
        <v>0.52588965523016495</v>
      </c>
      <c r="CQ47" s="149">
        <v>0.113602469371838</v>
      </c>
      <c r="CR47" s="149">
        <v>0.28275476229019603</v>
      </c>
      <c r="CS47" s="149">
        <v>0.241288947822661</v>
      </c>
      <c r="CT47" s="149">
        <v>-4.6618195339903197E-2</v>
      </c>
      <c r="CU47" s="149">
        <v>-9.8923600789221702E-2</v>
      </c>
      <c r="CV47" s="149">
        <v>3.5904159406150098E-2</v>
      </c>
      <c r="CW47" s="149">
        <v>-6.7736546156053998E-2</v>
      </c>
      <c r="CX47" s="149">
        <v>-9.8923600789221702E-2</v>
      </c>
      <c r="CY47" s="149">
        <v>1.9962534084981502E-2</v>
      </c>
      <c r="CZ47" s="149">
        <v>2.19166827108648E-3</v>
      </c>
      <c r="DA47" s="149">
        <v>-3.0390895063709001E-3</v>
      </c>
      <c r="DB47" s="149">
        <v>0.23226003385677799</v>
      </c>
      <c r="DC47" s="149">
        <v>-9.8923600789221702E-2</v>
      </c>
      <c r="DD47" s="149">
        <v>0.132965972711518</v>
      </c>
      <c r="DE47" s="149">
        <v>1.84615054848296E-2</v>
      </c>
    </row>
    <row r="48" spans="1:109" x14ac:dyDescent="0.25">
      <c r="A48" s="149" t="s">
        <v>266</v>
      </c>
      <c r="B48" s="149" t="s">
        <v>642</v>
      </c>
      <c r="C48" s="149">
        <v>2.51797393762567E-3</v>
      </c>
      <c r="D48" s="149">
        <v>1.3439922463896E-2</v>
      </c>
      <c r="E48" s="149">
        <v>8.7035072622941908E-3</v>
      </c>
      <c r="F48" s="149">
        <v>0</v>
      </c>
      <c r="G48" s="149">
        <v>7.1959656414206296E-3</v>
      </c>
      <c r="H48" s="149">
        <v>9.2038939041910496E-3</v>
      </c>
      <c r="I48" s="149">
        <v>1.7025878287430501E-2</v>
      </c>
      <c r="J48" s="149">
        <v>3.1799039234623101E-3</v>
      </c>
      <c r="K48" s="149">
        <v>2.3284454696479599E-2</v>
      </c>
      <c r="L48" s="149">
        <v>7.33431227530674E-3</v>
      </c>
      <c r="M48" s="149">
        <v>1.7207764015288101E-2</v>
      </c>
      <c r="N48" s="149">
        <v>4.52691667391258E-3</v>
      </c>
      <c r="O48" s="149">
        <v>-1.2076981813185899E-2</v>
      </c>
      <c r="P48" s="149">
        <v>-1.2076981813185899E-2</v>
      </c>
      <c r="Q48" s="149">
        <v>-1.2076981813185899E-2</v>
      </c>
      <c r="R48" s="149">
        <v>-1.2076981813185899E-2</v>
      </c>
      <c r="S48" s="149">
        <v>-1.2076981813185899E-2</v>
      </c>
      <c r="T48" s="149">
        <v>-1.2076981813185899E-2</v>
      </c>
      <c r="U48" s="149">
        <v>-1.2076981813185899E-2</v>
      </c>
      <c r="V48" s="149">
        <v>2.4330031592169E-2</v>
      </c>
      <c r="W48" s="149">
        <v>-1.2076981813185899E-2</v>
      </c>
      <c r="X48" s="149">
        <v>-1.2076981813185899E-2</v>
      </c>
      <c r="Y48" s="149">
        <v>-1.2076981813185899E-2</v>
      </c>
      <c r="Z48" s="149">
        <v>6.4165248232049199E-3</v>
      </c>
      <c r="AA48" s="149">
        <v>-1.2076981813185899E-2</v>
      </c>
      <c r="AB48" s="149">
        <v>-1.2076981813185899E-2</v>
      </c>
      <c r="AC48" s="149">
        <v>1.1090306401044201E-2</v>
      </c>
      <c r="AD48" s="149">
        <v>-1.2076981813185899E-2</v>
      </c>
      <c r="AE48" s="149">
        <v>9.0367730175526396E-3</v>
      </c>
      <c r="AF48" s="149">
        <v>1.89255660853823E-2</v>
      </c>
      <c r="AG48" s="149">
        <v>-1.2076981813185899E-2</v>
      </c>
      <c r="AH48" s="149">
        <v>7.0190823885136394E-2</v>
      </c>
      <c r="AI48" s="149">
        <v>-1.2076981813185899E-2</v>
      </c>
      <c r="AJ48" s="149">
        <v>1.49519915046881E-2</v>
      </c>
      <c r="AK48" s="149">
        <v>3.52355541122042E-2</v>
      </c>
      <c r="AL48" s="149">
        <v>0.28138192988058902</v>
      </c>
      <c r="AM48" s="149">
        <v>3.4944885957919898E-2</v>
      </c>
      <c r="AN48" s="149">
        <v>4.15479573020099E-2</v>
      </c>
      <c r="AO48" s="149">
        <v>4.83383250947916E-2</v>
      </c>
      <c r="AP48" s="149">
        <v>9.8374483697003107E-2</v>
      </c>
      <c r="AQ48" s="149">
        <v>-1.2076981813185899E-2</v>
      </c>
      <c r="AR48" s="149">
        <v>-1.2076981813185899E-2</v>
      </c>
      <c r="AS48" s="149">
        <v>-1.2076981813185899E-2</v>
      </c>
      <c r="AT48" s="149">
        <v>-1.2076981813185899E-2</v>
      </c>
      <c r="AU48" s="149">
        <v>-1.2076981813185899E-2</v>
      </c>
      <c r="AV48" s="149">
        <v>-1.2076981813185899E-2</v>
      </c>
      <c r="AW48" s="149">
        <v>0.120421295727153</v>
      </c>
      <c r="AX48" s="149">
        <v>-1.2076981813185899E-2</v>
      </c>
      <c r="AY48" s="149">
        <v>1.0876344654722799E-3</v>
      </c>
      <c r="AZ48" s="149">
        <v>5.3332828657548702E-2</v>
      </c>
      <c r="BA48" s="149">
        <v>-1.2076981813185899E-2</v>
      </c>
      <c r="BB48" s="149">
        <v>-1.2076981813185899E-2</v>
      </c>
      <c r="BC48" s="149">
        <v>6.77643489505729E-2</v>
      </c>
      <c r="BD48" s="149">
        <v>-1.2076981813185899E-2</v>
      </c>
      <c r="BE48" s="149">
        <v>-1.2076981813185899E-2</v>
      </c>
      <c r="BF48" s="149">
        <v>-1.2076981813185899E-2</v>
      </c>
      <c r="BG48" s="149">
        <v>-1.2076981813185899E-2</v>
      </c>
      <c r="BH48" s="149">
        <v>-1.2076981813185899E-2</v>
      </c>
      <c r="BI48" s="149">
        <v>-1.2076981813185899E-2</v>
      </c>
      <c r="BJ48" s="149">
        <v>-1.2076981813185899E-2</v>
      </c>
      <c r="BK48" s="149">
        <v>-1.2076981813185899E-2</v>
      </c>
      <c r="BL48" s="149">
        <v>-1.2076981813185899E-2</v>
      </c>
      <c r="BM48" s="149">
        <v>-1.2076981813185899E-2</v>
      </c>
      <c r="BN48" s="149">
        <v>3.9380641247251297E-2</v>
      </c>
      <c r="BO48" s="149">
        <v>-1.2076981813185899E-2</v>
      </c>
      <c r="BP48" s="149">
        <v>0.122055575411242</v>
      </c>
      <c r="BQ48" s="149">
        <v>6.4680295030088694E-2</v>
      </c>
      <c r="BR48" s="149">
        <v>7.4137306564886596E-2</v>
      </c>
      <c r="BS48" s="149">
        <v>-1.2076981813185899E-2</v>
      </c>
      <c r="BT48" s="149">
        <v>-1.2076981813185899E-2</v>
      </c>
      <c r="BU48" s="149">
        <v>-1.2076981813185899E-2</v>
      </c>
      <c r="BV48" s="149">
        <v>2.8784518311305199E-2</v>
      </c>
      <c r="BW48" s="149">
        <v>-1.2076981813185899E-2</v>
      </c>
      <c r="BX48" s="149">
        <v>2.9190196218087801</v>
      </c>
      <c r="BY48" s="149">
        <v>3.0457086808867802</v>
      </c>
      <c r="BZ48" s="149">
        <v>3.4838231794694101</v>
      </c>
      <c r="CA48" s="149">
        <v>2.8078969397900799</v>
      </c>
      <c r="CB48" s="149">
        <v>-1.2076981813185899E-2</v>
      </c>
      <c r="CC48" s="149">
        <v>-1.2076981813185899E-2</v>
      </c>
      <c r="CD48" s="149">
        <v>3.4938966396462698E-2</v>
      </c>
      <c r="CE48" s="149">
        <v>7.6313119903323706E-2</v>
      </c>
      <c r="CF48" s="149">
        <v>-1.2076981813185899E-2</v>
      </c>
      <c r="CG48" s="149">
        <v>-1.2076981813185899E-2</v>
      </c>
      <c r="CH48" s="149">
        <v>9.4387858444798193E-3</v>
      </c>
      <c r="CI48" s="149">
        <v>-1.2076981813185899E-2</v>
      </c>
      <c r="CJ48" s="149">
        <v>-1.2076981813185899E-2</v>
      </c>
      <c r="CK48" s="149">
        <v>-1.2076981813185899E-2</v>
      </c>
      <c r="CL48" s="149">
        <v>-1.2076981813185899E-2</v>
      </c>
      <c r="CM48" s="149">
        <v>3.5870804626791E-2</v>
      </c>
      <c r="CN48" s="149">
        <v>-7.6488476992538795E-4</v>
      </c>
      <c r="CO48" s="149">
        <v>0.12645943976704299</v>
      </c>
      <c r="CP48" s="149">
        <v>-1.2076981813185899E-2</v>
      </c>
      <c r="CQ48" s="149">
        <v>9.7302797018532401E-3</v>
      </c>
      <c r="CR48" s="149">
        <v>0.27659907306953002</v>
      </c>
      <c r="CS48" s="149">
        <v>2.5036568614629801E-2</v>
      </c>
      <c r="CT48" s="149">
        <v>-1.2076981813185899E-2</v>
      </c>
      <c r="CU48" s="149">
        <v>0.55488815966326999</v>
      </c>
      <c r="CV48" s="149">
        <v>2.22961020540638E-2</v>
      </c>
      <c r="CW48" s="149">
        <v>-1.2076981813185899E-2</v>
      </c>
      <c r="CX48" s="149">
        <v>-1.2076981813185899E-2</v>
      </c>
      <c r="CY48" s="149">
        <v>3.17556980594536E-3</v>
      </c>
      <c r="CZ48" s="149">
        <v>-1.2076981813185899E-2</v>
      </c>
      <c r="DA48" s="149">
        <v>3.6533942732964002E-2</v>
      </c>
      <c r="DB48" s="149">
        <v>6.0018900978414197E-2</v>
      </c>
      <c r="DC48" s="149">
        <v>0.32575536399303101</v>
      </c>
      <c r="DD48" s="149">
        <v>0.96102873433969704</v>
      </c>
      <c r="DE48" s="149">
        <v>2.7175930395002301</v>
      </c>
    </row>
    <row r="49" spans="1:109" s="147" customFormat="1" ht="15.75" thickBot="1" x14ac:dyDescent="0.3">
      <c r="A49" s="147" t="s">
        <v>266</v>
      </c>
      <c r="B49" s="147" t="s">
        <v>651</v>
      </c>
      <c r="C49" s="147">
        <v>-1.7696769126163699E-2</v>
      </c>
      <c r="D49" s="147">
        <v>1.67446568186294E-3</v>
      </c>
      <c r="E49" s="147">
        <v>-1.18844223521853E-3</v>
      </c>
      <c r="F49" s="147">
        <v>-8.2026383333428203E-3</v>
      </c>
      <c r="G49" s="147">
        <v>-3.2291724876975299E-2</v>
      </c>
      <c r="H49" s="147">
        <v>-4.4497633867597201E-4</v>
      </c>
      <c r="I49" s="147">
        <v>-2.49828088334541E-2</v>
      </c>
      <c r="J49" s="147">
        <v>-1.8758890633254601E-3</v>
      </c>
      <c r="K49" s="147">
        <v>-1.6801504923415499E-2</v>
      </c>
      <c r="L49" s="147">
        <v>2.53983623750259E-2</v>
      </c>
      <c r="M49" s="147">
        <v>2.81311408918668E-3</v>
      </c>
      <c r="N49" s="147">
        <v>7.9047606916525504E-4</v>
      </c>
      <c r="O49" s="147">
        <v>7.2597037702941804E-4</v>
      </c>
      <c r="P49" s="147">
        <v>4.0288188263913803E-2</v>
      </c>
      <c r="Q49" s="147">
        <v>5.7141550389984801E-2</v>
      </c>
      <c r="R49" s="147">
        <v>4.1342551048802398E-2</v>
      </c>
      <c r="S49" s="147">
        <v>3.2336500369432399E-2</v>
      </c>
      <c r="T49" s="147">
        <v>2.0994191907684499E-2</v>
      </c>
      <c r="U49" s="147">
        <v>-3.2291724876975299E-2</v>
      </c>
      <c r="V49" s="147">
        <v>-3.2291724876975299E-2</v>
      </c>
      <c r="W49" s="147">
        <v>1.7733642710959702E-2</v>
      </c>
      <c r="X49" s="147">
        <v>1.1363851178491299E-2</v>
      </c>
      <c r="Y49" s="147">
        <v>-3.2291724876975299E-2</v>
      </c>
      <c r="Z49" s="147">
        <v>4.0641532418008601E-2</v>
      </c>
      <c r="AA49" s="147">
        <v>-3.2291724876975299E-2</v>
      </c>
      <c r="AB49" s="147">
        <v>1.0484240495769799E-3</v>
      </c>
      <c r="AC49" s="147">
        <v>3.6311001592682801E-2</v>
      </c>
      <c r="AD49" s="147">
        <v>-8.3003186994312899E-3</v>
      </c>
      <c r="AE49" s="147">
        <v>-1.1177970046236999E-2</v>
      </c>
      <c r="AF49" s="147">
        <v>5.9127035951326401E-2</v>
      </c>
      <c r="AG49" s="147">
        <v>5.82886552571778E-3</v>
      </c>
      <c r="AH49" s="147">
        <v>-3.2291724876975299E-2</v>
      </c>
      <c r="AI49" s="147">
        <v>7.4044093734481606E-2</v>
      </c>
      <c r="AJ49" s="147">
        <v>-5.2627515591013802E-3</v>
      </c>
      <c r="AK49" s="147">
        <v>-5.7720221857077599E-3</v>
      </c>
      <c r="AL49" s="147">
        <v>0</v>
      </c>
      <c r="AM49" s="147">
        <v>6.0385519213531198E-2</v>
      </c>
      <c r="AN49" s="147">
        <v>3.8856964563282102E-2</v>
      </c>
      <c r="AO49" s="147">
        <v>-3.2291724876975299E-2</v>
      </c>
      <c r="AP49" s="147">
        <v>0.13076150444242099</v>
      </c>
      <c r="AQ49" s="147">
        <v>7.1789690684700598E-3</v>
      </c>
      <c r="AR49" s="147">
        <v>6.8233615182728899E-3</v>
      </c>
      <c r="AS49" s="147">
        <v>-3.2291724876975299E-2</v>
      </c>
      <c r="AT49" s="147">
        <v>1.5808752001612001E-2</v>
      </c>
      <c r="AU49" s="147">
        <v>4.4112075134436803E-3</v>
      </c>
      <c r="AV49" s="147">
        <v>2.5785682266524099E-2</v>
      </c>
      <c r="AW49" s="147">
        <v>-3.2291724876975299E-2</v>
      </c>
      <c r="AX49" s="147">
        <v>-3.2291724876975299E-2</v>
      </c>
      <c r="AY49" s="147">
        <v>-1.9127108598317399E-2</v>
      </c>
      <c r="AZ49" s="147">
        <v>-1.0202201568139099E-2</v>
      </c>
      <c r="BA49" s="147">
        <v>-3.2291724876975299E-2</v>
      </c>
      <c r="BB49" s="147">
        <v>4.0196454951201901E-2</v>
      </c>
      <c r="BC49" s="147">
        <v>-3.2291724876975299E-2</v>
      </c>
      <c r="BD49" s="147">
        <v>-3.2291724876975299E-2</v>
      </c>
      <c r="BE49" s="147">
        <v>-3.2291724876975299E-2</v>
      </c>
      <c r="BF49" s="147">
        <v>-3.2291724876975299E-2</v>
      </c>
      <c r="BG49" s="147">
        <v>-3.2291724876975299E-2</v>
      </c>
      <c r="BH49" s="147">
        <v>-3.2291724876975299E-2</v>
      </c>
      <c r="BI49" s="147">
        <v>9.8562069868469104E-2</v>
      </c>
      <c r="BJ49" s="147">
        <v>-3.2291724876975299E-2</v>
      </c>
      <c r="BK49" s="147">
        <v>-3.2291724876975299E-2</v>
      </c>
      <c r="BL49" s="147">
        <v>9.8071064816089001E-2</v>
      </c>
      <c r="BM49" s="147">
        <v>5.0949400179340999E-2</v>
      </c>
      <c r="BN49" s="147">
        <v>-3.2291724876975299E-2</v>
      </c>
      <c r="BO49" s="147">
        <v>-3.2291724876975299E-2</v>
      </c>
      <c r="BP49" s="147">
        <v>-3.2291724876975299E-2</v>
      </c>
      <c r="BQ49" s="147">
        <v>-3.2291724876975299E-2</v>
      </c>
      <c r="BR49" s="147">
        <v>-3.2291724876975299E-2</v>
      </c>
      <c r="BS49" s="147">
        <v>-3.2291724876975299E-2</v>
      </c>
      <c r="BT49" s="147">
        <v>-3.2291724876975299E-2</v>
      </c>
      <c r="BU49" s="147">
        <v>-3.2291724876975299E-2</v>
      </c>
      <c r="BV49" s="147">
        <v>8.5697752475155098E-3</v>
      </c>
      <c r="BW49" s="147">
        <v>-3.2291724876975299E-2</v>
      </c>
      <c r="BX49" s="147">
        <v>-3.2291724876975299E-2</v>
      </c>
      <c r="BY49" s="147">
        <v>3.4612539427628597E-2</v>
      </c>
      <c r="BZ49" s="147">
        <v>2.14320051778553E-2</v>
      </c>
      <c r="CA49" s="147">
        <v>3.3004568893355603E-2</v>
      </c>
      <c r="CB49" s="147">
        <v>0.37942958639457802</v>
      </c>
      <c r="CC49" s="147">
        <v>0.32928869207040901</v>
      </c>
      <c r="CD49" s="147">
        <v>5.8679493108282903E-2</v>
      </c>
      <c r="CE49" s="147">
        <v>0.123256466176991</v>
      </c>
      <c r="CF49" s="147">
        <v>3.3982743212583398E-2</v>
      </c>
      <c r="CG49" s="147">
        <v>6.4723539865927104E-2</v>
      </c>
      <c r="CH49" s="147">
        <v>7.3093970382426002E-2</v>
      </c>
      <c r="CI49" s="147">
        <v>0.13691765964229899</v>
      </c>
      <c r="CJ49" s="147">
        <v>8.4277688940030293E-2</v>
      </c>
      <c r="CK49" s="147">
        <v>1.0777650836806599E-2</v>
      </c>
      <c r="CL49" s="147">
        <v>0.10489612481433599</v>
      </c>
      <c r="CM49" s="147">
        <v>-8.1921718554260701E-3</v>
      </c>
      <c r="CN49" s="147">
        <v>-9.71821860882972E-3</v>
      </c>
      <c r="CO49" s="147">
        <v>-8.5226567239621905E-3</v>
      </c>
      <c r="CP49" s="147">
        <v>0.16852145137720601</v>
      </c>
      <c r="CQ49" s="147">
        <v>5.3688101213902002E-2</v>
      </c>
      <c r="CR49" s="147">
        <v>1.8436301936136301E-3</v>
      </c>
      <c r="CS49" s="147">
        <v>0.111680289608517</v>
      </c>
      <c r="CT49" s="147">
        <v>-3.2291724876975299E-2</v>
      </c>
      <c r="CU49" s="147">
        <v>-3.2291724876975299E-2</v>
      </c>
      <c r="CV49" s="147">
        <v>2.0813589902743601E-3</v>
      </c>
      <c r="CW49" s="147">
        <v>-1.10467024380762E-3</v>
      </c>
      <c r="CX49" s="147">
        <v>-3.2291724876975299E-2</v>
      </c>
      <c r="CY49" s="147">
        <v>5.7524915493175899E-2</v>
      </c>
      <c r="CZ49" s="147">
        <v>3.56685372216312E-2</v>
      </c>
      <c r="DA49" s="147">
        <v>0.15443398517427001</v>
      </c>
      <c r="DB49" s="147">
        <v>-3.2291724876975299E-2</v>
      </c>
      <c r="DC49" s="147">
        <v>-3.2291724876975299E-2</v>
      </c>
      <c r="DD49" s="147">
        <v>-3.2291724876975299E-2</v>
      </c>
      <c r="DE49" s="147">
        <v>-3.2291724876975299E-2</v>
      </c>
    </row>
    <row r="50" spans="1:109" x14ac:dyDescent="0.25">
      <c r="A50" s="149" t="s">
        <v>267</v>
      </c>
      <c r="B50" s="149" t="s">
        <v>618</v>
      </c>
      <c r="C50" s="149">
        <v>1.1141489139906801E-2</v>
      </c>
      <c r="D50" s="149">
        <v>4.5146483254714702E-2</v>
      </c>
      <c r="E50" s="149">
        <v>-6.7570195224098406E-2</v>
      </c>
      <c r="F50" s="149">
        <v>-4.1841423326857002E-2</v>
      </c>
      <c r="G50" s="149">
        <v>8.0982733901097809E-3</v>
      </c>
      <c r="H50" s="149">
        <v>-3.4553199920890197E-2</v>
      </c>
      <c r="I50" s="149">
        <v>-7.7023831167329707E-2</v>
      </c>
      <c r="J50" s="149">
        <v>-3.1311615809225299E-2</v>
      </c>
      <c r="K50" s="149">
        <v>-4.6248598359785197E-2</v>
      </c>
      <c r="L50" s="149">
        <v>5.2652889756099899E-2</v>
      </c>
      <c r="M50" s="149">
        <v>0</v>
      </c>
      <c r="N50" s="149">
        <v>1.0233366764483699E-2</v>
      </c>
      <c r="O50" s="149">
        <v>0.181847141265435</v>
      </c>
      <c r="P50" s="149">
        <v>3.9028024174298098E-3</v>
      </c>
      <c r="Q50" s="149">
        <v>-3.0843353072138702E-2</v>
      </c>
      <c r="R50" s="149">
        <v>-2.67893722356215E-2</v>
      </c>
      <c r="S50" s="149">
        <v>-1.8214561078881399E-2</v>
      </c>
      <c r="T50" s="149">
        <v>-2.5652841254799601E-2</v>
      </c>
      <c r="U50" s="149">
        <v>-7.1240854261609698E-2</v>
      </c>
      <c r="V50" s="149">
        <v>-9.8345105348354306E-2</v>
      </c>
      <c r="W50" s="149">
        <v>-1.32712651255769E-2</v>
      </c>
      <c r="X50" s="149">
        <v>-3.6925678588115102E-2</v>
      </c>
      <c r="Y50" s="149">
        <v>-5.3205967624437897E-2</v>
      </c>
      <c r="Z50" s="149">
        <v>0.103444668593508</v>
      </c>
      <c r="AA50" s="149">
        <v>1.31108639978108E-2</v>
      </c>
      <c r="AB50" s="149">
        <v>4.5290634391823799E-2</v>
      </c>
      <c r="AC50" s="149">
        <v>1.36997147604597E-2</v>
      </c>
      <c r="AD50" s="149">
        <v>-2.1848296611934399E-2</v>
      </c>
      <c r="AE50" s="149">
        <v>-2.3847860021375299E-2</v>
      </c>
      <c r="AF50" s="149">
        <v>8.2778103354785595E-2</v>
      </c>
      <c r="AG50" s="149">
        <v>-2.24714239693267E-2</v>
      </c>
      <c r="AH50" s="149">
        <v>3.085571121524E-2</v>
      </c>
      <c r="AI50" s="149">
        <v>5.0425701773236201E-2</v>
      </c>
      <c r="AJ50" s="149">
        <v>-0.15166621264659499</v>
      </c>
      <c r="AK50" s="149">
        <v>7.0531241233481395E-2</v>
      </c>
      <c r="AL50" s="149">
        <v>0.122825794565163</v>
      </c>
      <c r="AM50" s="149">
        <v>0.17466192403295</v>
      </c>
      <c r="AN50" s="149">
        <v>8.8501523943893795E-2</v>
      </c>
      <c r="AO50" s="149">
        <v>-8.6693479320419001E-2</v>
      </c>
      <c r="AP50" s="149">
        <v>-4.2266498936973998E-2</v>
      </c>
      <c r="AQ50" s="149">
        <v>0.23960089657903599</v>
      </c>
      <c r="AR50" s="149">
        <v>5.1193313671758701E-2</v>
      </c>
      <c r="AS50" s="149">
        <v>-2.2238050900463699E-2</v>
      </c>
      <c r="AT50" s="149">
        <v>0.18945011745128701</v>
      </c>
      <c r="AU50" s="149">
        <v>-6.3134998959670993E-2</v>
      </c>
      <c r="AV50" s="149">
        <v>-3.6865184616170998E-2</v>
      </c>
      <c r="AW50" s="149">
        <v>4.9260585745666899E-2</v>
      </c>
      <c r="AX50" s="149">
        <v>-0.14774842743525199</v>
      </c>
      <c r="AY50" s="149">
        <v>-0.179088389704462</v>
      </c>
      <c r="AZ50" s="149">
        <v>-0.118663426583028</v>
      </c>
      <c r="BA50" s="149">
        <v>-0.20531972825636999</v>
      </c>
      <c r="BB50" s="149">
        <v>-0.132831548428193</v>
      </c>
      <c r="BC50" s="149">
        <v>-4.9583526188487902E-2</v>
      </c>
      <c r="BD50" s="149">
        <v>-0.20531972825636999</v>
      </c>
      <c r="BE50" s="149">
        <v>-8.5225622386719199E-2</v>
      </c>
      <c r="BF50" s="149">
        <v>-0.20531972825636999</v>
      </c>
      <c r="BG50" s="149">
        <v>-9.3322336842759507E-2</v>
      </c>
      <c r="BH50" s="149">
        <v>-1.7158933280654601E-2</v>
      </c>
      <c r="BI50" s="149">
        <v>-0.20531972825636999</v>
      </c>
      <c r="BJ50" s="149">
        <v>-0.103433377375831</v>
      </c>
      <c r="BK50" s="149">
        <v>-0.20531972825636999</v>
      </c>
      <c r="BL50" s="149">
        <v>-0.20531972825636999</v>
      </c>
      <c r="BM50" s="149">
        <v>-0.122078603200054</v>
      </c>
      <c r="BN50" s="149">
        <v>-0.103931806225668</v>
      </c>
      <c r="BO50" s="149">
        <v>-8.6455078536149907E-2</v>
      </c>
      <c r="BP50" s="149">
        <v>0.27344179964577398</v>
      </c>
      <c r="BQ50" s="149">
        <v>-5.5317712050611499E-2</v>
      </c>
      <c r="BR50" s="149">
        <v>-0.119105439878297</v>
      </c>
      <c r="BS50" s="149">
        <v>-0.20531972825636999</v>
      </c>
      <c r="BT50" s="149">
        <v>-5.7498546390191502E-2</v>
      </c>
      <c r="BU50" s="149">
        <v>-0.20531972825636999</v>
      </c>
      <c r="BV50" s="149">
        <v>-0.124618815508222</v>
      </c>
      <c r="BW50" s="149">
        <v>3.1011270864097301E-2</v>
      </c>
      <c r="BX50" s="149">
        <v>0.244756151028344</v>
      </c>
      <c r="BY50" s="149">
        <v>0.30424221769875798</v>
      </c>
      <c r="BZ50" s="149">
        <v>0.19717904780345399</v>
      </c>
      <c r="CA50" s="149">
        <v>6.3948802272794703E-2</v>
      </c>
      <c r="CB50" s="149">
        <v>3.8039295969862698E-2</v>
      </c>
      <c r="CC50" s="149">
        <v>0.156260688691015</v>
      </c>
      <c r="CD50" s="149">
        <v>0.107343604764131</v>
      </c>
      <c r="CE50" s="149">
        <v>0.55304246687612202</v>
      </c>
      <c r="CF50" s="149">
        <v>0.217951791540964</v>
      </c>
      <c r="CG50" s="149">
        <v>0.14836758994034699</v>
      </c>
      <c r="CH50" s="149">
        <v>0.20131802926524101</v>
      </c>
      <c r="CI50" s="149">
        <v>0.16234197877897399</v>
      </c>
      <c r="CJ50" s="149">
        <v>0.12508556609549401</v>
      </c>
      <c r="CK50" s="149">
        <v>0.222220827023039</v>
      </c>
      <c r="CL50" s="149">
        <v>0.22784624124111499</v>
      </c>
      <c r="CM50" s="149">
        <v>5.9670833126587303E-2</v>
      </c>
      <c r="CN50" s="149">
        <v>8.9882668321738204E-2</v>
      </c>
      <c r="CO50" s="149">
        <v>-0.20531972825636999</v>
      </c>
      <c r="CP50" s="149">
        <v>-0.13573390647785499</v>
      </c>
      <c r="CQ50" s="149">
        <v>0.23234722571312</v>
      </c>
      <c r="CR50" s="149">
        <v>0.14249450637329</v>
      </c>
      <c r="CS50" s="149">
        <v>0.23060158858124899</v>
      </c>
      <c r="CT50" s="149">
        <v>-5.5135535366907101E-3</v>
      </c>
      <c r="CU50" s="149">
        <v>-0.15831342534804799</v>
      </c>
      <c r="CV50" s="149">
        <v>0.13760732209809201</v>
      </c>
      <c r="CW50" s="149">
        <v>0.22373447344584599</v>
      </c>
      <c r="CX50" s="149">
        <v>0.28442965543104298</v>
      </c>
      <c r="CY50" s="149">
        <v>0.33978744971883901</v>
      </c>
      <c r="CZ50" s="149">
        <v>0.38193899060071701</v>
      </c>
      <c r="DA50" s="149">
        <v>6.7753806941762904E-2</v>
      </c>
      <c r="DB50" s="149">
        <v>1.6689820939636999E-3</v>
      </c>
      <c r="DC50" s="149">
        <v>5.4565285599891503E-2</v>
      </c>
      <c r="DD50" s="149">
        <v>-0.20531972825636999</v>
      </c>
      <c r="DE50" s="149">
        <v>5.2070890040979499E-2</v>
      </c>
    </row>
    <row r="51" spans="1:109" x14ac:dyDescent="0.25">
      <c r="A51" s="149" t="s">
        <v>267</v>
      </c>
      <c r="B51" s="149" t="s">
        <v>582</v>
      </c>
      <c r="C51" s="149">
        <v>-1.7571052228249999E-3</v>
      </c>
      <c r="D51" s="149">
        <v>2.3711205728799801E-2</v>
      </c>
      <c r="E51" s="149">
        <v>8.3233820203418393E-2</v>
      </c>
      <c r="F51" s="149">
        <v>7.59385747572706E-3</v>
      </c>
      <c r="G51" s="149">
        <v>-5.6520832330186198E-2</v>
      </c>
      <c r="H51" s="149">
        <v>-6.2368973612138799E-3</v>
      </c>
      <c r="I51" s="149">
        <v>-2.5789918356297101E-2</v>
      </c>
      <c r="J51" s="149">
        <v>-5.3739895984204103E-2</v>
      </c>
      <c r="K51" s="149">
        <v>-3.7416129131702398E-2</v>
      </c>
      <c r="L51" s="149">
        <v>1.7252985736637499E-2</v>
      </c>
      <c r="M51" s="149">
        <v>1.78119458561595E-2</v>
      </c>
      <c r="N51" s="149">
        <v>9.4551627976142208E-3</v>
      </c>
      <c r="O51" s="149">
        <v>0.21361257864816099</v>
      </c>
      <c r="P51" s="149">
        <v>0.122547633393141</v>
      </c>
      <c r="Q51" s="149">
        <v>6.4292518868623999E-2</v>
      </c>
      <c r="R51" s="149">
        <v>0.176430899494533</v>
      </c>
      <c r="S51" s="149">
        <v>0.20503766776847801</v>
      </c>
      <c r="T51" s="149">
        <v>5.2666546160144899E-2</v>
      </c>
      <c r="U51" s="149">
        <v>4.6204082140328798E-2</v>
      </c>
      <c r="V51" s="149">
        <v>5.6483581937587297E-2</v>
      </c>
      <c r="W51" s="149">
        <v>6.3443762605486106E-2</v>
      </c>
      <c r="X51" s="149">
        <v>0.20725425020836399</v>
      </c>
      <c r="Y51" s="149">
        <v>0.14100225609400299</v>
      </c>
      <c r="Z51" s="149">
        <v>0.18259337339349199</v>
      </c>
      <c r="AA51" s="149">
        <v>6.7228426030611604E-2</v>
      </c>
      <c r="AB51" s="149">
        <v>-2.1475760628169999E-2</v>
      </c>
      <c r="AC51" s="149">
        <v>6.78172767932603E-2</v>
      </c>
      <c r="AD51" s="149">
        <v>5.3942622779641097E-2</v>
      </c>
      <c r="AE51" s="149">
        <v>0.15222345107167101</v>
      </c>
      <c r="AF51" s="149">
        <v>0.125813087632384</v>
      </c>
      <c r="AG51" s="149">
        <v>0.197487837251481</v>
      </c>
      <c r="AH51" s="149">
        <v>4.7719219679990599E-2</v>
      </c>
      <c r="AI51" s="149">
        <v>-9.1086957969252702E-2</v>
      </c>
      <c r="AJ51" s="149">
        <v>-1.99719453607092E-2</v>
      </c>
      <c r="AK51" s="149">
        <v>-9.1001114533653393E-3</v>
      </c>
      <c r="AL51" s="149">
        <v>3.6463297593678098E-2</v>
      </c>
      <c r="AM51" s="149">
        <v>0.26590505925997998</v>
      </c>
      <c r="AN51" s="149">
        <v>0.25617504098333499</v>
      </c>
      <c r="AO51" s="149">
        <v>0.61847068979481001</v>
      </c>
      <c r="AP51" s="149">
        <v>0.112368493463625</v>
      </c>
      <c r="AQ51" s="149">
        <v>0.17441120745312499</v>
      </c>
      <c r="AR51" s="154">
        <v>8.6422458692371595E-5</v>
      </c>
      <c r="AS51" s="149">
        <v>6.5404377478020997E-2</v>
      </c>
      <c r="AT51" s="149">
        <v>3.4273396952711102E-2</v>
      </c>
      <c r="AU51" s="149">
        <v>0.122031485306003</v>
      </c>
      <c r="AV51" s="149">
        <v>0.26506464161583498</v>
      </c>
      <c r="AW51" s="149">
        <v>-8.3536763078839102E-2</v>
      </c>
      <c r="AX51" s="149">
        <v>-0.122171626884543</v>
      </c>
      <c r="AY51" s="149">
        <v>-9.9124700681899505E-2</v>
      </c>
      <c r="AZ51" s="149">
        <v>-0.12911264291473301</v>
      </c>
      <c r="BA51" s="149">
        <v>-0.151202166223569</v>
      </c>
      <c r="BB51" s="149">
        <v>-0.151202166223569</v>
      </c>
      <c r="BC51" s="149">
        <v>-0.151202166223569</v>
      </c>
      <c r="BD51" s="149">
        <v>-5.7507799627809497E-2</v>
      </c>
      <c r="BE51" s="149">
        <v>-0.151202166223569</v>
      </c>
      <c r="BF51" s="149">
        <v>-0.151202166223569</v>
      </c>
      <c r="BG51" s="149">
        <v>-0.151202166223569</v>
      </c>
      <c r="BH51" s="149">
        <v>-0.151202166223569</v>
      </c>
      <c r="BI51" s="149">
        <v>-0.151202166223569</v>
      </c>
      <c r="BJ51" s="149">
        <v>-0.151202166223569</v>
      </c>
      <c r="BK51" s="149">
        <v>-3.4268923205173801E-2</v>
      </c>
      <c r="BL51" s="149">
        <v>-0.151202166223569</v>
      </c>
      <c r="BM51" s="149">
        <v>-0.151202166223569</v>
      </c>
      <c r="BN51" s="149">
        <v>-0.125276132930567</v>
      </c>
      <c r="BO51" s="149">
        <v>-0.151202166223569</v>
      </c>
      <c r="BP51" s="149">
        <v>-0.151202166223569</v>
      </c>
      <c r="BQ51" s="149">
        <v>-7.4444889380294699E-2</v>
      </c>
      <c r="BR51" s="149">
        <v>-0.151202166223569</v>
      </c>
      <c r="BS51" s="149">
        <v>-0.151202166223569</v>
      </c>
      <c r="BT51" s="149">
        <v>-0.151202166223569</v>
      </c>
      <c r="BU51" s="149">
        <v>-0.151202166223569</v>
      </c>
      <c r="BV51" s="149">
        <v>-0.110340666099078</v>
      </c>
      <c r="BW51" s="149">
        <v>-2.8552117778373701E-2</v>
      </c>
      <c r="BX51" s="149">
        <v>-3.1654439193697197E-2</v>
      </c>
      <c r="BY51" s="149">
        <v>-0.106378218260002</v>
      </c>
      <c r="BZ51" s="149">
        <v>-2.79725935765303E-2</v>
      </c>
      <c r="CA51" s="149">
        <v>-2.2249339725834601E-2</v>
      </c>
      <c r="CB51" s="149">
        <v>0.18159590992569299</v>
      </c>
      <c r="CC51" s="149">
        <v>0.36595917782841703</v>
      </c>
      <c r="CD51" s="149">
        <v>0.21926782674147599</v>
      </c>
      <c r="CE51" s="149">
        <v>1.4065294193472999</v>
      </c>
      <c r="CF51" s="149">
        <v>0.101452509608552</v>
      </c>
      <c r="CG51" s="149">
        <v>0.21110005905250301</v>
      </c>
      <c r="CH51" s="149">
        <v>0.24329720713688899</v>
      </c>
      <c r="CI51" s="149">
        <v>4.8898860903189699E-2</v>
      </c>
      <c r="CJ51" s="149">
        <v>0.153718818606321</v>
      </c>
      <c r="CK51" s="149">
        <v>0.13155001347477899</v>
      </c>
      <c r="CL51" s="149">
        <v>0.178599475445993</v>
      </c>
      <c r="CM51" s="149">
        <v>-3.3152100507996302E-2</v>
      </c>
      <c r="CN51" s="149">
        <v>2.58353742448173E-2</v>
      </c>
      <c r="CO51" s="149">
        <v>-0.151202166223569</v>
      </c>
      <c r="CP51" s="149">
        <v>4.9611010030612399E-2</v>
      </c>
      <c r="CQ51" s="149">
        <v>6.9592853621647993E-2</v>
      </c>
      <c r="CR51" s="149">
        <v>0.107286048181559</v>
      </c>
      <c r="CS51" s="149">
        <v>0.29689028610419399</v>
      </c>
      <c r="CT51" s="149">
        <v>-9.8896760774250803E-2</v>
      </c>
      <c r="CU51" s="149">
        <v>-5.8500042794984899E-2</v>
      </c>
      <c r="CV51" s="149">
        <v>0</v>
      </c>
      <c r="CW51" s="149">
        <v>-0.120015111590402</v>
      </c>
      <c r="CX51" s="149">
        <v>-0.151202166223569</v>
      </c>
      <c r="CY51" s="149">
        <v>-6.1385525853418298E-2</v>
      </c>
      <c r="CZ51" s="149">
        <v>4.6323773489756297E-2</v>
      </c>
      <c r="DA51" s="149">
        <v>-9.30323551144073E-3</v>
      </c>
      <c r="DB51" s="149">
        <v>-7.9106283431969404E-2</v>
      </c>
      <c r="DC51" s="149">
        <v>-5.9729936978442102E-2</v>
      </c>
      <c r="DD51" s="149">
        <v>-0.151202166223569</v>
      </c>
      <c r="DE51" s="149">
        <v>-0.151202166223569</v>
      </c>
    </row>
    <row r="52" spans="1:109" x14ac:dyDescent="0.25">
      <c r="A52" s="149" t="s">
        <v>267</v>
      </c>
      <c r="B52" s="149" t="s">
        <v>586</v>
      </c>
      <c r="C52" s="149">
        <v>7.5626834577435298E-2</v>
      </c>
      <c r="D52" s="149">
        <v>5.4028083086958098E-2</v>
      </c>
      <c r="E52" s="149">
        <v>0.21654536556934201</v>
      </c>
      <c r="F52" s="149">
        <v>4.9500206555783697E-4</v>
      </c>
      <c r="G52" s="149">
        <v>0</v>
      </c>
      <c r="H52" s="149">
        <v>-6.0609688967405498E-2</v>
      </c>
      <c r="I52" s="149">
        <v>4.3293532235625903E-2</v>
      </c>
      <c r="J52" s="149">
        <v>2.1023415321829001E-2</v>
      </c>
      <c r="K52" s="149">
        <v>8.5318069537696894E-3</v>
      </c>
      <c r="L52" s="149">
        <v>8.47210455201588E-2</v>
      </c>
      <c r="M52" s="149">
        <v>4.8099228919275303E-2</v>
      </c>
      <c r="N52" s="149">
        <v>7.5083891026666003E-2</v>
      </c>
      <c r="O52" s="149">
        <v>0.305764035961062</v>
      </c>
      <c r="P52" s="149">
        <v>0.119737578571048</v>
      </c>
      <c r="Q52" s="149">
        <v>0.22202593613173499</v>
      </c>
      <c r="R52" s="149">
        <v>0.21600401135021799</v>
      </c>
      <c r="S52" s="149">
        <v>5.9871437565236003E-2</v>
      </c>
      <c r="T52" s="149">
        <v>0.112030756878389</v>
      </c>
      <c r="U52" s="149">
        <v>0.18930218545254501</v>
      </c>
      <c r="V52" s="149">
        <v>0.26555150174376602</v>
      </c>
      <c r="W52" s="149">
        <v>0.15912380608301399</v>
      </c>
      <c r="X52" s="149">
        <v>0.39620643505286102</v>
      </c>
      <c r="Y52" s="149">
        <v>0.255059350129133</v>
      </c>
      <c r="Z52" s="149">
        <v>0.22539905479413599</v>
      </c>
      <c r="AA52" s="149">
        <v>0.35992380141173302</v>
      </c>
      <c r="AB52" s="149">
        <v>0.248128853074986</v>
      </c>
      <c r="AC52" s="149">
        <v>0.1451723206144</v>
      </c>
      <c r="AD52" s="149">
        <v>0.331357073373796</v>
      </c>
      <c r="AE52" s="149">
        <v>0.19540483647390999</v>
      </c>
      <c r="AF52" s="149">
        <v>0.102682483112096</v>
      </c>
      <c r="AG52" s="149">
        <v>9.8752524593907001E-2</v>
      </c>
      <c r="AH52" s="149">
        <v>0.29766674047300801</v>
      </c>
      <c r="AI52" s="149">
        <v>0.122513634930561</v>
      </c>
      <c r="AJ52" s="149">
        <v>0.25204839038125798</v>
      </c>
      <c r="AK52" s="149">
        <v>2.5558583775664299E-2</v>
      </c>
      <c r="AL52" s="149">
        <v>0.22934803866990799</v>
      </c>
      <c r="AM52" s="149">
        <v>0.56762470024051703</v>
      </c>
      <c r="AN52" s="149">
        <v>0.39655518828677599</v>
      </c>
      <c r="AO52" s="149">
        <v>0.46471703060622999</v>
      </c>
      <c r="AP52" s="149">
        <v>0.15379013525077001</v>
      </c>
      <c r="AQ52" s="149">
        <v>0.11266319824241799</v>
      </c>
      <c r="AR52" s="149">
        <v>0.32390981361439197</v>
      </c>
      <c r="AS52" s="149">
        <v>0.10969941498319701</v>
      </c>
      <c r="AT52" s="149">
        <v>0.24058700647733899</v>
      </c>
      <c r="AU52" s="149">
        <v>0.14972452963909999</v>
      </c>
      <c r="AV52" s="149">
        <v>0.21160470144541299</v>
      </c>
      <c r="AW52" s="149">
        <v>-5.29170709587206E-2</v>
      </c>
      <c r="AX52" s="149">
        <v>-0.127844047677942</v>
      </c>
      <c r="AY52" s="149">
        <v>-7.0328256192228503E-2</v>
      </c>
      <c r="AZ52" s="149">
        <v>-0.14152523117194499</v>
      </c>
      <c r="BA52" s="149">
        <v>-0.18541534849906</v>
      </c>
      <c r="BB52" s="149">
        <v>2.2789474246727701E-2</v>
      </c>
      <c r="BC52" s="149">
        <v>4.2652225252372902E-2</v>
      </c>
      <c r="BD52" s="149">
        <v>-9.17209819032999E-2</v>
      </c>
      <c r="BE52" s="149">
        <v>-0.18541534849906</v>
      </c>
      <c r="BF52" s="149">
        <v>-8.9875516492916405E-2</v>
      </c>
      <c r="BG52" s="149">
        <v>-0.18541534849906</v>
      </c>
      <c r="BH52" s="149">
        <v>-0.18541534849906</v>
      </c>
      <c r="BI52" s="149">
        <v>-5.4561553753615197E-2</v>
      </c>
      <c r="BJ52" s="149">
        <v>-0.18541534849906</v>
      </c>
      <c r="BK52" s="149">
        <v>-0.18541534849906</v>
      </c>
      <c r="BL52" s="149">
        <v>6.5182170477109905E-2</v>
      </c>
      <c r="BM52" s="149">
        <v>-0.18541534849906</v>
      </c>
      <c r="BN52" s="149">
        <v>-0.18541534849906</v>
      </c>
      <c r="BO52" s="149">
        <v>-0.18541534849906</v>
      </c>
      <c r="BP52" s="149">
        <v>-0.18541534849906</v>
      </c>
      <c r="BQ52" s="149">
        <v>3.4642040272930198E-2</v>
      </c>
      <c r="BR52" s="149">
        <v>-1.746262684473E-2</v>
      </c>
      <c r="BS52" s="149">
        <v>-5.9843979931815797E-2</v>
      </c>
      <c r="BT52" s="149">
        <v>-0.18541534849906</v>
      </c>
      <c r="BU52" s="149">
        <v>-0.18541534849906</v>
      </c>
      <c r="BV52" s="149">
        <v>-0.144553848374569</v>
      </c>
      <c r="BW52" s="149">
        <v>-0.18541534849906</v>
      </c>
      <c r="BX52" s="149">
        <v>0.22733197299600499</v>
      </c>
      <c r="BY52" s="149">
        <v>0.345425209025992</v>
      </c>
      <c r="BZ52" s="149">
        <v>0.34223578543938099</v>
      </c>
      <c r="CA52" s="149">
        <v>0.17185005044676299</v>
      </c>
      <c r="CB52" s="149">
        <v>-0.18541534849906</v>
      </c>
      <c r="CC52" s="149">
        <v>-0.15703035375402</v>
      </c>
      <c r="CD52" s="149">
        <v>-6.9063150813622395E-2</v>
      </c>
      <c r="CE52" s="149">
        <v>-0.18541534849906</v>
      </c>
      <c r="CF52" s="149">
        <v>-0.18541534849906</v>
      </c>
      <c r="CG52" s="149">
        <v>-0.18541534849906</v>
      </c>
      <c r="CH52" s="149">
        <v>-0.163899580841394</v>
      </c>
      <c r="CI52" s="149">
        <v>-0.18541534849906</v>
      </c>
      <c r="CJ52" s="149">
        <v>-0.18541534849906</v>
      </c>
      <c r="CK52" s="149">
        <v>-0.142345972785278</v>
      </c>
      <c r="CL52" s="149">
        <v>-0.18541534849906</v>
      </c>
      <c r="CM52" s="149">
        <v>-0.16131579547751099</v>
      </c>
      <c r="CN52" s="149">
        <v>-0.18541534849906</v>
      </c>
      <c r="CO52" s="149">
        <v>-0.161646280346047</v>
      </c>
      <c r="CP52" s="149">
        <v>-0.18541534849906</v>
      </c>
      <c r="CQ52" s="149">
        <v>-0.16360808698402099</v>
      </c>
      <c r="CR52" s="149">
        <v>-0.15127999342847101</v>
      </c>
      <c r="CS52" s="149">
        <v>-0.148301798071244</v>
      </c>
      <c r="CT52" s="149">
        <v>-0.18541534849906</v>
      </c>
      <c r="CU52" s="149">
        <v>-0.18541534849906</v>
      </c>
      <c r="CV52" s="149">
        <v>-1.7939044788159199E-2</v>
      </c>
      <c r="CW52" s="149">
        <v>-0.18541534849906</v>
      </c>
      <c r="CX52" s="149">
        <v>-0.18541534849906</v>
      </c>
      <c r="CY52" s="149">
        <v>-0.18541534849906</v>
      </c>
      <c r="CZ52" s="149">
        <v>-0.18541534849906</v>
      </c>
      <c r="DA52" s="149">
        <v>-0.18541534849906</v>
      </c>
      <c r="DB52" s="149">
        <v>-0.18541534849906</v>
      </c>
      <c r="DC52" s="149">
        <v>-0.18541534849906</v>
      </c>
      <c r="DD52" s="149">
        <v>8.8039208166363805E-2</v>
      </c>
      <c r="DE52" s="149">
        <v>-0.18541534849906</v>
      </c>
    </row>
    <row r="53" spans="1:109" x14ac:dyDescent="0.25">
      <c r="A53" s="149" t="s">
        <v>267</v>
      </c>
      <c r="B53" s="149" t="s">
        <v>588</v>
      </c>
      <c r="C53" s="149">
        <v>1.45949557508116E-2</v>
      </c>
      <c r="D53" s="149">
        <v>8.5340693916176706E-3</v>
      </c>
      <c r="E53" s="149">
        <v>0</v>
      </c>
      <c r="F53" s="149">
        <v>1.2076981813185899E-2</v>
      </c>
      <c r="G53" s="149">
        <v>0</v>
      </c>
      <c r="H53" s="149">
        <v>0</v>
      </c>
      <c r="I53" s="149">
        <v>0</v>
      </c>
      <c r="J53" s="149">
        <v>7.6407890911512301E-3</v>
      </c>
      <c r="K53" s="149">
        <v>0</v>
      </c>
      <c r="L53" s="149">
        <v>0</v>
      </c>
      <c r="M53" s="149">
        <v>0</v>
      </c>
      <c r="N53" s="149">
        <v>0</v>
      </c>
      <c r="O53" s="149">
        <v>0</v>
      </c>
      <c r="P53" s="149">
        <v>0</v>
      </c>
      <c r="Q53" s="149">
        <v>4.5296438327811203E-2</v>
      </c>
      <c r="R53" s="149">
        <v>0</v>
      </c>
      <c r="S53" s="149">
        <v>0</v>
      </c>
      <c r="T53" s="149">
        <v>2.68514269649106E-2</v>
      </c>
      <c r="U53" s="149">
        <v>0</v>
      </c>
      <c r="V53" s="149">
        <v>0</v>
      </c>
      <c r="W53" s="149">
        <v>2.5192772583470899E-2</v>
      </c>
      <c r="X53" s="149">
        <v>0</v>
      </c>
      <c r="Y53" s="149">
        <v>3.9282692250949401E-2</v>
      </c>
      <c r="Z53" s="149">
        <v>0</v>
      </c>
      <c r="AA53" s="149">
        <v>0</v>
      </c>
      <c r="AB53" s="149">
        <v>0</v>
      </c>
      <c r="AC53" s="149">
        <v>0</v>
      </c>
      <c r="AD53" s="149">
        <v>0</v>
      </c>
      <c r="AE53" s="149">
        <v>2.1113754830738199E-2</v>
      </c>
      <c r="AF53" s="149">
        <v>0</v>
      </c>
      <c r="AG53" s="149">
        <v>0</v>
      </c>
      <c r="AH53" s="149">
        <v>0</v>
      </c>
      <c r="AI53" s="149">
        <v>3.0315586374611601E-2</v>
      </c>
      <c r="AJ53" s="149">
        <v>0</v>
      </c>
      <c r="AK53" s="149">
        <v>2.6519702691267698E-2</v>
      </c>
      <c r="AL53" s="149">
        <v>0</v>
      </c>
      <c r="AM53" s="149">
        <v>0</v>
      </c>
      <c r="AN53" s="149">
        <v>1.8054535298380699E-2</v>
      </c>
      <c r="AO53" s="149">
        <v>0</v>
      </c>
      <c r="AP53" s="149">
        <v>0</v>
      </c>
      <c r="AQ53" s="149">
        <v>0</v>
      </c>
      <c r="AR53" s="149">
        <v>0</v>
      </c>
      <c r="AS53" s="149">
        <v>6.3240983699494699E-2</v>
      </c>
      <c r="AT53" s="149">
        <v>0</v>
      </c>
      <c r="AU53" s="149">
        <v>0</v>
      </c>
      <c r="AV53" s="149">
        <v>0</v>
      </c>
      <c r="AW53" s="149">
        <v>0</v>
      </c>
      <c r="AX53" s="149">
        <v>0</v>
      </c>
      <c r="AY53" s="149">
        <v>0</v>
      </c>
      <c r="AZ53" s="149">
        <v>0</v>
      </c>
      <c r="BA53" s="149">
        <v>0</v>
      </c>
      <c r="BB53" s="149">
        <v>0</v>
      </c>
      <c r="BC53" s="149">
        <v>0</v>
      </c>
      <c r="BD53" s="149">
        <v>0</v>
      </c>
      <c r="BE53" s="149">
        <v>0</v>
      </c>
      <c r="BF53" s="149">
        <v>0</v>
      </c>
      <c r="BG53" s="149">
        <v>0</v>
      </c>
      <c r="BH53" s="149">
        <v>0</v>
      </c>
      <c r="BI53" s="149">
        <v>0</v>
      </c>
      <c r="BJ53" s="149">
        <v>0</v>
      </c>
      <c r="BK53" s="149">
        <v>0</v>
      </c>
      <c r="BL53" s="149">
        <v>0</v>
      </c>
      <c r="BM53" s="149">
        <v>0</v>
      </c>
      <c r="BN53" s="149">
        <v>0</v>
      </c>
      <c r="BO53" s="149">
        <v>0</v>
      </c>
      <c r="BP53" s="149">
        <v>0</v>
      </c>
      <c r="BQ53" s="149">
        <v>0</v>
      </c>
      <c r="BR53" s="149">
        <v>0</v>
      </c>
      <c r="BS53" s="149">
        <v>0</v>
      </c>
      <c r="BT53" s="149">
        <v>0</v>
      </c>
      <c r="BU53" s="149">
        <v>0</v>
      </c>
      <c r="BV53" s="149">
        <v>0</v>
      </c>
      <c r="BW53" s="149">
        <v>0</v>
      </c>
      <c r="BX53" s="149">
        <v>0</v>
      </c>
      <c r="BY53" s="149">
        <v>2.2524407487623702E-2</v>
      </c>
      <c r="BZ53" s="149">
        <v>1.08126324730554E-2</v>
      </c>
      <c r="CA53" s="149">
        <v>0</v>
      </c>
      <c r="CB53" s="149">
        <v>0.20651759493227501</v>
      </c>
      <c r="CC53" s="149">
        <v>0.26007638094021801</v>
      </c>
      <c r="CD53" s="149">
        <v>1.3207370493076199E-2</v>
      </c>
      <c r="CE53" s="149">
        <v>4.4727413419843202E-2</v>
      </c>
      <c r="CF53" s="149">
        <v>0</v>
      </c>
      <c r="CG53" s="149">
        <v>2.4715176768857001E-2</v>
      </c>
      <c r="CH53" s="149">
        <v>2.15157676576655E-2</v>
      </c>
      <c r="CI53" s="149">
        <v>1.3989445917531601E-2</v>
      </c>
      <c r="CJ53" s="149">
        <v>0</v>
      </c>
      <c r="CK53" s="149">
        <v>0</v>
      </c>
      <c r="CL53" s="149">
        <v>1.7667403141190901E-2</v>
      </c>
      <c r="CM53" s="149">
        <v>2.4099553021549199E-2</v>
      </c>
      <c r="CN53" s="149">
        <v>0</v>
      </c>
      <c r="CO53" s="149">
        <v>0.138536421580229</v>
      </c>
      <c r="CP53" s="149">
        <v>0</v>
      </c>
      <c r="CQ53" s="149">
        <v>2.1807261515038801E-2</v>
      </c>
      <c r="CR53" s="149">
        <v>0</v>
      </c>
      <c r="CS53" s="149">
        <v>3.7113550427815702E-2</v>
      </c>
      <c r="CT53" s="149">
        <v>5.2305405449318498E-2</v>
      </c>
      <c r="CU53" s="149">
        <v>0</v>
      </c>
      <c r="CV53" s="149">
        <v>1.7244460216518001E-2</v>
      </c>
      <c r="CW53" s="149">
        <v>9.2304329885128295E-2</v>
      </c>
      <c r="CX53" s="149">
        <v>9.7540643862073798E-2</v>
      </c>
      <c r="CY53" s="149">
        <v>1.5252551619131201E-2</v>
      </c>
      <c r="CZ53" s="149">
        <v>6.7960262098606297E-2</v>
      </c>
      <c r="DA53" s="149">
        <v>0</v>
      </c>
      <c r="DB53" s="149">
        <v>0</v>
      </c>
      <c r="DC53" s="149">
        <v>0</v>
      </c>
      <c r="DD53" s="149">
        <v>0</v>
      </c>
      <c r="DE53" s="149">
        <v>0</v>
      </c>
    </row>
    <row r="54" spans="1:109" x14ac:dyDescent="0.25">
      <c r="A54" s="149" t="s">
        <v>267</v>
      </c>
      <c r="B54" s="149" t="s">
        <v>593</v>
      </c>
      <c r="C54" s="149">
        <v>2.3864523210078599E-3</v>
      </c>
      <c r="D54" s="149">
        <v>2.4501729859828202E-2</v>
      </c>
      <c r="E54" s="149">
        <v>0.184700146174992</v>
      </c>
      <c r="F54" s="149">
        <v>1.75131261003133E-3</v>
      </c>
      <c r="G54" s="149">
        <v>-2.59457591372971E-2</v>
      </c>
      <c r="H54" s="149">
        <v>-7.5823145391554103E-2</v>
      </c>
      <c r="I54" s="149">
        <v>-9.6007432493180108E-3</v>
      </c>
      <c r="J54" s="149">
        <v>-1.9674170256269899E-2</v>
      </c>
      <c r="K54" s="149">
        <v>-4.76183881482646E-2</v>
      </c>
      <c r="L54" s="149">
        <v>0</v>
      </c>
      <c r="M54" s="149">
        <v>-4.8789894336925703E-2</v>
      </c>
      <c r="N54" s="149">
        <v>-9.6340397574504397E-3</v>
      </c>
      <c r="O54" s="149">
        <v>0.10903550488345699</v>
      </c>
      <c r="P54" s="149">
        <v>7.0146232544188294E-2</v>
      </c>
      <c r="Q54" s="149">
        <v>5.9510452560153797E-2</v>
      </c>
      <c r="R54" s="149">
        <v>-2.9769264922202301E-2</v>
      </c>
      <c r="S54" s="149">
        <v>-7.4448072883203806E-2</v>
      </c>
      <c r="T54" s="149">
        <v>-8.8531844185403708E-3</v>
      </c>
      <c r="U54" s="149">
        <v>8.9150777007429904E-2</v>
      </c>
      <c r="V54" s="149">
        <v>2.1244141409982099E-3</v>
      </c>
      <c r="W54" s="149">
        <v>3.0082971317806399E-2</v>
      </c>
      <c r="X54" s="149">
        <v>0.18295561899857099</v>
      </c>
      <c r="Y54" s="149">
        <v>-6.1373879168366202E-2</v>
      </c>
      <c r="Z54" s="149">
        <v>4.15123233261436E-3</v>
      </c>
      <c r="AA54" s="149">
        <v>-1.10193915902204E-2</v>
      </c>
      <c r="AB54" s="149">
        <v>0.111534064518582</v>
      </c>
      <c r="AC54" s="149">
        <v>5.9216927625841798E-2</v>
      </c>
      <c r="AD54" s="149">
        <v>8.7486753341472406E-2</v>
      </c>
      <c r="AE54" s="149">
        <v>-3.59634060230744E-2</v>
      </c>
      <c r="AF54" s="149">
        <v>0.122203447800056</v>
      </c>
      <c r="AG54" s="149">
        <v>-6.3646697229934102E-2</v>
      </c>
      <c r="AH54" s="149">
        <v>-9.7461647369704502E-2</v>
      </c>
      <c r="AI54" s="149">
        <v>0.11666913189999401</v>
      </c>
      <c r="AJ54" s="149">
        <v>-8.5422782519836801E-2</v>
      </c>
      <c r="AK54" s="149">
        <v>-9.5277557165009703E-3</v>
      </c>
      <c r="AL54" s="149">
        <v>2.71828413274935E-2</v>
      </c>
      <c r="AM54" s="149">
        <v>0.52184649435290797</v>
      </c>
      <c r="AN54" s="149">
        <v>0.172716557762401</v>
      </c>
      <c r="AO54" s="149">
        <v>0.38230976596694299</v>
      </c>
      <c r="AP54" s="149">
        <v>7.4982863248767795E-2</v>
      </c>
      <c r="AQ54" s="149">
        <v>1.34806500586336E-2</v>
      </c>
      <c r="AR54" s="149">
        <v>4.8012281106450901E-2</v>
      </c>
      <c r="AS54" s="149">
        <v>4.4005379226294702E-2</v>
      </c>
      <c r="AT54" s="149">
        <v>-0.139076298129612</v>
      </c>
      <c r="AU54" s="149">
        <v>3.10843116708739E-3</v>
      </c>
      <c r="AV54" s="149">
        <v>-2.4893533366362901E-2</v>
      </c>
      <c r="AW54" s="149">
        <v>0.11550401587242499</v>
      </c>
      <c r="AX54" s="149">
        <v>2.8099038686575501E-2</v>
      </c>
      <c r="AY54" s="149">
        <v>1.2771998027825899E-2</v>
      </c>
      <c r="AZ54" s="149">
        <v>-5.2419996456270102E-2</v>
      </c>
      <c r="BA54" s="149">
        <v>3.73945404797216E-2</v>
      </c>
      <c r="BB54" s="149">
        <v>6.9128524616175899E-2</v>
      </c>
      <c r="BC54" s="149">
        <v>-5.9234967365852903E-2</v>
      </c>
      <c r="BD54" s="149">
        <v>-4.5381931533851699E-2</v>
      </c>
      <c r="BE54" s="149">
        <v>0.19640840972540999</v>
      </c>
      <c r="BF54" s="149">
        <v>0.13137429192795499</v>
      </c>
      <c r="BG54" s="149">
        <v>-2.7078906716001098E-2</v>
      </c>
      <c r="BH54" s="149">
        <v>-4.2106516077536099E-2</v>
      </c>
      <c r="BI54" s="149">
        <v>-8.2225033841670306E-3</v>
      </c>
      <c r="BJ54" s="149">
        <v>-3.7189947249072701E-2</v>
      </c>
      <c r="BK54" s="149">
        <v>-2.2143055111216101E-2</v>
      </c>
      <c r="BL54" s="149">
        <v>-0.139076298129612</v>
      </c>
      <c r="BM54" s="149">
        <v>2.31903065644113E-2</v>
      </c>
      <c r="BN54" s="149">
        <v>-8.7618675069174395E-2</v>
      </c>
      <c r="BO54" s="149">
        <v>9.0422595779309195E-2</v>
      </c>
      <c r="BP54" s="149">
        <v>-0.139076298129612</v>
      </c>
      <c r="BQ54" s="149">
        <v>-0.139076298129612</v>
      </c>
      <c r="BR54" s="149">
        <v>-5.2862009751539103E-2</v>
      </c>
      <c r="BS54" s="149">
        <v>-0.139076298129612</v>
      </c>
      <c r="BT54" s="149">
        <v>-0.139076298129612</v>
      </c>
      <c r="BU54" s="149">
        <v>-1.1728038434763799E-2</v>
      </c>
      <c r="BV54" s="149">
        <v>-0.139076298129612</v>
      </c>
      <c r="BW54" s="149">
        <v>-1.6426249684415899E-2</v>
      </c>
      <c r="BX54" s="149">
        <v>1.90433250406822E-2</v>
      </c>
      <c r="BY54" s="149">
        <v>0.33683971221842102</v>
      </c>
      <c r="BZ54" s="149">
        <v>6.6810314785589894E-2</v>
      </c>
      <c r="CA54" s="149">
        <v>0.13019223239955299</v>
      </c>
      <c r="CB54" s="149">
        <v>-1.9513156356989299E-2</v>
      </c>
      <c r="CC54" s="149">
        <v>-5.4852980669807302E-2</v>
      </c>
      <c r="CD54" s="149">
        <v>-7.9971168189198593E-3</v>
      </c>
      <c r="CE54" s="149">
        <v>7.4452333679218399E-2</v>
      </c>
      <c r="CF54" s="149">
        <v>-7.2801830040052903E-2</v>
      </c>
      <c r="CG54" s="149">
        <v>0.10785108072262301</v>
      </c>
      <c r="CH54" s="149">
        <v>-5.0816488636389198E-2</v>
      </c>
      <c r="CI54" s="149">
        <v>6.10247289971474E-2</v>
      </c>
      <c r="CJ54" s="149">
        <v>0.140026937190635</v>
      </c>
      <c r="CK54" s="149">
        <v>0.18088054928389</v>
      </c>
      <c r="CL54" s="149">
        <v>1.4627819418452001E-2</v>
      </c>
      <c r="CM54" s="149">
        <v>0.16883052486859801</v>
      </c>
      <c r="CN54" s="149">
        <v>-6.5456741056434701E-3</v>
      </c>
      <c r="CO54" s="149">
        <v>-9.1820141118657897E-2</v>
      </c>
      <c r="CP54" s="149">
        <v>-0.139076298129612</v>
      </c>
      <c r="CQ54" s="149">
        <v>2.1276504383129499E-2</v>
      </c>
      <c r="CR54" s="149">
        <v>3.1584077464854199E-2</v>
      </c>
      <c r="CS54" s="149">
        <v>7.2717616322188594E-2</v>
      </c>
      <c r="CT54" s="149">
        <v>-7.1813288304545904E-3</v>
      </c>
      <c r="CU54" s="149">
        <v>-9.2069995221289502E-2</v>
      </c>
      <c r="CV54" s="149">
        <v>-2.07249854647985E-2</v>
      </c>
      <c r="CW54" s="149">
        <v>5.33134320981162E-4</v>
      </c>
      <c r="CX54" s="149">
        <v>5.1140514655554602E-2</v>
      </c>
      <c r="CY54" s="149">
        <v>-3.4672771242530299E-2</v>
      </c>
      <c r="CZ54" s="149">
        <v>-3.79610290693033E-2</v>
      </c>
      <c r="DA54" s="149">
        <v>-9.0465373583461794E-2</v>
      </c>
      <c r="DB54" s="149">
        <v>1.9222041058795799E-3</v>
      </c>
      <c r="DC54" s="149">
        <v>-4.7604068884484402E-2</v>
      </c>
      <c r="DD54" s="149">
        <v>1.9180405519123901E-2</v>
      </c>
      <c r="DE54" s="149">
        <v>-2.1691191855560399E-2</v>
      </c>
    </row>
    <row r="55" spans="1:109" x14ac:dyDescent="0.25">
      <c r="A55" s="149" t="s">
        <v>267</v>
      </c>
      <c r="B55" s="149" t="s">
        <v>598</v>
      </c>
      <c r="C55" s="149">
        <v>0.44557747564943501</v>
      </c>
      <c r="D55" s="149">
        <v>0.81470645912329998</v>
      </c>
      <c r="E55" s="149">
        <v>1.7157931904136099</v>
      </c>
      <c r="F55" s="149">
        <v>0.65723850286356</v>
      </c>
      <c r="G55" s="149">
        <v>0.43086959399776398</v>
      </c>
      <c r="H55" s="149">
        <v>0.69003013160783899</v>
      </c>
      <c r="I55" s="149">
        <v>0.460184829994156</v>
      </c>
      <c r="J55" s="149">
        <v>0.79397210935279605</v>
      </c>
      <c r="K55" s="149">
        <v>1.1414123897831501</v>
      </c>
      <c r="L55" s="149">
        <v>0.88021034486004601</v>
      </c>
      <c r="M55" s="149">
        <v>0.95572764222379403</v>
      </c>
      <c r="N55" s="149">
        <v>0.8069397334474</v>
      </c>
      <c r="O55" s="149">
        <v>1.10479579248501</v>
      </c>
      <c r="P55" s="149">
        <v>1.2212917211198799</v>
      </c>
      <c r="Q55" s="149">
        <v>0.61596514564393701</v>
      </c>
      <c r="R55" s="149">
        <v>2.0912669333493401</v>
      </c>
      <c r="S55" s="149">
        <v>1.2972457171376199</v>
      </c>
      <c r="T55" s="149">
        <v>2.1171240327382099</v>
      </c>
      <c r="U55" s="149">
        <v>2.2348103295599899</v>
      </c>
      <c r="V55" s="149">
        <v>1.4639096779160199</v>
      </c>
      <c r="W55" s="149">
        <v>1.7823912878102199</v>
      </c>
      <c r="X55" s="149">
        <v>0.38833431977432098</v>
      </c>
      <c r="Y55" s="149">
        <v>1.4008899120901701</v>
      </c>
      <c r="Z55" s="149">
        <v>1.80614778622717</v>
      </c>
      <c r="AA55" s="149">
        <v>1.4152997744761</v>
      </c>
      <c r="AB55" s="149">
        <v>1.07608903618112</v>
      </c>
      <c r="AC55" s="149">
        <v>0.77522033272733504</v>
      </c>
      <c r="AD55" s="149">
        <v>0.94912069007237998</v>
      </c>
      <c r="AE55" s="149">
        <v>1.4909360112555401</v>
      </c>
      <c r="AF55" s="149">
        <v>1.2628824121753299</v>
      </c>
      <c r="AG55" s="149">
        <v>1.3153257965899501</v>
      </c>
      <c r="AH55" s="149">
        <v>1.15200836351721</v>
      </c>
      <c r="AI55" s="149">
        <v>1.1773298817592099</v>
      </c>
      <c r="AJ55" s="149">
        <v>0.70639929778011001</v>
      </c>
      <c r="AK55" s="149">
        <v>0.63441086415861603</v>
      </c>
      <c r="AL55" s="149">
        <v>0.75763125523779096</v>
      </c>
      <c r="AM55" s="149">
        <v>2.9341813054357901</v>
      </c>
      <c r="AN55" s="149">
        <v>2.4671090050225799</v>
      </c>
      <c r="AO55" s="149">
        <v>1.58775859486547</v>
      </c>
      <c r="AP55" s="149">
        <v>1.0566782281059499</v>
      </c>
      <c r="AQ55" s="149">
        <v>1.2097478713330601</v>
      </c>
      <c r="AR55" s="149">
        <v>0.93662434923735205</v>
      </c>
      <c r="AS55" s="149">
        <v>1.4223453806706801</v>
      </c>
      <c r="AT55" s="149">
        <v>1.0994604991956201</v>
      </c>
      <c r="AU55" s="149">
        <v>1.0570110911016399</v>
      </c>
      <c r="AV55" s="149">
        <v>1.5349644025822</v>
      </c>
      <c r="AW55" s="149">
        <v>0.21516086577129201</v>
      </c>
      <c r="AX55" s="149">
        <v>-1.5501184861228701E-2</v>
      </c>
      <c r="AY55" s="149">
        <v>-0.31592507313454499</v>
      </c>
      <c r="AZ55" s="149">
        <v>-0.178185849951805</v>
      </c>
      <c r="BA55" s="149">
        <v>-0.29257102268166701</v>
      </c>
      <c r="BB55" s="149">
        <v>-4.2517536344274402E-2</v>
      </c>
      <c r="BC55" s="149">
        <v>-6.6462195634250903E-2</v>
      </c>
      <c r="BD55" s="149">
        <v>-0.35679448703828398</v>
      </c>
      <c r="BE55" s="149">
        <v>-0.36615829053754601</v>
      </c>
      <c r="BF55" s="149">
        <v>-9.1970416463012197E-2</v>
      </c>
      <c r="BG55" s="149">
        <v>-0.29566205214871899</v>
      </c>
      <c r="BH55" s="149">
        <v>-0.51348220341685202</v>
      </c>
      <c r="BI55" s="149">
        <v>-0.233925349500858</v>
      </c>
      <c r="BJ55" s="149">
        <v>-0.50421732840343403</v>
      </c>
      <c r="BK55" s="149">
        <v>-0.476026848609099</v>
      </c>
      <c r="BL55" s="149">
        <v>-0.23523977694023401</v>
      </c>
      <c r="BM55" s="149">
        <v>-0.32366543892636901</v>
      </c>
      <c r="BN55" s="149">
        <v>-0.245969212708256</v>
      </c>
      <c r="BO55" s="149">
        <v>-0.52650803116745104</v>
      </c>
      <c r="BP55" s="149">
        <v>-0.32958010410685801</v>
      </c>
      <c r="BQ55" s="149">
        <v>-0.34995614922164298</v>
      </c>
      <c r="BR55" s="149">
        <v>-0.45596711774585602</v>
      </c>
      <c r="BS55" s="149">
        <v>-0.45986495599684601</v>
      </c>
      <c r="BT55" s="149">
        <v>-0.29516530484118902</v>
      </c>
      <c r="BU55" s="149">
        <v>-0.45661384709844299</v>
      </c>
      <c r="BV55" s="149">
        <v>-0.50705177101328702</v>
      </c>
      <c r="BW55" s="149">
        <v>-0.46531199927209999</v>
      </c>
      <c r="BX55" s="149">
        <v>0</v>
      </c>
      <c r="BY55" s="149">
        <v>0.121730528635716</v>
      </c>
      <c r="BZ55" s="149">
        <v>0.38076300760091297</v>
      </c>
      <c r="CA55" s="149">
        <v>0.140175140977637</v>
      </c>
      <c r="CB55" s="149">
        <v>-0.66101256817065801</v>
      </c>
      <c r="CC55" s="149">
        <v>-0.64518670204718098</v>
      </c>
      <c r="CD55" s="149">
        <v>9.4069596893026505E-2</v>
      </c>
      <c r="CE55" s="149">
        <v>-0.65691558497272395</v>
      </c>
      <c r="CF55" s="149">
        <v>-0.70164299839256705</v>
      </c>
      <c r="CG55" s="149">
        <v>-0.60462773364966504</v>
      </c>
      <c r="CH55" s="149">
        <v>-0.62553779487127903</v>
      </c>
      <c r="CI55" s="149">
        <v>-0.70164299839256705</v>
      </c>
      <c r="CJ55" s="149">
        <v>-0.67181863750230397</v>
      </c>
      <c r="CK55" s="149">
        <v>-0.65857362267878505</v>
      </c>
      <c r="CL55" s="149">
        <v>-0.68397559525137697</v>
      </c>
      <c r="CM55" s="149">
        <v>-0.58359293267699397</v>
      </c>
      <c r="CN55" s="149">
        <v>-0.67906949212442203</v>
      </c>
      <c r="CO55" s="149">
        <v>-0.60822764503712301</v>
      </c>
      <c r="CP55" s="149">
        <v>-0.63205717661405303</v>
      </c>
      <c r="CQ55" s="149">
        <v>-0.70164299839256705</v>
      </c>
      <c r="CR55" s="149">
        <v>-0.60090121722968104</v>
      </c>
      <c r="CS55" s="149">
        <v>-0.70164299839256705</v>
      </c>
      <c r="CT55" s="149">
        <v>-0.54953481980289798</v>
      </c>
      <c r="CU55" s="149">
        <v>-0.39767756707167501</v>
      </c>
      <c r="CV55" s="149">
        <v>0.246835451735162</v>
      </c>
      <c r="CW55" s="149">
        <v>-0.67045594375939999</v>
      </c>
      <c r="CX55" s="149">
        <v>-0.70164299839256705</v>
      </c>
      <c r="CY55" s="149">
        <v>-0.68639044677343597</v>
      </c>
      <c r="CZ55" s="149">
        <v>-0.485822024532855</v>
      </c>
      <c r="DA55" s="149">
        <v>-0.70164299839256705</v>
      </c>
      <c r="DB55" s="149">
        <v>-0.11789717063085001</v>
      </c>
      <c r="DC55" s="149">
        <v>-0.70164299839256705</v>
      </c>
      <c r="DD55" s="149">
        <v>0.106168655189287</v>
      </c>
      <c r="DE55" s="149">
        <v>-0.444252380095218</v>
      </c>
    </row>
    <row r="56" spans="1:109" x14ac:dyDescent="0.25">
      <c r="A56" s="149" t="s">
        <v>267</v>
      </c>
      <c r="B56" s="149" t="s">
        <v>599</v>
      </c>
      <c r="C56" s="149">
        <v>-6.9368669230782595E-2</v>
      </c>
      <c r="D56" s="149">
        <v>3.9349054830009299E-2</v>
      </c>
      <c r="E56" s="149">
        <v>0.17433610005368999</v>
      </c>
      <c r="F56" s="149">
        <v>-1.08297680437598E-2</v>
      </c>
      <c r="G56" s="149">
        <v>-9.9177126130361906E-2</v>
      </c>
      <c r="H56" s="149">
        <v>-9.3920049445588797E-3</v>
      </c>
      <c r="I56" s="149">
        <v>-2.44477285017995E-2</v>
      </c>
      <c r="J56" s="149">
        <v>-7.5217550046392098E-3</v>
      </c>
      <c r="K56" s="149">
        <v>-2.5058131300746599E-2</v>
      </c>
      <c r="L56" s="149">
        <v>4.4657279195658997E-2</v>
      </c>
      <c r="M56" s="149">
        <v>6.0272333873668697E-2</v>
      </c>
      <c r="N56" s="149">
        <v>8.03316016774899E-2</v>
      </c>
      <c r="O56" s="149">
        <v>0.44189964755691002</v>
      </c>
      <c r="P56" s="149">
        <v>0.36283138727735498</v>
      </c>
      <c r="Q56" s="149">
        <v>7.9707923825026297E-2</v>
      </c>
      <c r="R56" s="149">
        <v>0.296006340606982</v>
      </c>
      <c r="S56" s="149">
        <v>5.0302027118159502E-2</v>
      </c>
      <c r="T56" s="149">
        <v>0.32484529459915701</v>
      </c>
      <c r="U56" s="149">
        <v>0.36901339996565902</v>
      </c>
      <c r="V56" s="149">
        <v>0.51592765515061401</v>
      </c>
      <c r="W56" s="149">
        <v>0.40605542247063198</v>
      </c>
      <c r="X56" s="149">
        <v>0.24842205552476801</v>
      </c>
      <c r="Y56" s="149">
        <v>0.30276110982897603</v>
      </c>
      <c r="Z56" s="149">
        <v>0.30899683678178103</v>
      </c>
      <c r="AA56" s="149">
        <v>0.24334011778995901</v>
      </c>
      <c r="AB56" s="149">
        <v>0.10254492655849</v>
      </c>
      <c r="AC56" s="149">
        <v>0.15845817187424199</v>
      </c>
      <c r="AD56" s="149">
        <v>0.188538203485176</v>
      </c>
      <c r="AE56" s="149">
        <v>0.25360860288394899</v>
      </c>
      <c r="AF56" s="149">
        <v>0.27086394388071999</v>
      </c>
      <c r="AG56" s="149">
        <v>0.17687342818676899</v>
      </c>
      <c r="AH56" s="149">
        <v>3.15883132171519E-2</v>
      </c>
      <c r="AI56" s="149">
        <v>0.18329212282681301</v>
      </c>
      <c r="AJ56" s="149">
        <v>0.35528767861605498</v>
      </c>
      <c r="AK56" s="149">
        <v>9.7809154988264493E-2</v>
      </c>
      <c r="AL56" s="149">
        <v>-7.86040457339445E-2</v>
      </c>
      <c r="AM56" s="149">
        <v>0.32091602462692098</v>
      </c>
      <c r="AN56" s="149">
        <v>0.31978090343708199</v>
      </c>
      <c r="AO56" s="149">
        <v>0.57848274823225099</v>
      </c>
      <c r="AP56" s="149">
        <v>0.150467921821687</v>
      </c>
      <c r="AQ56" s="149">
        <v>0.21428606870505201</v>
      </c>
      <c r="AR56" s="149">
        <v>0.17195792114700001</v>
      </c>
      <c r="AS56" s="149">
        <v>0.17372833006712801</v>
      </c>
      <c r="AT56" s="149">
        <v>0.16806622077682701</v>
      </c>
      <c r="AU56" s="149">
        <v>0.22314179080667801</v>
      </c>
      <c r="AV56" s="149">
        <v>-0.153690218263108</v>
      </c>
      <c r="AW56" s="149">
        <v>-0.26034218793353697</v>
      </c>
      <c r="AX56" s="149">
        <v>-0.100116043577871</v>
      </c>
      <c r="AY56" s="149">
        <v>-0.32177153658438501</v>
      </c>
      <c r="AZ56" s="149">
        <v>-0.31879334554271899</v>
      </c>
      <c r="BA56" s="149">
        <v>-0.56908900557949604</v>
      </c>
      <c r="BB56" s="149">
        <v>-0.51799632032198495</v>
      </c>
      <c r="BC56" s="149">
        <v>-0.43172547277359402</v>
      </c>
      <c r="BD56" s="149">
        <v>-0.314944535170743</v>
      </c>
      <c r="BE56" s="149">
        <v>-0.22683798261058999</v>
      </c>
      <c r="BF56" s="149">
        <v>-0.23222688293573199</v>
      </c>
      <c r="BG56" s="149">
        <v>-0.54779565511141604</v>
      </c>
      <c r="BH56" s="149">
        <v>-0.38555169334549499</v>
      </c>
      <c r="BI56" s="149">
        <v>-0.65979304652502602</v>
      </c>
      <c r="BJ56" s="149">
        <v>-0.46236737653589299</v>
      </c>
      <c r="BK56" s="149">
        <v>-0.54285980350663099</v>
      </c>
      <c r="BL56" s="149">
        <v>-0.19338982507269301</v>
      </c>
      <c r="BM56" s="149">
        <v>-0.49752644183100397</v>
      </c>
      <c r="BN56" s="149">
        <v>-0.39437942722279801</v>
      </c>
      <c r="BO56" s="149">
        <v>-0.37770500181741701</v>
      </c>
      <c r="BP56" s="149">
        <v>-0.28773015223931703</v>
      </c>
      <c r="BQ56" s="149">
        <v>-0.43973565775303602</v>
      </c>
      <c r="BR56" s="149">
        <v>-0.34001628687797902</v>
      </c>
      <c r="BS56" s="149">
        <v>-0.41801500412930398</v>
      </c>
      <c r="BT56" s="149">
        <v>-0.13863376201741401</v>
      </c>
      <c r="BU56" s="149">
        <v>-0.41476389523090201</v>
      </c>
      <c r="BV56" s="149">
        <v>-0.4289642889511</v>
      </c>
      <c r="BW56" s="149">
        <v>-0.162878403174817</v>
      </c>
      <c r="BX56" s="149">
        <v>0</v>
      </c>
      <c r="BY56" s="149">
        <v>-1.2337099306476199E-2</v>
      </c>
      <c r="BZ56" s="149">
        <v>0.25569384486138402</v>
      </c>
      <c r="CA56" s="149">
        <v>-7.59175137273327E-2</v>
      </c>
      <c r="CB56" s="149">
        <v>2.5274526627177E-2</v>
      </c>
      <c r="CC56" s="149">
        <v>0.16106600455792999</v>
      </c>
      <c r="CD56" s="149">
        <v>0.50211705973301701</v>
      </c>
      <c r="CE56" s="149">
        <v>0.11640703743290801</v>
      </c>
      <c r="CF56" s="149">
        <v>1.4009415926120099</v>
      </c>
      <c r="CG56" s="149">
        <v>0.26275185173894899</v>
      </c>
      <c r="CH56" s="149">
        <v>0.54389623036453705</v>
      </c>
      <c r="CI56" s="149">
        <v>0.18423914418228601</v>
      </c>
      <c r="CJ56" s="149">
        <v>0.58949658363742696</v>
      </c>
      <c r="CK56" s="149">
        <v>0.66340265105188301</v>
      </c>
      <c r="CL56" s="149">
        <v>0.41390255740009302</v>
      </c>
      <c r="CM56" s="149">
        <v>0.52385345438313802</v>
      </c>
      <c r="CN56" s="149">
        <v>0.67462827640791601</v>
      </c>
      <c r="CO56" s="149">
        <v>-0.42144941884095299</v>
      </c>
      <c r="CP56" s="149">
        <v>-0.168487480594529</v>
      </c>
      <c r="CQ56" s="149">
        <v>0.27950201495451799</v>
      </c>
      <c r="CR56" s="149">
        <v>-8.5580803026051103E-2</v>
      </c>
      <c r="CS56" s="149">
        <v>0.32812291112563302</v>
      </c>
      <c r="CT56" s="149">
        <v>-0.60748764107570796</v>
      </c>
      <c r="CU56" s="149">
        <v>-0.39598940022812501</v>
      </c>
      <c r="CV56" s="149">
        <v>-0.104012882380877</v>
      </c>
      <c r="CW56" s="149">
        <v>-0.27917950927212598</v>
      </c>
      <c r="CX56" s="149">
        <v>-0.46957623373986002</v>
      </c>
      <c r="CY56" s="149">
        <v>-0.225720369931875</v>
      </c>
      <c r="CZ56" s="149">
        <v>-0.14165142879329801</v>
      </c>
      <c r="DA56" s="149">
        <v>-9.2708399343773507E-2</v>
      </c>
      <c r="DB56" s="149">
        <v>-0.51879454428953498</v>
      </c>
      <c r="DC56" s="149">
        <v>-0.39990803266876501</v>
      </c>
      <c r="DD56" s="149">
        <v>-0.12741010292507199</v>
      </c>
      <c r="DE56" s="149">
        <v>-0.43303745289756401</v>
      </c>
    </row>
    <row r="57" spans="1:109" x14ac:dyDescent="0.25">
      <c r="A57" s="149" t="s">
        <v>267</v>
      </c>
      <c r="B57" s="149" t="s">
        <v>601</v>
      </c>
      <c r="C57" s="149">
        <v>0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0</v>
      </c>
      <c r="J57" s="149">
        <v>0</v>
      </c>
      <c r="K57" s="149">
        <v>0</v>
      </c>
      <c r="L57" s="149">
        <v>0</v>
      </c>
      <c r="M57" s="149">
        <v>0</v>
      </c>
      <c r="N57" s="149">
        <v>0</v>
      </c>
      <c r="O57" s="149">
        <v>0</v>
      </c>
      <c r="P57" s="149">
        <v>0</v>
      </c>
      <c r="Q57" s="149">
        <v>0</v>
      </c>
      <c r="R57" s="149">
        <v>0</v>
      </c>
      <c r="S57" s="149">
        <v>0</v>
      </c>
      <c r="T57" s="149">
        <v>0</v>
      </c>
      <c r="U57" s="149">
        <v>0</v>
      </c>
      <c r="V57" s="149">
        <v>0</v>
      </c>
      <c r="W57" s="149">
        <v>0</v>
      </c>
      <c r="X57" s="149">
        <v>0</v>
      </c>
      <c r="Y57" s="149">
        <v>0</v>
      </c>
      <c r="Z57" s="149">
        <v>0</v>
      </c>
      <c r="AA57" s="149">
        <v>0</v>
      </c>
      <c r="AB57" s="149">
        <v>0</v>
      </c>
      <c r="AC57" s="149">
        <v>0</v>
      </c>
      <c r="AD57" s="149">
        <v>0</v>
      </c>
      <c r="AE57" s="149">
        <v>0</v>
      </c>
      <c r="AF57" s="149">
        <v>0</v>
      </c>
      <c r="AG57" s="149">
        <v>0</v>
      </c>
      <c r="AH57" s="149">
        <v>0</v>
      </c>
      <c r="AI57" s="149">
        <v>0</v>
      </c>
      <c r="AJ57" s="149">
        <v>0</v>
      </c>
      <c r="AK57" s="149">
        <v>0</v>
      </c>
      <c r="AL57" s="149">
        <v>0</v>
      </c>
      <c r="AM57" s="149">
        <v>0</v>
      </c>
      <c r="AN57" s="149">
        <v>1.8054535298380699E-2</v>
      </c>
      <c r="AO57" s="149">
        <v>0</v>
      </c>
      <c r="AP57" s="149">
        <v>0</v>
      </c>
      <c r="AQ57" s="149">
        <v>0</v>
      </c>
      <c r="AR57" s="149">
        <v>0</v>
      </c>
      <c r="AS57" s="149">
        <v>0</v>
      </c>
      <c r="AT57" s="149">
        <v>0</v>
      </c>
      <c r="AU57" s="149">
        <v>0</v>
      </c>
      <c r="AV57" s="149">
        <v>0</v>
      </c>
      <c r="AW57" s="149">
        <v>0</v>
      </c>
      <c r="AX57" s="149">
        <v>0</v>
      </c>
      <c r="AY57" s="149">
        <v>0</v>
      </c>
      <c r="AZ57" s="149">
        <v>0</v>
      </c>
      <c r="BA57" s="149">
        <v>0</v>
      </c>
      <c r="BB57" s="149">
        <v>0</v>
      </c>
      <c r="BC57" s="149">
        <v>0</v>
      </c>
      <c r="BD57" s="149">
        <v>0</v>
      </c>
      <c r="BE57" s="149">
        <v>0</v>
      </c>
      <c r="BF57" s="149">
        <v>0</v>
      </c>
      <c r="BG57" s="149">
        <v>0</v>
      </c>
      <c r="BH57" s="149">
        <v>0</v>
      </c>
      <c r="BI57" s="149">
        <v>0</v>
      </c>
      <c r="BJ57" s="149">
        <v>0</v>
      </c>
      <c r="BK57" s="149">
        <v>0</v>
      </c>
      <c r="BL57" s="149">
        <v>0</v>
      </c>
      <c r="BM57" s="149">
        <v>0</v>
      </c>
      <c r="BN57" s="149">
        <v>0</v>
      </c>
      <c r="BO57" s="149">
        <v>0</v>
      </c>
      <c r="BP57" s="149">
        <v>0</v>
      </c>
      <c r="BQ57" s="149">
        <v>0</v>
      </c>
      <c r="BR57" s="149">
        <v>0</v>
      </c>
      <c r="BS57" s="149">
        <v>0</v>
      </c>
      <c r="BT57" s="149">
        <v>0</v>
      </c>
      <c r="BU57" s="149">
        <v>0</v>
      </c>
      <c r="BV57" s="149">
        <v>0</v>
      </c>
      <c r="BW57" s="149">
        <v>0</v>
      </c>
      <c r="BX57" s="149">
        <v>0</v>
      </c>
      <c r="BY57" s="149">
        <v>0</v>
      </c>
      <c r="BZ57" s="149">
        <v>0</v>
      </c>
      <c r="CA57" s="149">
        <v>0</v>
      </c>
      <c r="CB57" s="149">
        <v>0.29746351954032002</v>
      </c>
      <c r="CC57" s="149">
        <v>0.34696506650354098</v>
      </c>
      <c r="CD57" s="149">
        <v>2.6342543515750501E-2</v>
      </c>
      <c r="CE57" s="149">
        <v>0</v>
      </c>
      <c r="CF57" s="149">
        <v>0</v>
      </c>
      <c r="CG57" s="149">
        <v>0</v>
      </c>
      <c r="CH57" s="149">
        <v>0</v>
      </c>
      <c r="CI57" s="149">
        <v>0</v>
      </c>
      <c r="CJ57" s="149">
        <v>0</v>
      </c>
      <c r="CK57" s="149">
        <v>0</v>
      </c>
      <c r="CL57" s="149">
        <v>0</v>
      </c>
      <c r="CM57" s="149">
        <v>0</v>
      </c>
      <c r="CN57" s="149">
        <v>0</v>
      </c>
      <c r="CO57" s="149">
        <v>0</v>
      </c>
      <c r="CP57" s="149">
        <v>6.9585821778514495E-2</v>
      </c>
      <c r="CQ57" s="149">
        <v>2.1807261515038801E-2</v>
      </c>
      <c r="CR57" s="149">
        <v>0</v>
      </c>
      <c r="CS57" s="149">
        <v>0</v>
      </c>
      <c r="CT57" s="149">
        <v>0</v>
      </c>
      <c r="CU57" s="149">
        <v>0</v>
      </c>
      <c r="CV57" s="149">
        <v>0</v>
      </c>
      <c r="CW57" s="149">
        <v>0</v>
      </c>
      <c r="CX57" s="149">
        <v>0</v>
      </c>
      <c r="CY57" s="149">
        <v>0</v>
      </c>
      <c r="CZ57" s="149">
        <v>0</v>
      </c>
      <c r="DA57" s="149">
        <v>0</v>
      </c>
      <c r="DB57" s="149">
        <v>0</v>
      </c>
      <c r="DC57" s="149">
        <v>0</v>
      </c>
      <c r="DD57" s="149">
        <v>0</v>
      </c>
      <c r="DE57" s="149">
        <v>0</v>
      </c>
    </row>
    <row r="58" spans="1:109" x14ac:dyDescent="0.25">
      <c r="A58" s="149" t="s">
        <v>267</v>
      </c>
      <c r="B58" s="149" t="s">
        <v>603</v>
      </c>
      <c r="C58" s="149">
        <v>1.45949557508116E-2</v>
      </c>
      <c r="D58" s="149">
        <v>2.5516904277081899E-2</v>
      </c>
      <c r="E58" s="149">
        <v>1.0412901379310099E-2</v>
      </c>
      <c r="F58" s="149">
        <v>0</v>
      </c>
      <c r="G58" s="149">
        <v>0</v>
      </c>
      <c r="H58" s="149">
        <v>1.06654929442947E-2</v>
      </c>
      <c r="I58" s="149">
        <v>7.3089160435213301E-3</v>
      </c>
      <c r="J58" s="149">
        <v>7.6407890911512301E-3</v>
      </c>
      <c r="K58" s="149">
        <v>1.5490219953559699E-2</v>
      </c>
      <c r="L58" s="149">
        <v>1.9411294088492501E-2</v>
      </c>
      <c r="M58" s="149">
        <v>1.17510578254135E-2</v>
      </c>
      <c r="N58" s="149">
        <v>0</v>
      </c>
      <c r="O58" s="149">
        <v>0</v>
      </c>
      <c r="P58" s="149">
        <v>7.2579913140889199E-2</v>
      </c>
      <c r="Q58" s="149">
        <v>0</v>
      </c>
      <c r="R58" s="149">
        <v>0</v>
      </c>
      <c r="S58" s="149">
        <v>0</v>
      </c>
      <c r="T58" s="149">
        <v>0</v>
      </c>
      <c r="U58" s="149">
        <v>3.4514437491121597E-2</v>
      </c>
      <c r="V58" s="149">
        <v>7.2053937667139703E-2</v>
      </c>
      <c r="W58" s="149">
        <v>2.5192772583470899E-2</v>
      </c>
      <c r="X58" s="149">
        <v>0</v>
      </c>
      <c r="Y58" s="149">
        <v>0</v>
      </c>
      <c r="Z58" s="149">
        <v>0</v>
      </c>
      <c r="AA58" s="149">
        <v>3.2889619509771199E-2</v>
      </c>
      <c r="AB58" s="149">
        <v>0</v>
      </c>
      <c r="AC58" s="149">
        <v>0</v>
      </c>
      <c r="AD58" s="149">
        <v>0</v>
      </c>
      <c r="AE58" s="149">
        <v>0</v>
      </c>
      <c r="AF58" s="149">
        <v>0</v>
      </c>
      <c r="AG58" s="149">
        <v>0</v>
      </c>
      <c r="AH58" s="149">
        <v>0</v>
      </c>
      <c r="AI58" s="149">
        <v>0</v>
      </c>
      <c r="AJ58" s="149">
        <v>2.70289733178741E-2</v>
      </c>
      <c r="AK58" s="149">
        <v>0</v>
      </c>
      <c r="AL58" s="149">
        <v>0</v>
      </c>
      <c r="AM58" s="149">
        <v>0</v>
      </c>
      <c r="AN58" s="149">
        <v>3.5928179508163099E-2</v>
      </c>
      <c r="AO58" s="149">
        <v>0</v>
      </c>
      <c r="AP58" s="149">
        <v>5.61418115805766E-2</v>
      </c>
      <c r="AQ58" s="149">
        <v>3.9470693945445397E-2</v>
      </c>
      <c r="AR58" s="149">
        <v>3.9115086395248397E-2</v>
      </c>
      <c r="AS58" s="149">
        <v>6.3240983699494699E-2</v>
      </c>
      <c r="AT58" s="149">
        <v>0</v>
      </c>
      <c r="AU58" s="149">
        <v>0</v>
      </c>
      <c r="AV58" s="149">
        <v>0</v>
      </c>
      <c r="AW58" s="149">
        <v>0</v>
      </c>
      <c r="AX58" s="149">
        <v>0</v>
      </c>
      <c r="AY58" s="149">
        <v>0</v>
      </c>
      <c r="AZ58" s="149">
        <v>0</v>
      </c>
      <c r="BA58" s="149">
        <v>0</v>
      </c>
      <c r="BB58" s="149">
        <v>0</v>
      </c>
      <c r="BC58" s="149">
        <v>0</v>
      </c>
      <c r="BD58" s="149">
        <v>0</v>
      </c>
      <c r="BE58" s="149">
        <v>0</v>
      </c>
      <c r="BF58" s="149">
        <v>0</v>
      </c>
      <c r="BG58" s="149">
        <v>0</v>
      </c>
      <c r="BH58" s="149">
        <v>0</v>
      </c>
      <c r="BI58" s="149">
        <v>0.13085379474544501</v>
      </c>
      <c r="BJ58" s="149">
        <v>0</v>
      </c>
      <c r="BK58" s="149">
        <v>0</v>
      </c>
      <c r="BL58" s="149">
        <v>0</v>
      </c>
      <c r="BM58" s="149">
        <v>0</v>
      </c>
      <c r="BN58" s="149">
        <v>0</v>
      </c>
      <c r="BO58" s="149">
        <v>6.0541136238171797E-2</v>
      </c>
      <c r="BP58" s="149">
        <v>0.13413255722442799</v>
      </c>
      <c r="BQ58" s="149">
        <v>0</v>
      </c>
      <c r="BR58" s="149">
        <v>0</v>
      </c>
      <c r="BS58" s="149">
        <v>0</v>
      </c>
      <c r="BT58" s="149">
        <v>0</v>
      </c>
      <c r="BU58" s="149">
        <v>0</v>
      </c>
      <c r="BV58" s="149">
        <v>0</v>
      </c>
      <c r="BW58" s="149">
        <v>0</v>
      </c>
      <c r="BX58" s="149">
        <v>2.03446529860562E-2</v>
      </c>
      <c r="BY58" s="149">
        <v>0</v>
      </c>
      <c r="BZ58" s="149">
        <v>0</v>
      </c>
      <c r="CA58" s="149">
        <v>0</v>
      </c>
      <c r="CB58" s="149">
        <v>0</v>
      </c>
      <c r="CC58" s="149">
        <v>0</v>
      </c>
      <c r="CD58" s="149">
        <v>0</v>
      </c>
      <c r="CE58" s="149">
        <v>4.4727413419843202E-2</v>
      </c>
      <c r="CF58" s="149">
        <v>0</v>
      </c>
      <c r="CG58" s="149">
        <v>0</v>
      </c>
      <c r="CH58" s="149">
        <v>2.15157676576655E-2</v>
      </c>
      <c r="CI58" s="149">
        <v>2.7879467144533099E-2</v>
      </c>
      <c r="CJ58" s="149">
        <v>2.98243608902636E-2</v>
      </c>
      <c r="CK58" s="149">
        <v>4.3069375713781999E-2</v>
      </c>
      <c r="CL58" s="149">
        <v>0</v>
      </c>
      <c r="CM58" s="149">
        <v>2.4099553021549199E-2</v>
      </c>
      <c r="CN58" s="149">
        <v>3.3784846285005797E-2</v>
      </c>
      <c r="CO58" s="149">
        <v>0</v>
      </c>
      <c r="CP58" s="149">
        <v>0</v>
      </c>
      <c r="CQ58" s="149">
        <v>0</v>
      </c>
      <c r="CR58" s="149">
        <v>0</v>
      </c>
      <c r="CS58" s="149">
        <v>0</v>
      </c>
      <c r="CT58" s="149">
        <v>0</v>
      </c>
      <c r="CU58" s="149">
        <v>0</v>
      </c>
      <c r="CV58" s="149">
        <v>1.7244460216518001E-2</v>
      </c>
      <c r="CW58" s="149">
        <v>0</v>
      </c>
      <c r="CX58" s="149">
        <v>0.190216812785166</v>
      </c>
      <c r="CY58" s="149">
        <v>1.5252551619131201E-2</v>
      </c>
      <c r="CZ58" s="149">
        <v>0</v>
      </c>
      <c r="DA58" s="149">
        <v>0</v>
      </c>
      <c r="DB58" s="149">
        <v>0</v>
      </c>
      <c r="DC58" s="149">
        <v>0</v>
      </c>
      <c r="DD58" s="149">
        <v>0</v>
      </c>
      <c r="DE58" s="149">
        <v>0</v>
      </c>
    </row>
    <row r="59" spans="1:109" x14ac:dyDescent="0.25">
      <c r="A59" s="149" t="s">
        <v>267</v>
      </c>
      <c r="B59" s="149" t="s">
        <v>606</v>
      </c>
      <c r="C59" s="149">
        <v>0.12790929835619699</v>
      </c>
      <c r="D59" s="149">
        <v>-9.6433983214278707E-2</v>
      </c>
      <c r="E59" s="149">
        <v>0.40882579155834098</v>
      </c>
      <c r="F59" s="149">
        <v>9.3943417327549295E-2</v>
      </c>
      <c r="G59" s="149">
        <v>-0.106130189659396</v>
      </c>
      <c r="H59" s="149">
        <v>0.201919400251864</v>
      </c>
      <c r="I59" s="149">
        <v>0.1040997654536</v>
      </c>
      <c r="J59" s="149">
        <v>3.0721096115291401E-2</v>
      </c>
      <c r="K59" s="149">
        <v>0</v>
      </c>
      <c r="L59" s="149">
        <v>-0.55273028863333196</v>
      </c>
      <c r="M59" s="149">
        <v>0.13676727752213699</v>
      </c>
      <c r="N59" s="149">
        <v>-0.24645197059511101</v>
      </c>
      <c r="O59" s="149">
        <v>-0.61792911269356898</v>
      </c>
      <c r="P59" s="149">
        <v>-0.43363731883793699</v>
      </c>
      <c r="Q59" s="149">
        <v>-0.57553879687974197</v>
      </c>
      <c r="R59" s="149">
        <v>-0.34730382306194801</v>
      </c>
      <c r="S59" s="149">
        <v>-0.487672665011747</v>
      </c>
      <c r="T59" s="149">
        <v>-0.61618262098059995</v>
      </c>
      <c r="U59" s="149">
        <v>-0.60996305936463102</v>
      </c>
      <c r="V59" s="149">
        <v>-0.50230007174459301</v>
      </c>
      <c r="W59" s="149">
        <v>-0.28520961054446198</v>
      </c>
      <c r="X59" s="149">
        <v>-0.24496446899024599</v>
      </c>
      <c r="Y59" s="149">
        <v>-4.7838163323312899E-3</v>
      </c>
      <c r="Z59" s="149">
        <v>-0.47124903827054099</v>
      </c>
      <c r="AA59" s="149">
        <v>-0.236204399253165</v>
      </c>
      <c r="AB59" s="149">
        <v>-5.1106076825207201E-2</v>
      </c>
      <c r="AC59" s="149">
        <v>-9.1463800135555703E-2</v>
      </c>
      <c r="AD59" s="149">
        <v>2.44025571871694E-2</v>
      </c>
      <c r="AE59" s="149">
        <v>0.24037724047579201</v>
      </c>
      <c r="AF59" s="149">
        <v>3.7398403775635497E-2</v>
      </c>
      <c r="AG59" s="149">
        <v>-9.9351994584354994E-2</v>
      </c>
      <c r="AH59" s="149">
        <v>-0.307155171466862</v>
      </c>
      <c r="AI59" s="149">
        <v>-0.25370226574939098</v>
      </c>
      <c r="AJ59" s="149">
        <v>6.6937077213051005E-2</v>
      </c>
      <c r="AK59" s="149">
        <v>0.69892537074584404</v>
      </c>
      <c r="AL59" s="149">
        <v>0.243821574717694</v>
      </c>
      <c r="AM59" s="149">
        <v>-0.28715560937087198</v>
      </c>
      <c r="AN59" s="149">
        <v>7.4231008013732405E-2</v>
      </c>
      <c r="AO59" s="149">
        <v>-0.33407151751143699</v>
      </c>
      <c r="AP59" s="149">
        <v>-5.4917616001247199E-2</v>
      </c>
      <c r="AQ59" s="149">
        <v>-0.163951408241435</v>
      </c>
      <c r="AR59" s="149">
        <v>-0.26872792280561297</v>
      </c>
      <c r="AS59" s="149">
        <v>-0.44584096428197501</v>
      </c>
      <c r="AT59" s="149">
        <v>-0.198003241700344</v>
      </c>
      <c r="AU59" s="149">
        <v>-0.53651686042691404</v>
      </c>
      <c r="AV59" s="149">
        <v>-0.12522707166894001</v>
      </c>
      <c r="AW59" s="149">
        <v>9.4418059077672808E-3</v>
      </c>
      <c r="AX59" s="149">
        <v>0.25788776814703901</v>
      </c>
      <c r="AY59" s="149">
        <v>5.6451915295115097E-2</v>
      </c>
      <c r="AZ59" s="149">
        <v>-0.23626051258995001</v>
      </c>
      <c r="BA59" s="149">
        <v>-0.34052988983280702</v>
      </c>
      <c r="BB59" s="149">
        <v>-0.43975351110358402</v>
      </c>
      <c r="BC59" s="149">
        <v>8.8763048434548006E-2</v>
      </c>
      <c r="BD59" s="149">
        <v>-0.238674690650438</v>
      </c>
      <c r="BE59" s="149">
        <v>-0.17005950924455099</v>
      </c>
      <c r="BF59" s="149">
        <v>-8.3787757480267094E-2</v>
      </c>
      <c r="BG59" s="149">
        <v>-0.28992653163720999</v>
      </c>
      <c r="BH59" s="149">
        <v>-0.60429696446056802</v>
      </c>
      <c r="BI59" s="149">
        <v>-0.655934886885435</v>
      </c>
      <c r="BJ59" s="149">
        <v>-0.48213542756567102</v>
      </c>
      <c r="BK59" s="149">
        <v>-0.155361955939952</v>
      </c>
      <c r="BL59" s="149">
        <v>2.7231770292775601E-2</v>
      </c>
      <c r="BM59" s="149">
        <v>4.4518688878824098E-2</v>
      </c>
      <c r="BN59" s="149">
        <v>2.2915568439642198E-3</v>
      </c>
      <c r="BO59" s="149">
        <v>-6.7375557471524794E-2</v>
      </c>
      <c r="BP59" s="149">
        <v>-0.219112132159519</v>
      </c>
      <c r="BQ59" s="149">
        <v>-0.489953036686883</v>
      </c>
      <c r="BR59" s="149">
        <v>0.166078870529351</v>
      </c>
      <c r="BS59" s="149">
        <v>9.1105409473899196E-2</v>
      </c>
      <c r="BT59" s="149">
        <v>-0.39964925697440401</v>
      </c>
      <c r="BU59" s="149">
        <v>-8.2550202080852397E-2</v>
      </c>
      <c r="BV59" s="149">
        <v>0.118117852779367</v>
      </c>
      <c r="BW59" s="149">
        <v>-8.6916187978437101E-2</v>
      </c>
      <c r="BX59" s="149">
        <v>-1.1569267139515E-2</v>
      </c>
      <c r="BY59" s="149">
        <v>-3.7713182628080398E-2</v>
      </c>
      <c r="BZ59" s="149">
        <v>-0.25968743374691999</v>
      </c>
      <c r="CA59" s="149">
        <v>-7.3904598287670195E-2</v>
      </c>
      <c r="CB59" s="149">
        <v>1.2608223258125799</v>
      </c>
      <c r="CC59" s="149">
        <v>1.6839605821752599</v>
      </c>
      <c r="CD59" s="149">
        <v>0.376673840831248</v>
      </c>
      <c r="CE59" s="149">
        <v>0.13776477638550899</v>
      </c>
      <c r="CF59" s="149">
        <v>7.3345691428291296E-2</v>
      </c>
      <c r="CG59" s="149">
        <v>0.50182160856087099</v>
      </c>
      <c r="CH59" s="149">
        <v>0.27730948103098801</v>
      </c>
      <c r="CI59" s="149">
        <v>0.45382962754582301</v>
      </c>
      <c r="CJ59" s="149">
        <v>0.94031179003113297</v>
      </c>
      <c r="CK59" s="149">
        <v>8.00484186410447E-2</v>
      </c>
      <c r="CL59" s="149">
        <v>9.7135146980550105E-2</v>
      </c>
      <c r="CM59" s="149">
        <v>1.29779362360928</v>
      </c>
      <c r="CN59" s="149">
        <v>0.54416044474937897</v>
      </c>
      <c r="CO59" s="149">
        <v>3.95546787010323</v>
      </c>
      <c r="CP59" s="149">
        <v>1.8609311075016</v>
      </c>
      <c r="CQ59" s="149">
        <v>1.06714881225849</v>
      </c>
      <c r="CR59" s="149">
        <v>0.29692701525715598</v>
      </c>
      <c r="CS59" s="149">
        <v>-3.3890069500595601E-3</v>
      </c>
      <c r="CT59" s="149">
        <v>2.4045472955789098</v>
      </c>
      <c r="CU59" s="149">
        <v>1.4686603365662201</v>
      </c>
      <c r="CV59" s="149">
        <v>1.8309487446605599</v>
      </c>
      <c r="CW59" s="149">
        <v>2.43433759920832</v>
      </c>
      <c r="CX59" s="149">
        <v>2.0654458952483701</v>
      </c>
      <c r="CY59" s="149">
        <v>2.4205798106085701</v>
      </c>
      <c r="CZ59" s="149">
        <v>3.1160350171419302</v>
      </c>
      <c r="DA59" s="149">
        <v>2.5944563486324399</v>
      </c>
      <c r="DB59" s="149">
        <v>0.360634374736993</v>
      </c>
      <c r="DC59" s="149">
        <v>0.54670957582311697</v>
      </c>
      <c r="DD59" s="149">
        <v>6.1293954412318399E-2</v>
      </c>
      <c r="DE59" s="149">
        <v>5.0499625419863803E-2</v>
      </c>
    </row>
    <row r="60" spans="1:109" x14ac:dyDescent="0.25">
      <c r="A60" s="149" t="s">
        <v>267</v>
      </c>
      <c r="B60" s="149" t="s">
        <v>607</v>
      </c>
      <c r="C60" s="149">
        <v>-3.1455465610268601E-2</v>
      </c>
      <c r="D60" s="149">
        <v>-6.0541136238171797E-2</v>
      </c>
      <c r="E60" s="149">
        <v>4.1609327370207901E-2</v>
      </c>
      <c r="F60" s="149">
        <v>-3.6452049694539197E-2</v>
      </c>
      <c r="G60" s="149">
        <v>-2.21672904545318E-2</v>
      </c>
      <c r="H60" s="149">
        <v>-3.9260260520795003E-2</v>
      </c>
      <c r="I60" s="149">
        <v>-2.7211653348093098E-2</v>
      </c>
      <c r="J60" s="149">
        <v>-1.50626434658186E-2</v>
      </c>
      <c r="K60" s="149">
        <v>-1.43722013517593E-2</v>
      </c>
      <c r="L60" s="149">
        <v>-5.0812398261764702E-2</v>
      </c>
      <c r="M60" s="149">
        <v>-1.96283144140228E-2</v>
      </c>
      <c r="N60" s="149">
        <v>-3.4282955429474203E-2</v>
      </c>
      <c r="O60" s="149">
        <v>-2.75234409841669E-2</v>
      </c>
      <c r="P60" s="149">
        <v>-6.0541136238171797E-2</v>
      </c>
      <c r="Q60" s="149">
        <v>-6.0541136238171797E-2</v>
      </c>
      <c r="R60" s="149">
        <v>-6.0541136238171797E-2</v>
      </c>
      <c r="S60" s="149">
        <v>-2.7925363046884099E-2</v>
      </c>
      <c r="T60" s="149">
        <v>-7.2552194535120103E-3</v>
      </c>
      <c r="U60" s="149">
        <v>-6.0541136238171797E-2</v>
      </c>
      <c r="V60" s="149">
        <v>1.1512801428968E-2</v>
      </c>
      <c r="W60" s="149">
        <v>-3.5348363654701002E-2</v>
      </c>
      <c r="X60" s="149">
        <v>-6.0541136238171797E-2</v>
      </c>
      <c r="Y60" s="149">
        <v>1.7161282723073799E-2</v>
      </c>
      <c r="Z60" s="149">
        <v>-5.58480305000391E-3</v>
      </c>
      <c r="AA60" s="149">
        <v>-6.0541136238171797E-2</v>
      </c>
      <c r="AB60" s="149">
        <v>5.5169241864471202E-3</v>
      </c>
      <c r="AC60" s="149">
        <v>8.0615902314862698E-3</v>
      </c>
      <c r="AD60" s="149">
        <v>-3.65497300606277E-2</v>
      </c>
      <c r="AE60" s="149">
        <v>-6.0541136238171797E-2</v>
      </c>
      <c r="AF60" s="149">
        <v>1.8508649223420701E-2</v>
      </c>
      <c r="AG60" s="149">
        <v>3.63516368145246E-2</v>
      </c>
      <c r="AH60" s="149">
        <v>-1.8926485478264601E-2</v>
      </c>
      <c r="AI60" s="149">
        <v>-3.0225549863560401E-2</v>
      </c>
      <c r="AJ60" s="149">
        <v>-3.3512162920297801E-2</v>
      </c>
      <c r="AK60" s="149">
        <v>5.1721459028575296E-3</v>
      </c>
      <c r="AL60" s="149">
        <v>-6.0541136238171797E-2</v>
      </c>
      <c r="AM60" s="149">
        <v>0.16167426069212201</v>
      </c>
      <c r="AN60" s="149">
        <v>1.06075532020858E-2</v>
      </c>
      <c r="AO60" s="149">
        <v>-6.0541136238171797E-2</v>
      </c>
      <c r="AP60" s="149">
        <v>-6.0541136238171797E-2</v>
      </c>
      <c r="AQ60" s="149">
        <v>1.7483375626652701E-2</v>
      </c>
      <c r="AR60" s="149">
        <v>5.4177003555833103E-2</v>
      </c>
      <c r="AS60" s="149">
        <v>-6.0541136238171797E-2</v>
      </c>
      <c r="AT60" s="149">
        <v>-6.0541136238171797E-2</v>
      </c>
      <c r="AU60" s="149">
        <v>-2.38382038477527E-2</v>
      </c>
      <c r="AV60" s="149">
        <v>-6.0541136238171797E-2</v>
      </c>
      <c r="AW60" s="149">
        <v>-6.0541136238171797E-2</v>
      </c>
      <c r="AX60" s="149">
        <v>-6.0541136238171797E-2</v>
      </c>
      <c r="AY60" s="149">
        <v>-3.43097976862635E-2</v>
      </c>
      <c r="AZ60" s="149">
        <v>4.8686742325628899E-3</v>
      </c>
      <c r="BA60" s="149">
        <v>-6.0541136238171797E-2</v>
      </c>
      <c r="BB60" s="149">
        <v>-6.0541136238171797E-2</v>
      </c>
      <c r="BC60" s="149">
        <v>-6.0541136238171797E-2</v>
      </c>
      <c r="BD60" s="149">
        <v>3.3153230357588097E-2</v>
      </c>
      <c r="BE60" s="149">
        <v>-6.0541136238171797E-2</v>
      </c>
      <c r="BF60" s="149">
        <v>3.4998695767971502E-2</v>
      </c>
      <c r="BG60" s="149">
        <v>5.1456255175438698E-2</v>
      </c>
      <c r="BH60" s="149">
        <v>0.127619658737543</v>
      </c>
      <c r="BI60" s="149">
        <v>7.0312658507272904E-2</v>
      </c>
      <c r="BJ60" s="149">
        <v>4.1345214642366998E-2</v>
      </c>
      <c r="BK60" s="149">
        <v>-6.0541136238171797E-2</v>
      </c>
      <c r="BL60" s="149">
        <v>-6.0541136238171797E-2</v>
      </c>
      <c r="BM60" s="149">
        <v>-6.0541136238171797E-2</v>
      </c>
      <c r="BN60" s="149">
        <v>3.06060965940681E-2</v>
      </c>
      <c r="BO60" s="149">
        <v>0</v>
      </c>
      <c r="BP60" s="149">
        <v>7.3591420986255901E-2</v>
      </c>
      <c r="BQ60" s="149">
        <v>-6.0541136238171797E-2</v>
      </c>
      <c r="BR60" s="149">
        <v>-6.0541136238171797E-2</v>
      </c>
      <c r="BS60" s="149">
        <v>-6.0541136238171797E-2</v>
      </c>
      <c r="BT60" s="149">
        <v>-6.0541136238171797E-2</v>
      </c>
      <c r="BU60" s="149">
        <v>6.6807123456676096E-2</v>
      </c>
      <c r="BV60" s="149">
        <v>2.01597765099761E-2</v>
      </c>
      <c r="BW60" s="149">
        <v>-6.0541136238171797E-2</v>
      </c>
      <c r="BX60" s="149">
        <v>0.13380090685413401</v>
      </c>
      <c r="BY60" s="149">
        <v>0.15522007639916899</v>
      </c>
      <c r="BZ60" s="149">
        <v>5.6569275304397898E-2</v>
      </c>
      <c r="CA60" s="149">
        <v>3.6781299661374597E-2</v>
      </c>
      <c r="CB60" s="149">
        <v>0.82763464782163598</v>
      </c>
      <c r="CC60" s="149">
        <v>1.0425407665536699</v>
      </c>
      <c r="CD60" s="149">
        <v>2.3560911059471499</v>
      </c>
      <c r="CE60" s="149">
        <v>3.1580916582451501</v>
      </c>
      <c r="CF60" s="149">
        <v>2.8259564271567599</v>
      </c>
      <c r="CG60" s="149">
        <v>3.3481131223486602</v>
      </c>
      <c r="CH60" s="149">
        <v>3.2421864975999402</v>
      </c>
      <c r="CI60" s="149">
        <v>3.1506812841412102</v>
      </c>
      <c r="CJ60" s="149">
        <v>4.0423477271983801</v>
      </c>
      <c r="CK60" s="149">
        <v>2.8206564700876098</v>
      </c>
      <c r="CL60" s="149">
        <v>2.4673078192922202</v>
      </c>
      <c r="CM60" s="149">
        <v>3.01057345134276</v>
      </c>
      <c r="CN60" s="149">
        <v>3.7376522528332399</v>
      </c>
      <c r="CO60" s="149">
        <v>9.9279490024573105E-3</v>
      </c>
      <c r="CP60" s="149">
        <v>0.43076442969232598</v>
      </c>
      <c r="CQ60" s="149">
        <v>2.1922436800568401</v>
      </c>
      <c r="CR60" s="149">
        <v>3.0254160141808999</v>
      </c>
      <c r="CS60" s="149">
        <v>2.35306259507791</v>
      </c>
      <c r="CT60" s="149">
        <v>2.1594768686823199E-2</v>
      </c>
      <c r="CU60" s="149">
        <v>0.119917721557667</v>
      </c>
      <c r="CV60" s="149">
        <v>0.10969070856072501</v>
      </c>
      <c r="CW60" s="149">
        <v>-6.0541136238171797E-2</v>
      </c>
      <c r="CX60" s="149">
        <v>3.6999507623901903E-2</v>
      </c>
      <c r="CY60" s="149">
        <v>8.4527799846605203E-3</v>
      </c>
      <c r="CZ60" s="149">
        <v>-2.6278619948800801E-2</v>
      </c>
      <c r="DA60" s="149">
        <v>-6.0541136238171797E-2</v>
      </c>
      <c r="DB60" s="149">
        <v>1.15547465534281E-2</v>
      </c>
      <c r="DC60" s="149">
        <v>0.117377600153698</v>
      </c>
      <c r="DD60" s="149">
        <v>9.7715567410563697E-2</v>
      </c>
      <c r="DE60" s="149">
        <v>-7.6989370709585204E-4</v>
      </c>
    </row>
    <row r="61" spans="1:109" x14ac:dyDescent="0.25">
      <c r="A61" s="149" t="s">
        <v>267</v>
      </c>
      <c r="B61" s="149" t="s">
        <v>612</v>
      </c>
      <c r="C61" s="149">
        <v>0</v>
      </c>
      <c r="D61" s="149">
        <v>8.5340693916176706E-3</v>
      </c>
      <c r="E61" s="149">
        <v>4.13817929243991E-2</v>
      </c>
      <c r="F61" s="149">
        <v>0</v>
      </c>
      <c r="G61" s="149">
        <v>0</v>
      </c>
      <c r="H61" s="149">
        <v>1.06654929442947E-2</v>
      </c>
      <c r="I61" s="149">
        <v>7.3089160435213301E-3</v>
      </c>
      <c r="J61" s="149">
        <v>7.6407890911512301E-3</v>
      </c>
      <c r="K61" s="149">
        <v>0</v>
      </c>
      <c r="L61" s="149">
        <v>1.9411294088492501E-2</v>
      </c>
      <c r="M61" s="149">
        <v>0</v>
      </c>
      <c r="N61" s="149">
        <v>0</v>
      </c>
      <c r="O61" s="149">
        <v>0</v>
      </c>
      <c r="P61" s="149">
        <v>0</v>
      </c>
      <c r="Q61" s="149">
        <v>0</v>
      </c>
      <c r="R61" s="149">
        <v>0</v>
      </c>
      <c r="S61" s="149">
        <v>0</v>
      </c>
      <c r="T61" s="149">
        <v>0</v>
      </c>
      <c r="U61" s="149">
        <v>0</v>
      </c>
      <c r="V61" s="149">
        <v>3.6407013405354599E-2</v>
      </c>
      <c r="W61" s="149">
        <v>0</v>
      </c>
      <c r="X61" s="149">
        <v>0</v>
      </c>
      <c r="Y61" s="149">
        <v>0</v>
      </c>
      <c r="Z61" s="149">
        <v>0</v>
      </c>
      <c r="AA61" s="149">
        <v>0</v>
      </c>
      <c r="AB61" s="149">
        <v>6.6058060424618703E-2</v>
      </c>
      <c r="AC61" s="149">
        <v>0</v>
      </c>
      <c r="AD61" s="149">
        <v>0</v>
      </c>
      <c r="AE61" s="149">
        <v>0</v>
      </c>
      <c r="AF61" s="149">
        <v>0</v>
      </c>
      <c r="AG61" s="149">
        <v>0</v>
      </c>
      <c r="AH61" s="149">
        <v>0</v>
      </c>
      <c r="AI61" s="149">
        <v>0</v>
      </c>
      <c r="AJ61" s="149">
        <v>0</v>
      </c>
      <c r="AK61" s="149">
        <v>0</v>
      </c>
      <c r="AL61" s="149">
        <v>0</v>
      </c>
      <c r="AM61" s="149">
        <v>9.2677244090506497E-2</v>
      </c>
      <c r="AN61" s="149">
        <v>1.8054535298380699E-2</v>
      </c>
      <c r="AO61" s="149">
        <v>0</v>
      </c>
      <c r="AP61" s="149">
        <v>0</v>
      </c>
      <c r="AQ61" s="149">
        <v>0</v>
      </c>
      <c r="AR61" s="149">
        <v>0</v>
      </c>
      <c r="AS61" s="149">
        <v>0</v>
      </c>
      <c r="AT61" s="149">
        <v>0</v>
      </c>
      <c r="AU61" s="149">
        <v>0</v>
      </c>
      <c r="AV61" s="149">
        <v>0</v>
      </c>
      <c r="AW61" s="149">
        <v>0</v>
      </c>
      <c r="AX61" s="149">
        <v>2.9030539339025802E-2</v>
      </c>
      <c r="AY61" s="149">
        <v>0</v>
      </c>
      <c r="AZ61" s="149">
        <v>0</v>
      </c>
      <c r="BA61" s="149">
        <v>0</v>
      </c>
      <c r="BB61" s="149">
        <v>0</v>
      </c>
      <c r="BC61" s="149">
        <v>0</v>
      </c>
      <c r="BD61" s="149">
        <v>0</v>
      </c>
      <c r="BE61" s="149">
        <v>0</v>
      </c>
      <c r="BF61" s="149">
        <v>9.5539832006143299E-2</v>
      </c>
      <c r="BG61" s="149">
        <v>0.11199739141361</v>
      </c>
      <c r="BH61" s="149">
        <v>0</v>
      </c>
      <c r="BI61" s="149">
        <v>0</v>
      </c>
      <c r="BJ61" s="149">
        <v>0</v>
      </c>
      <c r="BK61" s="149">
        <v>0</v>
      </c>
      <c r="BL61" s="149">
        <v>0</v>
      </c>
      <c r="BM61" s="149">
        <v>0</v>
      </c>
      <c r="BN61" s="149">
        <v>0</v>
      </c>
      <c r="BO61" s="149">
        <v>0</v>
      </c>
      <c r="BP61" s="149">
        <v>0</v>
      </c>
      <c r="BQ61" s="149">
        <v>0</v>
      </c>
      <c r="BR61" s="149">
        <v>8.6214288378072504E-2</v>
      </c>
      <c r="BS61" s="149">
        <v>0</v>
      </c>
      <c r="BT61" s="149">
        <v>0</v>
      </c>
      <c r="BU61" s="149">
        <v>0</v>
      </c>
      <c r="BV61" s="149">
        <v>0</v>
      </c>
      <c r="BW61" s="149">
        <v>0</v>
      </c>
      <c r="BX61" s="149">
        <v>2.03446529860562E-2</v>
      </c>
      <c r="BY61" s="149">
        <v>4.4823947963567597E-2</v>
      </c>
      <c r="BZ61" s="149">
        <v>1.08126324730554E-2</v>
      </c>
      <c r="CA61" s="149">
        <v>3.2860395568884003E-2</v>
      </c>
      <c r="CB61" s="149">
        <v>2.0416086314099101E-2</v>
      </c>
      <c r="CC61" s="149">
        <v>5.6456296345386701E-2</v>
      </c>
      <c r="CD61" s="149">
        <v>0</v>
      </c>
      <c r="CE61" s="149">
        <v>0</v>
      </c>
      <c r="CF61" s="149">
        <v>0.13037007615160701</v>
      </c>
      <c r="CG61" s="149">
        <v>2.4715176768857001E-2</v>
      </c>
      <c r="CH61" s="149">
        <v>0.105385695259401</v>
      </c>
      <c r="CI61" s="149">
        <v>2.7879467144533099E-2</v>
      </c>
      <c r="CJ61" s="149">
        <v>5.9183241233464003E-2</v>
      </c>
      <c r="CK61" s="149">
        <v>0</v>
      </c>
      <c r="CL61" s="149">
        <v>0</v>
      </c>
      <c r="CM61" s="149">
        <v>0</v>
      </c>
      <c r="CN61" s="149">
        <v>1.13120970432603E-2</v>
      </c>
      <c r="CO61" s="149">
        <v>0</v>
      </c>
      <c r="CP61" s="149">
        <v>0</v>
      </c>
      <c r="CQ61" s="149">
        <v>0</v>
      </c>
      <c r="CR61" s="149">
        <v>0</v>
      </c>
      <c r="CS61" s="149">
        <v>0</v>
      </c>
      <c r="CT61" s="149">
        <v>0</v>
      </c>
      <c r="CU61" s="149">
        <v>0.13716318962472099</v>
      </c>
      <c r="CV61" s="149">
        <v>1.7244460216518001E-2</v>
      </c>
      <c r="CW61" s="149">
        <v>0</v>
      </c>
      <c r="CX61" s="149">
        <v>0</v>
      </c>
      <c r="CY61" s="149">
        <v>0</v>
      </c>
      <c r="CZ61" s="149">
        <v>0</v>
      </c>
      <c r="DA61" s="149">
        <v>0</v>
      </c>
      <c r="DB61" s="149">
        <v>0</v>
      </c>
      <c r="DC61" s="149">
        <v>9.1472229245127198E-2</v>
      </c>
      <c r="DD61" s="149">
        <v>0</v>
      </c>
      <c r="DE61" s="149">
        <v>0</v>
      </c>
    </row>
    <row r="62" spans="1:109" x14ac:dyDescent="0.25">
      <c r="A62" s="149" t="s">
        <v>267</v>
      </c>
      <c r="B62" s="149" t="s">
        <v>620</v>
      </c>
      <c r="C62" s="149">
        <v>0</v>
      </c>
      <c r="D62" s="149">
        <v>8.5340693916176706E-3</v>
      </c>
      <c r="E62" s="149">
        <v>4.13817929243991E-2</v>
      </c>
      <c r="F62" s="149">
        <v>1.2076981813185899E-2</v>
      </c>
      <c r="G62" s="149">
        <v>0</v>
      </c>
      <c r="H62" s="149">
        <v>0</v>
      </c>
      <c r="I62" s="149">
        <v>0</v>
      </c>
      <c r="J62" s="149">
        <v>0</v>
      </c>
      <c r="K62" s="149">
        <v>7.7578630721494004E-3</v>
      </c>
      <c r="L62" s="149">
        <v>0</v>
      </c>
      <c r="M62" s="149">
        <v>0</v>
      </c>
      <c r="N62" s="149">
        <v>1.6603898487098399E-2</v>
      </c>
      <c r="O62" s="149">
        <v>0</v>
      </c>
      <c r="P62" s="149">
        <v>0</v>
      </c>
      <c r="Q62" s="149">
        <v>0</v>
      </c>
      <c r="R62" s="149">
        <v>0</v>
      </c>
      <c r="S62" s="149">
        <v>0</v>
      </c>
      <c r="T62" s="149">
        <v>0</v>
      </c>
      <c r="U62" s="149">
        <v>0</v>
      </c>
      <c r="V62" s="149">
        <v>0</v>
      </c>
      <c r="W62" s="149">
        <v>0</v>
      </c>
      <c r="X62" s="149">
        <v>0</v>
      </c>
      <c r="Y62" s="149">
        <v>0</v>
      </c>
      <c r="Z62" s="149">
        <v>0</v>
      </c>
      <c r="AA62" s="149">
        <v>0</v>
      </c>
      <c r="AB62" s="149">
        <v>0</v>
      </c>
      <c r="AC62" s="149">
        <v>2.3167288214229999E-2</v>
      </c>
      <c r="AD62" s="149">
        <v>0</v>
      </c>
      <c r="AE62" s="149">
        <v>0</v>
      </c>
      <c r="AF62" s="149">
        <v>0</v>
      </c>
      <c r="AG62" s="149">
        <v>0</v>
      </c>
      <c r="AH62" s="149">
        <v>4.1614650759907203E-2</v>
      </c>
      <c r="AI62" s="149">
        <v>0</v>
      </c>
      <c r="AJ62" s="149">
        <v>2.70289733178741E-2</v>
      </c>
      <c r="AK62" s="149">
        <v>7.8626160362806494E-2</v>
      </c>
      <c r="AL62" s="149">
        <v>1.6199873646318801E-2</v>
      </c>
      <c r="AM62" s="149">
        <v>0</v>
      </c>
      <c r="AN62" s="149">
        <v>0</v>
      </c>
      <c r="AO62" s="149">
        <v>0</v>
      </c>
      <c r="AP62" s="149">
        <v>0</v>
      </c>
      <c r="AQ62" s="149">
        <v>0</v>
      </c>
      <c r="AR62" s="149">
        <v>0</v>
      </c>
      <c r="AS62" s="149">
        <v>0</v>
      </c>
      <c r="AT62" s="149">
        <v>0</v>
      </c>
      <c r="AU62" s="149">
        <v>3.6702932390418899E-2</v>
      </c>
      <c r="AV62" s="149">
        <v>0</v>
      </c>
      <c r="AW62" s="149">
        <v>0</v>
      </c>
      <c r="AX62" s="149">
        <v>0</v>
      </c>
      <c r="AY62" s="149">
        <v>0</v>
      </c>
      <c r="AZ62" s="149">
        <v>0</v>
      </c>
      <c r="BA62" s="149">
        <v>0</v>
      </c>
      <c r="BB62" s="149">
        <v>0</v>
      </c>
      <c r="BC62" s="149">
        <v>7.9841330763758697E-2</v>
      </c>
      <c r="BD62" s="149">
        <v>0</v>
      </c>
      <c r="BE62" s="149">
        <v>0</v>
      </c>
      <c r="BF62" s="149">
        <v>0</v>
      </c>
      <c r="BG62" s="149">
        <v>0</v>
      </c>
      <c r="BH62" s="149">
        <v>0</v>
      </c>
      <c r="BI62" s="149">
        <v>0</v>
      </c>
      <c r="BJ62" s="149">
        <v>0</v>
      </c>
      <c r="BK62" s="149">
        <v>0</v>
      </c>
      <c r="BL62" s="149">
        <v>0</v>
      </c>
      <c r="BM62" s="149">
        <v>0</v>
      </c>
      <c r="BN62" s="149">
        <v>0</v>
      </c>
      <c r="BO62" s="149">
        <v>0</v>
      </c>
      <c r="BP62" s="149">
        <v>0</v>
      </c>
      <c r="BQ62" s="149">
        <v>0</v>
      </c>
      <c r="BR62" s="149">
        <v>0</v>
      </c>
      <c r="BS62" s="149">
        <v>0</v>
      </c>
      <c r="BT62" s="149">
        <v>0</v>
      </c>
      <c r="BU62" s="149">
        <v>0</v>
      </c>
      <c r="BV62" s="149">
        <v>0</v>
      </c>
      <c r="BW62" s="149">
        <v>0</v>
      </c>
      <c r="BX62" s="149">
        <v>0.169287745178831</v>
      </c>
      <c r="BY62" s="149">
        <v>0.174201065441588</v>
      </c>
      <c r="BZ62" s="149">
        <v>0.24404774117855099</v>
      </c>
      <c r="CA62" s="149">
        <v>0.178307464387294</v>
      </c>
      <c r="CB62" s="149">
        <v>0.84976155584300905</v>
      </c>
      <c r="CC62" s="149">
        <v>0.42528066317902902</v>
      </c>
      <c r="CD62" s="149">
        <v>0.23952691050205999</v>
      </c>
      <c r="CE62" s="149">
        <v>0.40527717350674097</v>
      </c>
      <c r="CF62" s="149">
        <v>0.65990969184782799</v>
      </c>
      <c r="CG62" s="149">
        <v>0.31165602528657099</v>
      </c>
      <c r="CH62" s="149">
        <v>0.37508501633005797</v>
      </c>
      <c r="CI62" s="149">
        <v>0.51457998708068498</v>
      </c>
      <c r="CJ62" s="149">
        <v>0.19954177948788601</v>
      </c>
      <c r="CK62" s="149">
        <v>0.25132191715515401</v>
      </c>
      <c r="CL62" s="149">
        <v>0.221187440217433</v>
      </c>
      <c r="CM62" s="149">
        <v>0.16364410315911401</v>
      </c>
      <c r="CN62" s="149">
        <v>0.13881987443966501</v>
      </c>
      <c r="CO62" s="149">
        <v>0.56878223572252595</v>
      </c>
      <c r="CP62" s="149">
        <v>0.62481325601938698</v>
      </c>
      <c r="CQ62" s="149">
        <v>0.59199829992077202</v>
      </c>
      <c r="CR62" s="149">
        <v>0.39356755575672198</v>
      </c>
      <c r="CS62" s="149">
        <v>0.40117524930452497</v>
      </c>
      <c r="CT62" s="149">
        <v>5.2305405449318498E-2</v>
      </c>
      <c r="CU62" s="149">
        <v>0.205270607417182</v>
      </c>
      <c r="CV62" s="149">
        <v>0.40317084703831102</v>
      </c>
      <c r="CW62" s="149">
        <v>0.40719865950925599</v>
      </c>
      <c r="CX62" s="149">
        <v>0.190216812785166</v>
      </c>
      <c r="CY62" s="149">
        <v>0.32694138388351601</v>
      </c>
      <c r="CZ62" s="149">
        <v>0.406873009125027</v>
      </c>
      <c r="DA62" s="149">
        <v>0.21242357362818801</v>
      </c>
      <c r="DB62" s="149">
        <v>0</v>
      </c>
      <c r="DC62" s="149">
        <v>0</v>
      </c>
      <c r="DD62" s="149">
        <v>0.15825670364873501</v>
      </c>
      <c r="DE62" s="149">
        <v>0.11738510627405099</v>
      </c>
    </row>
    <row r="63" spans="1:109" x14ac:dyDescent="0.25">
      <c r="A63" s="149" t="s">
        <v>267</v>
      </c>
      <c r="B63" s="149" t="s">
        <v>621</v>
      </c>
      <c r="C63" s="149">
        <v>0</v>
      </c>
      <c r="D63" s="149">
        <v>0</v>
      </c>
      <c r="E63" s="149">
        <v>0</v>
      </c>
      <c r="F63" s="149">
        <v>0</v>
      </c>
      <c r="G63" s="149">
        <v>0</v>
      </c>
      <c r="H63" s="149">
        <v>0</v>
      </c>
      <c r="I63" s="149">
        <v>0</v>
      </c>
      <c r="J63" s="149">
        <v>0</v>
      </c>
      <c r="K63" s="149">
        <v>0</v>
      </c>
      <c r="L63" s="149">
        <v>0</v>
      </c>
      <c r="M63" s="149">
        <v>0</v>
      </c>
      <c r="N63" s="149">
        <v>0</v>
      </c>
      <c r="O63" s="149">
        <v>0</v>
      </c>
      <c r="P63" s="149">
        <v>0</v>
      </c>
      <c r="Q63" s="149">
        <v>0</v>
      </c>
      <c r="R63" s="149">
        <v>0</v>
      </c>
      <c r="S63" s="149">
        <v>0</v>
      </c>
      <c r="T63" s="149">
        <v>0</v>
      </c>
      <c r="U63" s="149">
        <v>0</v>
      </c>
      <c r="V63" s="149">
        <v>0</v>
      </c>
      <c r="W63" s="149">
        <v>0</v>
      </c>
      <c r="X63" s="149">
        <v>0</v>
      </c>
      <c r="Y63" s="149">
        <v>0</v>
      </c>
      <c r="Z63" s="149">
        <v>0</v>
      </c>
      <c r="AA63" s="149">
        <v>0</v>
      </c>
      <c r="AB63" s="149">
        <v>0</v>
      </c>
      <c r="AC63" s="149">
        <v>0</v>
      </c>
      <c r="AD63" s="149">
        <v>2.3991406177544E-2</v>
      </c>
      <c r="AE63" s="149">
        <v>0</v>
      </c>
      <c r="AF63" s="149">
        <v>0</v>
      </c>
      <c r="AG63" s="149">
        <v>0</v>
      </c>
      <c r="AH63" s="149">
        <v>0</v>
      </c>
      <c r="AI63" s="149">
        <v>0</v>
      </c>
      <c r="AJ63" s="149">
        <v>0</v>
      </c>
      <c r="AK63" s="149">
        <v>0</v>
      </c>
      <c r="AL63" s="149">
        <v>0</v>
      </c>
      <c r="AM63" s="149">
        <v>0</v>
      </c>
      <c r="AN63" s="149">
        <v>1.8054535298380699E-2</v>
      </c>
      <c r="AO63" s="149">
        <v>0</v>
      </c>
      <c r="AP63" s="149">
        <v>0</v>
      </c>
      <c r="AQ63" s="149">
        <v>0</v>
      </c>
      <c r="AR63" s="149">
        <v>0</v>
      </c>
      <c r="AS63" s="149">
        <v>0</v>
      </c>
      <c r="AT63" s="149">
        <v>0</v>
      </c>
      <c r="AU63" s="149">
        <v>0</v>
      </c>
      <c r="AV63" s="149">
        <v>0</v>
      </c>
      <c r="AW63" s="149">
        <v>0</v>
      </c>
      <c r="AX63" s="149">
        <v>0</v>
      </c>
      <c r="AY63" s="149">
        <v>0</v>
      </c>
      <c r="AZ63" s="149">
        <v>0</v>
      </c>
      <c r="BA63" s="149">
        <v>0</v>
      </c>
      <c r="BB63" s="149">
        <v>0</v>
      </c>
      <c r="BC63" s="149">
        <v>0</v>
      </c>
      <c r="BD63" s="149">
        <v>0</v>
      </c>
      <c r="BE63" s="149">
        <v>0</v>
      </c>
      <c r="BF63" s="149">
        <v>0</v>
      </c>
      <c r="BG63" s="149">
        <v>0</v>
      </c>
      <c r="BH63" s="149">
        <v>0</v>
      </c>
      <c r="BI63" s="149">
        <v>0</v>
      </c>
      <c r="BJ63" s="149">
        <v>0</v>
      </c>
      <c r="BK63" s="149">
        <v>0</v>
      </c>
      <c r="BL63" s="149">
        <v>0</v>
      </c>
      <c r="BM63" s="149">
        <v>0</v>
      </c>
      <c r="BN63" s="149">
        <v>0</v>
      </c>
      <c r="BO63" s="149">
        <v>0</v>
      </c>
      <c r="BP63" s="149">
        <v>0</v>
      </c>
      <c r="BQ63" s="149">
        <v>0</v>
      </c>
      <c r="BR63" s="149">
        <v>0</v>
      </c>
      <c r="BS63" s="149">
        <v>0</v>
      </c>
      <c r="BT63" s="149">
        <v>0</v>
      </c>
      <c r="BU63" s="149">
        <v>0</v>
      </c>
      <c r="BV63" s="149">
        <v>0</v>
      </c>
      <c r="BW63" s="149">
        <v>0</v>
      </c>
      <c r="BX63" s="149">
        <v>0</v>
      </c>
      <c r="BY63" s="149">
        <v>2.2524407487623702E-2</v>
      </c>
      <c r="BZ63" s="149">
        <v>0</v>
      </c>
      <c r="CA63" s="149">
        <v>0</v>
      </c>
      <c r="CB63" s="149">
        <v>0.13883697824475899</v>
      </c>
      <c r="CC63" s="149">
        <v>0</v>
      </c>
      <c r="CD63" s="149">
        <v>1.3207370493076199E-2</v>
      </c>
      <c r="CE63" s="149">
        <v>0</v>
      </c>
      <c r="CF63" s="149">
        <v>0</v>
      </c>
      <c r="CG63" s="149">
        <v>0</v>
      </c>
      <c r="CH63" s="149">
        <v>4.2806730986796E-2</v>
      </c>
      <c r="CI63" s="149">
        <v>0</v>
      </c>
      <c r="CJ63" s="149">
        <v>2.98243608902636E-2</v>
      </c>
      <c r="CK63" s="149">
        <v>0</v>
      </c>
      <c r="CL63" s="149">
        <v>0</v>
      </c>
      <c r="CM63" s="149">
        <v>0</v>
      </c>
      <c r="CN63" s="149">
        <v>0</v>
      </c>
      <c r="CO63" s="149">
        <v>2.3769068153012898E-2</v>
      </c>
      <c r="CP63" s="149">
        <v>6.9585821778514495E-2</v>
      </c>
      <c r="CQ63" s="149">
        <v>0</v>
      </c>
      <c r="CR63" s="149">
        <v>0</v>
      </c>
      <c r="CS63" s="149">
        <v>0.109066165087675</v>
      </c>
      <c r="CT63" s="149">
        <v>0</v>
      </c>
      <c r="CU63" s="149">
        <v>0</v>
      </c>
      <c r="CV63" s="149">
        <v>1.7244460216518001E-2</v>
      </c>
      <c r="CW63" s="149">
        <v>6.1950324539894699E-2</v>
      </c>
      <c r="CX63" s="149">
        <v>0.27855222480214198</v>
      </c>
      <c r="CY63" s="149">
        <v>0.112887852989086</v>
      </c>
      <c r="CZ63" s="149">
        <v>6.7960262098606297E-2</v>
      </c>
      <c r="DA63" s="149">
        <v>0</v>
      </c>
      <c r="DB63" s="149">
        <v>0</v>
      </c>
      <c r="DC63" s="149">
        <v>0</v>
      </c>
      <c r="DD63" s="149">
        <v>0</v>
      </c>
      <c r="DE63" s="149">
        <v>0</v>
      </c>
    </row>
    <row r="64" spans="1:109" x14ac:dyDescent="0.25">
      <c r="A64" s="149" t="s">
        <v>267</v>
      </c>
      <c r="B64" s="149" t="s">
        <v>624</v>
      </c>
      <c r="C64" s="149">
        <v>1.45949557508116E-2</v>
      </c>
      <c r="D64" s="149">
        <v>1.7039616768258201E-2</v>
      </c>
      <c r="E64" s="149">
        <v>0</v>
      </c>
      <c r="F64" s="149">
        <v>0</v>
      </c>
      <c r="G64" s="149">
        <v>0</v>
      </c>
      <c r="H64" s="149">
        <v>0</v>
      </c>
      <c r="I64" s="149">
        <v>0</v>
      </c>
      <c r="J64" s="149">
        <v>0</v>
      </c>
      <c r="K64" s="149">
        <v>0</v>
      </c>
      <c r="L64" s="149">
        <v>0</v>
      </c>
      <c r="M64" s="149">
        <v>0</v>
      </c>
      <c r="N64" s="149">
        <v>0</v>
      </c>
      <c r="O64" s="149">
        <v>0</v>
      </c>
      <c r="P64" s="149">
        <v>0</v>
      </c>
      <c r="Q64" s="149">
        <v>0</v>
      </c>
      <c r="R64" s="149">
        <v>0</v>
      </c>
      <c r="S64" s="149">
        <v>0</v>
      </c>
      <c r="T64" s="149">
        <v>0</v>
      </c>
      <c r="U64" s="149">
        <v>0</v>
      </c>
      <c r="V64" s="149">
        <v>0</v>
      </c>
      <c r="W64" s="149">
        <v>0</v>
      </c>
      <c r="X64" s="149">
        <v>0</v>
      </c>
      <c r="Y64" s="149">
        <v>0</v>
      </c>
      <c r="Z64" s="149">
        <v>0</v>
      </c>
      <c r="AA64" s="149">
        <v>3.2889619509771199E-2</v>
      </c>
      <c r="AB64" s="149">
        <v>0</v>
      </c>
      <c r="AC64" s="149">
        <v>0</v>
      </c>
      <c r="AD64" s="149">
        <v>0</v>
      </c>
      <c r="AE64" s="149">
        <v>0</v>
      </c>
      <c r="AF64" s="149">
        <v>0</v>
      </c>
      <c r="AG64" s="149">
        <v>0</v>
      </c>
      <c r="AH64" s="149">
        <v>0</v>
      </c>
      <c r="AI64" s="149">
        <v>0</v>
      </c>
      <c r="AJ64" s="149">
        <v>0</v>
      </c>
      <c r="AK64" s="149">
        <v>0.12954854241311001</v>
      </c>
      <c r="AL64" s="149">
        <v>1.6199873646318801E-2</v>
      </c>
      <c r="AM64" s="149">
        <v>0</v>
      </c>
      <c r="AN64" s="149">
        <v>1.8054535298380699E-2</v>
      </c>
      <c r="AO64" s="149">
        <v>0</v>
      </c>
      <c r="AP64" s="149">
        <v>0</v>
      </c>
      <c r="AQ64" s="149">
        <v>0</v>
      </c>
      <c r="AR64" s="149">
        <v>7.7340219114057501E-2</v>
      </c>
      <c r="AS64" s="149">
        <v>0</v>
      </c>
      <c r="AT64" s="149">
        <v>0</v>
      </c>
      <c r="AU64" s="149">
        <v>0</v>
      </c>
      <c r="AV64" s="149">
        <v>0</v>
      </c>
      <c r="AW64" s="149">
        <v>0</v>
      </c>
      <c r="AX64" s="149">
        <v>0</v>
      </c>
      <c r="AY64" s="149">
        <v>0</v>
      </c>
      <c r="AZ64" s="149">
        <v>0</v>
      </c>
      <c r="BA64" s="149">
        <v>0</v>
      </c>
      <c r="BB64" s="149">
        <v>0</v>
      </c>
      <c r="BC64" s="149">
        <v>0</v>
      </c>
      <c r="BD64" s="149">
        <v>0</v>
      </c>
      <c r="BE64" s="149">
        <v>0</v>
      </c>
      <c r="BF64" s="149">
        <v>0</v>
      </c>
      <c r="BG64" s="149">
        <v>0</v>
      </c>
      <c r="BH64" s="149">
        <v>0</v>
      </c>
      <c r="BI64" s="149">
        <v>0</v>
      </c>
      <c r="BJ64" s="149">
        <v>0</v>
      </c>
      <c r="BK64" s="149">
        <v>0</v>
      </c>
      <c r="BL64" s="149">
        <v>0.130362789693064</v>
      </c>
      <c r="BM64" s="149">
        <v>0</v>
      </c>
      <c r="BN64" s="149">
        <v>0</v>
      </c>
      <c r="BO64" s="149">
        <v>0</v>
      </c>
      <c r="BP64" s="149">
        <v>0</v>
      </c>
      <c r="BQ64" s="149">
        <v>0</v>
      </c>
      <c r="BR64" s="149">
        <v>0</v>
      </c>
      <c r="BS64" s="149">
        <v>0</v>
      </c>
      <c r="BT64" s="149">
        <v>0</v>
      </c>
      <c r="BU64" s="149">
        <v>0</v>
      </c>
      <c r="BV64" s="149">
        <v>8.0700912748147904E-2</v>
      </c>
      <c r="BW64" s="149">
        <v>0</v>
      </c>
      <c r="BX64" s="149">
        <v>0</v>
      </c>
      <c r="BY64" s="149">
        <v>4.4823947963567597E-2</v>
      </c>
      <c r="BZ64" s="149">
        <v>1.08126324730554E-2</v>
      </c>
      <c r="CA64" s="149">
        <v>0</v>
      </c>
      <c r="CB64" s="149">
        <v>4.0630430221910097E-2</v>
      </c>
      <c r="CC64" s="149">
        <v>0</v>
      </c>
      <c r="CD64" s="149">
        <v>1.3207370493076199E-2</v>
      </c>
      <c r="CE64" s="149">
        <v>4.4727413419843202E-2</v>
      </c>
      <c r="CF64" s="149">
        <v>6.6274468089558697E-2</v>
      </c>
      <c r="CG64" s="149">
        <v>0</v>
      </c>
      <c r="CH64" s="149">
        <v>2.15157676576655E-2</v>
      </c>
      <c r="CI64" s="149">
        <v>0</v>
      </c>
      <c r="CJ64" s="149">
        <v>0</v>
      </c>
      <c r="CK64" s="149">
        <v>0</v>
      </c>
      <c r="CL64" s="149">
        <v>0</v>
      </c>
      <c r="CM64" s="149">
        <v>2.4099553021549199E-2</v>
      </c>
      <c r="CN64" s="149">
        <v>2.2573506268145499E-2</v>
      </c>
      <c r="CO64" s="149">
        <v>0</v>
      </c>
      <c r="CP64" s="149">
        <v>0</v>
      </c>
      <c r="CQ64" s="149">
        <v>0.240599388177275</v>
      </c>
      <c r="CR64" s="149">
        <v>0</v>
      </c>
      <c r="CS64" s="149">
        <v>7.34574303933416E-2</v>
      </c>
      <c r="CT64" s="149">
        <v>0.67683526794682003</v>
      </c>
      <c r="CU64" s="149">
        <v>0.18045885779583901</v>
      </c>
      <c r="CV64" s="149">
        <v>0.63723065383173605</v>
      </c>
      <c r="CW64" s="149">
        <v>0.78032327848801797</v>
      </c>
      <c r="CX64" s="149">
        <v>9.7540643862073798E-2</v>
      </c>
      <c r="CY64" s="149">
        <v>0.87211412705134606</v>
      </c>
      <c r="CZ64" s="149">
        <v>0.91125018585427398</v>
      </c>
      <c r="DA64" s="149">
        <v>0.75687905742266703</v>
      </c>
      <c r="DB64" s="149">
        <v>0.14099850223549101</v>
      </c>
      <c r="DC64" s="149">
        <v>9.1472229245127198E-2</v>
      </c>
      <c r="DD64" s="149">
        <v>0</v>
      </c>
      <c r="DE64" s="149">
        <v>0</v>
      </c>
    </row>
    <row r="65" spans="1:109" x14ac:dyDescent="0.25">
      <c r="A65" s="149" t="s">
        <v>267</v>
      </c>
      <c r="B65" s="149" t="s">
        <v>625</v>
      </c>
      <c r="C65" s="149">
        <v>0.12328567608683</v>
      </c>
      <c r="D65" s="149">
        <v>0</v>
      </c>
      <c r="E65" s="149">
        <v>8.2692527215873099E-2</v>
      </c>
      <c r="F65" s="149">
        <v>0.16472486508914899</v>
      </c>
      <c r="G65" s="149">
        <v>0.16904911699833799</v>
      </c>
      <c r="H65" s="149">
        <v>0.21200166144027499</v>
      </c>
      <c r="I65" s="149">
        <v>0.14575362043649101</v>
      </c>
      <c r="J65" s="149">
        <v>0.19588933665459601</v>
      </c>
      <c r="K65" s="149">
        <v>0.20696887882302001</v>
      </c>
      <c r="L65" s="149">
        <v>0.26719210558533402</v>
      </c>
      <c r="M65" s="149">
        <v>0.13944792978224699</v>
      </c>
      <c r="N65" s="149">
        <v>0.25555850223288301</v>
      </c>
      <c r="O65" s="149">
        <v>4.4161571535335502E-2</v>
      </c>
      <c r="P65" s="149">
        <v>0.35338846733458201</v>
      </c>
      <c r="Q65" s="149">
        <v>7.0289369262610301E-3</v>
      </c>
      <c r="R65" s="149">
        <v>0.28505802653402901</v>
      </c>
      <c r="S65" s="149">
        <v>0.17198700714388701</v>
      </c>
      <c r="T65" s="149">
        <v>0.33382074892619601</v>
      </c>
      <c r="U65" s="149">
        <v>0.34636335804224</v>
      </c>
      <c r="V65" s="149">
        <v>0.104653929783776</v>
      </c>
      <c r="W65" s="149">
        <v>0.40652329577405899</v>
      </c>
      <c r="X65" s="149">
        <v>8.3570746987513905E-2</v>
      </c>
      <c r="Y65" s="149">
        <v>9.3521858236131794E-2</v>
      </c>
      <c r="Z65" s="149">
        <v>0.27740379371485702</v>
      </c>
      <c r="AA65" s="149">
        <v>0.30150016431358401</v>
      </c>
      <c r="AB65" s="149">
        <v>0.235170397160682</v>
      </c>
      <c r="AC65" s="149">
        <v>0.29807675101581299</v>
      </c>
      <c r="AD65" s="149">
        <v>0.21722832075055801</v>
      </c>
      <c r="AE65" s="149">
        <v>0.37164286623456699</v>
      </c>
      <c r="AF65" s="149">
        <v>0.30283137435836099</v>
      </c>
      <c r="AG65" s="149">
        <v>0.33965075937806399</v>
      </c>
      <c r="AH65" s="149">
        <v>0.26466727262168399</v>
      </c>
      <c r="AI65" s="149">
        <v>0.35489572681687698</v>
      </c>
      <c r="AJ65" s="149">
        <v>0.27189461692803701</v>
      </c>
      <c r="AK65" s="149">
        <v>5.1888477686141202E-2</v>
      </c>
      <c r="AL65" s="149">
        <v>0.249383244715533</v>
      </c>
      <c r="AM65" s="149">
        <v>0.58975738005255496</v>
      </c>
      <c r="AN65" s="149">
        <v>0.160574733415627</v>
      </c>
      <c r="AO65" s="149">
        <v>0.36691847561193802</v>
      </c>
      <c r="AP65" s="149">
        <v>0.22118432137580299</v>
      </c>
      <c r="AQ65" s="149">
        <v>-6.8352131896360302E-2</v>
      </c>
      <c r="AR65" s="149">
        <v>1.6387916525496898E-2</v>
      </c>
      <c r="AS65" s="149">
        <v>0.273434709488943</v>
      </c>
      <c r="AT65" s="149">
        <v>0.18067207738739199</v>
      </c>
      <c r="AU65" s="149">
        <v>7.6748117919512596E-2</v>
      </c>
      <c r="AV65" s="149">
        <v>-4.7438503645383601E-2</v>
      </c>
      <c r="AW65" s="149">
        <v>-0.271121666384602</v>
      </c>
      <c r="AX65" s="149">
        <v>-0.271486294136423</v>
      </c>
      <c r="AY65" s="149">
        <v>-0.192839474831972</v>
      </c>
      <c r="AZ65" s="149">
        <v>-0.14852592189182801</v>
      </c>
      <c r="BA65" s="149">
        <v>-0.462467915112517</v>
      </c>
      <c r="BB65" s="149">
        <v>-0.36698230616800698</v>
      </c>
      <c r="BC65" s="149">
        <v>-0.55909742295809095</v>
      </c>
      <c r="BD65" s="149">
        <v>-0.54524438712609002</v>
      </c>
      <c r="BE65" s="149">
        <v>-0.40741783572950901</v>
      </c>
      <c r="BF65" s="149">
        <v>-0.49015249327009702</v>
      </c>
      <c r="BG65" s="149">
        <v>-0.32486096415023302</v>
      </c>
      <c r="BH65" s="149">
        <v>-0.20571964090605299</v>
      </c>
      <c r="BI65" s="149">
        <v>-0.275601034764138</v>
      </c>
      <c r="BJ65" s="149">
        <v>-0.53705240284131095</v>
      </c>
      <c r="BK65" s="149">
        <v>-0.311768803477743</v>
      </c>
      <c r="BL65" s="149">
        <v>-0.27672604089379399</v>
      </c>
      <c r="BM65" s="149">
        <v>-0.50898750954661798</v>
      </c>
      <c r="BN65" s="149">
        <v>-0.10165945026145901</v>
      </c>
      <c r="BO65" s="149">
        <v>-0.305917883387747</v>
      </c>
      <c r="BP65" s="149">
        <v>-0.26687585943614101</v>
      </c>
      <c r="BQ65" s="149">
        <v>-0.165440544872617</v>
      </c>
      <c r="BR65" s="149">
        <v>-0.319161994074803</v>
      </c>
      <c r="BS65" s="149">
        <v>-0.18772389082072999</v>
      </c>
      <c r="BT65" s="149">
        <v>-0.49111757185567101</v>
      </c>
      <c r="BU65" s="149">
        <v>-0.28448563185640602</v>
      </c>
      <c r="BV65" s="149">
        <v>-0.37266826852806501</v>
      </c>
      <c r="BW65" s="149">
        <v>-0.63893875372185005</v>
      </c>
      <c r="BX65" s="149">
        <v>4.2008236318252498E-2</v>
      </c>
      <c r="BY65" s="149">
        <v>-3.9639438204883699E-2</v>
      </c>
      <c r="BZ65" s="149">
        <v>-5.1311653851945201E-2</v>
      </c>
      <c r="CA65" s="149">
        <v>0.13059414463414701</v>
      </c>
      <c r="CB65" s="149">
        <v>3.9884466625127797E-2</v>
      </c>
      <c r="CC65" s="149">
        <v>0.22814808023604199</v>
      </c>
      <c r="CD65" s="149">
        <v>-4.7000749699594897E-2</v>
      </c>
      <c r="CE65" s="149">
        <v>0.29349322572467001</v>
      </c>
      <c r="CF65" s="149">
        <v>0.15176211173194401</v>
      </c>
      <c r="CG65" s="149">
        <v>0.52000808021507905</v>
      </c>
      <c r="CH65" s="149">
        <v>0.29034094059083698</v>
      </c>
      <c r="CI65" s="149">
        <v>-0.13987019719253099</v>
      </c>
      <c r="CJ65" s="149">
        <v>0.32953313992505601</v>
      </c>
      <c r="CK65" s="149">
        <v>-0.43279827378521701</v>
      </c>
      <c r="CL65" s="149">
        <v>-0.45259381060071602</v>
      </c>
      <c r="CM65" s="149">
        <v>-0.40850239108372999</v>
      </c>
      <c r="CN65" s="149">
        <v>-0.49566575232708598</v>
      </c>
      <c r="CO65" s="149">
        <v>-0.42195273683456502</v>
      </c>
      <c r="CP65" s="149">
        <v>-0.31613224842800702</v>
      </c>
      <c r="CQ65" s="149">
        <v>-0.198184848972452</v>
      </c>
      <c r="CR65" s="149">
        <v>-0.34517489728663597</v>
      </c>
      <c r="CS65" s="149">
        <v>0.13086036774964099</v>
      </c>
      <c r="CT65" s="149">
        <v>-0.535965696001651</v>
      </c>
      <c r="CU65" s="149">
        <v>-0.50177556409712898</v>
      </c>
      <c r="CV65" s="149">
        <v>-0.17179506455465199</v>
      </c>
      <c r="CW65" s="149">
        <v>-0.37237715384150699</v>
      </c>
      <c r="CX65" s="149">
        <v>-0.54139810985977599</v>
      </c>
      <c r="CY65" s="149">
        <v>-0.44914312760516101</v>
      </c>
      <c r="CZ65" s="149">
        <v>-0.410232144249701</v>
      </c>
      <c r="DA65" s="149">
        <v>-0.49703982300972099</v>
      </c>
      <c r="DB65" s="149">
        <v>-0.49794025148635901</v>
      </c>
      <c r="DC65" s="149">
        <v>-0.22678445809139999</v>
      </c>
      <c r="DD65" s="149">
        <v>-0.55785224505593201</v>
      </c>
      <c r="DE65" s="149">
        <v>-0.41218316009438699</v>
      </c>
    </row>
    <row r="66" spans="1:109" x14ac:dyDescent="0.25">
      <c r="A66" s="149" t="s">
        <v>267</v>
      </c>
      <c r="B66" s="149" t="s">
        <v>630</v>
      </c>
      <c r="C66" s="149">
        <v>6.5865059477452095E-2</v>
      </c>
      <c r="D66" s="149">
        <v>0.114837193239373</v>
      </c>
      <c r="E66" s="149">
        <v>0.134709922697413</v>
      </c>
      <c r="F66" s="149">
        <v>0</v>
      </c>
      <c r="G66" s="149">
        <v>9.6251789659155096E-2</v>
      </c>
      <c r="H66" s="149">
        <v>-2.17499914407615E-2</v>
      </c>
      <c r="I66" s="149">
        <v>-1.38089453235737E-2</v>
      </c>
      <c r="J66" s="149">
        <v>0.12775824272234701</v>
      </c>
      <c r="K66" s="149">
        <v>2.7769687742539399E-2</v>
      </c>
      <c r="L66" s="149">
        <v>0.19299339561541101</v>
      </c>
      <c r="M66" s="149">
        <v>0.11428568746926</v>
      </c>
      <c r="N66" s="149">
        <v>-6.1352076597811604E-3</v>
      </c>
      <c r="O66" s="149">
        <v>0.36548666491919901</v>
      </c>
      <c r="P66" s="149">
        <v>-9.5541177154732405E-4</v>
      </c>
      <c r="Q66" s="149">
        <v>0.27976070958269</v>
      </c>
      <c r="R66" s="149">
        <v>0.37372651784207001</v>
      </c>
      <c r="S66" s="149">
        <v>0.226321783543428</v>
      </c>
      <c r="T66" s="149">
        <v>0.45447641837763703</v>
      </c>
      <c r="U66" s="149">
        <v>0.33084578142721299</v>
      </c>
      <c r="V66" s="149">
        <v>0.68647172232017295</v>
      </c>
      <c r="W66" s="149">
        <v>0.33206533379404002</v>
      </c>
      <c r="X66" s="149">
        <v>0.30785356753801502</v>
      </c>
      <c r="Y66" s="149">
        <v>0.34311836699190001</v>
      </c>
      <c r="Z66" s="149">
        <v>0.32089373462897802</v>
      </c>
      <c r="AA66" s="149">
        <v>0.34285363809748398</v>
      </c>
      <c r="AB66" s="149">
        <v>0.20513496801615899</v>
      </c>
      <c r="AC66" s="149">
        <v>0.26532329288185302</v>
      </c>
      <c r="AD66" s="149">
        <v>0.113644787845323</v>
      </c>
      <c r="AE66" s="149">
        <v>0.160140161719528</v>
      </c>
      <c r="AF66" s="149">
        <v>0.188524814201879</v>
      </c>
      <c r="AG66" s="149">
        <v>5.6584004033930699E-2</v>
      </c>
      <c r="AH66" s="149">
        <v>0.33525385119357798</v>
      </c>
      <c r="AI66" s="149">
        <v>0.161734372844312</v>
      </c>
      <c r="AJ66" s="149">
        <v>0.124489906241013</v>
      </c>
      <c r="AK66" s="149">
        <v>9.2179159894617294E-2</v>
      </c>
      <c r="AL66" s="149">
        <v>0.198586668700383</v>
      </c>
      <c r="AM66" s="149">
        <v>0.39283129559046198</v>
      </c>
      <c r="AN66" s="149">
        <v>0.15132535888778501</v>
      </c>
      <c r="AO66" s="149">
        <v>0.30611719046389102</v>
      </c>
      <c r="AP66" s="149">
        <v>0.26996699672994101</v>
      </c>
      <c r="AQ66" s="149">
        <v>0.178757875836277</v>
      </c>
      <c r="AR66" s="149">
        <v>0.34569123024931597</v>
      </c>
      <c r="AS66" s="149">
        <v>0.20901506368047401</v>
      </c>
      <c r="AT66" s="149">
        <v>0.34519760134423699</v>
      </c>
      <c r="AU66" s="149">
        <v>0.285569633287794</v>
      </c>
      <c r="AV66" s="149">
        <v>0.121289278732419</v>
      </c>
      <c r="AW66" s="149">
        <v>3.6702938051026202E-2</v>
      </c>
      <c r="AX66" s="149">
        <v>0.110021635926212</v>
      </c>
      <c r="AY66" s="149">
        <v>-7.9922548171918698E-2</v>
      </c>
      <c r="AZ66" s="149">
        <v>-0.19577427719260901</v>
      </c>
      <c r="BA66" s="149">
        <v>-0.126981606950751</v>
      </c>
      <c r="BB66" s="149">
        <v>-0.17660872678371201</v>
      </c>
      <c r="BC66" s="149">
        <v>-0.22907734746161801</v>
      </c>
      <c r="BD66" s="149">
        <v>-0.29111918293374001</v>
      </c>
      <c r="BE66" s="149">
        <v>0.13991061889374001</v>
      </c>
      <c r="BF66" s="149">
        <v>4.2752614059794899E-2</v>
      </c>
      <c r="BG66" s="149">
        <v>-7.0735759957883101E-2</v>
      </c>
      <c r="BH66" s="149">
        <v>-0.110572196349968</v>
      </c>
      <c r="BI66" s="149">
        <v>-0.38481354952949998</v>
      </c>
      <c r="BJ66" s="149">
        <v>-0.18738787954036601</v>
      </c>
      <c r="BK66" s="149">
        <v>-0.38481354952949998</v>
      </c>
      <c r="BL66" s="149">
        <v>-0.13421603055333001</v>
      </c>
      <c r="BM66" s="149">
        <v>-0.22254694483547699</v>
      </c>
      <c r="BN66" s="149">
        <v>-0.234927613271876</v>
      </c>
      <c r="BO66" s="149">
        <v>-0.324272413291328</v>
      </c>
      <c r="BP66" s="149">
        <v>-5.9244232766581299E-2</v>
      </c>
      <c r="BQ66" s="149">
        <v>-3.3126700358574498E-2</v>
      </c>
      <c r="BR66" s="149">
        <v>-6.5036789882452498E-2</v>
      </c>
      <c r="BS66" s="149">
        <v>-0.143035507133777</v>
      </c>
      <c r="BT66" s="149">
        <v>0.35944993889978399</v>
      </c>
      <c r="BU66" s="149">
        <v>-0.139784398235375</v>
      </c>
      <c r="BV66" s="149">
        <v>1.59542309138739E-2</v>
      </c>
      <c r="BW66" s="149">
        <v>-0.38481354952949998</v>
      </c>
      <c r="BX66" s="149">
        <v>0.40166531258815402</v>
      </c>
      <c r="BY66" s="149">
        <v>0.75273842766457399</v>
      </c>
      <c r="BZ66" s="149">
        <v>0.57153190635874296</v>
      </c>
      <c r="CA66" s="149">
        <v>0.38898932157948002</v>
      </c>
      <c r="CB66" s="149">
        <v>-0.32416575842698703</v>
      </c>
      <c r="CC66" s="149">
        <v>-0.38481354952949998</v>
      </c>
      <c r="CD66" s="149">
        <v>-7.2150216508998805E-2</v>
      </c>
      <c r="CE66" s="149">
        <v>-0.34008613610965599</v>
      </c>
      <c r="CF66" s="149">
        <v>-0.25444347337789303</v>
      </c>
      <c r="CG66" s="149">
        <v>-0.36009837276064299</v>
      </c>
      <c r="CH66" s="149">
        <v>-0.36329778187183398</v>
      </c>
      <c r="CI66" s="149">
        <v>-0.35693408238496699</v>
      </c>
      <c r="CJ66" s="149">
        <v>-0.38481354952949998</v>
      </c>
      <c r="CK66" s="149">
        <v>-0.38481354952949998</v>
      </c>
      <c r="CL66" s="149">
        <v>-0.367146146388309</v>
      </c>
      <c r="CM66" s="149">
        <v>-0.33686576308952298</v>
      </c>
      <c r="CN66" s="149">
        <v>-0.37350145248623901</v>
      </c>
      <c r="CO66" s="149">
        <v>8.4523563798340598E-2</v>
      </c>
      <c r="CP66" s="149">
        <v>-0.38481354952949998</v>
      </c>
      <c r="CQ66" s="149">
        <v>-0.29883372343862202</v>
      </c>
      <c r="CR66" s="149">
        <v>-0.317104890540576</v>
      </c>
      <c r="CS66" s="149">
        <v>-0.38481354952949998</v>
      </c>
      <c r="CT66" s="149">
        <v>-0.38481354952949998</v>
      </c>
      <c r="CU66" s="149">
        <v>-0.24765035990477899</v>
      </c>
      <c r="CV66" s="149">
        <v>-0.103440657251087</v>
      </c>
      <c r="CW66" s="149">
        <v>-0.232974484479472</v>
      </c>
      <c r="CX66" s="149">
        <v>5.9098203559028097E-2</v>
      </c>
      <c r="CY66" s="149">
        <v>-0.118592392661562</v>
      </c>
      <c r="CZ66" s="149">
        <v>-0.21893452467907201</v>
      </c>
      <c r="DA66" s="149">
        <v>-0.242914618817371</v>
      </c>
      <c r="DB66" s="149">
        <v>-0.177824839179166</v>
      </c>
      <c r="DC66" s="149">
        <v>-0.38481354952949998</v>
      </c>
      <c r="DD66" s="149">
        <v>-0.226556845880764</v>
      </c>
      <c r="DE66" s="149">
        <v>-6.7328600716532096E-3</v>
      </c>
    </row>
    <row r="67" spans="1:109" x14ac:dyDescent="0.25">
      <c r="A67" s="149" t="s">
        <v>267</v>
      </c>
      <c r="B67" s="149" t="s">
        <v>637</v>
      </c>
      <c r="C67" s="149">
        <v>0</v>
      </c>
      <c r="D67" s="149">
        <v>1.7039616768258201E-2</v>
      </c>
      <c r="E67" s="149">
        <v>1.0412901379310099E-2</v>
      </c>
      <c r="F67" s="149">
        <v>0</v>
      </c>
      <c r="G67" s="149">
        <v>0</v>
      </c>
      <c r="H67" s="149">
        <v>0</v>
      </c>
      <c r="I67" s="149">
        <v>7.3089160435213301E-3</v>
      </c>
      <c r="J67" s="149">
        <v>0</v>
      </c>
      <c r="K67" s="149">
        <v>7.7578630721494004E-3</v>
      </c>
      <c r="L67" s="149">
        <v>0</v>
      </c>
      <c r="M67" s="149">
        <v>0</v>
      </c>
      <c r="N67" s="149">
        <v>0</v>
      </c>
      <c r="O67" s="149">
        <v>0</v>
      </c>
      <c r="P67" s="149">
        <v>0</v>
      </c>
      <c r="Q67" s="149">
        <v>0</v>
      </c>
      <c r="R67" s="149">
        <v>0</v>
      </c>
      <c r="S67" s="149">
        <v>0</v>
      </c>
      <c r="T67" s="149">
        <v>0</v>
      </c>
      <c r="U67" s="149">
        <v>0</v>
      </c>
      <c r="V67" s="149">
        <v>0</v>
      </c>
      <c r="W67" s="149">
        <v>0</v>
      </c>
      <c r="X67" s="149">
        <v>0</v>
      </c>
      <c r="Y67" s="149">
        <v>0</v>
      </c>
      <c r="Z67" s="149">
        <v>0</v>
      </c>
      <c r="AA67" s="149">
        <v>0</v>
      </c>
      <c r="AB67" s="149">
        <v>0</v>
      </c>
      <c r="AC67" s="149">
        <v>0</v>
      </c>
      <c r="AD67" s="149">
        <v>0</v>
      </c>
      <c r="AE67" s="149">
        <v>0</v>
      </c>
      <c r="AF67" s="149">
        <v>0</v>
      </c>
      <c r="AG67" s="149">
        <v>0</v>
      </c>
      <c r="AH67" s="149">
        <v>0</v>
      </c>
      <c r="AI67" s="149">
        <v>0</v>
      </c>
      <c r="AJ67" s="149">
        <v>0</v>
      </c>
      <c r="AK67" s="149">
        <v>0</v>
      </c>
      <c r="AL67" s="149">
        <v>0</v>
      </c>
      <c r="AM67" s="149">
        <v>9.2677244090506497E-2</v>
      </c>
      <c r="AN67" s="149">
        <v>0</v>
      </c>
      <c r="AO67" s="149">
        <v>0</v>
      </c>
      <c r="AP67" s="149">
        <v>0</v>
      </c>
      <c r="AQ67" s="149">
        <v>0</v>
      </c>
      <c r="AR67" s="149">
        <v>0</v>
      </c>
      <c r="AS67" s="149">
        <v>0</v>
      </c>
      <c r="AT67" s="149">
        <v>7.16971589450347E-2</v>
      </c>
      <c r="AU67" s="149">
        <v>0</v>
      </c>
      <c r="AV67" s="149">
        <v>0</v>
      </c>
      <c r="AW67" s="149">
        <v>0</v>
      </c>
      <c r="AX67" s="149">
        <v>2.9030539339025802E-2</v>
      </c>
      <c r="AY67" s="149">
        <v>2.62313385519083E-2</v>
      </c>
      <c r="AZ67" s="149">
        <v>2.2089523308836099E-2</v>
      </c>
      <c r="BA67" s="149">
        <v>0</v>
      </c>
      <c r="BB67" s="149">
        <v>0</v>
      </c>
      <c r="BC67" s="149">
        <v>0</v>
      </c>
      <c r="BD67" s="149">
        <v>0</v>
      </c>
      <c r="BE67" s="149">
        <v>0</v>
      </c>
      <c r="BF67" s="149">
        <v>0</v>
      </c>
      <c r="BG67" s="149">
        <v>0</v>
      </c>
      <c r="BH67" s="149">
        <v>0</v>
      </c>
      <c r="BI67" s="149">
        <v>0</v>
      </c>
      <c r="BJ67" s="149">
        <v>0</v>
      </c>
      <c r="BK67" s="149">
        <v>0</v>
      </c>
      <c r="BL67" s="149">
        <v>0</v>
      </c>
      <c r="BM67" s="149">
        <v>8.3241125056316395E-2</v>
      </c>
      <c r="BN67" s="149">
        <v>0</v>
      </c>
      <c r="BO67" s="149">
        <v>0</v>
      </c>
      <c r="BP67" s="149">
        <v>0</v>
      </c>
      <c r="BQ67" s="149">
        <v>0</v>
      </c>
      <c r="BR67" s="149">
        <v>0</v>
      </c>
      <c r="BS67" s="149">
        <v>0</v>
      </c>
      <c r="BT67" s="149">
        <v>0</v>
      </c>
      <c r="BU67" s="149">
        <v>0</v>
      </c>
      <c r="BV67" s="149">
        <v>0</v>
      </c>
      <c r="BW67" s="149">
        <v>0</v>
      </c>
      <c r="BX67" s="149">
        <v>3.2165057828767003E-2</v>
      </c>
      <c r="BY67" s="149">
        <v>0</v>
      </c>
      <c r="BZ67" s="149">
        <v>0</v>
      </c>
      <c r="CA67" s="149">
        <v>3.2860395568884003E-2</v>
      </c>
      <c r="CB67" s="149">
        <v>1.24253866696286</v>
      </c>
      <c r="CC67" s="149">
        <v>0.737268465667269</v>
      </c>
      <c r="CD67" s="149">
        <v>0.52706518302189898</v>
      </c>
      <c r="CE67" s="149">
        <v>1.5360294937646699</v>
      </c>
      <c r="CF67" s="149">
        <v>0.59726942717571396</v>
      </c>
      <c r="CG67" s="149">
        <v>0.59257775647661404</v>
      </c>
      <c r="CH67" s="149">
        <v>1.5591520347646499</v>
      </c>
      <c r="CI67" s="149">
        <v>1.06895310297514</v>
      </c>
      <c r="CJ67" s="149">
        <v>1.4594287347341</v>
      </c>
      <c r="CK67" s="149">
        <v>4.3069375713781999E-2</v>
      </c>
      <c r="CL67" s="149">
        <v>8.2653923108165703E-2</v>
      </c>
      <c r="CM67" s="149">
        <v>7.9099045359152506E-2</v>
      </c>
      <c r="CN67" s="149">
        <v>3.3784846285005797E-2</v>
      </c>
      <c r="CO67" s="149">
        <v>9.3415353355444902E-2</v>
      </c>
      <c r="CP67" s="149">
        <v>0.54412384324100704</v>
      </c>
      <c r="CQ67" s="149">
        <v>0.76840559283709597</v>
      </c>
      <c r="CR67" s="149">
        <v>0.86731236992029004</v>
      </c>
      <c r="CS67" s="149">
        <v>1.89853620212978</v>
      </c>
      <c r="CT67" s="149">
        <v>0</v>
      </c>
      <c r="CU67" s="149">
        <v>4.7006302908322001E-2</v>
      </c>
      <c r="CV67" s="149">
        <v>6.12892125888682E-2</v>
      </c>
      <c r="CW67" s="149">
        <v>0</v>
      </c>
      <c r="CX67" s="149">
        <v>0</v>
      </c>
      <c r="CY67" s="149">
        <v>0</v>
      </c>
      <c r="CZ67" s="149">
        <v>0</v>
      </c>
      <c r="DA67" s="149">
        <v>0</v>
      </c>
      <c r="DB67" s="149">
        <v>0</v>
      </c>
      <c r="DC67" s="149">
        <v>0</v>
      </c>
      <c r="DD67" s="149">
        <v>0</v>
      </c>
      <c r="DE67" s="149">
        <v>0.11738510627405099</v>
      </c>
    </row>
    <row r="68" spans="1:109" x14ac:dyDescent="0.25">
      <c r="A68" s="149" t="s">
        <v>267</v>
      </c>
      <c r="B68" s="149" t="s">
        <v>644</v>
      </c>
      <c r="C68" s="149">
        <v>2.4252810927393498E-2</v>
      </c>
      <c r="D68" s="149">
        <v>1.8170996096132399E-2</v>
      </c>
      <c r="E68" s="149">
        <v>0.19048311546441701</v>
      </c>
      <c r="F68" s="149">
        <v>-7.2586313978562399E-3</v>
      </c>
      <c r="G68" s="149">
        <v>-0.116112928187643</v>
      </c>
      <c r="H68" s="149">
        <v>-6.5828993218670404E-2</v>
      </c>
      <c r="I68" s="149">
        <v>3.3976903595584203E-2</v>
      </c>
      <c r="J68" s="149">
        <v>-5.5259607932879498E-2</v>
      </c>
      <c r="K68" s="149">
        <v>-3.0003361967681299E-2</v>
      </c>
      <c r="L68" s="149">
        <v>-1.03521811762722E-2</v>
      </c>
      <c r="M68" s="149">
        <v>0</v>
      </c>
      <c r="N68" s="149">
        <v>-0.10370299392870801</v>
      </c>
      <c r="O68" s="149">
        <v>0.122038451844885</v>
      </c>
      <c r="P68" s="149">
        <v>9.4358664989081797E-2</v>
      </c>
      <c r="Q68" s="149">
        <v>8.3979488507832406E-2</v>
      </c>
      <c r="R68" s="149">
        <v>9.84994096945421E-2</v>
      </c>
      <c r="S68" s="149">
        <v>-5.35151323214808E-2</v>
      </c>
      <c r="T68" s="149">
        <v>0.113102358346566</v>
      </c>
      <c r="U68" s="149">
        <v>6.5198435781641806E-2</v>
      </c>
      <c r="V68" s="149">
        <v>9.2093081117701495E-2</v>
      </c>
      <c r="W68" s="149">
        <v>0.15451126389966299</v>
      </c>
      <c r="X68" s="149">
        <v>3.60829154864813E-2</v>
      </c>
      <c r="Y68" s="149">
        <v>0.114792240099544</v>
      </c>
      <c r="Z68" s="149">
        <v>6.8678992706986103E-2</v>
      </c>
      <c r="AA68" s="149">
        <v>0.121550628371383</v>
      </c>
      <c r="AB68" s="149">
        <v>-1.96050114629653E-2</v>
      </c>
      <c r="AC68" s="149">
        <v>0.184790373601074</v>
      </c>
      <c r="AD68" s="149">
        <v>3.6938653021181302E-2</v>
      </c>
      <c r="AE68" s="149">
        <v>-1.0260300722469201E-2</v>
      </c>
      <c r="AF68" s="149">
        <v>0.119017842546128</v>
      </c>
      <c r="AG68" s="149">
        <v>0.105920823475406</v>
      </c>
      <c r="AH68" s="149">
        <v>-1.1872876177465901E-2</v>
      </c>
      <c r="AI68" s="149">
        <v>0.32846224243640398</v>
      </c>
      <c r="AJ68" s="149">
        <v>1.8946798551217101E-2</v>
      </c>
      <c r="AK68" s="149">
        <v>-3.14408042720912E-2</v>
      </c>
      <c r="AL68" s="149">
        <v>6.8220274449435001E-3</v>
      </c>
      <c r="AM68" s="149">
        <v>0.53716345612889704</v>
      </c>
      <c r="AN68" s="149">
        <v>0.25382048705321297</v>
      </c>
      <c r="AO68" s="149">
        <v>7.07838148185405E-2</v>
      </c>
      <c r="AP68" s="149">
        <v>3.2648992973537002E-3</v>
      </c>
      <c r="AQ68" s="149">
        <v>0.25942273966715301</v>
      </c>
      <c r="AR68" s="149">
        <v>3.1541362251435098E-2</v>
      </c>
      <c r="AS68" s="149">
        <v>0.137741869006274</v>
      </c>
      <c r="AT68" s="149">
        <v>0.13542841495573599</v>
      </c>
      <c r="AU68" s="149">
        <v>-3.4878637943432503E-2</v>
      </c>
      <c r="AV68" s="149">
        <v>0.250976924528933</v>
      </c>
      <c r="AW68" s="149">
        <v>-7.8295984540686703E-2</v>
      </c>
      <c r="AX68" s="149">
        <v>8.4230836307658902E-2</v>
      </c>
      <c r="AY68" s="149">
        <v>-0.133243533007526</v>
      </c>
      <c r="AZ68" s="149">
        <v>-0.124137960407684</v>
      </c>
      <c r="BA68" s="149">
        <v>-0.120090221135496</v>
      </c>
      <c r="BB68" s="149">
        <v>-0.13830608225284899</v>
      </c>
      <c r="BC68" s="149">
        <v>-0.13095293131726701</v>
      </c>
      <c r="BD68" s="149">
        <v>0.13405424927325801</v>
      </c>
      <c r="BE68" s="149">
        <v>-0.210794262081026</v>
      </c>
      <c r="BF68" s="149">
        <v>-0.210794262081026</v>
      </c>
      <c r="BG68" s="149">
        <v>-0.210794262081026</v>
      </c>
      <c r="BH68" s="149">
        <v>-0.11382448002895</v>
      </c>
      <c r="BI68" s="149">
        <v>4.0660328417809401E-2</v>
      </c>
      <c r="BJ68" s="149">
        <v>-0.108907911200487</v>
      </c>
      <c r="BK68" s="149">
        <v>-9.3861019062630294E-2</v>
      </c>
      <c r="BL68" s="149">
        <v>-0.210794262081026</v>
      </c>
      <c r="BM68" s="149">
        <v>-0.210794262081026</v>
      </c>
      <c r="BN68" s="149">
        <v>-0.109406340050324</v>
      </c>
      <c r="BO68" s="149">
        <v>0.122226608253077</v>
      </c>
      <c r="BP68" s="149">
        <v>4.68183632713738E-2</v>
      </c>
      <c r="BQ68" s="149">
        <v>-0.13403698523775101</v>
      </c>
      <c r="BR68" s="149">
        <v>3.4881618565685599E-2</v>
      </c>
      <c r="BS68" s="149">
        <v>-8.52228935137819E-2</v>
      </c>
      <c r="BT68" s="149">
        <v>-0.210794262081026</v>
      </c>
      <c r="BU68" s="149">
        <v>-8.34460023861779E-2</v>
      </c>
      <c r="BV68" s="149">
        <v>-9.1223640465697406E-2</v>
      </c>
      <c r="BW68" s="149">
        <v>-8.8144213635829999E-2</v>
      </c>
      <c r="BX68" s="149">
        <v>-0.19044960909497</v>
      </c>
      <c r="BY68" s="149">
        <v>-0.18826985459340201</v>
      </c>
      <c r="BZ68" s="149">
        <v>-0.199981629607971</v>
      </c>
      <c r="CA68" s="149">
        <v>-0.17793386651214199</v>
      </c>
      <c r="CB68" s="149">
        <v>3.4210502585511498E-3</v>
      </c>
      <c r="CC68" s="149">
        <v>0.140424217767223</v>
      </c>
      <c r="CD68" s="149">
        <v>0.85895628667484203</v>
      </c>
      <c r="CE68" s="149">
        <v>-0.16606684866118299</v>
      </c>
      <c r="CF68" s="149">
        <v>-0.210794262081026</v>
      </c>
      <c r="CG68" s="149">
        <v>0.454790327095275</v>
      </c>
      <c r="CH68" s="149">
        <v>-0.12605785720218801</v>
      </c>
      <c r="CI68" s="149">
        <v>-0.18291479493649301</v>
      </c>
      <c r="CJ68" s="149">
        <v>1.3303225636656899</v>
      </c>
      <c r="CK68" s="149">
        <v>2.4646372328895199</v>
      </c>
      <c r="CL68" s="149">
        <v>2.5045825496936902</v>
      </c>
      <c r="CM68" s="149">
        <v>2.68905912112178</v>
      </c>
      <c r="CN68" s="149">
        <v>1.9886379930203</v>
      </c>
      <c r="CO68" s="149">
        <v>-2.8120639646838801E-2</v>
      </c>
      <c r="CP68" s="149">
        <v>-0.210794262081026</v>
      </c>
      <c r="CQ68" s="149">
        <v>1.4566113568521499</v>
      </c>
      <c r="CR68" s="149">
        <v>-0.110052480918139</v>
      </c>
      <c r="CS68" s="149">
        <v>9.996523707742149E-4</v>
      </c>
      <c r="CT68" s="149">
        <v>-5.86860834913559E-2</v>
      </c>
      <c r="CU68" s="149">
        <v>-7.3631072456305E-2</v>
      </c>
      <c r="CV68" s="149">
        <v>3.6607720372835197E-2</v>
      </c>
      <c r="CW68" s="149">
        <v>-5.8955197030998101E-2</v>
      </c>
      <c r="CX68" s="149">
        <v>0.15219646481535401</v>
      </c>
      <c r="CY68" s="149">
        <v>-7.1059134103516799E-3</v>
      </c>
      <c r="CZ68" s="149">
        <v>-7.7045945524192097E-2</v>
      </c>
      <c r="DA68" s="149">
        <v>0.18437369261397599</v>
      </c>
      <c r="DB68" s="149">
        <v>-0.210794262081026</v>
      </c>
      <c r="DC68" s="149">
        <v>-0.119322032835899</v>
      </c>
      <c r="DD68" s="149">
        <v>2.10953114197137E-2</v>
      </c>
      <c r="DE68" s="149">
        <v>-0.210794262081026</v>
      </c>
    </row>
    <row r="69" spans="1:109" x14ac:dyDescent="0.25">
      <c r="A69" s="149" t="s">
        <v>267</v>
      </c>
      <c r="B69" s="149" t="s">
        <v>645</v>
      </c>
      <c r="C69" s="149">
        <v>0.40014768439042198</v>
      </c>
      <c r="D69" s="149">
        <v>0.13773919276444099</v>
      </c>
      <c r="E69" s="149">
        <v>8.8881783394924405E-2</v>
      </c>
      <c r="F69" s="149">
        <v>0.69810726247028299</v>
      </c>
      <c r="G69" s="149">
        <v>0.62488298084218596</v>
      </c>
      <c r="H69" s="149">
        <v>0.67446387268819596</v>
      </c>
      <c r="I69" s="149">
        <v>0.65914180996329097</v>
      </c>
      <c r="J69" s="149">
        <v>0.70305254042177701</v>
      </c>
      <c r="K69" s="149">
        <v>0.52574708871512499</v>
      </c>
      <c r="L69" s="149">
        <v>-2.7236006723865499E-2</v>
      </c>
      <c r="M69" s="149">
        <v>0.52695048242059495</v>
      </c>
      <c r="N69" s="149">
        <v>0.573892088915543</v>
      </c>
      <c r="O69" s="149">
        <v>-8.7695961097984804E-2</v>
      </c>
      <c r="P69" s="149">
        <v>-0.17860443911923199</v>
      </c>
      <c r="Q69" s="149">
        <v>-0.23586940192171499</v>
      </c>
      <c r="R69" s="149">
        <v>-0.149060501226356</v>
      </c>
      <c r="S69" s="149">
        <v>-0.42570395758723101</v>
      </c>
      <c r="T69" s="149">
        <v>-0.44049628798099399</v>
      </c>
      <c r="U69" s="149">
        <v>-0.43955554970458799</v>
      </c>
      <c r="V69" s="149">
        <v>-0.34083416608407802</v>
      </c>
      <c r="W69" s="149">
        <v>4.6074823837935898E-4</v>
      </c>
      <c r="X69" s="149">
        <v>5.5657216463251098E-3</v>
      </c>
      <c r="Y69" s="149">
        <v>0.170607319187463</v>
      </c>
      <c r="Z69" s="149">
        <v>-0.13624750470220501</v>
      </c>
      <c r="AA69" s="149">
        <v>0.26729211939082398</v>
      </c>
      <c r="AB69" s="149">
        <v>0.184275066043322</v>
      </c>
      <c r="AC69" s="149">
        <v>0.26587642751769403</v>
      </c>
      <c r="AD69" s="149">
        <v>0.40164187418102898</v>
      </c>
      <c r="AE69" s="149">
        <v>0.49938532060801399</v>
      </c>
      <c r="AF69" s="149">
        <v>0.40290283039145702</v>
      </c>
      <c r="AG69" s="149">
        <v>0.28928745957206098</v>
      </c>
      <c r="AH69" s="149">
        <v>0.12974390551147799</v>
      </c>
      <c r="AI69" s="149">
        <v>0.42203175205621402</v>
      </c>
      <c r="AJ69" s="149">
        <v>0.41377569385996299</v>
      </c>
      <c r="AK69" s="149">
        <v>0.56478168726700695</v>
      </c>
      <c r="AL69" s="149">
        <v>0.20118866914061601</v>
      </c>
      <c r="AM69" s="149">
        <v>-0.68726876670470205</v>
      </c>
      <c r="AN69" s="149">
        <v>-0.10128712543686599</v>
      </c>
      <c r="AO69" s="149">
        <v>-0.19166355296132401</v>
      </c>
      <c r="AP69" s="149">
        <v>-9.5919387793548305E-2</v>
      </c>
      <c r="AQ69" s="149">
        <v>-0.25935733836967301</v>
      </c>
      <c r="AR69" s="149">
        <v>-0.181903814030804</v>
      </c>
      <c r="AS69" s="149">
        <v>-0.306925125610433</v>
      </c>
      <c r="AT69" s="149">
        <v>-5.9981405949454496E-3</v>
      </c>
      <c r="AU69" s="149">
        <v>-0.31526279278867397</v>
      </c>
      <c r="AV69" s="149">
        <v>-0.39979704512922998</v>
      </c>
      <c r="AW69" s="149">
        <v>2.4975929260900299E-2</v>
      </c>
      <c r="AX69" s="149">
        <v>0.130908633855951</v>
      </c>
      <c r="AY69" s="149">
        <v>0.44253496686348598</v>
      </c>
      <c r="AZ69" s="149">
        <v>-4.70446169155362E-2</v>
      </c>
      <c r="BA69" s="149">
        <v>-0.24498000253652</v>
      </c>
      <c r="BB69" s="149">
        <v>-0.53747019481326197</v>
      </c>
      <c r="BC69" s="149">
        <v>-0.55966667971872297</v>
      </c>
      <c r="BD69" s="149">
        <v>-0.59866499079943503</v>
      </c>
      <c r="BE69" s="149">
        <v>-0.62680618485731099</v>
      </c>
      <c r="BF69" s="149">
        <v>-0.76483257464843701</v>
      </c>
      <c r="BG69" s="149">
        <v>-0.72082239753757804</v>
      </c>
      <c r="BH69" s="149">
        <v>-0.78603090934642195</v>
      </c>
      <c r="BI69" s="149">
        <v>-0.74371333803329498</v>
      </c>
      <c r="BJ69" s="149">
        <v>-0.482188104437489</v>
      </c>
      <c r="BK69" s="149">
        <v>-0.13047020483763</v>
      </c>
      <c r="BL69" s="149">
        <v>-0.24652548467166199</v>
      </c>
      <c r="BM69" s="149">
        <v>8.5932208148268904E-3</v>
      </c>
      <c r="BN69" s="149">
        <v>0.314345335325867</v>
      </c>
      <c r="BO69" s="149">
        <v>0.20174268709000001</v>
      </c>
      <c r="BP69" s="149">
        <v>0.138165903546423</v>
      </c>
      <c r="BQ69" s="149">
        <v>-0.180666635543416</v>
      </c>
      <c r="BR69" s="149">
        <v>-6.6759911897915594E-2</v>
      </c>
      <c r="BS69" s="149">
        <v>-4.4796648117399203E-2</v>
      </c>
      <c r="BT69" s="149">
        <v>-0.74783244573096896</v>
      </c>
      <c r="BU69" s="149">
        <v>-0.70124313396132498</v>
      </c>
      <c r="BV69" s="149">
        <v>0</v>
      </c>
      <c r="BW69" s="149">
        <v>-3.6665267889505603E-2</v>
      </c>
      <c r="BX69" s="149">
        <v>-0.55635620857048795</v>
      </c>
      <c r="BY69" s="149">
        <v>-0.53501134447697396</v>
      </c>
      <c r="BZ69" s="149">
        <v>-0.49086201741073099</v>
      </c>
      <c r="CA69" s="149">
        <v>-0.25392012884980097</v>
      </c>
      <c r="CB69" s="149">
        <v>0.34168539542056803</v>
      </c>
      <c r="CC69" s="149">
        <v>0.28592748706090398</v>
      </c>
      <c r="CD69" s="149">
        <v>-1.05373729305637E-2</v>
      </c>
      <c r="CE69" s="149">
        <v>0.61440961893518797</v>
      </c>
      <c r="CF69" s="149">
        <v>-0.13433790937492401</v>
      </c>
      <c r="CG69" s="149">
        <v>-7.8136680969233693E-2</v>
      </c>
      <c r="CH69" s="149">
        <v>0.401786998339561</v>
      </c>
      <c r="CI69" s="149">
        <v>0.26464301125460199</v>
      </c>
      <c r="CJ69" s="149">
        <v>8.0549706814525293E-2</v>
      </c>
      <c r="CK69" s="149">
        <v>-0.902727166422858</v>
      </c>
      <c r="CL69" s="149">
        <v>-0.73804458886780899</v>
      </c>
      <c r="CM69" s="149">
        <v>-0.30182523753666901</v>
      </c>
      <c r="CN69" s="149">
        <v>-0.41878018564596198</v>
      </c>
      <c r="CO69" s="149">
        <v>0.57273922834409896</v>
      </c>
      <c r="CP69" s="149">
        <v>3.08002801276855E-2</v>
      </c>
      <c r="CQ69" s="149">
        <v>0.18873192111696099</v>
      </c>
      <c r="CR69" s="149">
        <v>-8.8544166762885207E-2</v>
      </c>
      <c r="CS69" s="149">
        <v>2.2433641066871499E-2</v>
      </c>
      <c r="CT69" s="149">
        <v>1.5428460223543801</v>
      </c>
      <c r="CU69" s="149">
        <v>0.75431391806524695</v>
      </c>
      <c r="CV69" s="149">
        <v>1.21328959187106</v>
      </c>
      <c r="CW69" s="149">
        <v>1.55472482634751</v>
      </c>
      <c r="CX69" s="149">
        <v>0.95527360896558</v>
      </c>
      <c r="CY69" s="149">
        <v>1.7320176241467899</v>
      </c>
      <c r="CZ69" s="149">
        <v>1.40772020515749</v>
      </c>
      <c r="DA69" s="149">
        <v>1.5572287790828001</v>
      </c>
      <c r="DB69" s="149">
        <v>3.1090020042794E-2</v>
      </c>
      <c r="DC69" s="149">
        <v>0.25698290076519198</v>
      </c>
      <c r="DD69" s="149">
        <v>-0.43818008404306902</v>
      </c>
      <c r="DE69" s="149">
        <v>-0.61831819475171301</v>
      </c>
    </row>
    <row r="70" spans="1:109" x14ac:dyDescent="0.25">
      <c r="A70" s="149" t="s">
        <v>267</v>
      </c>
      <c r="B70" s="149" t="s">
        <v>647</v>
      </c>
      <c r="C70" s="149">
        <v>0</v>
      </c>
      <c r="D70" s="149">
        <v>0</v>
      </c>
      <c r="E70" s="149">
        <v>1.0412901379310099E-2</v>
      </c>
      <c r="F70" s="149">
        <v>0</v>
      </c>
      <c r="G70" s="149">
        <v>0</v>
      </c>
      <c r="H70" s="149">
        <v>0</v>
      </c>
      <c r="I70" s="149">
        <v>0</v>
      </c>
      <c r="J70" s="149">
        <v>0</v>
      </c>
      <c r="K70" s="149">
        <v>0</v>
      </c>
      <c r="L70" s="149">
        <v>0</v>
      </c>
      <c r="M70" s="149">
        <v>0</v>
      </c>
      <c r="N70" s="149">
        <v>0</v>
      </c>
      <c r="O70" s="149">
        <v>0</v>
      </c>
      <c r="P70" s="149">
        <v>0</v>
      </c>
      <c r="Q70" s="149">
        <v>0</v>
      </c>
      <c r="R70" s="149">
        <v>0</v>
      </c>
      <c r="S70" s="149">
        <v>0</v>
      </c>
      <c r="T70" s="149">
        <v>0</v>
      </c>
      <c r="U70" s="149">
        <v>3.4514437491121597E-2</v>
      </c>
      <c r="V70" s="149">
        <v>0</v>
      </c>
      <c r="W70" s="149">
        <v>0</v>
      </c>
      <c r="X70" s="149">
        <v>4.3655576055466799E-2</v>
      </c>
      <c r="Y70" s="149">
        <v>0</v>
      </c>
      <c r="Z70" s="149">
        <v>0</v>
      </c>
      <c r="AA70" s="149">
        <v>0</v>
      </c>
      <c r="AB70" s="149">
        <v>0</v>
      </c>
      <c r="AC70" s="149">
        <v>0</v>
      </c>
      <c r="AD70" s="149">
        <v>2.3991406177544E-2</v>
      </c>
      <c r="AE70" s="149">
        <v>0</v>
      </c>
      <c r="AF70" s="149">
        <v>0</v>
      </c>
      <c r="AG70" s="149">
        <v>0</v>
      </c>
      <c r="AH70" s="149">
        <v>0</v>
      </c>
      <c r="AI70" s="149">
        <v>0</v>
      </c>
      <c r="AJ70" s="149">
        <v>0</v>
      </c>
      <c r="AK70" s="149">
        <v>2.6519702691267698E-2</v>
      </c>
      <c r="AL70" s="149">
        <v>0</v>
      </c>
      <c r="AM70" s="149">
        <v>0</v>
      </c>
      <c r="AN70" s="149">
        <v>3.5928179508163099E-2</v>
      </c>
      <c r="AO70" s="149">
        <v>0</v>
      </c>
      <c r="AP70" s="149">
        <v>5.61418115805766E-2</v>
      </c>
      <c r="AQ70" s="149">
        <v>0</v>
      </c>
      <c r="AR70" s="149">
        <v>0</v>
      </c>
      <c r="AS70" s="149">
        <v>0</v>
      </c>
      <c r="AT70" s="149">
        <v>0</v>
      </c>
      <c r="AU70" s="149">
        <v>0</v>
      </c>
      <c r="AV70" s="149">
        <v>0</v>
      </c>
      <c r="AW70" s="149">
        <v>0</v>
      </c>
      <c r="AX70" s="149">
        <v>0</v>
      </c>
      <c r="AY70" s="149">
        <v>0</v>
      </c>
      <c r="AZ70" s="149">
        <v>0</v>
      </c>
      <c r="BA70" s="149">
        <v>0</v>
      </c>
      <c r="BB70" s="149">
        <v>0</v>
      </c>
      <c r="BC70" s="149">
        <v>0</v>
      </c>
      <c r="BD70" s="149">
        <v>0</v>
      </c>
      <c r="BE70" s="149">
        <v>0</v>
      </c>
      <c r="BF70" s="149">
        <v>0</v>
      </c>
      <c r="BG70" s="149">
        <v>0</v>
      </c>
      <c r="BH70" s="149">
        <v>0</v>
      </c>
      <c r="BI70" s="149">
        <v>0</v>
      </c>
      <c r="BJ70" s="149">
        <v>0.101886350880539</v>
      </c>
      <c r="BK70" s="149">
        <v>0</v>
      </c>
      <c r="BL70" s="149">
        <v>0</v>
      </c>
      <c r="BM70" s="149">
        <v>8.3241125056316395E-2</v>
      </c>
      <c r="BN70" s="149">
        <v>0</v>
      </c>
      <c r="BO70" s="149">
        <v>6.0541136238171797E-2</v>
      </c>
      <c r="BP70" s="149">
        <v>0</v>
      </c>
      <c r="BQ70" s="149">
        <v>0</v>
      </c>
      <c r="BR70" s="149">
        <v>0</v>
      </c>
      <c r="BS70" s="149">
        <v>0</v>
      </c>
      <c r="BT70" s="149">
        <v>0</v>
      </c>
      <c r="BU70" s="149">
        <v>0</v>
      </c>
      <c r="BV70" s="149">
        <v>0</v>
      </c>
      <c r="BW70" s="149">
        <v>0</v>
      </c>
      <c r="BX70" s="149">
        <v>0</v>
      </c>
      <c r="BY70" s="149">
        <v>0</v>
      </c>
      <c r="BZ70" s="149">
        <v>0</v>
      </c>
      <c r="CA70" s="149">
        <v>0</v>
      </c>
      <c r="CB70" s="149">
        <v>0.33279807614926299</v>
      </c>
      <c r="CC70" s="149">
        <v>7.2735312754615603E-2</v>
      </c>
      <c r="CD70" s="149">
        <v>3.9406562749598403E-2</v>
      </c>
      <c r="CE70" s="149">
        <v>0</v>
      </c>
      <c r="CF70" s="149">
        <v>0</v>
      </c>
      <c r="CG70" s="149">
        <v>0</v>
      </c>
      <c r="CH70" s="149">
        <v>2.15157676576655E-2</v>
      </c>
      <c r="CI70" s="149">
        <v>2.7879467144533099E-2</v>
      </c>
      <c r="CJ70" s="149">
        <v>0</v>
      </c>
      <c r="CK70" s="149">
        <v>0</v>
      </c>
      <c r="CL70" s="149">
        <v>0</v>
      </c>
      <c r="CM70" s="149">
        <v>0</v>
      </c>
      <c r="CN70" s="149">
        <v>1.13120970432603E-2</v>
      </c>
      <c r="CO70" s="149">
        <v>0</v>
      </c>
      <c r="CP70" s="149">
        <v>0.26287414166928902</v>
      </c>
      <c r="CQ70" s="149">
        <v>8.5979826090877204E-2</v>
      </c>
      <c r="CR70" s="149">
        <v>0</v>
      </c>
      <c r="CS70" s="149">
        <v>3.7113550427815702E-2</v>
      </c>
      <c r="CT70" s="149">
        <v>0.102973057720199</v>
      </c>
      <c r="CU70" s="149">
        <v>0</v>
      </c>
      <c r="CV70" s="149">
        <v>0.151202166223569</v>
      </c>
      <c r="CW70" s="149">
        <v>0.27131508215093902</v>
      </c>
      <c r="CX70" s="149">
        <v>0</v>
      </c>
      <c r="CY70" s="149">
        <v>0.25834666273521001</v>
      </c>
      <c r="CZ70" s="149">
        <v>0.31961310323410702</v>
      </c>
      <c r="DA70" s="149">
        <v>0.186725710051245</v>
      </c>
      <c r="DB70" s="149">
        <v>7.20958827915998E-2</v>
      </c>
      <c r="DC70" s="149">
        <v>0</v>
      </c>
      <c r="DD70" s="149">
        <v>0</v>
      </c>
      <c r="DE70" s="149">
        <v>0</v>
      </c>
    </row>
    <row r="71" spans="1:109" x14ac:dyDescent="0.25">
      <c r="A71" s="149" t="s">
        <v>267</v>
      </c>
      <c r="B71" s="149" t="s">
        <v>648</v>
      </c>
      <c r="C71" s="149">
        <v>2.9085670627903001E-2</v>
      </c>
      <c r="D71" s="149">
        <v>0</v>
      </c>
      <c r="E71" s="149">
        <v>0</v>
      </c>
      <c r="F71" s="149">
        <v>1.2076981813185899E-2</v>
      </c>
      <c r="G71" s="149">
        <v>0</v>
      </c>
      <c r="H71" s="149">
        <v>0</v>
      </c>
      <c r="I71" s="149">
        <v>0</v>
      </c>
      <c r="J71" s="149">
        <v>0</v>
      </c>
      <c r="K71" s="149">
        <v>0</v>
      </c>
      <c r="L71" s="149">
        <v>9.7287379764071594E-3</v>
      </c>
      <c r="M71" s="149">
        <v>0</v>
      </c>
      <c r="N71" s="149">
        <v>0</v>
      </c>
      <c r="O71" s="149">
        <v>3.3017695254004803E-2</v>
      </c>
      <c r="P71" s="149">
        <v>0</v>
      </c>
      <c r="Q71" s="149">
        <v>0</v>
      </c>
      <c r="R71" s="149">
        <v>0</v>
      </c>
      <c r="S71" s="149">
        <v>0</v>
      </c>
      <c r="T71" s="149">
        <v>2.68514269649106E-2</v>
      </c>
      <c r="U71" s="149">
        <v>0</v>
      </c>
      <c r="V71" s="149">
        <v>0</v>
      </c>
      <c r="W71" s="149">
        <v>0</v>
      </c>
      <c r="X71" s="149">
        <v>0</v>
      </c>
      <c r="Y71" s="149">
        <v>0</v>
      </c>
      <c r="Z71" s="149">
        <v>0</v>
      </c>
      <c r="AA71" s="149">
        <v>3.2889619509771199E-2</v>
      </c>
      <c r="AB71" s="149">
        <v>0</v>
      </c>
      <c r="AC71" s="149">
        <v>2.3167288214229999E-2</v>
      </c>
      <c r="AD71" s="149">
        <v>2.3991406177544E-2</v>
      </c>
      <c r="AE71" s="149">
        <v>0</v>
      </c>
      <c r="AF71" s="149">
        <v>3.1002547898568201E-2</v>
      </c>
      <c r="AG71" s="149">
        <v>0</v>
      </c>
      <c r="AH71" s="149">
        <v>0</v>
      </c>
      <c r="AI71" s="149">
        <v>0</v>
      </c>
      <c r="AJ71" s="149">
        <v>0</v>
      </c>
      <c r="AK71" s="149">
        <v>1.3299706440590199E-2</v>
      </c>
      <c r="AL71" s="149">
        <v>1.6199873646318801E-2</v>
      </c>
      <c r="AM71" s="149">
        <v>0</v>
      </c>
      <c r="AN71" s="149">
        <v>1.8054535298380699E-2</v>
      </c>
      <c r="AO71" s="149">
        <v>0</v>
      </c>
      <c r="AP71" s="149">
        <v>0</v>
      </c>
      <c r="AQ71" s="149">
        <v>3.9470693945445397E-2</v>
      </c>
      <c r="AR71" s="149">
        <v>0</v>
      </c>
      <c r="AS71" s="149">
        <v>0</v>
      </c>
      <c r="AT71" s="149">
        <v>0</v>
      </c>
      <c r="AU71" s="149">
        <v>0</v>
      </c>
      <c r="AV71" s="149">
        <v>0</v>
      </c>
      <c r="AW71" s="149">
        <v>0</v>
      </c>
      <c r="AX71" s="149">
        <v>0</v>
      </c>
      <c r="AY71" s="149">
        <v>0</v>
      </c>
      <c r="AZ71" s="149">
        <v>0</v>
      </c>
      <c r="BA71" s="149">
        <v>0</v>
      </c>
      <c r="BB71" s="149">
        <v>0</v>
      </c>
      <c r="BC71" s="149">
        <v>0</v>
      </c>
      <c r="BD71" s="149">
        <v>0</v>
      </c>
      <c r="BE71" s="149">
        <v>0</v>
      </c>
      <c r="BF71" s="149">
        <v>0</v>
      </c>
      <c r="BG71" s="149">
        <v>0</v>
      </c>
      <c r="BH71" s="149">
        <v>0</v>
      </c>
      <c r="BI71" s="149">
        <v>0</v>
      </c>
      <c r="BJ71" s="149">
        <v>0</v>
      </c>
      <c r="BK71" s="149">
        <v>0</v>
      </c>
      <c r="BL71" s="149">
        <v>0</v>
      </c>
      <c r="BM71" s="149">
        <v>0</v>
      </c>
      <c r="BN71" s="149">
        <v>0</v>
      </c>
      <c r="BO71" s="149">
        <v>0</v>
      </c>
      <c r="BP71" s="149">
        <v>0</v>
      </c>
      <c r="BQ71" s="149">
        <v>0</v>
      </c>
      <c r="BR71" s="149">
        <v>0</v>
      </c>
      <c r="BS71" s="149">
        <v>0</v>
      </c>
      <c r="BT71" s="149">
        <v>0</v>
      </c>
      <c r="BU71" s="149">
        <v>0</v>
      </c>
      <c r="BV71" s="149">
        <v>0</v>
      </c>
      <c r="BW71" s="149">
        <v>0</v>
      </c>
      <c r="BX71" s="149">
        <v>6.0518757185305798E-2</v>
      </c>
      <c r="BY71" s="149">
        <v>2.2524407487623702E-2</v>
      </c>
      <c r="BZ71" s="149">
        <v>0</v>
      </c>
      <c r="CA71" s="149">
        <v>0</v>
      </c>
      <c r="CB71" s="149">
        <v>0.66628541989970402</v>
      </c>
      <c r="CC71" s="149">
        <v>1.1743775438159401</v>
      </c>
      <c r="CD71" s="149">
        <v>0.54576480332620003</v>
      </c>
      <c r="CE71" s="149">
        <v>1.09949892292892</v>
      </c>
      <c r="CF71" s="149">
        <v>1.00668249627254</v>
      </c>
      <c r="CG71" s="149">
        <v>0.79356026826579595</v>
      </c>
      <c r="CH71" s="149">
        <v>1.55808396075876</v>
      </c>
      <c r="CI71" s="149">
        <v>0.82274710450317401</v>
      </c>
      <c r="CJ71" s="149">
        <v>0.968471893646906</v>
      </c>
      <c r="CK71" s="149">
        <v>0.53527887638912797</v>
      </c>
      <c r="CL71" s="149">
        <v>0.36854970221586603</v>
      </c>
      <c r="CM71" s="149">
        <v>0.39157387445886299</v>
      </c>
      <c r="CN71" s="149">
        <v>0.44478432333757201</v>
      </c>
      <c r="CO71" s="149">
        <v>0</v>
      </c>
      <c r="CP71" s="149">
        <v>0.35694067456914902</v>
      </c>
      <c r="CQ71" s="149">
        <v>0.57775839054869305</v>
      </c>
      <c r="CR71" s="149">
        <v>0.79855154377592397</v>
      </c>
      <c r="CS71" s="149">
        <v>1.3788568967830399</v>
      </c>
      <c r="CT71" s="149">
        <v>0</v>
      </c>
      <c r="CU71" s="149">
        <v>0</v>
      </c>
      <c r="CV71" s="149">
        <v>4.4339841651960303E-2</v>
      </c>
      <c r="CW71" s="149">
        <v>0</v>
      </c>
      <c r="CX71" s="149">
        <v>0</v>
      </c>
      <c r="CY71" s="149">
        <v>0</v>
      </c>
      <c r="CZ71" s="149">
        <v>0</v>
      </c>
      <c r="DA71" s="149">
        <v>0</v>
      </c>
      <c r="DB71" s="149">
        <v>7.20958827915998E-2</v>
      </c>
      <c r="DC71" s="149">
        <v>9.1472229245127198E-2</v>
      </c>
      <c r="DD71" s="149">
        <v>0</v>
      </c>
      <c r="DE71" s="149">
        <v>0</v>
      </c>
    </row>
    <row r="72" spans="1:109" s="147" customFormat="1" ht="15.75" thickBot="1" x14ac:dyDescent="0.3">
      <c r="A72" s="147" t="s">
        <v>267</v>
      </c>
      <c r="B72" s="147" t="s">
        <v>649</v>
      </c>
      <c r="C72" s="147">
        <v>-4.1861340594575101E-2</v>
      </c>
      <c r="D72" s="147">
        <v>-3.0939392068305E-2</v>
      </c>
      <c r="E72" s="147">
        <v>2.5606627735721602E-2</v>
      </c>
      <c r="F72" s="147">
        <v>-3.2367209801754303E-2</v>
      </c>
      <c r="G72" s="147">
        <v>-3.7183348890780302E-2</v>
      </c>
      <c r="H72" s="147">
        <v>-4.5790803401091998E-2</v>
      </c>
      <c r="I72" s="147">
        <v>1.5652555320782802E-2</v>
      </c>
      <c r="J72" s="147">
        <v>-2.60404605317371E-2</v>
      </c>
      <c r="K72" s="147">
        <v>-1.0287361458974501E-2</v>
      </c>
      <c r="L72" s="147">
        <v>-1.7816340696192E-2</v>
      </c>
      <c r="M72" s="147">
        <v>-3.30038282928619E-2</v>
      </c>
      <c r="N72" s="147">
        <v>9.2150979304633698E-3</v>
      </c>
      <c r="O72" s="147">
        <v>7.1999159304128396E-2</v>
      </c>
      <c r="P72" s="147">
        <v>1.6123616795502199E-2</v>
      </c>
      <c r="Q72" s="147">
        <v>3.2976978921573398E-2</v>
      </c>
      <c r="R72" s="147">
        <v>8.7805725033125004E-2</v>
      </c>
      <c r="S72" s="147">
        <v>-2.3840523154099201E-2</v>
      </c>
      <c r="T72" s="147">
        <v>-2.96048693804765E-2</v>
      </c>
      <c r="U72" s="147">
        <v>-2.1941858854265299E-2</v>
      </c>
      <c r="V72" s="147">
        <v>5.0518326562629098E-2</v>
      </c>
      <c r="W72" s="147">
        <v>-3.1263523761915997E-2</v>
      </c>
      <c r="X72" s="147">
        <v>0.111937753322868</v>
      </c>
      <c r="Y72" s="147">
        <v>2.1246122615858499E-2</v>
      </c>
      <c r="Z72" s="147">
        <v>4.4633532025809303E-2</v>
      </c>
      <c r="AA72" s="147">
        <v>7.1600610194004294E-2</v>
      </c>
      <c r="AB72" s="147">
        <v>-5.6456296345386799E-2</v>
      </c>
      <c r="AC72" s="147">
        <v>1.2146430124271201E-2</v>
      </c>
      <c r="AD72" s="147">
        <v>1.45675661584071E-2</v>
      </c>
      <c r="AE72" s="147">
        <v>4.6656595761150499E-2</v>
      </c>
      <c r="AF72" s="147">
        <v>-2.5453748446818799E-2</v>
      </c>
      <c r="AG72" s="147">
        <v>9.1303470845444004E-2</v>
      </c>
      <c r="AH72" s="147">
        <v>6.5551194084783201E-2</v>
      </c>
      <c r="AI72" s="147">
        <v>3.2961634311984497E-2</v>
      </c>
      <c r="AJ72" s="147">
        <v>-2.8027807356120799E-3</v>
      </c>
      <c r="AK72" s="147">
        <v>3.5008766912109399E-2</v>
      </c>
      <c r="AL72" s="147">
        <v>-8.1788360440863406E-3</v>
      </c>
      <c r="AM72" s="147">
        <v>0.123747209543495</v>
      </c>
      <c r="AN72" s="147">
        <v>-3.84017610470061E-2</v>
      </c>
      <c r="AO72" s="147">
        <v>6.2169952590564202E-2</v>
      </c>
      <c r="AP72" s="147">
        <v>-5.6456296345386799E-2</v>
      </c>
      <c r="AQ72" s="147">
        <v>2.1568215519437901E-2</v>
      </c>
      <c r="AR72" s="147">
        <v>-5.6456296345386799E-2</v>
      </c>
      <c r="AS72" s="147">
        <v>6.7755047854552095E-2</v>
      </c>
      <c r="AT72" s="147">
        <v>-8.3558194667994502E-3</v>
      </c>
      <c r="AU72" s="147">
        <v>1.6154715051999901E-2</v>
      </c>
      <c r="AV72" s="147">
        <v>0.111998247294812</v>
      </c>
      <c r="AW72" s="147">
        <v>-5.6456296345386799E-2</v>
      </c>
      <c r="AX72" s="147">
        <v>-5.6456296345386799E-2</v>
      </c>
      <c r="AY72" s="147">
        <v>-4.3788308037170003E-3</v>
      </c>
      <c r="AZ72" s="147">
        <v>8.9535141253476308E-3</v>
      </c>
      <c r="BA72" s="147">
        <v>-5.6456296345386799E-2</v>
      </c>
      <c r="BB72" s="147">
        <v>1.6031883482790402E-2</v>
      </c>
      <c r="BC72" s="147">
        <v>9.9279905722495301E-2</v>
      </c>
      <c r="BD72" s="147">
        <v>-5.6456296345386799E-2</v>
      </c>
      <c r="BE72" s="147">
        <v>-5.6456296345386799E-2</v>
      </c>
      <c r="BF72" s="147">
        <v>-5.6456296345386799E-2</v>
      </c>
      <c r="BG72" s="147">
        <v>-5.6456296345386799E-2</v>
      </c>
      <c r="BH72" s="147">
        <v>-5.6456296345386799E-2</v>
      </c>
      <c r="BI72" s="147">
        <v>-5.6456296345386799E-2</v>
      </c>
      <c r="BJ72" s="147">
        <v>-5.6456296345386799E-2</v>
      </c>
      <c r="BK72" s="147">
        <v>-5.6456296345386799E-2</v>
      </c>
      <c r="BL72" s="147">
        <v>-5.6456296345386799E-2</v>
      </c>
      <c r="BM72" s="147">
        <v>-5.6456296345386799E-2</v>
      </c>
      <c r="BN72" s="147">
        <v>-3.0530263052385001E-2</v>
      </c>
      <c r="BO72" s="147">
        <v>-5.6456296345386799E-2</v>
      </c>
      <c r="BP72" s="147">
        <v>-5.6456296345386799E-2</v>
      </c>
      <c r="BQ72" s="147">
        <v>-5.6456296345386799E-2</v>
      </c>
      <c r="BR72" s="147">
        <v>-5.6456296345386799E-2</v>
      </c>
      <c r="BS72" s="147">
        <v>6.9115072221856894E-2</v>
      </c>
      <c r="BT72" s="147">
        <v>-5.6456296345386799E-2</v>
      </c>
      <c r="BU72" s="147">
        <v>-5.6456296345386799E-2</v>
      </c>
      <c r="BV72" s="147">
        <v>2.4244616402761002E-2</v>
      </c>
      <c r="BW72" s="147">
        <v>-5.6456296345386799E-2</v>
      </c>
      <c r="BX72" s="147">
        <v>4.0624608399189299E-3</v>
      </c>
      <c r="BY72" s="147">
        <v>-2.0860563830839101E-2</v>
      </c>
      <c r="BZ72" s="147">
        <v>6.2432749411160997E-2</v>
      </c>
      <c r="CA72" s="147">
        <v>-2.35959007765029E-2</v>
      </c>
      <c r="CB72" s="147">
        <v>0.248387034843186</v>
      </c>
      <c r="CC72" s="147">
        <v>0</v>
      </c>
      <c r="CD72" s="147">
        <v>3.45149216398715E-2</v>
      </c>
      <c r="CE72" s="147">
        <v>7.4587748598723205E-2</v>
      </c>
      <c r="CF72" s="147">
        <v>7.3913779806220103E-2</v>
      </c>
      <c r="CG72" s="147">
        <v>-3.1741119576529898E-2</v>
      </c>
      <c r="CH72" s="147">
        <v>6.9375063635241194E-2</v>
      </c>
      <c r="CI72" s="147">
        <v>7.9153791992010405E-2</v>
      </c>
      <c r="CJ72" s="147">
        <v>3.1636770449287401E-2</v>
      </c>
      <c r="CK72" s="147">
        <v>2.87149141944552E-2</v>
      </c>
      <c r="CL72" s="147">
        <v>6.4081292851410093E-2</v>
      </c>
      <c r="CM72" s="147">
        <v>-3.2356743323837603E-2</v>
      </c>
      <c r="CN72" s="147">
        <v>-3.9655786578160702E-4</v>
      </c>
      <c r="CO72" s="147">
        <v>-3.2687228192373803E-2</v>
      </c>
      <c r="CP72" s="147">
        <v>1.3129525433127801E-2</v>
      </c>
      <c r="CQ72" s="147">
        <v>2.9523529745490398E-2</v>
      </c>
      <c r="CR72" s="147">
        <v>-2.2320941274797799E-2</v>
      </c>
      <c r="CS72" s="147">
        <v>0.121748870926728</v>
      </c>
      <c r="CT72" s="147">
        <v>4.65167613748119E-2</v>
      </c>
      <c r="CU72" s="147">
        <v>-5.6456296345386799E-2</v>
      </c>
      <c r="CV72" s="147">
        <v>7.8371463849985001E-2</v>
      </c>
      <c r="CW72" s="147">
        <v>0.12458911376963799</v>
      </c>
      <c r="CX72" s="147">
        <v>0.22209592845675499</v>
      </c>
      <c r="CY72" s="147">
        <v>0.14723205232528699</v>
      </c>
      <c r="CZ72" s="147">
        <v>7.7292020211446905E-2</v>
      </c>
      <c r="DA72" s="147">
        <v>8.5442634366741696E-2</v>
      </c>
      <c r="DB72" s="147">
        <v>1.5639586446213199E-2</v>
      </c>
      <c r="DC72" s="147">
        <v>3.5015932899740303E-2</v>
      </c>
      <c r="DD72" s="147">
        <v>-5.6456296345386799E-2</v>
      </c>
      <c r="DE72" s="147">
        <v>-5.6456296345386799E-2</v>
      </c>
    </row>
    <row r="74" spans="1:109" x14ac:dyDescent="0.25">
      <c r="A74" s="231" t="s">
        <v>81</v>
      </c>
      <c r="B74" s="231"/>
      <c r="C74" s="149">
        <f>AVERAGE(C2:C72)</f>
        <v>0.12760698303228515</v>
      </c>
      <c r="D74" s="149">
        <f t="shared" ref="D74:BO74" si="0">AVERAGE(D2:D72)</f>
        <v>0.12085989621561748</v>
      </c>
      <c r="E74" s="149">
        <f t="shared" si="0"/>
        <v>0.1979101309625515</v>
      </c>
      <c r="F74" s="149">
        <f t="shared" si="0"/>
        <v>0.1943492714172842</v>
      </c>
      <c r="G74" s="149">
        <f t="shared" si="0"/>
        <v>0.16951047759946744</v>
      </c>
      <c r="H74" s="149">
        <f t="shared" si="0"/>
        <v>0.19119582967429957</v>
      </c>
      <c r="I74" s="149">
        <f t="shared" si="0"/>
        <v>0.18334797618440718</v>
      </c>
      <c r="J74" s="149">
        <f t="shared" si="0"/>
        <v>0.19977141632541959</v>
      </c>
      <c r="K74" s="149">
        <f t="shared" si="0"/>
        <v>0.18576657261878879</v>
      </c>
      <c r="L74" s="149">
        <f t="shared" si="0"/>
        <v>0.15770172524715198</v>
      </c>
      <c r="M74" s="149">
        <f t="shared" si="0"/>
        <v>0.20979446729153003</v>
      </c>
      <c r="N74" s="149">
        <f t="shared" si="0"/>
        <v>0.18435107083034971</v>
      </c>
      <c r="O74" s="149">
        <f t="shared" si="0"/>
        <v>0.13468798383782238</v>
      </c>
      <c r="P74" s="149">
        <f t="shared" si="0"/>
        <v>0.10379456706700899</v>
      </c>
      <c r="Q74" s="149">
        <f t="shared" si="0"/>
        <v>0.10508910684191544</v>
      </c>
      <c r="R74" s="149">
        <f t="shared" si="0"/>
        <v>0.1340407025512676</v>
      </c>
      <c r="S74" s="149">
        <f t="shared" si="0"/>
        <v>0.1024631439754196</v>
      </c>
      <c r="T74" s="149">
        <f t="shared" si="0"/>
        <v>0.11666882428779646</v>
      </c>
      <c r="U74" s="149">
        <f t="shared" si="0"/>
        <v>0.10158062299235836</v>
      </c>
      <c r="V74" s="149">
        <f t="shared" si="0"/>
        <v>0.13107574753935192</v>
      </c>
      <c r="W74" s="149">
        <f t="shared" si="0"/>
        <v>0.16814329298727576</v>
      </c>
      <c r="X74" s="149">
        <f t="shared" si="0"/>
        <v>0.12537677168419775</v>
      </c>
      <c r="Y74" s="149">
        <f t="shared" si="0"/>
        <v>0.16381142888116265</v>
      </c>
      <c r="Z74" s="149">
        <f t="shared" si="0"/>
        <v>0.16681095284514239</v>
      </c>
      <c r="AA74" s="149">
        <f t="shared" si="0"/>
        <v>0.16565141053387833</v>
      </c>
      <c r="AB74" s="149">
        <f t="shared" si="0"/>
        <v>0.15499396925531489</v>
      </c>
      <c r="AC74" s="149">
        <f t="shared" si="0"/>
        <v>0.15331610404409565</v>
      </c>
      <c r="AD74" s="149">
        <f t="shared" si="0"/>
        <v>0.17208555936367903</v>
      </c>
      <c r="AE74" s="149">
        <f t="shared" si="0"/>
        <v>0.17165173724175165</v>
      </c>
      <c r="AF74" s="149">
        <f t="shared" si="0"/>
        <v>0.16866391828729715</v>
      </c>
      <c r="AG74" s="149">
        <f t="shared" si="0"/>
        <v>0.16257924223388195</v>
      </c>
      <c r="AH74" s="149">
        <f t="shared" si="0"/>
        <v>0.14199321857130462</v>
      </c>
      <c r="AI74" s="149">
        <f t="shared" si="0"/>
        <v>0.16528097880747672</v>
      </c>
      <c r="AJ74" s="149">
        <f t="shared" si="0"/>
        <v>0.15299860145172672</v>
      </c>
      <c r="AK74" s="149">
        <f t="shared" si="0"/>
        <v>8.7555446433823847E-2</v>
      </c>
      <c r="AL74" s="149">
        <f t="shared" si="0"/>
        <v>0.10704399363544261</v>
      </c>
      <c r="AM74" s="149">
        <f t="shared" si="0"/>
        <v>7.1131340237118534E-2</v>
      </c>
      <c r="AN74" s="149">
        <f t="shared" si="0"/>
        <v>0.15437240999954419</v>
      </c>
      <c r="AO74" s="149">
        <f t="shared" si="0"/>
        <v>0.10166517496379925</v>
      </c>
      <c r="AP74" s="149">
        <f t="shared" si="0"/>
        <v>6.3759122598102722E-2</v>
      </c>
      <c r="AQ74" s="149">
        <f t="shared" si="0"/>
        <v>8.7433639919475906E-2</v>
      </c>
      <c r="AR74" s="149">
        <f t="shared" si="0"/>
        <v>8.030675614344493E-2</v>
      </c>
      <c r="AS74" s="149">
        <f t="shared" si="0"/>
        <v>7.8287321496773837E-2</v>
      </c>
      <c r="AT74" s="149">
        <f t="shared" si="0"/>
        <v>9.13039421663316E-2</v>
      </c>
      <c r="AU74" s="149">
        <f t="shared" si="0"/>
        <v>5.3883757548776459E-2</v>
      </c>
      <c r="AV74" s="149">
        <f t="shared" si="0"/>
        <v>4.8217555672546583E-2</v>
      </c>
      <c r="AW74" s="149">
        <f t="shared" si="0"/>
        <v>0.10033881198222848</v>
      </c>
      <c r="AX74" s="149">
        <f t="shared" si="0"/>
        <v>0.1399304669575904</v>
      </c>
      <c r="AY74" s="149">
        <f t="shared" si="0"/>
        <v>0.1532092114663299</v>
      </c>
      <c r="AZ74" s="149">
        <f t="shared" si="0"/>
        <v>9.6369088235105205E-2</v>
      </c>
      <c r="BA74" s="149">
        <f t="shared" si="0"/>
        <v>-6.4728125166364628E-2</v>
      </c>
      <c r="BB74" s="149">
        <f t="shared" si="0"/>
        <v>-3.2241226324195696E-2</v>
      </c>
      <c r="BC74" s="149">
        <f t="shared" si="0"/>
        <v>-0.10176528304125264</v>
      </c>
      <c r="BD74" s="149">
        <f t="shared" si="0"/>
        <v>-6.9305170896366314E-2</v>
      </c>
      <c r="BE74" s="149">
        <f t="shared" si="0"/>
        <v>-6.4400498091880642E-2</v>
      </c>
      <c r="BF74" s="149">
        <f t="shared" si="0"/>
        <v>-0.15148168082551672</v>
      </c>
      <c r="BG74" s="149">
        <f t="shared" si="0"/>
        <v>-0.10572446569704995</v>
      </c>
      <c r="BH74" s="149">
        <f t="shared" si="0"/>
        <v>-0.1415916008270568</v>
      </c>
      <c r="BI74" s="149">
        <f t="shared" si="0"/>
        <v>-8.1189882582459863E-2</v>
      </c>
      <c r="BJ74" s="149">
        <f t="shared" si="0"/>
        <v>-7.7107535011727388E-2</v>
      </c>
      <c r="BK74" s="149">
        <f t="shared" si="0"/>
        <v>-0.11052626455424826</v>
      </c>
      <c r="BL74" s="149">
        <f t="shared" si="0"/>
        <v>1.5139114226736456E-2</v>
      </c>
      <c r="BM74" s="149">
        <f t="shared" si="0"/>
        <v>2.4505001884998604E-2</v>
      </c>
      <c r="BN74" s="149">
        <f t="shared" si="0"/>
        <v>6.6203232913561796E-2</v>
      </c>
      <c r="BO74" s="149">
        <f t="shared" si="0"/>
        <v>3.7100293399282121E-2</v>
      </c>
      <c r="BP74" s="149">
        <f t="shared" ref="BP74:DE74" si="1">AVERAGE(BP2:BP72)</f>
        <v>4.1562237866651842E-2</v>
      </c>
      <c r="BQ74" s="149">
        <f t="shared" si="1"/>
        <v>-1.8218664575113175E-2</v>
      </c>
      <c r="BR74" s="149">
        <f t="shared" si="1"/>
        <v>-1.8679022098357571E-3</v>
      </c>
      <c r="BS74" s="149">
        <f t="shared" si="1"/>
        <v>-2.7122597918020828E-2</v>
      </c>
      <c r="BT74" s="149">
        <f t="shared" si="1"/>
        <v>-5.4113670697781315E-2</v>
      </c>
      <c r="BU74" s="149">
        <f t="shared" si="1"/>
        <v>-6.5026272233437446E-2</v>
      </c>
      <c r="BV74" s="149">
        <f t="shared" si="1"/>
        <v>3.5459220566653113E-2</v>
      </c>
      <c r="BW74" s="149">
        <f t="shared" si="1"/>
        <v>-1.3777219859674152E-2</v>
      </c>
      <c r="BX74" s="149">
        <f t="shared" si="1"/>
        <v>-8.5348318788285929E-2</v>
      </c>
      <c r="BY74" s="149">
        <f t="shared" si="1"/>
        <v>-8.5614804834406949E-2</v>
      </c>
      <c r="BZ74" s="149">
        <f t="shared" si="1"/>
        <v>-2.8722919498639757E-2</v>
      </c>
      <c r="CA74" s="149">
        <f t="shared" si="1"/>
        <v>0.17162627821949139</v>
      </c>
      <c r="CB74" s="149">
        <f t="shared" si="1"/>
        <v>-0.65529740459414243</v>
      </c>
      <c r="CC74" s="149">
        <f t="shared" si="1"/>
        <v>-0.64384938671730862</v>
      </c>
      <c r="CD74" s="149">
        <f t="shared" si="1"/>
        <v>-3.7662436120510678E-2</v>
      </c>
      <c r="CE74" s="149">
        <f t="shared" si="1"/>
        <v>-0.56726490775020821</v>
      </c>
      <c r="CF74" s="149">
        <f t="shared" si="1"/>
        <v>-0.62632432634548563</v>
      </c>
      <c r="CG74" s="149">
        <f t="shared" si="1"/>
        <v>-0.53471684731916003</v>
      </c>
      <c r="CH74" s="149">
        <f t="shared" si="1"/>
        <v>-0.52639892369213004</v>
      </c>
      <c r="CI74" s="149">
        <f t="shared" si="1"/>
        <v>-0.51022366686403187</v>
      </c>
      <c r="CJ74" s="149">
        <f t="shared" si="1"/>
        <v>-0.50501361323500593</v>
      </c>
      <c r="CK74" s="149">
        <f t="shared" si="1"/>
        <v>-0.58236796747077368</v>
      </c>
      <c r="CL74" s="149">
        <f t="shared" si="1"/>
        <v>-0.59572422632069133</v>
      </c>
      <c r="CM74" s="149">
        <f t="shared" si="1"/>
        <v>-0.47087820872032665</v>
      </c>
      <c r="CN74" s="149">
        <f t="shared" si="1"/>
        <v>-0.5687305726779559</v>
      </c>
      <c r="CO74" s="149">
        <f t="shared" si="1"/>
        <v>-0.7236708860095501</v>
      </c>
      <c r="CP74" s="149">
        <f t="shared" si="1"/>
        <v>-0.66130933257959412</v>
      </c>
      <c r="CQ74" s="149">
        <f t="shared" si="1"/>
        <v>-0.56761409420646858</v>
      </c>
      <c r="CR74" s="149">
        <f t="shared" si="1"/>
        <v>-0.48058894545065495</v>
      </c>
      <c r="CS74" s="149">
        <f t="shared" si="1"/>
        <v>-0.5892983615350893</v>
      </c>
      <c r="CT74" s="149">
        <f t="shared" si="1"/>
        <v>-0.67642980995971136</v>
      </c>
      <c r="CU74" s="149">
        <f t="shared" si="1"/>
        <v>-0.13041458583708648</v>
      </c>
      <c r="CV74" s="149">
        <f t="shared" si="1"/>
        <v>-8.5075560709424403E-2</v>
      </c>
      <c r="CW74" s="149">
        <f t="shared" si="1"/>
        <v>-0.49152882916334867</v>
      </c>
      <c r="CX74" s="149">
        <f t="shared" si="1"/>
        <v>-0.74488697075846844</v>
      </c>
      <c r="CY74" s="149">
        <f t="shared" si="1"/>
        <v>-0.72772121240524901</v>
      </c>
      <c r="CZ74" s="149">
        <f t="shared" si="1"/>
        <v>-0.60791499636530666</v>
      </c>
      <c r="DA74" s="149">
        <f t="shared" si="1"/>
        <v>-0.71733953048696764</v>
      </c>
      <c r="DB74" s="149">
        <f t="shared" si="1"/>
        <v>7.2001572498546496E-3</v>
      </c>
      <c r="DC74" s="149">
        <f t="shared" si="1"/>
        <v>-7.0348198988912064E-2</v>
      </c>
      <c r="DD74" s="149">
        <f t="shared" si="1"/>
        <v>4.8021867640425021E-2</v>
      </c>
      <c r="DE74" s="149">
        <f t="shared" si="1"/>
        <v>-0.18475581072709818</v>
      </c>
    </row>
    <row r="75" spans="1:109" x14ac:dyDescent="0.25">
      <c r="A75" s="231" t="s">
        <v>262</v>
      </c>
      <c r="B75" s="231"/>
      <c r="C75" s="149">
        <f>AVERAGE(C25:C49)</f>
        <v>0.10038841930612091</v>
      </c>
      <c r="D75" s="149">
        <f t="shared" ref="D75:BO75" si="2">AVERAGE(D25:D49)</f>
        <v>5.9582049659772901E-2</v>
      </c>
      <c r="E75" s="149">
        <f t="shared" si="2"/>
        <v>0.11880144525984405</v>
      </c>
      <c r="F75" s="149">
        <f t="shared" si="2"/>
        <v>0.20034850055570488</v>
      </c>
      <c r="G75" s="149">
        <f t="shared" si="2"/>
        <v>0.17680329571097922</v>
      </c>
      <c r="H75" s="149">
        <f t="shared" si="2"/>
        <v>0.19533224798219812</v>
      </c>
      <c r="I75" s="149">
        <f t="shared" si="2"/>
        <v>0.19517771384057145</v>
      </c>
      <c r="J75" s="149">
        <f t="shared" si="2"/>
        <v>0.19837768094338837</v>
      </c>
      <c r="K75" s="149">
        <f t="shared" si="2"/>
        <v>0.17902375225118483</v>
      </c>
      <c r="L75" s="149">
        <f t="shared" si="2"/>
        <v>0.12409252205115512</v>
      </c>
      <c r="M75" s="149">
        <f t="shared" si="2"/>
        <v>0.19889307985597054</v>
      </c>
      <c r="N75" s="149">
        <f t="shared" si="2"/>
        <v>0.19571653980393555</v>
      </c>
      <c r="O75" s="149">
        <f t="shared" si="2"/>
        <v>5.7770153572347133E-2</v>
      </c>
      <c r="P75" s="149">
        <f t="shared" si="2"/>
        <v>4.4003472656368878E-2</v>
      </c>
      <c r="Q75" s="149">
        <f t="shared" si="2"/>
        <v>3.5986918198169106E-2</v>
      </c>
      <c r="R75" s="149">
        <f t="shared" si="2"/>
        <v>1.3627420231926679E-2</v>
      </c>
      <c r="S75" s="149">
        <f t="shared" si="2"/>
        <v>1.2648969778518921E-2</v>
      </c>
      <c r="T75" s="149">
        <f t="shared" si="2"/>
        <v>3.2060571434262609E-3</v>
      </c>
      <c r="U75" s="149">
        <f t="shared" si="2"/>
        <v>-1.6003822424387887E-2</v>
      </c>
      <c r="V75" s="149">
        <f t="shared" si="2"/>
        <v>4.2223319994165774E-3</v>
      </c>
      <c r="W75" s="149">
        <f t="shared" si="2"/>
        <v>7.5733709727745527E-2</v>
      </c>
      <c r="X75" s="149">
        <f t="shared" si="2"/>
        <v>8.5260557437678686E-2</v>
      </c>
      <c r="Y75" s="149">
        <f t="shared" si="2"/>
        <v>7.2808067385119579E-2</v>
      </c>
      <c r="Z75" s="149">
        <f t="shared" si="2"/>
        <v>7.389467787025715E-2</v>
      </c>
      <c r="AA75" s="149">
        <f t="shared" si="2"/>
        <v>9.9534340961386511E-2</v>
      </c>
      <c r="AB75" s="149">
        <f t="shared" si="2"/>
        <v>0.10805592801941337</v>
      </c>
      <c r="AC75" s="149">
        <f t="shared" si="2"/>
        <v>0.12342482660802856</v>
      </c>
      <c r="AD75" s="149">
        <f t="shared" si="2"/>
        <v>0.14124543326296959</v>
      </c>
      <c r="AE75" s="149">
        <f t="shared" si="2"/>
        <v>0.10139154862097902</v>
      </c>
      <c r="AF75" s="149">
        <f t="shared" si="2"/>
        <v>9.5973410174636772E-2</v>
      </c>
      <c r="AG75" s="149">
        <f t="shared" si="2"/>
        <v>9.4402794722328723E-2</v>
      </c>
      <c r="AH75" s="149">
        <f t="shared" si="2"/>
        <v>0.11487143539943745</v>
      </c>
      <c r="AI75" s="149">
        <f t="shared" si="2"/>
        <v>0.11868887754341474</v>
      </c>
      <c r="AJ75" s="149">
        <f t="shared" si="2"/>
        <v>0.1215007318374203</v>
      </c>
      <c r="AK75" s="149">
        <f t="shared" si="2"/>
        <v>4.0064520493617396E-2</v>
      </c>
      <c r="AL75" s="149">
        <f t="shared" si="2"/>
        <v>1.580947363620263E-2</v>
      </c>
      <c r="AM75" s="149">
        <f t="shared" si="2"/>
        <v>-3.9702559747701809E-2</v>
      </c>
      <c r="AN75" s="149">
        <f t="shared" si="2"/>
        <v>3.1928360623692337E-2</v>
      </c>
      <c r="AO75" s="149">
        <f t="shared" si="2"/>
        <v>-2.8624666194140173E-2</v>
      </c>
      <c r="AP75" s="149">
        <f t="shared" si="2"/>
        <v>-2.3618915466906799E-2</v>
      </c>
      <c r="AQ75" s="149">
        <f t="shared" si="2"/>
        <v>-3.9989286869129323E-2</v>
      </c>
      <c r="AR75" s="149">
        <f t="shared" si="2"/>
        <v>-1.0870932251451937E-2</v>
      </c>
      <c r="AS75" s="149">
        <f t="shared" si="2"/>
        <v>-3.258009166817627E-2</v>
      </c>
      <c r="AT75" s="149">
        <f t="shared" si="2"/>
        <v>-1.4932615762905475E-2</v>
      </c>
      <c r="AU75" s="149">
        <f t="shared" si="2"/>
        <v>-4.1364958182790346E-2</v>
      </c>
      <c r="AV75" s="149">
        <f t="shared" si="2"/>
        <v>-1.3707673392477096E-2</v>
      </c>
      <c r="AW75" s="149">
        <f t="shared" si="2"/>
        <v>9.439182272446231E-2</v>
      </c>
      <c r="AX75" s="149">
        <f t="shared" si="2"/>
        <v>0.16089861622317175</v>
      </c>
      <c r="AY75" s="149">
        <f t="shared" si="2"/>
        <v>0.20724851101444153</v>
      </c>
      <c r="AZ75" s="149">
        <f t="shared" si="2"/>
        <v>0.13167704144288708</v>
      </c>
      <c r="BA75" s="149">
        <f t="shared" si="2"/>
        <v>-4.5758687019203055E-2</v>
      </c>
      <c r="BB75" s="149">
        <f t="shared" si="2"/>
        <v>2.1461359812542012E-2</v>
      </c>
      <c r="BC75" s="149">
        <f t="shared" si="2"/>
        <v>-6.4149418388647086E-2</v>
      </c>
      <c r="BD75" s="149">
        <f t="shared" si="2"/>
        <v>-9.7874394913739435E-2</v>
      </c>
      <c r="BE75" s="149">
        <f t="shared" si="2"/>
        <v>1.7079412437679051E-2</v>
      </c>
      <c r="BF75" s="149">
        <f t="shared" si="2"/>
        <v>-9.2078421122188253E-2</v>
      </c>
      <c r="BG75" s="149">
        <f t="shared" si="2"/>
        <v>-0.11085244096593046</v>
      </c>
      <c r="BH75" s="149">
        <f t="shared" si="2"/>
        <v>-0.17737842658510874</v>
      </c>
      <c r="BI75" s="149">
        <f t="shared" si="2"/>
        <v>-5.3305865020208378E-2</v>
      </c>
      <c r="BJ75" s="149">
        <f t="shared" si="2"/>
        <v>-2.227815312927714E-2</v>
      </c>
      <c r="BK75" s="149">
        <f t="shared" si="2"/>
        <v>-4.0293526791902554E-2</v>
      </c>
      <c r="BL75" s="149">
        <f t="shared" si="2"/>
        <v>8.5209883471319414E-3</v>
      </c>
      <c r="BM75" s="149">
        <f t="shared" si="2"/>
        <v>7.803999089184914E-2</v>
      </c>
      <c r="BN75" s="149">
        <f t="shared" si="2"/>
        <v>0.11419946323007357</v>
      </c>
      <c r="BO75" s="149">
        <f t="shared" si="2"/>
        <v>7.3826483004889698E-2</v>
      </c>
      <c r="BP75" s="149">
        <f t="shared" ref="BP75:DE75" si="3">AVERAGE(BP25:BP49)</f>
        <v>4.3337354275380539E-2</v>
      </c>
      <c r="BQ75" s="149">
        <f t="shared" si="3"/>
        <v>-7.338902279710977E-3</v>
      </c>
      <c r="BR75" s="149">
        <f t="shared" si="3"/>
        <v>8.7173827675452124E-3</v>
      </c>
      <c r="BS75" s="149">
        <f t="shared" si="3"/>
        <v>1.7521473362708904E-2</v>
      </c>
      <c r="BT75" s="149">
        <f t="shared" si="3"/>
        <v>1.1057866639947695E-2</v>
      </c>
      <c r="BU75" s="149">
        <f t="shared" si="3"/>
        <v>6.5165906026310493E-3</v>
      </c>
      <c r="BV75" s="149">
        <f t="shared" si="3"/>
        <v>0.10296117275750052</v>
      </c>
      <c r="BW75" s="149">
        <f t="shared" si="3"/>
        <v>3.0971341420358671E-2</v>
      </c>
      <c r="BX75" s="149">
        <f t="shared" si="3"/>
        <v>-0.16361072900532439</v>
      </c>
      <c r="BY75" s="149">
        <f t="shared" si="3"/>
        <v>-0.21922958662103523</v>
      </c>
      <c r="BZ75" s="149">
        <f t="shared" si="3"/>
        <v>-0.11691683404546012</v>
      </c>
      <c r="CA75" s="149">
        <f t="shared" si="3"/>
        <v>0.18645533750789386</v>
      </c>
      <c r="CB75" s="149">
        <f t="shared" si="3"/>
        <v>-0.68306962432850415</v>
      </c>
      <c r="CC75" s="149">
        <f t="shared" si="3"/>
        <v>-0.65284877535988772</v>
      </c>
      <c r="CD75" s="149">
        <f t="shared" si="3"/>
        <v>5.7520864787754603E-3</v>
      </c>
      <c r="CE75" s="149">
        <f t="shared" si="3"/>
        <v>-0.61410848486553782</v>
      </c>
      <c r="CF75" s="149">
        <f t="shared" si="3"/>
        <v>-0.65045882076914441</v>
      </c>
      <c r="CG75" s="149">
        <f t="shared" si="3"/>
        <v>-0.46339574248046267</v>
      </c>
      <c r="CH75" s="149">
        <f t="shared" si="3"/>
        <v>-0.56083086359544043</v>
      </c>
      <c r="CI75" s="149">
        <f t="shared" si="3"/>
        <v>-0.39603596352337517</v>
      </c>
      <c r="CJ75" s="149">
        <f t="shared" si="3"/>
        <v>-0.42673944242727119</v>
      </c>
      <c r="CK75" s="149">
        <f t="shared" si="3"/>
        <v>-0.4738825360910684</v>
      </c>
      <c r="CL75" s="149">
        <f t="shared" si="3"/>
        <v>-0.45009804661475122</v>
      </c>
      <c r="CM75" s="149">
        <f t="shared" si="3"/>
        <v>-0.31130359930033241</v>
      </c>
      <c r="CN75" s="149">
        <f t="shared" si="3"/>
        <v>-0.40889772115340395</v>
      </c>
      <c r="CO75" s="149">
        <f t="shared" si="3"/>
        <v>-0.71616064210734054</v>
      </c>
      <c r="CP75" s="149">
        <f t="shared" si="3"/>
        <v>-0.63616014684176636</v>
      </c>
      <c r="CQ75" s="149">
        <f t="shared" si="3"/>
        <v>-0.53771860247761882</v>
      </c>
      <c r="CR75" s="149">
        <f t="shared" si="3"/>
        <v>-0.42827790054883785</v>
      </c>
      <c r="CS75" s="149">
        <f t="shared" si="3"/>
        <v>-0.67160668844783911</v>
      </c>
      <c r="CT75" s="149">
        <f t="shared" si="3"/>
        <v>-0.69830805243788097</v>
      </c>
      <c r="CU75" s="149">
        <f t="shared" si="3"/>
        <v>-0.14205843148260389</v>
      </c>
      <c r="CV75" s="149">
        <f t="shared" si="3"/>
        <v>-0.11605367588478729</v>
      </c>
      <c r="CW75" s="149">
        <f t="shared" si="3"/>
        <v>-0.51217535539541759</v>
      </c>
      <c r="CX75" s="149">
        <f t="shared" si="3"/>
        <v>-0.78200671471172678</v>
      </c>
      <c r="CY75" s="149">
        <f t="shared" si="3"/>
        <v>-0.79013398067651719</v>
      </c>
      <c r="CZ75" s="149">
        <f t="shared" si="3"/>
        <v>-0.65488655020912279</v>
      </c>
      <c r="DA75" s="149">
        <f t="shared" si="3"/>
        <v>-0.78188226882435652</v>
      </c>
      <c r="DB75" s="149">
        <f t="shared" si="3"/>
        <v>1.2056823291980389E-2</v>
      </c>
      <c r="DC75" s="149">
        <f t="shared" si="3"/>
        <v>-1.0608229571256757E-2</v>
      </c>
      <c r="DD75" s="149">
        <f t="shared" si="3"/>
        <v>5.8109146156121935E-2</v>
      </c>
      <c r="DE75" s="149">
        <f t="shared" si="3"/>
        <v>-0.19531731214315989</v>
      </c>
    </row>
    <row r="76" spans="1:109" x14ac:dyDescent="0.25">
      <c r="A76" s="231" t="s">
        <v>263</v>
      </c>
      <c r="B76" s="231"/>
      <c r="C76" s="149">
        <f>AVERAGE(C2:C24)</f>
        <v>0.23242454671701099</v>
      </c>
      <c r="D76" s="149">
        <f t="shared" ref="D76:BO76" si="4">AVERAGE(D2:D24)</f>
        <v>0.25747944162448982</v>
      </c>
      <c r="E76" s="149">
        <f t="shared" si="4"/>
        <v>0.33424927627089024</v>
      </c>
      <c r="F76" s="149">
        <f t="shared" si="4"/>
        <v>0.31559781189817004</v>
      </c>
      <c r="G76" s="149">
        <f t="shared" si="4"/>
        <v>0.29344553203001533</v>
      </c>
      <c r="H76" s="149">
        <f t="shared" si="4"/>
        <v>0.31526507133089099</v>
      </c>
      <c r="I76" s="149">
        <f t="shared" si="4"/>
        <v>0.29704854425630151</v>
      </c>
      <c r="J76" s="149">
        <f t="shared" si="4"/>
        <v>0.32772172072359834</v>
      </c>
      <c r="K76" s="149">
        <f t="shared" si="4"/>
        <v>0.30362614014164518</v>
      </c>
      <c r="L76" s="149">
        <f t="shared" si="4"/>
        <v>0.31153153410163498</v>
      </c>
      <c r="M76" s="149">
        <f t="shared" si="4"/>
        <v>0.34840820141089685</v>
      </c>
      <c r="N76" s="149">
        <f t="shared" si="4"/>
        <v>0.29386549382379673</v>
      </c>
      <c r="O76" s="149">
        <f t="shared" si="4"/>
        <v>0.25469927323021047</v>
      </c>
      <c r="P76" s="149">
        <f t="shared" si="4"/>
        <v>0.19591990146661759</v>
      </c>
      <c r="Q76" s="149">
        <f t="shared" si="4"/>
        <v>0.2597348604190387</v>
      </c>
      <c r="R76" s="149">
        <f t="shared" si="4"/>
        <v>0.26803785257049101</v>
      </c>
      <c r="S76" s="149">
        <f t="shared" si="4"/>
        <v>0.26344407011297993</v>
      </c>
      <c r="T76" s="149">
        <f t="shared" si="4"/>
        <v>0.25085265692872583</v>
      </c>
      <c r="U76" s="149">
        <f t="shared" si="4"/>
        <v>0.22068021857091805</v>
      </c>
      <c r="V76" s="149">
        <f t="shared" si="4"/>
        <v>0.29498223805699442</v>
      </c>
      <c r="W76" s="149">
        <f t="shared" si="4"/>
        <v>0.30542958194910214</v>
      </c>
      <c r="X76" s="149">
        <f t="shared" si="4"/>
        <v>0.22177518160248039</v>
      </c>
      <c r="Y76" s="149">
        <f t="shared" si="4"/>
        <v>0.30566656168749956</v>
      </c>
      <c r="Z76" s="149">
        <f t="shared" si="4"/>
        <v>0.31595430635096095</v>
      </c>
      <c r="AA76" s="149">
        <f t="shared" si="4"/>
        <v>0.27296902384128052</v>
      </c>
      <c r="AB76" s="149">
        <f t="shared" si="4"/>
        <v>0.26835103614554456</v>
      </c>
      <c r="AC76" s="149">
        <f t="shared" si="4"/>
        <v>0.24309097112475839</v>
      </c>
      <c r="AD76" s="149">
        <f t="shared" si="4"/>
        <v>0.27193450387785939</v>
      </c>
      <c r="AE76" s="149">
        <f t="shared" si="4"/>
        <v>0.27615689088391837</v>
      </c>
      <c r="AF76" s="149">
        <f t="shared" si="4"/>
        <v>0.28408029357079029</v>
      </c>
      <c r="AG76" s="149">
        <f t="shared" si="4"/>
        <v>0.28960820459084696</v>
      </c>
      <c r="AH76" s="149">
        <f t="shared" si="4"/>
        <v>0.22819476486065021</v>
      </c>
      <c r="AI76" s="149">
        <f t="shared" si="4"/>
        <v>0.26791784966510707</v>
      </c>
      <c r="AJ76" s="149">
        <f t="shared" si="4"/>
        <v>0.25456177761363863</v>
      </c>
      <c r="AK76" s="149">
        <f t="shared" si="4"/>
        <v>0.11800491690171175</v>
      </c>
      <c r="AL76" s="149">
        <f t="shared" si="4"/>
        <v>0.22740685618153922</v>
      </c>
      <c r="AM76" s="149">
        <f t="shared" si="4"/>
        <v>1.0506518628953226E-2</v>
      </c>
      <c r="AN76" s="149">
        <f t="shared" si="4"/>
        <v>0.25088435000191639</v>
      </c>
      <c r="AO76" s="149">
        <f t="shared" si="4"/>
        <v>0.18126458697234629</v>
      </c>
      <c r="AP76" s="149">
        <f t="shared" si="4"/>
        <v>0.14228191495644524</v>
      </c>
      <c r="AQ76" s="149">
        <f t="shared" si="4"/>
        <v>0.22516599989594588</v>
      </c>
      <c r="AR76" s="149">
        <f t="shared" si="4"/>
        <v>0.19063496114459391</v>
      </c>
      <c r="AS76" s="149">
        <f t="shared" si="4"/>
        <v>0.19907981978921044</v>
      </c>
      <c r="AT76" s="149">
        <f t="shared" si="4"/>
        <v>0.20882771437068992</v>
      </c>
      <c r="AU76" s="149">
        <f t="shared" si="4"/>
        <v>0.16796997860126506</v>
      </c>
      <c r="AV76" s="149">
        <f t="shared" si="4"/>
        <v>9.2117077577847359E-2</v>
      </c>
      <c r="AW76" s="149">
        <f t="shared" si="4"/>
        <v>0.22506195858684908</v>
      </c>
      <c r="AX76" s="149">
        <f t="shared" si="4"/>
        <v>0.26718494843325874</v>
      </c>
      <c r="AY76" s="149">
        <f t="shared" si="4"/>
        <v>0.2865036156873465</v>
      </c>
      <c r="AZ76" s="149">
        <f t="shared" si="4"/>
        <v>0.22629614341615895</v>
      </c>
      <c r="BA76" s="149">
        <f t="shared" si="4"/>
        <v>-2.9281735322596619E-2</v>
      </c>
      <c r="BB76" s="149">
        <f t="shared" si="4"/>
        <v>-1.6060931217370945E-2</v>
      </c>
      <c r="BC76" s="149">
        <f t="shared" si="4"/>
        <v>-0.15802575219592652</v>
      </c>
      <c r="BD76" s="149">
        <f t="shared" si="4"/>
        <v>6.9919248241774095E-3</v>
      </c>
      <c r="BE76" s="149">
        <f t="shared" si="4"/>
        <v>-0.12125326388396571</v>
      </c>
      <c r="BF76" s="149">
        <f t="shared" si="4"/>
        <v>-0.27744722391834903</v>
      </c>
      <c r="BG76" s="149">
        <f t="shared" si="4"/>
        <v>-8.367421781219532E-2</v>
      </c>
      <c r="BH76" s="149">
        <f t="shared" si="4"/>
        <v>-0.11192805671958019</v>
      </c>
      <c r="BI76" s="149">
        <f t="shared" si="4"/>
        <v>-5.409210288341771E-2</v>
      </c>
      <c r="BJ76" s="149">
        <f t="shared" si="4"/>
        <v>-7.6650398126350106E-2</v>
      </c>
      <c r="BK76" s="149">
        <f t="shared" si="4"/>
        <v>-0.18177043221458697</v>
      </c>
      <c r="BL76" s="149">
        <f t="shared" si="4"/>
        <v>0.11080707462447349</v>
      </c>
      <c r="BM76" s="149">
        <f t="shared" si="4"/>
        <v>8.1968914908465806E-2</v>
      </c>
      <c r="BN76" s="149">
        <f t="shared" si="4"/>
        <v>0.13553540159298769</v>
      </c>
      <c r="BO76" s="149">
        <f t="shared" si="4"/>
        <v>0.10149097258120408</v>
      </c>
      <c r="BP76" s="149">
        <f t="shared" ref="BP76:DE76" si="5">AVERAGE(BP2:BP24)</f>
        <v>0.12591424247302418</v>
      </c>
      <c r="BQ76" s="149">
        <f t="shared" si="5"/>
        <v>4.4959016248035055E-2</v>
      </c>
      <c r="BR76" s="149">
        <f t="shared" si="5"/>
        <v>4.6384407486983525E-2</v>
      </c>
      <c r="BS76" s="149">
        <f t="shared" si="5"/>
        <v>-2.4753024323981781E-2</v>
      </c>
      <c r="BT76" s="149">
        <f t="shared" si="5"/>
        <v>-6.7155862135403699E-2</v>
      </c>
      <c r="BU76" s="149">
        <f t="shared" si="5"/>
        <v>-9.0155588195125161E-2</v>
      </c>
      <c r="BV76" s="149">
        <f t="shared" si="5"/>
        <v>6.9691110826537478E-2</v>
      </c>
      <c r="BW76" s="149">
        <f t="shared" si="5"/>
        <v>1.8590526405979069E-2</v>
      </c>
      <c r="BX76" s="149">
        <f t="shared" si="5"/>
        <v>-0.11107661376813156</v>
      </c>
      <c r="BY76" s="149">
        <f t="shared" si="5"/>
        <v>-8.7187831821329512E-2</v>
      </c>
      <c r="BZ76" s="149">
        <f t="shared" si="5"/>
        <v>-1.2882290227633177E-2</v>
      </c>
      <c r="CA76" s="149">
        <f t="shared" si="5"/>
        <v>0.29761062679430522</v>
      </c>
      <c r="CB76" s="149">
        <f t="shared" si="5"/>
        <v>-1.5226635333882783</v>
      </c>
      <c r="CC76" s="149">
        <f t="shared" si="5"/>
        <v>-1.534245661782943</v>
      </c>
      <c r="CD76" s="149">
        <f t="shared" si="5"/>
        <v>-0.37294995119884505</v>
      </c>
      <c r="CE76" s="149">
        <f t="shared" si="5"/>
        <v>-1.4425381967855813</v>
      </c>
      <c r="CF76" s="149">
        <f t="shared" si="5"/>
        <v>-1.4762587344764062</v>
      </c>
      <c r="CG76" s="149">
        <f t="shared" si="5"/>
        <v>-1.4096526724102032</v>
      </c>
      <c r="CH76" s="149">
        <f t="shared" si="5"/>
        <v>-1.3486969324141618</v>
      </c>
      <c r="CI76" s="149">
        <f t="shared" si="5"/>
        <v>-1.3768227959809405</v>
      </c>
      <c r="CJ76" s="149">
        <f t="shared" si="5"/>
        <v>-1.498032039911722</v>
      </c>
      <c r="CK76" s="149">
        <f t="shared" si="5"/>
        <v>-1.4975936662854199</v>
      </c>
      <c r="CL76" s="149">
        <f t="shared" si="5"/>
        <v>-1.5336928167304003</v>
      </c>
      <c r="CM76" s="149">
        <f t="shared" si="5"/>
        <v>-1.4021108071057626</v>
      </c>
      <c r="CN76" s="149">
        <f t="shared" si="5"/>
        <v>-1.554574859501082</v>
      </c>
      <c r="CO76" s="149">
        <f t="shared" si="5"/>
        <v>-1.6000588069372781</v>
      </c>
      <c r="CP76" s="149">
        <f t="shared" si="5"/>
        <v>-1.4430264601562881</v>
      </c>
      <c r="CQ76" s="149">
        <f t="shared" si="5"/>
        <v>-1.449595647314708</v>
      </c>
      <c r="CR76" s="149">
        <f t="shared" si="5"/>
        <v>-1.1894368414660437</v>
      </c>
      <c r="CS76" s="149">
        <f t="shared" si="5"/>
        <v>-1.3610706816839637</v>
      </c>
      <c r="CT76" s="149">
        <f t="shared" si="5"/>
        <v>-1.4363149738787602</v>
      </c>
      <c r="CU76" s="149">
        <f t="shared" si="5"/>
        <v>-0.2805776812754982</v>
      </c>
      <c r="CV76" s="149">
        <f t="shared" si="5"/>
        <v>-0.33655094974603533</v>
      </c>
      <c r="CW76" s="149">
        <f t="shared" si="5"/>
        <v>-1.1332721705507267</v>
      </c>
      <c r="CX76" s="149">
        <f t="shared" si="5"/>
        <v>-1.563839961573716</v>
      </c>
      <c r="CY76" s="149">
        <f t="shared" si="5"/>
        <v>-1.5824041528071275</v>
      </c>
      <c r="CZ76" s="149">
        <f t="shared" si="5"/>
        <v>-1.3917142065401908</v>
      </c>
      <c r="DA76" s="149">
        <f t="shared" si="5"/>
        <v>-1.528230548404784</v>
      </c>
      <c r="DB76" s="149">
        <f t="shared" si="5"/>
        <v>5.6081004358268419E-2</v>
      </c>
      <c r="DC76" s="149">
        <f t="shared" si="5"/>
        <v>-0.16910278026209741</v>
      </c>
      <c r="DD76" s="149">
        <f t="shared" si="5"/>
        <v>0.13774137441439935</v>
      </c>
      <c r="DE76" s="149">
        <f t="shared" si="5"/>
        <v>-0.26222683823616061</v>
      </c>
    </row>
    <row r="77" spans="1:109" x14ac:dyDescent="0.25">
      <c r="A77" s="231" t="s">
        <v>264</v>
      </c>
      <c r="B77" s="231"/>
      <c r="C77" s="149">
        <f>AVERAGE(C50:C72)</f>
        <v>5.2374814702085486E-2</v>
      </c>
      <c r="D77" s="149">
        <f t="shared" ref="D77:BO77" si="6">AVERAGE(D50:D72)</f>
        <v>5.0846705758750103E-2</v>
      </c>
      <c r="E77" s="149">
        <f t="shared" si="6"/>
        <v>0.14755868750498172</v>
      </c>
      <c r="F77" s="149">
        <f t="shared" si="6"/>
        <v>6.6579829698984724E-2</v>
      </c>
      <c r="G77" s="149">
        <f t="shared" si="6"/>
        <v>3.7648446960754631E-2</v>
      </c>
      <c r="H77" s="149">
        <f t="shared" si="6"/>
        <v>6.2630481161296603E-2</v>
      </c>
      <c r="I77" s="149">
        <f t="shared" si="6"/>
        <v>5.6788997616681901E-2</v>
      </c>
      <c r="J77" s="149">
        <f t="shared" si="6"/>
        <v>7.3336041690318085E-2</v>
      </c>
      <c r="K77" s="149">
        <f t="shared" si="6"/>
        <v>7.5236157669415146E-2</v>
      </c>
      <c r="L77" s="149">
        <f t="shared" si="6"/>
        <v>4.0403658997013571E-2</v>
      </c>
      <c r="M77" s="149">
        <f t="shared" si="6"/>
        <v>8.3030067341249528E-2</v>
      </c>
      <c r="N77" s="149">
        <f t="shared" si="6"/>
        <v>6.2482877213439862E-2</v>
      </c>
      <c r="O77" s="149">
        <f t="shared" si="6"/>
        <v>9.8283031690515943E-2</v>
      </c>
      <c r="P77" s="149">
        <f t="shared" si="6"/>
        <v>7.6659552678965598E-2</v>
      </c>
      <c r="Q77" s="149">
        <f t="shared" si="6"/>
        <v>2.5554427877559856E-2</v>
      </c>
      <c r="R77" s="149">
        <f t="shared" si="6"/>
        <v>0.13092755505306694</v>
      </c>
      <c r="S77" s="149">
        <f t="shared" si="6"/>
        <v>3.9106320225794813E-2</v>
      </c>
      <c r="T77" s="149">
        <f t="shared" si="6"/>
        <v>0.10581408636900862</v>
      </c>
      <c r="U77" s="149">
        <f t="shared" si="6"/>
        <v>0.11029020721460982</v>
      </c>
      <c r="V77" s="149">
        <f t="shared" si="6"/>
        <v>0.1050534043477262</v>
      </c>
      <c r="W77" s="149">
        <f t="shared" si="6"/>
        <v>0.13130220322059066</v>
      </c>
      <c r="X77" s="149">
        <f t="shared" si="6"/>
        <v>7.2582942468653155E-2</v>
      </c>
      <c r="Y77" s="149">
        <f t="shared" si="6"/>
        <v>0.12087299335313335</v>
      </c>
      <c r="Z77" s="149">
        <f t="shared" si="6"/>
        <v>0.11866355039898184</v>
      </c>
      <c r="AA77" s="149">
        <f t="shared" si="6"/>
        <v>0.13020017719657606</v>
      </c>
      <c r="AB77" s="149">
        <f t="shared" si="6"/>
        <v>9.2656512404108771E-2</v>
      </c>
      <c r="AC77" s="149">
        <f t="shared" si="6"/>
        <v>9.6031755915679792E-2</v>
      </c>
      <c r="AD77" s="149">
        <f t="shared" si="6"/>
        <v>0.10575849104592189</v>
      </c>
      <c r="AE77" s="149">
        <f t="shared" si="6"/>
        <v>0.14351635383955522</v>
      </c>
      <c r="AF77" s="149">
        <f t="shared" si="6"/>
        <v>0.13225896486539138</v>
      </c>
      <c r="AG77" s="149">
        <f t="shared" si="6"/>
        <v>0.10965511412860528</v>
      </c>
      <c r="AH77" s="149">
        <f t="shared" si="6"/>
        <v>8.5271871381814524E-2</v>
      </c>
      <c r="AI77" s="149">
        <f t="shared" si="6"/>
        <v>0.11328769628034839</v>
      </c>
      <c r="AJ77" s="149">
        <f t="shared" si="6"/>
        <v>8.5672240087973972E-2</v>
      </c>
      <c r="AK77" s="149">
        <f t="shared" si="6"/>
        <v>0.10872654764007336</v>
      </c>
      <c r="AL77" s="149">
        <f t="shared" si="6"/>
        <v>8.5849087610258973E-2</v>
      </c>
      <c r="AM77" s="149">
        <f t="shared" si="6"/>
        <v>0.25222779226356673</v>
      </c>
      <c r="AN77" s="149">
        <f t="shared" si="6"/>
        <v>0.19095182801440214</v>
      </c>
      <c r="AO77" s="149">
        <f t="shared" si="6"/>
        <v>0.16368515551822982</v>
      </c>
      <c r="AP77" s="149">
        <f t="shared" si="6"/>
        <v>8.0212458571292264E-2</v>
      </c>
      <c r="AQ77" s="149">
        <f t="shared" si="6"/>
        <v>8.8204461234968182E-2</v>
      </c>
      <c r="AR77" s="149">
        <f t="shared" si="6"/>
        <v>6.9084734180227356E-2</v>
      </c>
      <c r="AS77" s="149">
        <f t="shared" si="6"/>
        <v>7.8002880992326509E-2</v>
      </c>
      <c r="AT77" s="149">
        <f t="shared" si="6"/>
        <v>8.9254689450274399E-2</v>
      </c>
      <c r="AU77" s="149">
        <f t="shared" si="6"/>
        <v>4.3328749247990836E-2</v>
      </c>
      <c r="AV77" s="149">
        <f t="shared" si="6"/>
        <v>7.1628065359662804E-2</v>
      </c>
      <c r="AW77" s="149">
        <f t="shared" si="6"/>
        <v>-1.7920215863950709E-2</v>
      </c>
      <c r="AX77" s="149">
        <f t="shared" si="6"/>
        <v>-1.0115481111101316E-2</v>
      </c>
      <c r="AY77" s="149">
        <f t="shared" si="6"/>
        <v>-3.8823561828720966E-2</v>
      </c>
      <c r="AZ77" s="149">
        <f t="shared" si="6"/>
        <v>-7.1936176954406988E-2</v>
      </c>
      <c r="BA77" s="149">
        <f t="shared" si="6"/>
        <v>-0.12079346951791696</v>
      </c>
      <c r="BB77" s="149">
        <f t="shared" si="6"/>
        <v>-0.10679389766660492</v>
      </c>
      <c r="BC77" s="149">
        <f t="shared" si="6"/>
        <v>-8.6391623291584813E-2</v>
      </c>
      <c r="BD77" s="149">
        <f t="shared" si="6"/>
        <v>-0.11454876225020008</v>
      </c>
      <c r="BE77" s="149">
        <f t="shared" si="6"/>
        <v>-9.6112852440621288E-2</v>
      </c>
      <c r="BF77" s="149">
        <f t="shared" si="6"/>
        <v>-9.0084898279780376E-2</v>
      </c>
      <c r="BG77" s="149">
        <f t="shared" si="6"/>
        <v>-0.12220082742007794</v>
      </c>
      <c r="BH77" s="149">
        <f t="shared" si="6"/>
        <v>-0.13235642128447703</v>
      </c>
      <c r="BI77" s="149">
        <f t="shared" si="6"/>
        <v>-0.1385963770230797</v>
      </c>
      <c r="BJ77" s="149">
        <f t="shared" si="6"/>
        <v>-0.13716182611715932</v>
      </c>
      <c r="BK77" s="149">
        <f t="shared" si="6"/>
        <v>-0.11562202924428537</v>
      </c>
      <c r="BL77" s="149">
        <f t="shared" si="6"/>
        <v>-7.3335231084473873E-2</v>
      </c>
      <c r="BM77" s="149">
        <f t="shared" si="6"/>
        <v>-9.1149116580697423E-2</v>
      </c>
      <c r="BN77" s="149">
        <f t="shared" si="6"/>
        <v>-5.5298751327289918E-2</v>
      </c>
      <c r="BO77" s="149">
        <f t="shared" si="6"/>
        <v>-6.721015709308277E-2</v>
      </c>
      <c r="BP77" s="149">
        <f t="shared" ref="BP77:DE77" si="7">AVERAGE(BP50:BP72)</f>
        <v>-4.4719241097034318E-2</v>
      </c>
      <c r="BQ77" s="149">
        <f t="shared" si="7"/>
        <v>-9.3222173980220313E-2</v>
      </c>
      <c r="BR77" s="149">
        <f t="shared" si="7"/>
        <v>-6.1625956447286551E-2</v>
      </c>
      <c r="BS77" s="149">
        <f t="shared" si="7"/>
        <v>-7.8018335947635672E-2</v>
      </c>
      <c r="BT77" s="149">
        <f t="shared" si="7"/>
        <v>-0.1119101068011687</v>
      </c>
      <c r="BU77" s="149">
        <f t="shared" si="7"/>
        <v>-0.1176609376153024</v>
      </c>
      <c r="BV77" s="149">
        <f t="shared" si="7"/>
        <v>-7.2144356857195863E-2</v>
      </c>
      <c r="BW77" s="149">
        <f t="shared" si="7"/>
        <v>-9.4784706647102188E-2</v>
      </c>
      <c r="BX77" s="149">
        <f t="shared" si="7"/>
        <v>2.544781338399291E-2</v>
      </c>
      <c r="BY77" s="149">
        <f t="shared" si="7"/>
        <v>6.1191680616242056E-2</v>
      </c>
      <c r="BZ77" s="149">
        <f t="shared" si="7"/>
        <v>5.1299401824723624E-2</v>
      </c>
      <c r="CA77" s="149">
        <f t="shared" si="7"/>
        <v>2.9523386939892524E-2</v>
      </c>
      <c r="CB77" s="149">
        <f t="shared" si="7"/>
        <v>0.24225591956342984</v>
      </c>
      <c r="CC77" s="149">
        <f t="shared" si="7"/>
        <v>0.25632883252504141</v>
      </c>
      <c r="CD77" s="149">
        <f t="shared" si="7"/>
        <v>0.25043538048033909</v>
      </c>
      <c r="CE77" s="149">
        <f t="shared" si="7"/>
        <v>0.35892531293226204</v>
      </c>
      <c r="CF77" s="149">
        <f t="shared" si="7"/>
        <v>0.24984322789810723</v>
      </c>
      <c r="CG77" s="149">
        <f t="shared" si="7"/>
        <v>0.26269603772982048</v>
      </c>
      <c r="CH77" s="149">
        <f t="shared" si="7"/>
        <v>0.33332510666393378</v>
      </c>
      <c r="CI77" s="149">
        <f t="shared" si="7"/>
        <v>0.23225839340433718</v>
      </c>
      <c r="CJ77" s="149">
        <f t="shared" si="7"/>
        <v>0.40292419299852039</v>
      </c>
      <c r="CK77" s="149">
        <f t="shared" si="7"/>
        <v>0.21493878419201864</v>
      </c>
      <c r="CL77" s="149">
        <f t="shared" si="7"/>
        <v>0.18395503832169166</v>
      </c>
      <c r="CM77" s="149">
        <f t="shared" si="7"/>
        <v>0.28690372725207214</v>
      </c>
      <c r="CN77" s="149">
        <f t="shared" si="7"/>
        <v>0.24338235379239612</v>
      </c>
      <c r="CO77" s="149">
        <f t="shared" si="7"/>
        <v>0.14455372632881919</v>
      </c>
      <c r="CP77" s="149">
        <f t="shared" si="7"/>
        <v>9.3071723542937884E-2</v>
      </c>
      <c r="CQ77" s="149">
        <f t="shared" si="7"/>
        <v>0.281872359196499</v>
      </c>
      <c r="CR77" s="149">
        <f t="shared" si="7"/>
        <v>0.17139911914971559</v>
      </c>
      <c r="CS77" s="149">
        <f t="shared" si="7"/>
        <v>0.27193953134503529</v>
      </c>
      <c r="CT77" s="149">
        <f t="shared" si="7"/>
        <v>0.10723605230517444</v>
      </c>
      <c r="CU77" s="149">
        <f t="shared" si="7"/>
        <v>3.2404863563844158E-2</v>
      </c>
      <c r="CV77" s="149">
        <f t="shared" si="7"/>
        <v>0.20007169264823313</v>
      </c>
      <c r="CW77" s="149">
        <f t="shared" si="7"/>
        <v>0.17265638856323451</v>
      </c>
      <c r="CX77" s="149">
        <f t="shared" si="7"/>
        <v>0.11441356783205983</v>
      </c>
      <c r="CY77" s="149">
        <f t="shared" si="7"/>
        <v>0.19480169350887711</v>
      </c>
      <c r="CZ77" s="149">
        <f t="shared" si="7"/>
        <v>0.22694025059633383</v>
      </c>
      <c r="DA77" s="149">
        <f t="shared" si="7"/>
        <v>0.16370663779757624</v>
      </c>
      <c r="DB77" s="149">
        <f t="shared" si="7"/>
        <v>-4.6959674686956651E-2</v>
      </c>
      <c r="DC77" s="149">
        <f t="shared" si="7"/>
        <v>-3.6528367082743353E-2</v>
      </c>
      <c r="DD77" s="149">
        <f t="shared" si="7"/>
        <v>-5.26620723027851E-2</v>
      </c>
      <c r="DE77" s="149">
        <f t="shared" si="7"/>
        <v>-9.5804890374490789E-2</v>
      </c>
    </row>
    <row r="78" spans="1:109" x14ac:dyDescent="0.25">
      <c r="A78" s="231" t="s">
        <v>268</v>
      </c>
      <c r="B78" s="231"/>
      <c r="C78" s="149">
        <f>MAX(C76:C77)</f>
        <v>0.23242454671701099</v>
      </c>
      <c r="D78" s="149">
        <f t="shared" ref="D78:BO78" si="8">MAX(D76:D77)</f>
        <v>0.25747944162448982</v>
      </c>
      <c r="E78" s="149">
        <f t="shared" si="8"/>
        <v>0.33424927627089024</v>
      </c>
      <c r="F78" s="149">
        <f t="shared" si="8"/>
        <v>0.31559781189817004</v>
      </c>
      <c r="G78" s="149">
        <f t="shared" si="8"/>
        <v>0.29344553203001533</v>
      </c>
      <c r="H78" s="149">
        <f t="shared" si="8"/>
        <v>0.31526507133089099</v>
      </c>
      <c r="I78" s="149">
        <f t="shared" si="8"/>
        <v>0.29704854425630151</v>
      </c>
      <c r="J78" s="149">
        <f t="shared" si="8"/>
        <v>0.32772172072359834</v>
      </c>
      <c r="K78" s="149">
        <f t="shared" si="8"/>
        <v>0.30362614014164518</v>
      </c>
      <c r="L78" s="149">
        <f t="shared" si="8"/>
        <v>0.31153153410163498</v>
      </c>
      <c r="M78" s="149">
        <f t="shared" si="8"/>
        <v>0.34840820141089685</v>
      </c>
      <c r="N78" s="149">
        <f t="shared" si="8"/>
        <v>0.29386549382379673</v>
      </c>
      <c r="O78" s="149">
        <f t="shared" si="8"/>
        <v>0.25469927323021047</v>
      </c>
      <c r="P78" s="149">
        <f t="shared" si="8"/>
        <v>0.19591990146661759</v>
      </c>
      <c r="Q78" s="149">
        <f t="shared" si="8"/>
        <v>0.2597348604190387</v>
      </c>
      <c r="R78" s="149">
        <f t="shared" si="8"/>
        <v>0.26803785257049101</v>
      </c>
      <c r="S78" s="149">
        <f t="shared" si="8"/>
        <v>0.26344407011297993</v>
      </c>
      <c r="T78" s="149">
        <f t="shared" si="8"/>
        <v>0.25085265692872583</v>
      </c>
      <c r="U78" s="149">
        <f t="shared" si="8"/>
        <v>0.22068021857091805</v>
      </c>
      <c r="V78" s="149">
        <f t="shared" si="8"/>
        <v>0.29498223805699442</v>
      </c>
      <c r="W78" s="149">
        <f t="shared" si="8"/>
        <v>0.30542958194910214</v>
      </c>
      <c r="X78" s="149">
        <f t="shared" si="8"/>
        <v>0.22177518160248039</v>
      </c>
      <c r="Y78" s="149">
        <f t="shared" si="8"/>
        <v>0.30566656168749956</v>
      </c>
      <c r="Z78" s="149">
        <f t="shared" si="8"/>
        <v>0.31595430635096095</v>
      </c>
      <c r="AA78" s="149">
        <f t="shared" si="8"/>
        <v>0.27296902384128052</v>
      </c>
      <c r="AB78" s="149">
        <f t="shared" si="8"/>
        <v>0.26835103614554456</v>
      </c>
      <c r="AC78" s="149">
        <f t="shared" si="8"/>
        <v>0.24309097112475839</v>
      </c>
      <c r="AD78" s="149">
        <f t="shared" si="8"/>
        <v>0.27193450387785939</v>
      </c>
      <c r="AE78" s="149">
        <f t="shared" si="8"/>
        <v>0.27615689088391837</v>
      </c>
      <c r="AF78" s="149">
        <f t="shared" si="8"/>
        <v>0.28408029357079029</v>
      </c>
      <c r="AG78" s="149">
        <f t="shared" si="8"/>
        <v>0.28960820459084696</v>
      </c>
      <c r="AH78" s="149">
        <f t="shared" si="8"/>
        <v>0.22819476486065021</v>
      </c>
      <c r="AI78" s="149">
        <f t="shared" si="8"/>
        <v>0.26791784966510707</v>
      </c>
      <c r="AJ78" s="149">
        <f t="shared" si="8"/>
        <v>0.25456177761363863</v>
      </c>
      <c r="AK78" s="149">
        <f t="shared" si="8"/>
        <v>0.11800491690171175</v>
      </c>
      <c r="AL78" s="149">
        <f t="shared" si="8"/>
        <v>0.22740685618153922</v>
      </c>
      <c r="AM78" s="149">
        <f t="shared" si="8"/>
        <v>0.25222779226356673</v>
      </c>
      <c r="AN78" s="149">
        <f t="shared" si="8"/>
        <v>0.25088435000191639</v>
      </c>
      <c r="AO78" s="149">
        <f t="shared" si="8"/>
        <v>0.18126458697234629</v>
      </c>
      <c r="AP78" s="149">
        <f t="shared" si="8"/>
        <v>0.14228191495644524</v>
      </c>
      <c r="AQ78" s="149">
        <f t="shared" si="8"/>
        <v>0.22516599989594588</v>
      </c>
      <c r="AR78" s="149">
        <f t="shared" si="8"/>
        <v>0.19063496114459391</v>
      </c>
      <c r="AS78" s="149">
        <f t="shared" si="8"/>
        <v>0.19907981978921044</v>
      </c>
      <c r="AT78" s="149">
        <f t="shared" si="8"/>
        <v>0.20882771437068992</v>
      </c>
      <c r="AU78" s="149">
        <f t="shared" si="8"/>
        <v>0.16796997860126506</v>
      </c>
      <c r="AV78" s="149">
        <f t="shared" si="8"/>
        <v>9.2117077577847359E-2</v>
      </c>
      <c r="AW78" s="149">
        <f t="shared" si="8"/>
        <v>0.22506195858684908</v>
      </c>
      <c r="AX78" s="149">
        <f t="shared" si="8"/>
        <v>0.26718494843325874</v>
      </c>
      <c r="AY78" s="149">
        <f t="shared" si="8"/>
        <v>0.2865036156873465</v>
      </c>
      <c r="AZ78" s="149">
        <f t="shared" si="8"/>
        <v>0.22629614341615895</v>
      </c>
      <c r="BA78" s="149">
        <f t="shared" si="8"/>
        <v>-2.9281735322596619E-2</v>
      </c>
      <c r="BB78" s="149">
        <f t="shared" si="8"/>
        <v>-1.6060931217370945E-2</v>
      </c>
      <c r="BC78" s="149">
        <f t="shared" si="8"/>
        <v>-8.6391623291584813E-2</v>
      </c>
      <c r="BD78" s="149">
        <f t="shared" si="8"/>
        <v>6.9919248241774095E-3</v>
      </c>
      <c r="BE78" s="149">
        <f t="shared" si="8"/>
        <v>-9.6112852440621288E-2</v>
      </c>
      <c r="BF78" s="149">
        <f t="shared" si="8"/>
        <v>-9.0084898279780376E-2</v>
      </c>
      <c r="BG78" s="149">
        <f t="shared" si="8"/>
        <v>-8.367421781219532E-2</v>
      </c>
      <c r="BH78" s="149">
        <f t="shared" si="8"/>
        <v>-0.11192805671958019</v>
      </c>
      <c r="BI78" s="149">
        <f t="shared" si="8"/>
        <v>-5.409210288341771E-2</v>
      </c>
      <c r="BJ78" s="149">
        <f t="shared" si="8"/>
        <v>-7.6650398126350106E-2</v>
      </c>
      <c r="BK78" s="149">
        <f t="shared" si="8"/>
        <v>-0.11562202924428537</v>
      </c>
      <c r="BL78" s="149">
        <f t="shared" si="8"/>
        <v>0.11080707462447349</v>
      </c>
      <c r="BM78" s="149">
        <f t="shared" si="8"/>
        <v>8.1968914908465806E-2</v>
      </c>
      <c r="BN78" s="149">
        <f t="shared" si="8"/>
        <v>0.13553540159298769</v>
      </c>
      <c r="BO78" s="149">
        <f t="shared" si="8"/>
        <v>0.10149097258120408</v>
      </c>
      <c r="BP78" s="149">
        <f t="shared" ref="BP78:DE78" si="9">MAX(BP76:BP77)</f>
        <v>0.12591424247302418</v>
      </c>
      <c r="BQ78" s="149">
        <f t="shared" si="9"/>
        <v>4.4959016248035055E-2</v>
      </c>
      <c r="BR78" s="149">
        <f t="shared" si="9"/>
        <v>4.6384407486983525E-2</v>
      </c>
      <c r="BS78" s="149">
        <f t="shared" si="9"/>
        <v>-2.4753024323981781E-2</v>
      </c>
      <c r="BT78" s="149">
        <f t="shared" si="9"/>
        <v>-6.7155862135403699E-2</v>
      </c>
      <c r="BU78" s="149">
        <f t="shared" si="9"/>
        <v>-9.0155588195125161E-2</v>
      </c>
      <c r="BV78" s="149">
        <f t="shared" si="9"/>
        <v>6.9691110826537478E-2</v>
      </c>
      <c r="BW78" s="149">
        <f t="shared" si="9"/>
        <v>1.8590526405979069E-2</v>
      </c>
      <c r="BX78" s="149">
        <f t="shared" si="9"/>
        <v>2.544781338399291E-2</v>
      </c>
      <c r="BY78" s="149">
        <f t="shared" si="9"/>
        <v>6.1191680616242056E-2</v>
      </c>
      <c r="BZ78" s="149">
        <f t="shared" si="9"/>
        <v>5.1299401824723624E-2</v>
      </c>
      <c r="CA78" s="149">
        <f t="shared" si="9"/>
        <v>0.29761062679430522</v>
      </c>
      <c r="CB78" s="149">
        <f t="shared" si="9"/>
        <v>0.24225591956342984</v>
      </c>
      <c r="CC78" s="149">
        <f t="shared" si="9"/>
        <v>0.25632883252504141</v>
      </c>
      <c r="CD78" s="149">
        <f t="shared" si="9"/>
        <v>0.25043538048033909</v>
      </c>
      <c r="CE78" s="149">
        <f t="shared" si="9"/>
        <v>0.35892531293226204</v>
      </c>
      <c r="CF78" s="149">
        <f t="shared" si="9"/>
        <v>0.24984322789810723</v>
      </c>
      <c r="CG78" s="149">
        <f t="shared" si="9"/>
        <v>0.26269603772982048</v>
      </c>
      <c r="CH78" s="149">
        <f t="shared" si="9"/>
        <v>0.33332510666393378</v>
      </c>
      <c r="CI78" s="149">
        <f t="shared" si="9"/>
        <v>0.23225839340433718</v>
      </c>
      <c r="CJ78" s="149">
        <f t="shared" si="9"/>
        <v>0.40292419299852039</v>
      </c>
      <c r="CK78" s="149">
        <f t="shared" si="9"/>
        <v>0.21493878419201864</v>
      </c>
      <c r="CL78" s="149">
        <f t="shared" si="9"/>
        <v>0.18395503832169166</v>
      </c>
      <c r="CM78" s="149">
        <f t="shared" si="9"/>
        <v>0.28690372725207214</v>
      </c>
      <c r="CN78" s="149">
        <f t="shared" si="9"/>
        <v>0.24338235379239612</v>
      </c>
      <c r="CO78" s="149">
        <f t="shared" si="9"/>
        <v>0.14455372632881919</v>
      </c>
      <c r="CP78" s="149">
        <f t="shared" si="9"/>
        <v>9.3071723542937884E-2</v>
      </c>
      <c r="CQ78" s="149">
        <f t="shared" si="9"/>
        <v>0.281872359196499</v>
      </c>
      <c r="CR78" s="149">
        <f t="shared" si="9"/>
        <v>0.17139911914971559</v>
      </c>
      <c r="CS78" s="149">
        <f t="shared" si="9"/>
        <v>0.27193953134503529</v>
      </c>
      <c r="CT78" s="149">
        <f t="shared" si="9"/>
        <v>0.10723605230517444</v>
      </c>
      <c r="CU78" s="149">
        <f t="shared" si="9"/>
        <v>3.2404863563844158E-2</v>
      </c>
      <c r="CV78" s="149">
        <f t="shared" si="9"/>
        <v>0.20007169264823313</v>
      </c>
      <c r="CW78" s="149">
        <f t="shared" si="9"/>
        <v>0.17265638856323451</v>
      </c>
      <c r="CX78" s="149">
        <f t="shared" si="9"/>
        <v>0.11441356783205983</v>
      </c>
      <c r="CY78" s="149">
        <f t="shared" si="9"/>
        <v>0.19480169350887711</v>
      </c>
      <c r="CZ78" s="149">
        <f t="shared" si="9"/>
        <v>0.22694025059633383</v>
      </c>
      <c r="DA78" s="149">
        <f t="shared" si="9"/>
        <v>0.16370663779757624</v>
      </c>
      <c r="DB78" s="149">
        <f t="shared" si="9"/>
        <v>5.6081004358268419E-2</v>
      </c>
      <c r="DC78" s="149">
        <f t="shared" si="9"/>
        <v>-3.6528367082743353E-2</v>
      </c>
      <c r="DD78" s="149">
        <f t="shared" si="9"/>
        <v>0.13774137441439935</v>
      </c>
      <c r="DE78" s="149">
        <f t="shared" si="9"/>
        <v>-9.5804890374490789E-2</v>
      </c>
    </row>
    <row r="81" spans="1:11" x14ac:dyDescent="0.25">
      <c r="A81" s="231" t="s">
        <v>260</v>
      </c>
      <c r="B81" s="231"/>
      <c r="D81" s="231" t="s">
        <v>261</v>
      </c>
      <c r="E81" s="231"/>
      <c r="G81" s="231" t="s">
        <v>269</v>
      </c>
      <c r="H81" s="231"/>
      <c r="I81" s="231"/>
      <c r="K81" s="155" t="s">
        <v>652</v>
      </c>
    </row>
    <row r="82" spans="1:11" x14ac:dyDescent="0.25">
      <c r="A82" s="161" t="s">
        <v>86</v>
      </c>
      <c r="B82" s="149">
        <v>0.20979446729153003</v>
      </c>
      <c r="D82" s="161" t="s">
        <v>124</v>
      </c>
      <c r="E82" s="149">
        <v>0.20724851101444153</v>
      </c>
      <c r="G82" s="56" t="s">
        <v>158</v>
      </c>
      <c r="H82" s="149">
        <v>0.40292419299852039</v>
      </c>
    </row>
    <row r="83" spans="1:11" x14ac:dyDescent="0.25">
      <c r="A83" s="161" t="s">
        <v>83</v>
      </c>
      <c r="B83" s="149">
        <v>0.19977141632541959</v>
      </c>
      <c r="D83" s="162" t="s">
        <v>77</v>
      </c>
      <c r="E83" s="149">
        <v>0.20034850055570488</v>
      </c>
      <c r="G83" s="56" t="s">
        <v>153</v>
      </c>
      <c r="H83" s="149">
        <v>0.35892531293226204</v>
      </c>
      <c r="K83" s="158" t="s">
        <v>654</v>
      </c>
    </row>
    <row r="84" spans="1:11" x14ac:dyDescent="0.25">
      <c r="A84" s="162" t="s">
        <v>76</v>
      </c>
      <c r="B84" s="149">
        <v>0.1979101309625515</v>
      </c>
      <c r="D84" s="161" t="s">
        <v>86</v>
      </c>
      <c r="E84" s="149">
        <v>0.19889307985597054</v>
      </c>
      <c r="G84" s="161" t="s">
        <v>86</v>
      </c>
      <c r="H84" s="149">
        <v>0.34840820141089685</v>
      </c>
      <c r="K84" s="159" t="s">
        <v>656</v>
      </c>
    </row>
    <row r="85" spans="1:11" x14ac:dyDescent="0.25">
      <c r="A85" s="162" t="s">
        <v>77</v>
      </c>
      <c r="B85" s="149">
        <v>0.1943492714172842</v>
      </c>
      <c r="D85" s="161" t="s">
        <v>83</v>
      </c>
      <c r="E85" s="149">
        <v>0.19837768094338837</v>
      </c>
      <c r="G85" s="162" t="s">
        <v>76</v>
      </c>
      <c r="H85" s="149">
        <v>0.33424927627089024</v>
      </c>
    </row>
    <row r="86" spans="1:11" x14ac:dyDescent="0.25">
      <c r="A86" s="162" t="s">
        <v>79</v>
      </c>
      <c r="B86" s="149">
        <v>0.19119582967429957</v>
      </c>
      <c r="D86" s="161" t="s">
        <v>87</v>
      </c>
      <c r="E86" s="149">
        <v>0.19571653980393555</v>
      </c>
      <c r="G86" s="56" t="s">
        <v>156</v>
      </c>
      <c r="H86" s="149">
        <v>0.33332510666393378</v>
      </c>
    </row>
    <row r="87" spans="1:11" x14ac:dyDescent="0.25">
      <c r="A87" s="161" t="s">
        <v>84</v>
      </c>
      <c r="B87" s="149">
        <v>0.18576657261878879</v>
      </c>
      <c r="D87" s="162" t="s">
        <v>79</v>
      </c>
      <c r="E87" s="149">
        <v>0.19533224798219812</v>
      </c>
      <c r="G87" s="161" t="s">
        <v>83</v>
      </c>
      <c r="H87" s="149">
        <v>0.32772172072359834</v>
      </c>
    </row>
    <row r="88" spans="1:11" x14ac:dyDescent="0.25">
      <c r="A88" s="161" t="s">
        <v>87</v>
      </c>
      <c r="B88" s="149">
        <v>0.18435107083034971</v>
      </c>
      <c r="D88" s="161" t="s">
        <v>82</v>
      </c>
      <c r="E88" s="149">
        <v>0.19517771384057145</v>
      </c>
      <c r="G88" s="56" t="s">
        <v>99</v>
      </c>
      <c r="H88" s="149">
        <v>0.31595430635096095</v>
      </c>
    </row>
    <row r="89" spans="1:11" x14ac:dyDescent="0.25">
      <c r="A89" s="161" t="s">
        <v>82</v>
      </c>
      <c r="B89" s="149">
        <v>0.18334797618440718</v>
      </c>
      <c r="D89" s="156" t="s">
        <v>150</v>
      </c>
      <c r="E89" s="149">
        <v>0.18645533750789386</v>
      </c>
      <c r="G89" s="162" t="s">
        <v>77</v>
      </c>
      <c r="H89" s="149">
        <v>0.31559781189817004</v>
      </c>
    </row>
    <row r="90" spans="1:11" x14ac:dyDescent="0.25">
      <c r="A90" s="161" t="s">
        <v>103</v>
      </c>
      <c r="B90" s="149">
        <v>0.17208555936367903</v>
      </c>
      <c r="D90" s="161" t="s">
        <v>84</v>
      </c>
      <c r="E90" s="149">
        <v>0.17902375225118483</v>
      </c>
      <c r="G90" s="162" t="s">
        <v>79</v>
      </c>
      <c r="H90" s="149">
        <v>0.31526507133089099</v>
      </c>
    </row>
    <row r="91" spans="1:11" x14ac:dyDescent="0.25">
      <c r="A91" s="161" t="s">
        <v>104</v>
      </c>
      <c r="B91" s="149">
        <v>0.17165173724175165</v>
      </c>
      <c r="D91" s="162" t="s">
        <v>78</v>
      </c>
      <c r="E91" s="149">
        <v>0.17680329571097922</v>
      </c>
      <c r="G91" s="161" t="s">
        <v>85</v>
      </c>
      <c r="H91" s="149">
        <v>0.31153153410163498</v>
      </c>
    </row>
    <row r="92" spans="1:11" x14ac:dyDescent="0.25">
      <c r="A92" s="156" t="s">
        <v>150</v>
      </c>
      <c r="B92" s="149">
        <v>0.17162627821949139</v>
      </c>
      <c r="D92" s="160" t="s">
        <v>123</v>
      </c>
      <c r="E92" s="149">
        <v>0.16089861622317175</v>
      </c>
      <c r="G92" s="56" t="s">
        <v>98</v>
      </c>
      <c r="H92" s="149">
        <v>0.30566656168749956</v>
      </c>
    </row>
    <row r="93" spans="1:11" x14ac:dyDescent="0.25">
      <c r="A93" s="162" t="s">
        <v>78</v>
      </c>
      <c r="B93" s="149">
        <v>0.16951047759946744</v>
      </c>
      <c r="D93" s="161" t="s">
        <v>103</v>
      </c>
      <c r="E93" s="149">
        <v>0.14124543326296959</v>
      </c>
      <c r="G93" s="56" t="s">
        <v>96</v>
      </c>
      <c r="H93" s="149">
        <v>0.30542958194910214</v>
      </c>
    </row>
    <row r="94" spans="1:11" x14ac:dyDescent="0.25">
      <c r="A94" s="161" t="s">
        <v>105</v>
      </c>
      <c r="B94" s="149">
        <v>0.16866391828729715</v>
      </c>
      <c r="D94" s="161" t="s">
        <v>125</v>
      </c>
      <c r="E94" s="149">
        <v>0.13167704144288708</v>
      </c>
      <c r="G94" s="161" t="s">
        <v>84</v>
      </c>
      <c r="H94" s="149">
        <v>0.30362614014164518</v>
      </c>
    </row>
    <row r="95" spans="1:11" x14ac:dyDescent="0.25">
      <c r="A95" s="56" t="s">
        <v>96</v>
      </c>
      <c r="B95" s="149">
        <v>0.16814329298727576</v>
      </c>
      <c r="D95" s="161" t="s">
        <v>85</v>
      </c>
      <c r="E95" s="149">
        <v>0.12409252205115512</v>
      </c>
      <c r="G95" s="156" t="s">
        <v>150</v>
      </c>
      <c r="H95" s="149">
        <v>0.29761062679430522</v>
      </c>
    </row>
    <row r="96" spans="1:11" x14ac:dyDescent="0.25">
      <c r="A96" s="56" t="s">
        <v>99</v>
      </c>
      <c r="B96" s="149">
        <v>0.16681095284514239</v>
      </c>
      <c r="D96" s="56" t="s">
        <v>102</v>
      </c>
      <c r="E96" s="149">
        <v>0.12342482660802856</v>
      </c>
      <c r="G96" s="161" t="s">
        <v>82</v>
      </c>
      <c r="H96" s="149">
        <v>0.29704854425630151</v>
      </c>
    </row>
    <row r="97" spans="1:8" x14ac:dyDescent="0.25">
      <c r="A97" s="56" t="s">
        <v>100</v>
      </c>
      <c r="B97" s="149">
        <v>0.16565141053387833</v>
      </c>
      <c r="D97" s="56" t="s">
        <v>109</v>
      </c>
      <c r="E97" s="149">
        <v>0.1215007318374203</v>
      </c>
      <c r="G97" s="56" t="s">
        <v>95</v>
      </c>
      <c r="H97" s="149">
        <v>0.29498223805699442</v>
      </c>
    </row>
    <row r="98" spans="1:8" x14ac:dyDescent="0.25">
      <c r="A98" s="161" t="s">
        <v>108</v>
      </c>
      <c r="B98" s="149">
        <v>0.16528097880747672</v>
      </c>
      <c r="D98" s="162" t="s">
        <v>76</v>
      </c>
      <c r="E98" s="149">
        <v>0.11880144525984405</v>
      </c>
      <c r="G98" s="161" t="s">
        <v>87</v>
      </c>
      <c r="H98" s="149">
        <v>0.29386549382379673</v>
      </c>
    </row>
    <row r="99" spans="1:8" x14ac:dyDescent="0.25">
      <c r="A99" s="56" t="s">
        <v>98</v>
      </c>
      <c r="B99" s="149">
        <v>0.16381142888116265</v>
      </c>
      <c r="D99" s="161" t="s">
        <v>108</v>
      </c>
      <c r="E99" s="149">
        <v>0.11868887754341474</v>
      </c>
      <c r="G99" s="162" t="s">
        <v>78</v>
      </c>
      <c r="H99" s="149">
        <v>0.29344553203001533</v>
      </c>
    </row>
    <row r="100" spans="1:8" x14ac:dyDescent="0.25">
      <c r="A100" s="161" t="s">
        <v>106</v>
      </c>
      <c r="B100" s="149">
        <v>0.16257924223388195</v>
      </c>
      <c r="D100" s="56" t="s">
        <v>107</v>
      </c>
      <c r="E100" s="149">
        <v>0.11487143539943745</v>
      </c>
      <c r="G100" s="161" t="s">
        <v>106</v>
      </c>
      <c r="H100" s="149">
        <v>0.28960820459084696</v>
      </c>
    </row>
    <row r="101" spans="1:8" x14ac:dyDescent="0.25">
      <c r="A101" s="161" t="s">
        <v>85</v>
      </c>
      <c r="B101" s="149">
        <v>0.15770172524715198</v>
      </c>
      <c r="D101" s="161" t="s">
        <v>138</v>
      </c>
      <c r="E101" s="149">
        <v>0.11419946323007357</v>
      </c>
      <c r="G101" s="56" t="s">
        <v>9</v>
      </c>
      <c r="H101" s="149">
        <v>0.28690372725207214</v>
      </c>
    </row>
    <row r="102" spans="1:8" x14ac:dyDescent="0.25">
      <c r="A102" s="56" t="s">
        <v>101</v>
      </c>
      <c r="B102" s="149">
        <v>0.15499396925531489</v>
      </c>
      <c r="D102" s="56" t="s">
        <v>101</v>
      </c>
      <c r="E102" s="149">
        <v>0.10805592801941337</v>
      </c>
      <c r="G102" s="161" t="s">
        <v>124</v>
      </c>
      <c r="H102" s="149">
        <v>0.2865036156873465</v>
      </c>
    </row>
    <row r="103" spans="1:8" x14ac:dyDescent="0.25">
      <c r="A103" s="56" t="s">
        <v>113</v>
      </c>
      <c r="B103" s="149">
        <v>0.15437240999954419</v>
      </c>
      <c r="D103" s="161" t="s">
        <v>146</v>
      </c>
      <c r="E103" s="149">
        <v>0.10296117275750052</v>
      </c>
      <c r="G103" s="161" t="s">
        <v>105</v>
      </c>
      <c r="H103" s="149">
        <v>0.28408029357079029</v>
      </c>
    </row>
    <row r="104" spans="1:8" x14ac:dyDescent="0.25">
      <c r="A104" s="56" t="s">
        <v>102</v>
      </c>
      <c r="B104" s="149">
        <v>0.15331610404409565</v>
      </c>
      <c r="D104" s="161" t="s">
        <v>104</v>
      </c>
      <c r="E104" s="149">
        <v>0.10139154862097902</v>
      </c>
      <c r="G104" s="56" t="s">
        <v>7</v>
      </c>
      <c r="H104" s="149">
        <v>0.281872359196499</v>
      </c>
    </row>
    <row r="105" spans="1:8" x14ac:dyDescent="0.25">
      <c r="A105" s="161" t="s">
        <v>124</v>
      </c>
      <c r="B105" s="149">
        <v>0.1532092114663299</v>
      </c>
      <c r="D105" s="162" t="s">
        <v>74</v>
      </c>
      <c r="E105" s="149">
        <v>0.10038841930612091</v>
      </c>
      <c r="G105" s="161" t="s">
        <v>104</v>
      </c>
      <c r="H105" s="149">
        <v>0.27615689088391837</v>
      </c>
    </row>
    <row r="106" spans="1:8" x14ac:dyDescent="0.25">
      <c r="A106" s="56" t="s">
        <v>109</v>
      </c>
      <c r="B106" s="149">
        <v>0.15299860145172672</v>
      </c>
      <c r="D106" s="56" t="s">
        <v>100</v>
      </c>
      <c r="E106" s="149">
        <v>9.9534340961386511E-2</v>
      </c>
      <c r="G106" s="56" t="s">
        <v>100</v>
      </c>
      <c r="H106" s="149">
        <v>0.27296902384128052</v>
      </c>
    </row>
    <row r="107" spans="1:8" x14ac:dyDescent="0.25">
      <c r="A107" s="56" t="s">
        <v>107</v>
      </c>
      <c r="B107" s="149">
        <v>0.14199321857130462</v>
      </c>
      <c r="D107" s="161" t="s">
        <v>105</v>
      </c>
      <c r="E107" s="149">
        <v>9.5973410174636772E-2</v>
      </c>
      <c r="G107" s="56" t="s">
        <v>13</v>
      </c>
      <c r="H107" s="149">
        <v>0.27193953134503529</v>
      </c>
    </row>
    <row r="108" spans="1:8" x14ac:dyDescent="0.25">
      <c r="A108" s="160" t="s">
        <v>123</v>
      </c>
      <c r="B108" s="149">
        <v>0.1399304669575904</v>
      </c>
      <c r="D108" s="161" t="s">
        <v>106</v>
      </c>
      <c r="E108" s="149">
        <v>9.4402794722328723E-2</v>
      </c>
      <c r="G108" s="161" t="s">
        <v>103</v>
      </c>
      <c r="H108" s="149">
        <v>0.27193450387785939</v>
      </c>
    </row>
    <row r="109" spans="1:8" x14ac:dyDescent="0.25">
      <c r="A109" s="56" t="s">
        <v>88</v>
      </c>
      <c r="B109" s="149">
        <v>0.13468798383782238</v>
      </c>
      <c r="D109" s="160" t="s">
        <v>122</v>
      </c>
      <c r="E109" s="149">
        <v>9.439182272446231E-2</v>
      </c>
      <c r="G109" s="56" t="s">
        <v>101</v>
      </c>
      <c r="H109" s="149">
        <v>0.26835103614554456</v>
      </c>
    </row>
    <row r="110" spans="1:8" x14ac:dyDescent="0.25">
      <c r="A110" s="56" t="s">
        <v>91</v>
      </c>
      <c r="B110" s="149">
        <v>0.1340407025512676</v>
      </c>
      <c r="D110" s="56" t="s">
        <v>97</v>
      </c>
      <c r="E110" s="149">
        <v>8.5260557437678686E-2</v>
      </c>
      <c r="G110" s="56" t="s">
        <v>91</v>
      </c>
      <c r="H110" s="149">
        <v>0.26803785257049101</v>
      </c>
    </row>
    <row r="111" spans="1:8" x14ac:dyDescent="0.25">
      <c r="A111" s="56" t="s">
        <v>95</v>
      </c>
      <c r="B111" s="149">
        <v>0.13107574753935192</v>
      </c>
      <c r="D111" s="160" t="s">
        <v>14</v>
      </c>
      <c r="E111" s="149">
        <v>7.803999089184914E-2</v>
      </c>
      <c r="G111" s="161" t="s">
        <v>108</v>
      </c>
      <c r="H111" s="149">
        <v>0.26791784966510707</v>
      </c>
    </row>
    <row r="112" spans="1:8" x14ac:dyDescent="0.25">
      <c r="A112" s="162" t="s">
        <v>74</v>
      </c>
      <c r="B112" s="149">
        <v>0.12760698303228515</v>
      </c>
      <c r="D112" s="56" t="s">
        <v>96</v>
      </c>
      <c r="E112" s="149">
        <v>7.5733709727745527E-2</v>
      </c>
      <c r="G112" s="160" t="s">
        <v>123</v>
      </c>
      <c r="H112" s="149">
        <v>0.26718494843325874</v>
      </c>
    </row>
    <row r="113" spans="1:8" x14ac:dyDescent="0.25">
      <c r="A113" s="56" t="s">
        <v>97</v>
      </c>
      <c r="B113" s="149">
        <v>0.12537677168419775</v>
      </c>
      <c r="D113" s="56" t="s">
        <v>99</v>
      </c>
      <c r="E113" s="149">
        <v>7.389467787025715E-2</v>
      </c>
      <c r="G113" s="56" t="s">
        <v>92</v>
      </c>
      <c r="H113" s="149">
        <v>0.26344407011297993</v>
      </c>
    </row>
    <row r="114" spans="1:8" x14ac:dyDescent="0.25">
      <c r="A114" s="162" t="s">
        <v>75</v>
      </c>
      <c r="B114" s="149">
        <v>0.12085989621561748</v>
      </c>
      <c r="D114" s="160" t="s">
        <v>139</v>
      </c>
      <c r="E114" s="149">
        <v>7.3826483004889698E-2</v>
      </c>
      <c r="G114" s="56" t="s">
        <v>155</v>
      </c>
      <c r="H114" s="149">
        <v>0.26269603772982048</v>
      </c>
    </row>
    <row r="115" spans="1:8" x14ac:dyDescent="0.25">
      <c r="A115" s="56" t="s">
        <v>93</v>
      </c>
      <c r="B115" s="149">
        <v>0.11666882428779646</v>
      </c>
      <c r="D115" s="56" t="s">
        <v>98</v>
      </c>
      <c r="E115" s="149">
        <v>7.2808067385119579E-2</v>
      </c>
      <c r="G115" s="56" t="s">
        <v>90</v>
      </c>
      <c r="H115" s="149">
        <v>0.2597348604190387</v>
      </c>
    </row>
    <row r="116" spans="1:8" x14ac:dyDescent="0.25">
      <c r="A116" s="56" t="s">
        <v>111</v>
      </c>
      <c r="B116" s="149">
        <v>0.10704399363544261</v>
      </c>
      <c r="D116" s="162" t="s">
        <v>75</v>
      </c>
      <c r="E116" s="149">
        <v>5.9582049659772901E-2</v>
      </c>
      <c r="G116" s="162" t="s">
        <v>75</v>
      </c>
      <c r="H116" s="149">
        <v>0.25747944162448982</v>
      </c>
    </row>
    <row r="117" spans="1:8" x14ac:dyDescent="0.25">
      <c r="A117" s="56" t="s">
        <v>90</v>
      </c>
      <c r="B117" s="149">
        <v>0.10508910684191544</v>
      </c>
      <c r="D117" s="157" t="s">
        <v>172</v>
      </c>
      <c r="E117" s="149">
        <v>5.8109146156121935E-2</v>
      </c>
      <c r="G117" s="56" t="s">
        <v>151</v>
      </c>
      <c r="H117" s="149">
        <v>0.25632883252504141</v>
      </c>
    </row>
    <row r="118" spans="1:8" x14ac:dyDescent="0.25">
      <c r="A118" s="56" t="s">
        <v>89</v>
      </c>
      <c r="B118" s="149">
        <v>0.10379456706700899</v>
      </c>
      <c r="D118" s="56" t="s">
        <v>88</v>
      </c>
      <c r="E118" s="149">
        <v>5.7770153572347133E-2</v>
      </c>
      <c r="G118" s="56" t="s">
        <v>88</v>
      </c>
      <c r="H118" s="149">
        <v>0.25469927323021047</v>
      </c>
    </row>
    <row r="119" spans="1:8" x14ac:dyDescent="0.25">
      <c r="A119" s="56" t="s">
        <v>92</v>
      </c>
      <c r="B119" s="149">
        <v>0.1024631439754196</v>
      </c>
      <c r="D119" s="56" t="s">
        <v>89</v>
      </c>
      <c r="E119" s="149">
        <v>4.4003472656368878E-2</v>
      </c>
      <c r="G119" s="56" t="s">
        <v>109</v>
      </c>
      <c r="H119" s="149">
        <v>0.25456177761363863</v>
      </c>
    </row>
    <row r="120" spans="1:8" x14ac:dyDescent="0.25">
      <c r="A120" s="56" t="s">
        <v>114</v>
      </c>
      <c r="B120" s="149">
        <v>0.10166517496379925</v>
      </c>
      <c r="D120" s="161" t="s">
        <v>140</v>
      </c>
      <c r="E120" s="149">
        <v>4.3337354275380539E-2</v>
      </c>
      <c r="G120" s="56" t="s">
        <v>112</v>
      </c>
      <c r="H120" s="149">
        <v>0.25222779226356673</v>
      </c>
    </row>
    <row r="121" spans="1:8" x14ac:dyDescent="0.25">
      <c r="A121" s="56" t="s">
        <v>94</v>
      </c>
      <c r="B121" s="149">
        <v>0.10158062299235836</v>
      </c>
      <c r="D121" s="56" t="s">
        <v>110</v>
      </c>
      <c r="E121" s="149">
        <v>4.0064520493617396E-2</v>
      </c>
      <c r="G121" s="56" t="s">
        <v>113</v>
      </c>
      <c r="H121" s="149">
        <v>0.25088435000191639</v>
      </c>
    </row>
    <row r="122" spans="1:8" x14ac:dyDescent="0.25">
      <c r="A122" s="160" t="s">
        <v>122</v>
      </c>
      <c r="B122" s="149">
        <v>0.10033881198222848</v>
      </c>
      <c r="D122" s="56" t="s">
        <v>90</v>
      </c>
      <c r="E122" s="149">
        <v>3.5986918198169106E-2</v>
      </c>
      <c r="G122" s="56" t="s">
        <v>93</v>
      </c>
      <c r="H122" s="149">
        <v>0.25085265692872583</v>
      </c>
    </row>
    <row r="123" spans="1:8" x14ac:dyDescent="0.25">
      <c r="A123" s="161" t="s">
        <v>125</v>
      </c>
      <c r="B123" s="149">
        <v>9.6369088235105205E-2</v>
      </c>
      <c r="D123" s="56" t="s">
        <v>113</v>
      </c>
      <c r="E123" s="149">
        <v>3.1928360623692337E-2</v>
      </c>
      <c r="G123" s="56" t="s">
        <v>152</v>
      </c>
      <c r="H123" s="149">
        <v>0.25043538048033909</v>
      </c>
    </row>
    <row r="124" spans="1:8" x14ac:dyDescent="0.25">
      <c r="A124" s="56" t="s">
        <v>119</v>
      </c>
      <c r="B124" s="149">
        <v>9.13039421663316E-2</v>
      </c>
      <c r="D124" s="161" t="s">
        <v>147</v>
      </c>
      <c r="E124" s="149">
        <v>3.0971341420358671E-2</v>
      </c>
      <c r="G124" s="56" t="s">
        <v>154</v>
      </c>
      <c r="H124" s="149">
        <v>0.24984322789810723</v>
      </c>
    </row>
    <row r="125" spans="1:8" x14ac:dyDescent="0.25">
      <c r="A125" s="56" t="s">
        <v>110</v>
      </c>
      <c r="B125" s="149">
        <v>8.7555446433823847E-2</v>
      </c>
      <c r="D125" s="161" t="s">
        <v>127</v>
      </c>
      <c r="E125" s="149">
        <v>2.1461359812542012E-2</v>
      </c>
      <c r="G125" s="56" t="s">
        <v>160</v>
      </c>
      <c r="H125" s="149">
        <v>0.24338235379239612</v>
      </c>
    </row>
    <row r="126" spans="1:8" x14ac:dyDescent="0.25">
      <c r="A126" s="56" t="s">
        <v>116</v>
      </c>
      <c r="B126" s="149">
        <v>8.7433639919475906E-2</v>
      </c>
      <c r="D126" s="161" t="s">
        <v>143</v>
      </c>
      <c r="E126" s="149">
        <v>1.7521473362708904E-2</v>
      </c>
      <c r="G126" s="56" t="s">
        <v>102</v>
      </c>
      <c r="H126" s="149">
        <v>0.24309097112475839</v>
      </c>
    </row>
    <row r="127" spans="1:8" x14ac:dyDescent="0.25">
      <c r="A127" s="56" t="s">
        <v>117</v>
      </c>
      <c r="B127" s="149">
        <v>8.030675614344493E-2</v>
      </c>
      <c r="D127" s="161" t="s">
        <v>130</v>
      </c>
      <c r="E127" s="149">
        <v>1.7079412437679051E-2</v>
      </c>
      <c r="G127" s="56" t="s">
        <v>16</v>
      </c>
      <c r="H127" s="149">
        <v>0.24225591956342984</v>
      </c>
    </row>
    <row r="128" spans="1:8" x14ac:dyDescent="0.25">
      <c r="A128" s="56" t="s">
        <v>118</v>
      </c>
      <c r="B128" s="149">
        <v>7.8287321496773837E-2</v>
      </c>
      <c r="D128" s="56" t="s">
        <v>111</v>
      </c>
      <c r="E128" s="149">
        <v>1.580947363620263E-2</v>
      </c>
      <c r="G128" s="162" t="s">
        <v>74</v>
      </c>
      <c r="H128" s="149">
        <v>0.23242454671701099</v>
      </c>
    </row>
    <row r="129" spans="1:8" x14ac:dyDescent="0.25">
      <c r="A129" s="56" t="s">
        <v>112</v>
      </c>
      <c r="B129" s="149">
        <v>7.1131340237118534E-2</v>
      </c>
      <c r="D129" s="56" t="s">
        <v>91</v>
      </c>
      <c r="E129" s="149">
        <v>1.3627420231926679E-2</v>
      </c>
      <c r="G129" s="56" t="s">
        <v>157</v>
      </c>
      <c r="H129" s="149">
        <v>0.23225839340433718</v>
      </c>
    </row>
    <row r="130" spans="1:8" x14ac:dyDescent="0.25">
      <c r="A130" s="161" t="s">
        <v>138</v>
      </c>
      <c r="B130" s="149">
        <v>6.6203232913561796E-2</v>
      </c>
      <c r="D130" s="56" t="s">
        <v>92</v>
      </c>
      <c r="E130" s="149">
        <v>1.2648969778518921E-2</v>
      </c>
      <c r="G130" s="56" t="s">
        <v>107</v>
      </c>
      <c r="H130" s="149">
        <v>0.22819476486065021</v>
      </c>
    </row>
    <row r="131" spans="1:8" x14ac:dyDescent="0.25">
      <c r="A131" s="56" t="s">
        <v>115</v>
      </c>
      <c r="B131" s="149">
        <v>6.3759122598102722E-2</v>
      </c>
      <c r="D131" s="56" t="s">
        <v>170</v>
      </c>
      <c r="E131" s="149">
        <v>1.2056823291980389E-2</v>
      </c>
      <c r="G131" s="56" t="s">
        <v>111</v>
      </c>
      <c r="H131" s="149">
        <v>0.22740685618153922</v>
      </c>
    </row>
    <row r="132" spans="1:8" x14ac:dyDescent="0.25">
      <c r="A132" s="56" t="s">
        <v>120</v>
      </c>
      <c r="B132" s="149">
        <v>5.3883757548776459E-2</v>
      </c>
      <c r="D132" s="161" t="s">
        <v>144</v>
      </c>
      <c r="E132" s="149">
        <v>1.1057866639947695E-2</v>
      </c>
      <c r="G132" s="56" t="s">
        <v>168</v>
      </c>
      <c r="H132" s="149">
        <v>0.22694025059633383</v>
      </c>
    </row>
    <row r="133" spans="1:8" x14ac:dyDescent="0.25">
      <c r="A133" s="56" t="s">
        <v>121</v>
      </c>
      <c r="B133" s="149">
        <v>4.8217555672546583E-2</v>
      </c>
      <c r="D133" s="161" t="s">
        <v>142</v>
      </c>
      <c r="E133" s="149">
        <v>8.7173827675452124E-3</v>
      </c>
      <c r="G133" s="161" t="s">
        <v>125</v>
      </c>
      <c r="H133" s="149">
        <v>0.22629614341615895</v>
      </c>
    </row>
    <row r="134" spans="1:8" x14ac:dyDescent="0.25">
      <c r="A134" s="157" t="s">
        <v>172</v>
      </c>
      <c r="B134" s="149">
        <v>4.8021867640425021E-2</v>
      </c>
      <c r="D134" s="160" t="s">
        <v>137</v>
      </c>
      <c r="E134" s="149">
        <v>8.5209883471319414E-3</v>
      </c>
      <c r="G134" s="56" t="s">
        <v>116</v>
      </c>
      <c r="H134" s="149">
        <v>0.22516599989594588</v>
      </c>
    </row>
    <row r="135" spans="1:8" x14ac:dyDescent="0.25">
      <c r="A135" s="161" t="s">
        <v>140</v>
      </c>
      <c r="B135" s="149">
        <v>4.1562237866651842E-2</v>
      </c>
      <c r="D135" s="161" t="s">
        <v>145</v>
      </c>
      <c r="E135" s="149">
        <v>6.5165906026310493E-3</v>
      </c>
      <c r="G135" s="160" t="s">
        <v>122</v>
      </c>
      <c r="H135" s="149">
        <v>0.22506195858684908</v>
      </c>
    </row>
    <row r="136" spans="1:8" x14ac:dyDescent="0.25">
      <c r="A136" s="160" t="s">
        <v>139</v>
      </c>
      <c r="B136" s="149">
        <v>3.7100293399282121E-2</v>
      </c>
      <c r="D136" s="56" t="s">
        <v>152</v>
      </c>
      <c r="E136" s="149">
        <v>5.7520864787754603E-3</v>
      </c>
      <c r="G136" s="56" t="s">
        <v>97</v>
      </c>
      <c r="H136" s="149">
        <v>0.22177518160248039</v>
      </c>
    </row>
    <row r="137" spans="1:8" x14ac:dyDescent="0.25">
      <c r="A137" s="161" t="s">
        <v>146</v>
      </c>
      <c r="B137" s="149">
        <v>3.5459220566653113E-2</v>
      </c>
      <c r="D137" s="56" t="s">
        <v>95</v>
      </c>
      <c r="E137" s="149">
        <v>4.2223319994165774E-3</v>
      </c>
      <c r="G137" s="56" t="s">
        <v>94</v>
      </c>
      <c r="H137" s="149">
        <v>0.22068021857091805</v>
      </c>
    </row>
    <row r="138" spans="1:8" x14ac:dyDescent="0.25">
      <c r="A138" s="160" t="s">
        <v>14</v>
      </c>
      <c r="B138" s="149">
        <v>2.4505001884998604E-2</v>
      </c>
      <c r="D138" s="56" t="s">
        <v>93</v>
      </c>
      <c r="E138" s="149">
        <v>3.2060571434262609E-3</v>
      </c>
      <c r="G138" s="56" t="s">
        <v>159</v>
      </c>
      <c r="H138" s="149">
        <v>0.21493878419201864</v>
      </c>
    </row>
    <row r="139" spans="1:8" x14ac:dyDescent="0.25">
      <c r="A139" s="160" t="s">
        <v>137</v>
      </c>
      <c r="B139" s="149">
        <v>1.5139114226736456E-2</v>
      </c>
      <c r="D139" s="161" t="s">
        <v>141</v>
      </c>
      <c r="E139" s="149">
        <v>-7.338902279710977E-3</v>
      </c>
      <c r="G139" s="56" t="s">
        <v>119</v>
      </c>
      <c r="H139" s="149">
        <v>0.20882771437068992</v>
      </c>
    </row>
    <row r="140" spans="1:8" x14ac:dyDescent="0.25">
      <c r="A140" s="56" t="s">
        <v>170</v>
      </c>
      <c r="B140" s="149">
        <v>7.2001572498546496E-3</v>
      </c>
      <c r="D140" s="56" t="s">
        <v>171</v>
      </c>
      <c r="E140" s="149">
        <v>-1.0608229571256757E-2</v>
      </c>
      <c r="G140" s="56" t="s">
        <v>164</v>
      </c>
      <c r="H140" s="149">
        <v>0.20007169264823313</v>
      </c>
    </row>
    <row r="141" spans="1:8" x14ac:dyDescent="0.25">
      <c r="A141" s="161" t="s">
        <v>142</v>
      </c>
      <c r="B141" s="149">
        <v>-1.8679022098357571E-3</v>
      </c>
      <c r="D141" s="56" t="s">
        <v>117</v>
      </c>
      <c r="E141" s="149">
        <v>-1.0870932251451937E-2</v>
      </c>
      <c r="G141" s="56" t="s">
        <v>118</v>
      </c>
      <c r="H141" s="149">
        <v>0.19907981978921044</v>
      </c>
    </row>
    <row r="142" spans="1:8" x14ac:dyDescent="0.25">
      <c r="A142" s="161" t="s">
        <v>147</v>
      </c>
      <c r="B142" s="149">
        <v>-1.3777219859674152E-2</v>
      </c>
      <c r="D142" s="56" t="s">
        <v>121</v>
      </c>
      <c r="E142" s="149">
        <v>-1.3707673392477096E-2</v>
      </c>
      <c r="G142" s="56" t="s">
        <v>89</v>
      </c>
      <c r="H142" s="149">
        <v>0.19591990146661759</v>
      </c>
    </row>
    <row r="143" spans="1:8" x14ac:dyDescent="0.25">
      <c r="A143" s="161" t="s">
        <v>141</v>
      </c>
      <c r="B143" s="149">
        <v>-1.8218664575113175E-2</v>
      </c>
      <c r="D143" s="56" t="s">
        <v>119</v>
      </c>
      <c r="E143" s="149">
        <v>-1.4932615762905475E-2</v>
      </c>
      <c r="G143" s="56" t="s">
        <v>167</v>
      </c>
      <c r="H143" s="149">
        <v>0.19480169350887711</v>
      </c>
    </row>
    <row r="144" spans="1:8" x14ac:dyDescent="0.25">
      <c r="A144" s="161" t="s">
        <v>143</v>
      </c>
      <c r="B144" s="149">
        <v>-2.7122597918020828E-2</v>
      </c>
      <c r="D144" s="56" t="s">
        <v>94</v>
      </c>
      <c r="E144" s="149">
        <v>-1.6003822424387887E-2</v>
      </c>
      <c r="G144" s="56" t="s">
        <v>117</v>
      </c>
      <c r="H144" s="149">
        <v>0.19063496114459391</v>
      </c>
    </row>
    <row r="145" spans="1:8" x14ac:dyDescent="0.25">
      <c r="A145" s="156" t="s">
        <v>10</v>
      </c>
      <c r="B145" s="149">
        <v>-2.8722919498639757E-2</v>
      </c>
      <c r="D145" s="161" t="s">
        <v>135</v>
      </c>
      <c r="E145" s="149">
        <v>-2.227815312927714E-2</v>
      </c>
      <c r="G145" s="56" t="s">
        <v>15</v>
      </c>
      <c r="H145" s="149">
        <v>0.18395503832169166</v>
      </c>
    </row>
    <row r="146" spans="1:8" x14ac:dyDescent="0.25">
      <c r="A146" s="161" t="s">
        <v>127</v>
      </c>
      <c r="B146" s="149">
        <v>-3.2241226324195696E-2</v>
      </c>
      <c r="D146" s="56" t="s">
        <v>115</v>
      </c>
      <c r="E146" s="149">
        <v>-2.3618915466906799E-2</v>
      </c>
      <c r="G146" s="56" t="s">
        <v>114</v>
      </c>
      <c r="H146" s="149">
        <v>0.18126458697234629</v>
      </c>
    </row>
    <row r="147" spans="1:8" x14ac:dyDescent="0.25">
      <c r="A147" s="56" t="s">
        <v>152</v>
      </c>
      <c r="B147" s="149">
        <v>-3.7662436120510678E-2</v>
      </c>
      <c r="D147" s="56" t="s">
        <v>114</v>
      </c>
      <c r="E147" s="149">
        <v>-2.8624666194140173E-2</v>
      </c>
      <c r="G147" s="56" t="s">
        <v>165</v>
      </c>
      <c r="H147" s="149">
        <v>0.17265638856323451</v>
      </c>
    </row>
    <row r="148" spans="1:8" x14ac:dyDescent="0.25">
      <c r="A148" s="161" t="s">
        <v>144</v>
      </c>
      <c r="B148" s="149">
        <v>-5.4113670697781315E-2</v>
      </c>
      <c r="D148" s="56" t="s">
        <v>118</v>
      </c>
      <c r="E148" s="149">
        <v>-3.258009166817627E-2</v>
      </c>
      <c r="G148" s="157" t="s">
        <v>3</v>
      </c>
      <c r="H148" s="149">
        <v>0.17139911914971559</v>
      </c>
    </row>
    <row r="149" spans="1:8" x14ac:dyDescent="0.25">
      <c r="A149" s="161" t="s">
        <v>130</v>
      </c>
      <c r="B149" s="149">
        <v>-6.4400498091880642E-2</v>
      </c>
      <c r="D149" s="56" t="s">
        <v>112</v>
      </c>
      <c r="E149" s="149">
        <v>-3.9702559747701809E-2</v>
      </c>
      <c r="G149" s="56" t="s">
        <v>120</v>
      </c>
      <c r="H149" s="149">
        <v>0.16796997860126506</v>
      </c>
    </row>
    <row r="150" spans="1:8" x14ac:dyDescent="0.25">
      <c r="A150" s="161" t="s">
        <v>126</v>
      </c>
      <c r="B150" s="149">
        <v>-6.4728125166364628E-2</v>
      </c>
      <c r="D150" s="56" t="s">
        <v>116</v>
      </c>
      <c r="E150" s="149">
        <v>-3.9989286869129323E-2</v>
      </c>
      <c r="G150" s="56" t="s">
        <v>169</v>
      </c>
      <c r="H150" s="149">
        <v>0.16370663779757624</v>
      </c>
    </row>
    <row r="151" spans="1:8" x14ac:dyDescent="0.25">
      <c r="A151" s="161" t="s">
        <v>145</v>
      </c>
      <c r="B151" s="149">
        <v>-6.5026272233437446E-2</v>
      </c>
      <c r="D151" s="161" t="s">
        <v>136</v>
      </c>
      <c r="E151" s="149">
        <v>-4.0293526791902554E-2</v>
      </c>
      <c r="G151" s="56" t="s">
        <v>161</v>
      </c>
      <c r="H151" s="149">
        <v>0.14455372632881919</v>
      </c>
    </row>
    <row r="152" spans="1:8" x14ac:dyDescent="0.25">
      <c r="A152" s="161" t="s">
        <v>129</v>
      </c>
      <c r="B152" s="149">
        <v>-6.9305170896366314E-2</v>
      </c>
      <c r="D152" s="56" t="s">
        <v>120</v>
      </c>
      <c r="E152" s="149">
        <v>-4.1364958182790346E-2</v>
      </c>
      <c r="G152" s="56" t="s">
        <v>115</v>
      </c>
      <c r="H152" s="149">
        <v>0.14228191495644524</v>
      </c>
    </row>
    <row r="153" spans="1:8" x14ac:dyDescent="0.25">
      <c r="A153" s="56" t="s">
        <v>171</v>
      </c>
      <c r="B153" s="149">
        <v>-7.0348198988912064E-2</v>
      </c>
      <c r="D153" s="161" t="s">
        <v>126</v>
      </c>
      <c r="E153" s="149">
        <v>-4.5758687019203055E-2</v>
      </c>
      <c r="G153" s="157" t="s">
        <v>172</v>
      </c>
      <c r="H153" s="149">
        <v>0.13774137441439935</v>
      </c>
    </row>
    <row r="154" spans="1:8" x14ac:dyDescent="0.25">
      <c r="A154" s="161" t="s">
        <v>135</v>
      </c>
      <c r="B154" s="149">
        <v>-7.7107535011727388E-2</v>
      </c>
      <c r="D154" s="161" t="s">
        <v>134</v>
      </c>
      <c r="E154" s="149">
        <v>-5.3305865020208378E-2</v>
      </c>
      <c r="G154" s="161" t="s">
        <v>138</v>
      </c>
      <c r="H154" s="149">
        <v>0.13553540159298769</v>
      </c>
    </row>
    <row r="155" spans="1:8" x14ac:dyDescent="0.25">
      <c r="A155" s="161" t="s">
        <v>134</v>
      </c>
      <c r="B155" s="149">
        <v>-8.1189882582459863E-2</v>
      </c>
      <c r="D155" s="161" t="s">
        <v>128</v>
      </c>
      <c r="E155" s="149">
        <v>-6.4149418388647086E-2</v>
      </c>
      <c r="G155" s="161" t="s">
        <v>140</v>
      </c>
      <c r="H155" s="149">
        <v>0.12591424247302418</v>
      </c>
    </row>
    <row r="156" spans="1:8" x14ac:dyDescent="0.25">
      <c r="A156" s="56" t="s">
        <v>164</v>
      </c>
      <c r="B156" s="149">
        <v>-8.5075560709424403E-2</v>
      </c>
      <c r="D156" s="161" t="s">
        <v>131</v>
      </c>
      <c r="E156" s="149">
        <v>-9.2078421122188253E-2</v>
      </c>
      <c r="G156" s="56" t="s">
        <v>110</v>
      </c>
      <c r="H156" s="149">
        <v>0.11800491690171175</v>
      </c>
    </row>
    <row r="157" spans="1:8" x14ac:dyDescent="0.25">
      <c r="A157" s="156" t="s">
        <v>148</v>
      </c>
      <c r="B157" s="149">
        <v>-8.5348318788285929E-2</v>
      </c>
      <c r="D157" s="161" t="s">
        <v>129</v>
      </c>
      <c r="E157" s="149">
        <v>-9.7874394913739435E-2</v>
      </c>
      <c r="G157" s="56" t="s">
        <v>166</v>
      </c>
      <c r="H157" s="149">
        <v>0.11441356783205983</v>
      </c>
    </row>
    <row r="158" spans="1:8" x14ac:dyDescent="0.25">
      <c r="A158" s="156" t="s">
        <v>149</v>
      </c>
      <c r="B158" s="149">
        <v>-8.5614804834406949E-2</v>
      </c>
      <c r="D158" s="161" t="s">
        <v>132</v>
      </c>
      <c r="E158" s="149">
        <v>-0.11085244096593046</v>
      </c>
      <c r="G158" s="160" t="s">
        <v>137</v>
      </c>
      <c r="H158" s="149">
        <v>0.11080707462447349</v>
      </c>
    </row>
    <row r="159" spans="1:8" x14ac:dyDescent="0.25">
      <c r="A159" s="161" t="s">
        <v>128</v>
      </c>
      <c r="B159" s="149">
        <v>-0.10176528304125264</v>
      </c>
      <c r="D159" s="56" t="s">
        <v>164</v>
      </c>
      <c r="E159" s="149">
        <v>-0.11605367588478729</v>
      </c>
      <c r="G159" s="56" t="s">
        <v>6</v>
      </c>
      <c r="H159" s="149">
        <v>0.10723605230517444</v>
      </c>
    </row>
    <row r="160" spans="1:8" x14ac:dyDescent="0.25">
      <c r="A160" s="161" t="s">
        <v>132</v>
      </c>
      <c r="B160" s="149">
        <v>-0.10572446569704995</v>
      </c>
      <c r="D160" s="156" t="s">
        <v>10</v>
      </c>
      <c r="E160" s="149">
        <v>-0.11691683404546012</v>
      </c>
      <c r="G160" s="160" t="s">
        <v>139</v>
      </c>
      <c r="H160" s="149">
        <v>0.10149097258120408</v>
      </c>
    </row>
    <row r="161" spans="1:8" x14ac:dyDescent="0.25">
      <c r="A161" s="161" t="s">
        <v>136</v>
      </c>
      <c r="B161" s="149">
        <v>-0.11052626455424826</v>
      </c>
      <c r="D161" s="157" t="s">
        <v>163</v>
      </c>
      <c r="E161" s="149">
        <v>-0.14205843148260389</v>
      </c>
      <c r="G161" s="56" t="s">
        <v>162</v>
      </c>
      <c r="H161" s="149">
        <v>9.3071723542937884E-2</v>
      </c>
    </row>
    <row r="162" spans="1:8" x14ac:dyDescent="0.25">
      <c r="A162" s="157" t="s">
        <v>163</v>
      </c>
      <c r="B162" s="149">
        <v>-0.13041458583708648</v>
      </c>
      <c r="D162" s="156" t="s">
        <v>148</v>
      </c>
      <c r="E162" s="149">
        <v>-0.16361072900532439</v>
      </c>
      <c r="G162" s="56" t="s">
        <v>121</v>
      </c>
      <c r="H162" s="149">
        <v>9.2117077577847359E-2</v>
      </c>
    </row>
    <row r="163" spans="1:8" x14ac:dyDescent="0.25">
      <c r="A163" s="161" t="s">
        <v>133</v>
      </c>
      <c r="B163" s="149">
        <v>-0.1415916008270568</v>
      </c>
      <c r="D163" s="161" t="s">
        <v>133</v>
      </c>
      <c r="E163" s="149">
        <v>-0.17737842658510874</v>
      </c>
      <c r="G163" s="160" t="s">
        <v>14</v>
      </c>
      <c r="H163" s="149">
        <v>8.1968914908465806E-2</v>
      </c>
    </row>
    <row r="164" spans="1:8" x14ac:dyDescent="0.25">
      <c r="A164" s="161" t="s">
        <v>131</v>
      </c>
      <c r="B164" s="149">
        <v>-0.15148168082551672</v>
      </c>
      <c r="D164" s="156" t="s">
        <v>173</v>
      </c>
      <c r="E164" s="149">
        <v>-0.19531731214315989</v>
      </c>
      <c r="G164" s="161" t="s">
        <v>146</v>
      </c>
      <c r="H164" s="149">
        <v>6.9691110826537478E-2</v>
      </c>
    </row>
    <row r="165" spans="1:8" x14ac:dyDescent="0.25">
      <c r="A165" s="156" t="s">
        <v>173</v>
      </c>
      <c r="B165" s="149">
        <v>-0.18475581072709818</v>
      </c>
      <c r="D165" s="156" t="s">
        <v>149</v>
      </c>
      <c r="E165" s="149">
        <v>-0.21922958662103523</v>
      </c>
      <c r="G165" s="156" t="s">
        <v>149</v>
      </c>
      <c r="H165" s="149">
        <v>6.1191680616242056E-2</v>
      </c>
    </row>
    <row r="166" spans="1:8" x14ac:dyDescent="0.25">
      <c r="A166" s="56" t="s">
        <v>9</v>
      </c>
      <c r="B166" s="149">
        <v>-0.47087820872032665</v>
      </c>
      <c r="D166" s="56" t="s">
        <v>9</v>
      </c>
      <c r="E166" s="149">
        <v>-0.31130359930033241</v>
      </c>
      <c r="G166" s="56" t="s">
        <v>170</v>
      </c>
      <c r="H166" s="149">
        <v>5.6081004358268419E-2</v>
      </c>
    </row>
    <row r="167" spans="1:8" x14ac:dyDescent="0.25">
      <c r="A167" s="157" t="s">
        <v>3</v>
      </c>
      <c r="B167" s="149">
        <v>-0.48058894545065495</v>
      </c>
      <c r="D167" s="56" t="s">
        <v>157</v>
      </c>
      <c r="E167" s="149">
        <v>-0.39603596352337517</v>
      </c>
      <c r="G167" s="156" t="s">
        <v>10</v>
      </c>
      <c r="H167" s="149">
        <v>5.1299401824723624E-2</v>
      </c>
    </row>
    <row r="168" spans="1:8" x14ac:dyDescent="0.25">
      <c r="A168" s="56" t="s">
        <v>165</v>
      </c>
      <c r="B168" s="149">
        <v>-0.49152882916334867</v>
      </c>
      <c r="D168" s="56" t="s">
        <v>160</v>
      </c>
      <c r="E168" s="149">
        <v>-0.40889772115340395</v>
      </c>
      <c r="G168" s="161" t="s">
        <v>142</v>
      </c>
      <c r="H168" s="149">
        <v>4.6384407486983525E-2</v>
      </c>
    </row>
    <row r="169" spans="1:8" x14ac:dyDescent="0.25">
      <c r="A169" s="56" t="s">
        <v>158</v>
      </c>
      <c r="B169" s="149">
        <v>-0.50501361323500593</v>
      </c>
      <c r="D169" s="56" t="s">
        <v>158</v>
      </c>
      <c r="E169" s="149">
        <v>-0.42673944242727119</v>
      </c>
      <c r="G169" s="161" t="s">
        <v>141</v>
      </c>
      <c r="H169" s="149">
        <v>4.4959016248035055E-2</v>
      </c>
    </row>
    <row r="170" spans="1:8" x14ac:dyDescent="0.25">
      <c r="A170" s="56" t="s">
        <v>157</v>
      </c>
      <c r="B170" s="149">
        <v>-0.51022366686403187</v>
      </c>
      <c r="D170" s="157" t="s">
        <v>3</v>
      </c>
      <c r="E170" s="149">
        <v>-0.42827790054883785</v>
      </c>
      <c r="G170" s="157" t="s">
        <v>163</v>
      </c>
      <c r="H170" s="149">
        <v>3.2404863563844158E-2</v>
      </c>
    </row>
    <row r="171" spans="1:8" x14ac:dyDescent="0.25">
      <c r="A171" s="56" t="s">
        <v>156</v>
      </c>
      <c r="B171" s="149">
        <v>-0.52639892369213004</v>
      </c>
      <c r="D171" s="56" t="s">
        <v>15</v>
      </c>
      <c r="E171" s="149">
        <v>-0.45009804661475122</v>
      </c>
      <c r="G171" s="156" t="s">
        <v>148</v>
      </c>
      <c r="H171" s="149">
        <v>2.544781338399291E-2</v>
      </c>
    </row>
    <row r="172" spans="1:8" x14ac:dyDescent="0.25">
      <c r="A172" s="56" t="s">
        <v>155</v>
      </c>
      <c r="B172" s="149">
        <v>-0.53471684731916003</v>
      </c>
      <c r="D172" s="56" t="s">
        <v>155</v>
      </c>
      <c r="E172" s="149">
        <v>-0.46339574248046267</v>
      </c>
      <c r="G172" s="161" t="s">
        <v>147</v>
      </c>
      <c r="H172" s="149">
        <v>1.8590526405979069E-2</v>
      </c>
    </row>
    <row r="173" spans="1:8" x14ac:dyDescent="0.25">
      <c r="A173" s="56" t="s">
        <v>153</v>
      </c>
      <c r="B173" s="149">
        <v>-0.56726490775020821</v>
      </c>
      <c r="D173" s="56" t="s">
        <v>159</v>
      </c>
      <c r="E173" s="149">
        <v>-0.4738825360910684</v>
      </c>
      <c r="G173" s="161" t="s">
        <v>129</v>
      </c>
      <c r="H173" s="149">
        <v>6.9919248241774095E-3</v>
      </c>
    </row>
    <row r="174" spans="1:8" x14ac:dyDescent="0.25">
      <c r="A174" s="56" t="s">
        <v>7</v>
      </c>
      <c r="B174" s="149">
        <v>-0.56761409420646858</v>
      </c>
      <c r="D174" s="56" t="s">
        <v>165</v>
      </c>
      <c r="E174" s="149">
        <v>-0.51217535539541759</v>
      </c>
      <c r="G174" s="161" t="s">
        <v>127</v>
      </c>
      <c r="H174" s="149">
        <v>-1.6060931217370945E-2</v>
      </c>
    </row>
    <row r="175" spans="1:8" x14ac:dyDescent="0.25">
      <c r="A175" s="56" t="s">
        <v>160</v>
      </c>
      <c r="B175" s="149">
        <v>-0.5687305726779559</v>
      </c>
      <c r="D175" s="56" t="s">
        <v>7</v>
      </c>
      <c r="E175" s="149">
        <v>-0.53771860247761882</v>
      </c>
      <c r="G175" s="161" t="s">
        <v>143</v>
      </c>
      <c r="H175" s="149">
        <v>-2.4753024323981781E-2</v>
      </c>
    </row>
    <row r="176" spans="1:8" x14ac:dyDescent="0.25">
      <c r="A176" s="56" t="s">
        <v>159</v>
      </c>
      <c r="B176" s="149">
        <v>-0.58236796747077368</v>
      </c>
      <c r="D176" s="56" t="s">
        <v>156</v>
      </c>
      <c r="E176" s="149">
        <v>-0.56083086359544043</v>
      </c>
      <c r="G176" s="161" t="s">
        <v>126</v>
      </c>
      <c r="H176" s="149">
        <v>-2.9281735322596619E-2</v>
      </c>
    </row>
    <row r="177" spans="1:8" x14ac:dyDescent="0.25">
      <c r="A177" s="56" t="s">
        <v>13</v>
      </c>
      <c r="B177" s="149">
        <v>-0.5892983615350893</v>
      </c>
      <c r="D177" s="56" t="s">
        <v>153</v>
      </c>
      <c r="E177" s="149">
        <v>-0.61410848486553782</v>
      </c>
      <c r="G177" s="56" t="s">
        <v>171</v>
      </c>
      <c r="H177" s="149">
        <v>-3.6528367082743353E-2</v>
      </c>
    </row>
    <row r="178" spans="1:8" x14ac:dyDescent="0.25">
      <c r="A178" s="56" t="s">
        <v>15</v>
      </c>
      <c r="B178" s="149">
        <v>-0.59572422632069133</v>
      </c>
      <c r="D178" s="56" t="s">
        <v>162</v>
      </c>
      <c r="E178" s="149">
        <v>-0.63616014684176636</v>
      </c>
      <c r="G178" s="161" t="s">
        <v>134</v>
      </c>
      <c r="H178" s="149">
        <v>-5.409210288341771E-2</v>
      </c>
    </row>
    <row r="179" spans="1:8" x14ac:dyDescent="0.25">
      <c r="A179" s="56" t="s">
        <v>168</v>
      </c>
      <c r="B179" s="149">
        <v>-0.60791499636530666</v>
      </c>
      <c r="D179" s="56" t="s">
        <v>154</v>
      </c>
      <c r="E179" s="149">
        <v>-0.65045882076914441</v>
      </c>
      <c r="G179" s="161" t="s">
        <v>144</v>
      </c>
      <c r="H179" s="149">
        <v>-6.7155862135403699E-2</v>
      </c>
    </row>
    <row r="180" spans="1:8" x14ac:dyDescent="0.25">
      <c r="A180" s="56" t="s">
        <v>154</v>
      </c>
      <c r="B180" s="149">
        <v>-0.62632432634548563</v>
      </c>
      <c r="D180" s="56" t="s">
        <v>151</v>
      </c>
      <c r="E180" s="149">
        <v>-0.65284877535988772</v>
      </c>
      <c r="G180" s="161" t="s">
        <v>135</v>
      </c>
      <c r="H180" s="149">
        <v>-7.6650398126350106E-2</v>
      </c>
    </row>
    <row r="181" spans="1:8" x14ac:dyDescent="0.25">
      <c r="A181" s="56" t="s">
        <v>151</v>
      </c>
      <c r="B181" s="149">
        <v>-0.64384938671730862</v>
      </c>
      <c r="D181" s="56" t="s">
        <v>168</v>
      </c>
      <c r="E181" s="149">
        <v>-0.65488655020912279</v>
      </c>
      <c r="G181" s="161" t="s">
        <v>132</v>
      </c>
      <c r="H181" s="149">
        <v>-8.367421781219532E-2</v>
      </c>
    </row>
    <row r="182" spans="1:8" x14ac:dyDescent="0.25">
      <c r="A182" s="56" t="s">
        <v>16</v>
      </c>
      <c r="B182" s="149">
        <v>-0.65529740459414243</v>
      </c>
      <c r="D182" s="56" t="s">
        <v>13</v>
      </c>
      <c r="E182" s="149">
        <v>-0.67160668844783911</v>
      </c>
      <c r="G182" s="161" t="s">
        <v>128</v>
      </c>
      <c r="H182" s="149">
        <v>-8.6391623291584813E-2</v>
      </c>
    </row>
    <row r="183" spans="1:8" x14ac:dyDescent="0.25">
      <c r="A183" s="56" t="s">
        <v>162</v>
      </c>
      <c r="B183" s="149">
        <v>-0.66130933257959412</v>
      </c>
      <c r="D183" s="56" t="s">
        <v>16</v>
      </c>
      <c r="E183" s="149">
        <v>-0.68306962432850415</v>
      </c>
      <c r="G183" s="161" t="s">
        <v>131</v>
      </c>
      <c r="H183" s="149">
        <v>-9.0084898279780376E-2</v>
      </c>
    </row>
    <row r="184" spans="1:8" x14ac:dyDescent="0.25">
      <c r="A184" s="56" t="s">
        <v>6</v>
      </c>
      <c r="B184" s="149">
        <v>-0.67642980995971136</v>
      </c>
      <c r="D184" s="56" t="s">
        <v>6</v>
      </c>
      <c r="E184" s="149">
        <v>-0.69830805243788097</v>
      </c>
      <c r="G184" s="161" t="s">
        <v>145</v>
      </c>
      <c r="H184" s="149">
        <v>-9.0155588195125161E-2</v>
      </c>
    </row>
    <row r="185" spans="1:8" x14ac:dyDescent="0.25">
      <c r="A185" s="56" t="s">
        <v>169</v>
      </c>
      <c r="B185" s="149">
        <v>-0.71733953048696764</v>
      </c>
      <c r="D185" s="56" t="s">
        <v>161</v>
      </c>
      <c r="E185" s="149">
        <v>-0.71616064210734054</v>
      </c>
      <c r="G185" s="156" t="s">
        <v>173</v>
      </c>
      <c r="H185" s="149">
        <v>-9.5804890374490789E-2</v>
      </c>
    </row>
    <row r="186" spans="1:8" x14ac:dyDescent="0.25">
      <c r="A186" s="56" t="s">
        <v>161</v>
      </c>
      <c r="B186" s="149">
        <v>-0.7236708860095501</v>
      </c>
      <c r="D186" s="56" t="s">
        <v>169</v>
      </c>
      <c r="E186" s="149">
        <v>-0.78188226882435652</v>
      </c>
      <c r="G186" s="161" t="s">
        <v>130</v>
      </c>
      <c r="H186" s="149">
        <v>-9.6112852440621288E-2</v>
      </c>
    </row>
    <row r="187" spans="1:8" x14ac:dyDescent="0.25">
      <c r="A187" s="56" t="s">
        <v>167</v>
      </c>
      <c r="B187" s="149">
        <v>-0.72772121240524901</v>
      </c>
      <c r="D187" s="56" t="s">
        <v>166</v>
      </c>
      <c r="E187" s="149">
        <v>-0.78200671471172678</v>
      </c>
      <c r="G187" s="161" t="s">
        <v>133</v>
      </c>
      <c r="H187" s="149">
        <v>-0.11192805671958019</v>
      </c>
    </row>
    <row r="188" spans="1:8" x14ac:dyDescent="0.25">
      <c r="A188" s="56" t="s">
        <v>166</v>
      </c>
      <c r="B188" s="149">
        <v>-0.74488697075846844</v>
      </c>
      <c r="D188" s="56" t="s">
        <v>167</v>
      </c>
      <c r="E188" s="149">
        <v>-0.79013398067651719</v>
      </c>
      <c r="G188" s="161" t="s">
        <v>136</v>
      </c>
      <c r="H188" s="149">
        <v>-0.11562202924428537</v>
      </c>
    </row>
  </sheetData>
  <sortState ref="G82:H188">
    <sortCondition descending="1" ref="H82:H188"/>
  </sortState>
  <mergeCells count="8">
    <mergeCell ref="D81:E81"/>
    <mergeCell ref="G81:I81"/>
    <mergeCell ref="A74:B74"/>
    <mergeCell ref="A75:B75"/>
    <mergeCell ref="A76:B76"/>
    <mergeCell ref="A77:B77"/>
    <mergeCell ref="A78:B78"/>
    <mergeCell ref="A81:B8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4"/>
  <sheetViews>
    <sheetView topLeftCell="A70" workbookViewId="0">
      <selection activeCell="M118" sqref="M118"/>
    </sheetView>
  </sheetViews>
  <sheetFormatPr defaultRowHeight="15" x14ac:dyDescent="0.25"/>
  <cols>
    <col min="1" max="1" width="12.710937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2.7109375" bestFit="1" customWidth="1"/>
    <col min="16" max="16" width="12.7109375" bestFit="1" customWidth="1"/>
    <col min="17" max="17" width="12.42578125" bestFit="1" customWidth="1"/>
    <col min="19" max="19" width="12.7109375" bestFit="1" customWidth="1"/>
    <col min="20" max="20" width="12.42578125" bestFit="1" customWidth="1"/>
    <col min="22" max="22" width="10.5703125" customWidth="1"/>
    <col min="25" max="25" width="10.140625" customWidth="1"/>
  </cols>
  <sheetData>
    <row r="1" spans="1:27" ht="72.75" customHeight="1" x14ac:dyDescent="0.25">
      <c r="A1" s="216" t="s">
        <v>653</v>
      </c>
      <c r="B1" s="217"/>
      <c r="C1" s="217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27" x14ac:dyDescent="0.25">
      <c r="A2" s="6" t="s">
        <v>21</v>
      </c>
      <c r="B2" s="6" t="s">
        <v>19</v>
      </c>
      <c r="C2" s="6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27" s="149" customFormat="1" x14ac:dyDescent="0.25">
      <c r="A3" s="77" t="s">
        <v>101</v>
      </c>
      <c r="B3" s="21">
        <v>5.55</v>
      </c>
      <c r="C3" s="48">
        <v>1</v>
      </c>
      <c r="D3" s="194" t="s">
        <v>235</v>
      </c>
      <c r="E3" s="139">
        <v>0.37293413021190092</v>
      </c>
      <c r="F3" s="48">
        <v>1</v>
      </c>
      <c r="G3" s="170" t="s">
        <v>234</v>
      </c>
      <c r="H3" s="139">
        <v>0.72928354324369205</v>
      </c>
      <c r="I3" s="48">
        <v>1</v>
      </c>
      <c r="J3" s="194" t="s">
        <v>232</v>
      </c>
      <c r="K3" s="139">
        <v>0.48319743341787752</v>
      </c>
      <c r="L3" s="48">
        <v>1</v>
      </c>
      <c r="M3" s="17" t="s">
        <v>237</v>
      </c>
      <c r="N3" s="21">
        <v>56.32</v>
      </c>
      <c r="O3" s="48">
        <v>1</v>
      </c>
      <c r="P3" s="17" t="s">
        <v>706</v>
      </c>
      <c r="Q3" s="21">
        <v>60</v>
      </c>
      <c r="R3" s="48">
        <v>1</v>
      </c>
      <c r="S3" s="17" t="s">
        <v>682</v>
      </c>
      <c r="T3" s="21">
        <v>70</v>
      </c>
      <c r="U3" s="48">
        <v>1</v>
      </c>
      <c r="V3" s="67" t="s">
        <v>509</v>
      </c>
      <c r="W3" s="62" t="s">
        <v>509</v>
      </c>
      <c r="X3" s="94" t="s">
        <v>509</v>
      </c>
      <c r="Y3" s="67" t="s">
        <v>509</v>
      </c>
      <c r="Z3" s="62" t="s">
        <v>509</v>
      </c>
      <c r="AA3" s="94" t="s">
        <v>509</v>
      </c>
    </row>
    <row r="4" spans="1:27" s="149" customFormat="1" x14ac:dyDescent="0.25">
      <c r="A4" s="77" t="s">
        <v>99</v>
      </c>
      <c r="B4" s="21">
        <v>5</v>
      </c>
      <c r="C4" s="48">
        <v>2</v>
      </c>
      <c r="D4" s="170" t="s">
        <v>11</v>
      </c>
      <c r="E4" s="139">
        <v>0.36576126683514143</v>
      </c>
      <c r="F4" s="48">
        <v>1</v>
      </c>
      <c r="G4" s="194" t="s">
        <v>235</v>
      </c>
      <c r="H4" s="139">
        <v>0.7173610202203925</v>
      </c>
      <c r="I4" s="48">
        <v>2</v>
      </c>
      <c r="J4" s="194" t="s">
        <v>238</v>
      </c>
      <c r="K4" s="139">
        <v>0.48029710838759659</v>
      </c>
      <c r="L4" s="48">
        <v>1</v>
      </c>
      <c r="M4" s="17" t="s">
        <v>232</v>
      </c>
      <c r="N4" s="21">
        <v>54.02</v>
      </c>
      <c r="O4" s="48">
        <v>2</v>
      </c>
      <c r="P4" s="17" t="s">
        <v>237</v>
      </c>
      <c r="Q4" s="21">
        <v>56</v>
      </c>
      <c r="R4" s="48">
        <v>2</v>
      </c>
      <c r="S4" s="17" t="s">
        <v>232</v>
      </c>
      <c r="T4" s="21">
        <v>66.67</v>
      </c>
      <c r="U4" s="48">
        <v>2</v>
      </c>
      <c r="V4" s="67" t="s">
        <v>509</v>
      </c>
      <c r="W4" s="62" t="s">
        <v>509</v>
      </c>
      <c r="X4" s="94" t="s">
        <v>509</v>
      </c>
      <c r="Y4" s="67" t="s">
        <v>509</v>
      </c>
      <c r="Z4" s="62" t="s">
        <v>509</v>
      </c>
      <c r="AA4" s="94" t="s">
        <v>509</v>
      </c>
    </row>
    <row r="5" spans="1:27" s="149" customFormat="1" x14ac:dyDescent="0.25">
      <c r="A5" s="77" t="s">
        <v>234</v>
      </c>
      <c r="B5" s="21">
        <v>4.93</v>
      </c>
      <c r="C5" s="48">
        <v>3</v>
      </c>
      <c r="D5" s="170" t="s">
        <v>234</v>
      </c>
      <c r="E5" s="139">
        <v>0.35315385612869704</v>
      </c>
      <c r="F5" s="48">
        <v>2</v>
      </c>
      <c r="G5" s="170" t="s">
        <v>11</v>
      </c>
      <c r="H5" s="139">
        <v>0.71043860183086094</v>
      </c>
      <c r="I5" s="48">
        <v>3</v>
      </c>
      <c r="J5" s="194" t="s">
        <v>233</v>
      </c>
      <c r="K5" s="139">
        <v>0.43398596348825075</v>
      </c>
      <c r="L5" s="48">
        <v>2</v>
      </c>
      <c r="M5" s="17" t="s">
        <v>236</v>
      </c>
      <c r="N5" s="21">
        <v>49.43</v>
      </c>
      <c r="O5" s="48">
        <v>3</v>
      </c>
      <c r="P5" s="17" t="s">
        <v>187</v>
      </c>
      <c r="Q5" s="21">
        <v>56</v>
      </c>
      <c r="R5" s="48">
        <v>2</v>
      </c>
      <c r="S5" s="17" t="s">
        <v>239</v>
      </c>
      <c r="T5" s="21">
        <v>66.67</v>
      </c>
      <c r="U5" s="48">
        <v>2</v>
      </c>
      <c r="V5" s="67" t="s">
        <v>509</v>
      </c>
      <c r="W5" s="62" t="s">
        <v>509</v>
      </c>
      <c r="X5" s="94" t="s">
        <v>509</v>
      </c>
      <c r="Y5" s="67" t="s">
        <v>509</v>
      </c>
      <c r="Z5" s="62" t="s">
        <v>509</v>
      </c>
      <c r="AA5" s="94" t="s">
        <v>509</v>
      </c>
    </row>
    <row r="6" spans="1:27" s="149" customFormat="1" x14ac:dyDescent="0.25">
      <c r="A6" s="77" t="s">
        <v>11</v>
      </c>
      <c r="B6" s="21">
        <v>4.8600000000000003</v>
      </c>
      <c r="C6" s="48">
        <v>4</v>
      </c>
      <c r="D6" s="194" t="s">
        <v>233</v>
      </c>
      <c r="E6" s="139">
        <v>0.35119403546713762</v>
      </c>
      <c r="F6" s="48">
        <v>2</v>
      </c>
      <c r="G6" s="170" t="s">
        <v>101</v>
      </c>
      <c r="H6" s="139">
        <v>0.66849027543551887</v>
      </c>
      <c r="I6" s="48">
        <v>4</v>
      </c>
      <c r="J6" s="194" t="s">
        <v>235</v>
      </c>
      <c r="K6" s="139">
        <v>0.42046347718975668</v>
      </c>
      <c r="L6" s="48">
        <v>3</v>
      </c>
      <c r="M6" s="17" t="s">
        <v>94</v>
      </c>
      <c r="N6" s="21">
        <v>48.28</v>
      </c>
      <c r="O6" s="48">
        <v>4</v>
      </c>
      <c r="P6" s="17" t="s">
        <v>712</v>
      </c>
      <c r="Q6" s="21">
        <v>56</v>
      </c>
      <c r="R6" s="48">
        <v>2</v>
      </c>
      <c r="S6" s="17" t="s">
        <v>183</v>
      </c>
      <c r="T6" s="21">
        <v>66.67</v>
      </c>
      <c r="U6" s="48">
        <v>2</v>
      </c>
      <c r="V6" s="67" t="s">
        <v>509</v>
      </c>
      <c r="W6" s="62" t="s">
        <v>509</v>
      </c>
      <c r="X6" s="94" t="s">
        <v>509</v>
      </c>
      <c r="Y6" s="67" t="s">
        <v>509</v>
      </c>
      <c r="Z6" s="62" t="s">
        <v>509</v>
      </c>
      <c r="AA6" s="94" t="s">
        <v>509</v>
      </c>
    </row>
    <row r="7" spans="1:27" s="149" customFormat="1" x14ac:dyDescent="0.25">
      <c r="A7" s="77" t="s">
        <v>100</v>
      </c>
      <c r="B7" s="21">
        <v>4.74</v>
      </c>
      <c r="C7" s="48">
        <v>5</v>
      </c>
      <c r="D7" s="194" t="s">
        <v>238</v>
      </c>
      <c r="E7" s="139">
        <v>0.34867358557022338</v>
      </c>
      <c r="F7" s="48">
        <v>2</v>
      </c>
      <c r="G7" s="194" t="s">
        <v>233</v>
      </c>
      <c r="H7" s="139">
        <v>0.66538441195395093</v>
      </c>
      <c r="I7" s="48">
        <v>4</v>
      </c>
      <c r="J7" s="170" t="s">
        <v>11</v>
      </c>
      <c r="K7" s="139">
        <v>0.40362638347320817</v>
      </c>
      <c r="L7" s="48">
        <v>4</v>
      </c>
      <c r="M7" s="17" t="s">
        <v>95</v>
      </c>
      <c r="N7" s="21">
        <v>48.28</v>
      </c>
      <c r="O7" s="48">
        <v>4</v>
      </c>
      <c r="P7" s="17" t="s">
        <v>239</v>
      </c>
      <c r="Q7" s="21">
        <v>56</v>
      </c>
      <c r="R7" s="48">
        <v>2</v>
      </c>
      <c r="S7" s="17" t="s">
        <v>95</v>
      </c>
      <c r="T7" s="21">
        <v>63.33</v>
      </c>
      <c r="U7" s="48">
        <v>3</v>
      </c>
      <c r="V7" s="67" t="s">
        <v>509</v>
      </c>
      <c r="W7" s="62" t="s">
        <v>509</v>
      </c>
      <c r="X7" s="94" t="s">
        <v>509</v>
      </c>
      <c r="Y7" s="67" t="s">
        <v>509</v>
      </c>
      <c r="Z7" s="62" t="s">
        <v>509</v>
      </c>
      <c r="AA7" s="94" t="s">
        <v>509</v>
      </c>
    </row>
    <row r="8" spans="1:27" s="149" customFormat="1" x14ac:dyDescent="0.25">
      <c r="A8" s="67" t="s">
        <v>233</v>
      </c>
      <c r="B8" s="62">
        <v>4.6100000000000003</v>
      </c>
      <c r="C8" s="94">
        <v>6</v>
      </c>
      <c r="D8" s="194" t="s">
        <v>232</v>
      </c>
      <c r="E8" s="139">
        <v>0.34766500656912674</v>
      </c>
      <c r="F8" s="48">
        <v>2</v>
      </c>
      <c r="G8" s="194" t="s">
        <v>238</v>
      </c>
      <c r="H8" s="139">
        <v>0.59017044436894506</v>
      </c>
      <c r="I8" s="48">
        <v>5</v>
      </c>
      <c r="J8" s="194" t="s">
        <v>237</v>
      </c>
      <c r="K8" s="139">
        <v>0.38302263270359277</v>
      </c>
      <c r="L8" s="48">
        <v>5</v>
      </c>
      <c r="M8" s="17" t="s">
        <v>710</v>
      </c>
      <c r="N8" s="21">
        <v>45.98</v>
      </c>
      <c r="O8" s="48">
        <v>5</v>
      </c>
      <c r="P8" s="17" t="s">
        <v>737</v>
      </c>
      <c r="Q8" s="21">
        <v>56</v>
      </c>
      <c r="R8" s="48">
        <v>2</v>
      </c>
      <c r="S8" s="17" t="s">
        <v>669</v>
      </c>
      <c r="T8" s="21">
        <v>63.33</v>
      </c>
      <c r="U8" s="48">
        <v>3</v>
      </c>
      <c r="V8" s="67" t="s">
        <v>509</v>
      </c>
      <c r="W8" s="62" t="s">
        <v>509</v>
      </c>
      <c r="X8" s="94" t="s">
        <v>509</v>
      </c>
      <c r="Y8" s="67" t="s">
        <v>509</v>
      </c>
      <c r="Z8" s="62" t="s">
        <v>509</v>
      </c>
      <c r="AA8" s="94" t="s">
        <v>509</v>
      </c>
    </row>
    <row r="9" spans="1:27" s="149" customFormat="1" x14ac:dyDescent="0.25">
      <c r="A9" s="67" t="s">
        <v>235</v>
      </c>
      <c r="B9" s="62">
        <v>4.5999999999999996</v>
      </c>
      <c r="C9" s="94">
        <v>7</v>
      </c>
      <c r="D9" s="194" t="s">
        <v>236</v>
      </c>
      <c r="E9" s="139">
        <v>0.2981335441478089</v>
      </c>
      <c r="F9" s="48">
        <v>3</v>
      </c>
      <c r="G9" s="194" t="s">
        <v>232</v>
      </c>
      <c r="H9" s="139">
        <v>0.58629560244962431</v>
      </c>
      <c r="I9" s="48">
        <v>5</v>
      </c>
      <c r="J9" s="170" t="s">
        <v>234</v>
      </c>
      <c r="K9" s="139">
        <v>0.3793697365306547</v>
      </c>
      <c r="L9" s="48">
        <v>5</v>
      </c>
      <c r="M9" s="17" t="s">
        <v>682</v>
      </c>
      <c r="N9" s="21">
        <v>45.98</v>
      </c>
      <c r="O9" s="48">
        <v>5</v>
      </c>
      <c r="P9" s="17" t="s">
        <v>243</v>
      </c>
      <c r="Q9" s="21">
        <v>56</v>
      </c>
      <c r="R9" s="48">
        <v>2</v>
      </c>
      <c r="S9" s="17" t="s">
        <v>726</v>
      </c>
      <c r="T9" s="21">
        <v>60</v>
      </c>
      <c r="U9" s="48">
        <v>4</v>
      </c>
      <c r="V9" s="67" t="s">
        <v>509</v>
      </c>
      <c r="W9" s="62" t="s">
        <v>509</v>
      </c>
      <c r="X9" s="94" t="s">
        <v>509</v>
      </c>
      <c r="Y9" s="67" t="s">
        <v>509</v>
      </c>
      <c r="Z9" s="62" t="s">
        <v>509</v>
      </c>
      <c r="AA9" s="94" t="s">
        <v>509</v>
      </c>
    </row>
    <row r="10" spans="1:27" s="149" customFormat="1" x14ac:dyDescent="0.25">
      <c r="A10" s="67" t="s">
        <v>236</v>
      </c>
      <c r="B10" s="62">
        <v>4.1100000000000003</v>
      </c>
      <c r="C10" s="94">
        <v>8</v>
      </c>
      <c r="D10" s="194" t="s">
        <v>1</v>
      </c>
      <c r="E10" s="139">
        <v>0.28248765963566397</v>
      </c>
      <c r="F10" s="48">
        <v>4</v>
      </c>
      <c r="G10" s="167" t="s">
        <v>100</v>
      </c>
      <c r="H10" s="165">
        <v>0.5484787217958258</v>
      </c>
      <c r="I10" s="94">
        <v>6</v>
      </c>
      <c r="J10" s="193" t="s">
        <v>1</v>
      </c>
      <c r="K10" s="165">
        <v>0.36735812428181297</v>
      </c>
      <c r="L10" s="94">
        <v>6</v>
      </c>
      <c r="M10" s="67" t="s">
        <v>238</v>
      </c>
      <c r="N10" s="62">
        <v>44.83</v>
      </c>
      <c r="O10" s="94">
        <v>6</v>
      </c>
      <c r="P10" s="17" t="s">
        <v>701</v>
      </c>
      <c r="Q10" s="21">
        <v>56</v>
      </c>
      <c r="R10" s="48">
        <v>2</v>
      </c>
      <c r="S10" s="17" t="s">
        <v>196</v>
      </c>
      <c r="T10" s="21">
        <v>60</v>
      </c>
      <c r="U10" s="48">
        <v>4</v>
      </c>
      <c r="V10" s="67" t="s">
        <v>509</v>
      </c>
      <c r="W10" s="62" t="s">
        <v>509</v>
      </c>
      <c r="X10" s="94" t="s">
        <v>509</v>
      </c>
      <c r="Y10" s="67" t="s">
        <v>509</v>
      </c>
      <c r="Z10" s="62" t="s">
        <v>509</v>
      </c>
      <c r="AA10" s="94" t="s">
        <v>509</v>
      </c>
    </row>
    <row r="11" spans="1:27" s="149" customFormat="1" x14ac:dyDescent="0.25">
      <c r="A11" s="67" t="s">
        <v>238</v>
      </c>
      <c r="B11" s="62">
        <v>3.88</v>
      </c>
      <c r="C11" s="94">
        <v>9</v>
      </c>
      <c r="D11" s="194" t="s">
        <v>237</v>
      </c>
      <c r="E11" s="139">
        <v>0.2792308380119613</v>
      </c>
      <c r="F11" s="48">
        <v>4</v>
      </c>
      <c r="G11" s="193" t="s">
        <v>236</v>
      </c>
      <c r="H11" s="165">
        <v>0.52948692963155053</v>
      </c>
      <c r="I11" s="94">
        <v>7</v>
      </c>
      <c r="J11" s="193" t="s">
        <v>236</v>
      </c>
      <c r="K11" s="165">
        <v>0.34810520814472007</v>
      </c>
      <c r="L11" s="94">
        <v>7</v>
      </c>
      <c r="M11" s="67" t="s">
        <v>187</v>
      </c>
      <c r="N11" s="62">
        <v>44.83</v>
      </c>
      <c r="O11" s="94">
        <v>6</v>
      </c>
      <c r="P11" s="17" t="s">
        <v>232</v>
      </c>
      <c r="Q11" s="21">
        <v>52</v>
      </c>
      <c r="R11" s="48">
        <v>3</v>
      </c>
      <c r="S11" s="17" t="s">
        <v>738</v>
      </c>
      <c r="T11" s="21">
        <v>60</v>
      </c>
      <c r="U11" s="48">
        <v>4</v>
      </c>
      <c r="V11" s="67" t="s">
        <v>509</v>
      </c>
      <c r="W11" s="62" t="s">
        <v>509</v>
      </c>
      <c r="X11" s="94" t="s">
        <v>509</v>
      </c>
      <c r="Y11" s="67" t="s">
        <v>509</v>
      </c>
      <c r="Z11" s="62" t="s">
        <v>509</v>
      </c>
      <c r="AA11" s="94" t="s">
        <v>509</v>
      </c>
    </row>
    <row r="12" spans="1:27" s="149" customFormat="1" x14ac:dyDescent="0.25">
      <c r="A12" s="67" t="s">
        <v>1</v>
      </c>
      <c r="B12" s="62">
        <v>3.72</v>
      </c>
      <c r="C12" s="94">
        <v>10</v>
      </c>
      <c r="D12" s="170" t="s">
        <v>101</v>
      </c>
      <c r="E12" s="139">
        <v>0.23660536606147853</v>
      </c>
      <c r="F12" s="48">
        <v>5</v>
      </c>
      <c r="G12" s="193" t="s">
        <v>1</v>
      </c>
      <c r="H12" s="165">
        <v>0.52605563715811154</v>
      </c>
      <c r="I12" s="94">
        <v>7</v>
      </c>
      <c r="J12" s="168" t="s">
        <v>191</v>
      </c>
      <c r="K12" s="165">
        <v>0.33067585129626004</v>
      </c>
      <c r="L12" s="94">
        <v>8</v>
      </c>
      <c r="M12" s="67" t="s">
        <v>733</v>
      </c>
      <c r="N12" s="62">
        <v>43.68</v>
      </c>
      <c r="O12" s="94">
        <v>7</v>
      </c>
      <c r="P12" s="17" t="s">
        <v>95</v>
      </c>
      <c r="Q12" s="21">
        <v>52</v>
      </c>
      <c r="R12" s="48">
        <v>3</v>
      </c>
      <c r="S12" s="17" t="s">
        <v>206</v>
      </c>
      <c r="T12" s="21">
        <v>60</v>
      </c>
      <c r="U12" s="48">
        <v>4</v>
      </c>
      <c r="V12" s="67" t="s">
        <v>509</v>
      </c>
      <c r="W12" s="62" t="s">
        <v>509</v>
      </c>
      <c r="X12" s="94" t="s">
        <v>509</v>
      </c>
      <c r="Y12" s="67" t="s">
        <v>509</v>
      </c>
      <c r="Z12" s="62" t="s">
        <v>509</v>
      </c>
      <c r="AA12" s="94" t="s">
        <v>509</v>
      </c>
    </row>
    <row r="13" spans="1:27" s="149" customFormat="1" x14ac:dyDescent="0.25">
      <c r="A13" s="67" t="s">
        <v>232</v>
      </c>
      <c r="B13" s="62">
        <v>2.83</v>
      </c>
      <c r="C13" s="94">
        <v>11</v>
      </c>
      <c r="D13" s="167" t="s">
        <v>100</v>
      </c>
      <c r="E13" s="165">
        <v>0.19668534442572894</v>
      </c>
      <c r="F13" s="94">
        <v>6</v>
      </c>
      <c r="G13" s="193" t="s">
        <v>94</v>
      </c>
      <c r="H13" s="165">
        <v>0.47848702178319158</v>
      </c>
      <c r="I13" s="94">
        <v>8</v>
      </c>
      <c r="J13" s="193" t="s">
        <v>196</v>
      </c>
      <c r="K13" s="165">
        <v>0.32078230310248024</v>
      </c>
      <c r="L13" s="94">
        <v>9</v>
      </c>
      <c r="M13" s="67" t="s">
        <v>248</v>
      </c>
      <c r="N13" s="62">
        <v>43.68</v>
      </c>
      <c r="O13" s="94">
        <v>7</v>
      </c>
      <c r="P13" s="17" t="s">
        <v>203</v>
      </c>
      <c r="Q13" s="21">
        <v>52</v>
      </c>
      <c r="R13" s="48">
        <v>3</v>
      </c>
      <c r="S13" s="17" t="s">
        <v>708</v>
      </c>
      <c r="T13" s="21">
        <v>60</v>
      </c>
      <c r="U13" s="48">
        <v>4</v>
      </c>
      <c r="V13" s="67" t="s">
        <v>509</v>
      </c>
      <c r="W13" s="62" t="s">
        <v>509</v>
      </c>
      <c r="X13" s="94" t="s">
        <v>509</v>
      </c>
      <c r="Y13" s="67" t="s">
        <v>509</v>
      </c>
      <c r="Z13" s="62" t="s">
        <v>509</v>
      </c>
      <c r="AA13" s="94" t="s">
        <v>509</v>
      </c>
    </row>
    <row r="14" spans="1:27" s="149" customFormat="1" x14ac:dyDescent="0.25">
      <c r="A14" s="67" t="s">
        <v>237</v>
      </c>
      <c r="B14" s="62">
        <v>2.5499999999999998</v>
      </c>
      <c r="C14" s="94">
        <v>12</v>
      </c>
      <c r="D14" s="193" t="s">
        <v>94</v>
      </c>
      <c r="E14" s="165">
        <v>0.17643488490293008</v>
      </c>
      <c r="F14" s="94">
        <v>7</v>
      </c>
      <c r="G14" s="167" t="s">
        <v>99</v>
      </c>
      <c r="H14" s="165">
        <v>0.46650384727236593</v>
      </c>
      <c r="I14" s="94">
        <v>9</v>
      </c>
      <c r="J14" s="193" t="s">
        <v>732</v>
      </c>
      <c r="K14" s="165">
        <v>0.315638882961217</v>
      </c>
      <c r="L14" s="94">
        <v>9</v>
      </c>
      <c r="M14" s="67" t="s">
        <v>233</v>
      </c>
      <c r="N14" s="62">
        <v>42.53</v>
      </c>
      <c r="O14" s="94">
        <v>8</v>
      </c>
      <c r="P14" s="17" t="s">
        <v>746</v>
      </c>
      <c r="Q14" s="21">
        <v>52</v>
      </c>
      <c r="R14" s="48">
        <v>3</v>
      </c>
      <c r="S14" s="17" t="s">
        <v>750</v>
      </c>
      <c r="T14" s="21">
        <v>56.67</v>
      </c>
      <c r="U14" s="48">
        <v>5</v>
      </c>
      <c r="V14" s="67" t="s">
        <v>509</v>
      </c>
      <c r="W14" s="62" t="s">
        <v>509</v>
      </c>
      <c r="X14" s="94" t="s">
        <v>509</v>
      </c>
      <c r="Y14" s="67" t="s">
        <v>509</v>
      </c>
      <c r="Z14" s="62" t="s">
        <v>509</v>
      </c>
      <c r="AA14" s="94" t="s">
        <v>509</v>
      </c>
    </row>
    <row r="15" spans="1:27" s="149" customFormat="1" x14ac:dyDescent="0.25">
      <c r="A15" s="67" t="s">
        <v>94</v>
      </c>
      <c r="B15" s="62">
        <v>2.5099999999999998</v>
      </c>
      <c r="C15" s="94">
        <v>13</v>
      </c>
      <c r="D15" s="193" t="s">
        <v>709</v>
      </c>
      <c r="E15" s="165">
        <v>0.16874817966889455</v>
      </c>
      <c r="F15" s="94">
        <v>8</v>
      </c>
      <c r="G15" s="193" t="s">
        <v>237</v>
      </c>
      <c r="H15" s="165">
        <v>0.44739691035001522</v>
      </c>
      <c r="I15" s="94">
        <v>10</v>
      </c>
      <c r="J15" s="193" t="s">
        <v>223</v>
      </c>
      <c r="K15" s="165">
        <v>0.3136752077788526</v>
      </c>
      <c r="L15" s="94">
        <v>10</v>
      </c>
      <c r="M15" s="67" t="s">
        <v>732</v>
      </c>
      <c r="N15" s="62">
        <v>42.53</v>
      </c>
      <c r="O15" s="94">
        <v>8</v>
      </c>
      <c r="P15" s="17" t="s">
        <v>98</v>
      </c>
      <c r="Q15" s="21">
        <v>52</v>
      </c>
      <c r="R15" s="48">
        <v>3</v>
      </c>
      <c r="S15" s="17" t="s">
        <v>98</v>
      </c>
      <c r="T15" s="21">
        <v>56.67</v>
      </c>
      <c r="U15" s="48">
        <v>5</v>
      </c>
      <c r="V15" s="67" t="s">
        <v>509</v>
      </c>
      <c r="W15" s="62" t="s">
        <v>509</v>
      </c>
      <c r="X15" s="94" t="s">
        <v>509</v>
      </c>
      <c r="Y15" s="67" t="s">
        <v>509</v>
      </c>
      <c r="Z15" s="62" t="s">
        <v>509</v>
      </c>
      <c r="AA15" s="94" t="s">
        <v>509</v>
      </c>
    </row>
    <row r="16" spans="1:27" s="149" customFormat="1" x14ac:dyDescent="0.25">
      <c r="A16" s="67" t="s">
        <v>95</v>
      </c>
      <c r="B16" s="62">
        <v>2.46</v>
      </c>
      <c r="C16" s="94">
        <v>14</v>
      </c>
      <c r="D16" s="193" t="s">
        <v>732</v>
      </c>
      <c r="E16" s="165">
        <v>0.16873985812093986</v>
      </c>
      <c r="F16" s="94">
        <v>8</v>
      </c>
      <c r="G16" s="193" t="s">
        <v>95</v>
      </c>
      <c r="H16" s="165">
        <v>0.30279029274403618</v>
      </c>
      <c r="I16" s="94">
        <v>11</v>
      </c>
      <c r="J16" s="193" t="s">
        <v>206</v>
      </c>
      <c r="K16" s="165">
        <v>0.30180320029172703</v>
      </c>
      <c r="L16" s="94">
        <v>11</v>
      </c>
      <c r="M16" s="67" t="s">
        <v>102</v>
      </c>
      <c r="N16" s="62">
        <v>42.53</v>
      </c>
      <c r="O16" s="94">
        <v>8</v>
      </c>
      <c r="P16" s="17" t="s">
        <v>745</v>
      </c>
      <c r="Q16" s="21">
        <v>52</v>
      </c>
      <c r="R16" s="48">
        <v>3</v>
      </c>
      <c r="S16" s="17" t="s">
        <v>355</v>
      </c>
      <c r="T16" s="21">
        <v>56.67</v>
      </c>
      <c r="U16" s="48">
        <v>5</v>
      </c>
      <c r="V16" s="67" t="s">
        <v>509</v>
      </c>
      <c r="W16" s="62" t="s">
        <v>509</v>
      </c>
      <c r="X16" s="94" t="s">
        <v>509</v>
      </c>
      <c r="Y16" s="67" t="s">
        <v>509</v>
      </c>
      <c r="Z16" s="62" t="s">
        <v>509</v>
      </c>
      <c r="AA16" s="94" t="s">
        <v>509</v>
      </c>
    </row>
    <row r="17" spans="1:27" s="149" customFormat="1" x14ac:dyDescent="0.25">
      <c r="A17" s="67" t="s">
        <v>709</v>
      </c>
      <c r="B17" s="62">
        <v>2.08</v>
      </c>
      <c r="C17" s="94">
        <v>15</v>
      </c>
      <c r="D17" s="167" t="s">
        <v>99</v>
      </c>
      <c r="E17" s="165">
        <v>0.16331006968174178</v>
      </c>
      <c r="F17" s="94">
        <v>9</v>
      </c>
      <c r="G17" s="193" t="s">
        <v>732</v>
      </c>
      <c r="H17" s="165">
        <v>0.20495922706387082</v>
      </c>
      <c r="I17" s="94">
        <v>12</v>
      </c>
      <c r="J17" s="193" t="s">
        <v>183</v>
      </c>
      <c r="K17" s="165">
        <v>0.27053698210817573</v>
      </c>
      <c r="L17" s="94">
        <v>12</v>
      </c>
      <c r="M17" s="67" t="s">
        <v>735</v>
      </c>
      <c r="N17" s="62">
        <v>42.53</v>
      </c>
      <c r="O17" s="94">
        <v>8</v>
      </c>
      <c r="P17" s="17" t="s">
        <v>251</v>
      </c>
      <c r="Q17" s="21">
        <v>52</v>
      </c>
      <c r="R17" s="48">
        <v>3</v>
      </c>
      <c r="S17" s="17" t="s">
        <v>247</v>
      </c>
      <c r="T17" s="21">
        <v>56.67</v>
      </c>
      <c r="U17" s="48">
        <v>5</v>
      </c>
      <c r="V17" s="67" t="s">
        <v>509</v>
      </c>
      <c r="W17" s="62" t="s">
        <v>509</v>
      </c>
      <c r="X17" s="94" t="s">
        <v>509</v>
      </c>
      <c r="Y17" s="67" t="s">
        <v>509</v>
      </c>
      <c r="Z17" s="62" t="s">
        <v>509</v>
      </c>
      <c r="AA17" s="94" t="s">
        <v>509</v>
      </c>
    </row>
    <row r="18" spans="1:27" s="149" customFormat="1" x14ac:dyDescent="0.25">
      <c r="A18" s="67" t="s">
        <v>732</v>
      </c>
      <c r="B18" s="62">
        <v>1.36</v>
      </c>
      <c r="C18" s="94">
        <v>16</v>
      </c>
      <c r="D18" s="193" t="s">
        <v>196</v>
      </c>
      <c r="E18" s="165">
        <v>0.14731488916002275</v>
      </c>
      <c r="F18" s="94">
        <v>10</v>
      </c>
      <c r="G18" s="193" t="s">
        <v>709</v>
      </c>
      <c r="H18" s="165">
        <v>0.19139477512287409</v>
      </c>
      <c r="I18" s="94">
        <v>13</v>
      </c>
      <c r="J18" s="193" t="s">
        <v>222</v>
      </c>
      <c r="K18" s="165">
        <v>0.26219030475813077</v>
      </c>
      <c r="L18" s="94">
        <v>13</v>
      </c>
      <c r="M18" s="67" t="s">
        <v>750</v>
      </c>
      <c r="N18" s="62">
        <v>42.53</v>
      </c>
      <c r="O18" s="94">
        <v>8</v>
      </c>
      <c r="P18" s="17" t="s">
        <v>724</v>
      </c>
      <c r="Q18" s="21">
        <v>52</v>
      </c>
      <c r="R18" s="48">
        <v>3</v>
      </c>
      <c r="S18" s="17" t="s">
        <v>662</v>
      </c>
      <c r="T18" s="21">
        <v>56.67</v>
      </c>
      <c r="U18" s="48">
        <v>5</v>
      </c>
      <c r="V18" s="67" t="s">
        <v>509</v>
      </c>
      <c r="W18" s="62" t="s">
        <v>509</v>
      </c>
      <c r="X18" s="94" t="s">
        <v>509</v>
      </c>
      <c r="Y18" s="67" t="s">
        <v>509</v>
      </c>
      <c r="Z18" s="62" t="s">
        <v>509</v>
      </c>
      <c r="AA18" s="94" t="s">
        <v>509</v>
      </c>
    </row>
    <row r="19" spans="1:27" s="149" customFormat="1" x14ac:dyDescent="0.25">
      <c r="A19" s="67" t="s">
        <v>187</v>
      </c>
      <c r="B19" s="62">
        <v>0.7</v>
      </c>
      <c r="C19" s="94">
        <v>17</v>
      </c>
      <c r="D19" s="193" t="s">
        <v>223</v>
      </c>
      <c r="E19" s="165">
        <v>0.14433071616185403</v>
      </c>
      <c r="F19" s="94">
        <v>11</v>
      </c>
      <c r="G19" s="193" t="s">
        <v>187</v>
      </c>
      <c r="H19" s="165">
        <v>0.17718740618550918</v>
      </c>
      <c r="I19" s="94">
        <v>14</v>
      </c>
      <c r="J19" s="193" t="s">
        <v>709</v>
      </c>
      <c r="K19" s="165">
        <v>0.25569849224201552</v>
      </c>
      <c r="L19" s="94">
        <v>14</v>
      </c>
      <c r="M19" s="67" t="s">
        <v>734</v>
      </c>
      <c r="N19" s="62">
        <v>42.53</v>
      </c>
      <c r="O19" s="94">
        <v>8</v>
      </c>
      <c r="P19" s="17" t="s">
        <v>228</v>
      </c>
      <c r="Q19" s="21">
        <v>52</v>
      </c>
      <c r="R19" s="48">
        <v>3</v>
      </c>
      <c r="S19" s="67" t="s">
        <v>233</v>
      </c>
      <c r="T19" s="62">
        <v>53.33</v>
      </c>
      <c r="U19" s="94">
        <v>6</v>
      </c>
      <c r="V19" s="67" t="s">
        <v>509</v>
      </c>
      <c r="W19" s="62" t="s">
        <v>509</v>
      </c>
      <c r="X19" s="94" t="s">
        <v>509</v>
      </c>
      <c r="Y19" s="67" t="s">
        <v>509</v>
      </c>
      <c r="Z19" s="62" t="s">
        <v>509</v>
      </c>
      <c r="AA19" s="94" t="s">
        <v>509</v>
      </c>
    </row>
    <row r="20" spans="1:27" s="149" customFormat="1" x14ac:dyDescent="0.25">
      <c r="A20" s="67" t="s">
        <v>97</v>
      </c>
      <c r="B20" s="62">
        <v>0.64</v>
      </c>
      <c r="C20" s="94">
        <v>18</v>
      </c>
      <c r="D20" s="193" t="s">
        <v>206</v>
      </c>
      <c r="E20" s="165">
        <v>0.13710376534912336</v>
      </c>
      <c r="F20" s="94">
        <v>11</v>
      </c>
      <c r="G20" s="193" t="s">
        <v>206</v>
      </c>
      <c r="H20" s="165">
        <v>0.15646867894155234</v>
      </c>
      <c r="I20" s="94">
        <v>15</v>
      </c>
      <c r="J20" s="193" t="s">
        <v>735</v>
      </c>
      <c r="K20" s="165">
        <v>0.23741446561427285</v>
      </c>
      <c r="L20" s="94">
        <v>15</v>
      </c>
      <c r="M20" s="67" t="s">
        <v>11</v>
      </c>
      <c r="N20" s="62">
        <v>41.38</v>
      </c>
      <c r="O20" s="94">
        <v>9</v>
      </c>
      <c r="P20" s="17" t="s">
        <v>235</v>
      </c>
      <c r="Q20" s="21">
        <v>48</v>
      </c>
      <c r="R20" s="48">
        <v>4</v>
      </c>
      <c r="S20" s="67" t="s">
        <v>187</v>
      </c>
      <c r="T20" s="62">
        <v>53.33</v>
      </c>
      <c r="U20" s="94">
        <v>6</v>
      </c>
      <c r="V20" s="67" t="s">
        <v>509</v>
      </c>
      <c r="W20" s="62" t="s">
        <v>509</v>
      </c>
      <c r="X20" s="94" t="s">
        <v>509</v>
      </c>
      <c r="Y20" s="67" t="s">
        <v>509</v>
      </c>
      <c r="Z20" s="62" t="s">
        <v>509</v>
      </c>
      <c r="AA20" s="94" t="s">
        <v>509</v>
      </c>
    </row>
    <row r="21" spans="1:27" s="149" customFormat="1" x14ac:dyDescent="0.25">
      <c r="A21" s="67" t="s">
        <v>743</v>
      </c>
      <c r="B21" s="62">
        <v>0.56000000000000005</v>
      </c>
      <c r="C21" s="94">
        <v>19</v>
      </c>
      <c r="D21" s="168" t="s">
        <v>191</v>
      </c>
      <c r="E21" s="165">
        <v>0.13604111497665672</v>
      </c>
      <c r="F21" s="94">
        <v>11</v>
      </c>
      <c r="G21" s="193" t="s">
        <v>228</v>
      </c>
      <c r="H21" s="165">
        <v>0.12989357405111476</v>
      </c>
      <c r="I21" s="94">
        <v>16</v>
      </c>
      <c r="J21" s="193" t="s">
        <v>701</v>
      </c>
      <c r="K21" s="165">
        <v>0.22948151866430438</v>
      </c>
      <c r="L21" s="94">
        <v>16</v>
      </c>
      <c r="M21" s="67" t="s">
        <v>235</v>
      </c>
      <c r="N21" s="62">
        <v>41.38</v>
      </c>
      <c r="O21" s="94">
        <v>9</v>
      </c>
      <c r="P21" s="17" t="s">
        <v>236</v>
      </c>
      <c r="Q21" s="21">
        <v>48</v>
      </c>
      <c r="R21" s="48">
        <v>4</v>
      </c>
      <c r="S21" s="67" t="s">
        <v>195</v>
      </c>
      <c r="T21" s="62">
        <v>53.33</v>
      </c>
      <c r="U21" s="94">
        <v>6</v>
      </c>
      <c r="V21" s="67" t="s">
        <v>509</v>
      </c>
      <c r="W21" s="62" t="s">
        <v>509</v>
      </c>
      <c r="X21" s="94" t="s">
        <v>509</v>
      </c>
      <c r="Y21" s="67" t="s">
        <v>509</v>
      </c>
      <c r="Z21" s="62" t="s">
        <v>509</v>
      </c>
      <c r="AA21" s="94" t="s">
        <v>509</v>
      </c>
    </row>
    <row r="22" spans="1:27" s="149" customFormat="1" x14ac:dyDescent="0.25">
      <c r="A22" s="67" t="s">
        <v>722</v>
      </c>
      <c r="B22" s="62">
        <v>0.55000000000000004</v>
      </c>
      <c r="C22" s="94">
        <v>20</v>
      </c>
      <c r="D22" s="193" t="s">
        <v>195</v>
      </c>
      <c r="E22" s="165">
        <v>0.11677438330353203</v>
      </c>
      <c r="F22" s="94">
        <v>12</v>
      </c>
      <c r="G22" s="193" t="s">
        <v>196</v>
      </c>
      <c r="H22" s="165">
        <v>0.12969468181825172</v>
      </c>
      <c r="I22" s="94">
        <v>16</v>
      </c>
      <c r="J22" s="193" t="s">
        <v>228</v>
      </c>
      <c r="K22" s="165">
        <v>0.2283776899621261</v>
      </c>
      <c r="L22" s="94">
        <v>16</v>
      </c>
      <c r="M22" s="67" t="s">
        <v>1</v>
      </c>
      <c r="N22" s="62">
        <v>41.38</v>
      </c>
      <c r="O22" s="94">
        <v>9</v>
      </c>
      <c r="P22" s="17" t="s">
        <v>94</v>
      </c>
      <c r="Q22" s="21">
        <v>48</v>
      </c>
      <c r="R22" s="48">
        <v>4</v>
      </c>
      <c r="S22" s="67" t="s">
        <v>730</v>
      </c>
      <c r="T22" s="62">
        <v>53.33</v>
      </c>
      <c r="U22" s="94">
        <v>6</v>
      </c>
      <c r="V22" s="67" t="s">
        <v>509</v>
      </c>
      <c r="W22" s="62" t="s">
        <v>509</v>
      </c>
      <c r="X22" s="94" t="s">
        <v>509</v>
      </c>
      <c r="Y22" s="67" t="s">
        <v>509</v>
      </c>
      <c r="Z22" s="62" t="s">
        <v>509</v>
      </c>
      <c r="AA22" s="94" t="s">
        <v>509</v>
      </c>
    </row>
    <row r="23" spans="1:27" s="149" customFormat="1" x14ac:dyDescent="0.25">
      <c r="A23" s="67" t="s">
        <v>258</v>
      </c>
      <c r="B23" s="62">
        <v>0.54</v>
      </c>
      <c r="C23" s="94">
        <v>21</v>
      </c>
      <c r="D23" s="193" t="s">
        <v>183</v>
      </c>
      <c r="E23" s="165">
        <v>0.11394252778313251</v>
      </c>
      <c r="F23" s="94">
        <v>13</v>
      </c>
      <c r="G23" s="168" t="s">
        <v>191</v>
      </c>
      <c r="H23" s="165">
        <v>0.12297526946750835</v>
      </c>
      <c r="I23" s="94">
        <v>17</v>
      </c>
      <c r="J23" s="193" t="s">
        <v>195</v>
      </c>
      <c r="K23" s="165">
        <v>0.22534483900270394</v>
      </c>
      <c r="L23" s="94">
        <v>16</v>
      </c>
      <c r="M23" s="67" t="s">
        <v>258</v>
      </c>
      <c r="N23" s="62">
        <v>41.38</v>
      </c>
      <c r="O23" s="94">
        <v>9</v>
      </c>
      <c r="P23" s="17" t="s">
        <v>732</v>
      </c>
      <c r="Q23" s="21">
        <v>48</v>
      </c>
      <c r="R23" s="48">
        <v>4</v>
      </c>
      <c r="S23" s="67" t="s">
        <v>216</v>
      </c>
      <c r="T23" s="62">
        <v>53.33</v>
      </c>
      <c r="U23" s="94">
        <v>6</v>
      </c>
      <c r="V23" s="67" t="s">
        <v>509</v>
      </c>
      <c r="W23" s="62" t="s">
        <v>509</v>
      </c>
      <c r="X23" s="94" t="s">
        <v>509</v>
      </c>
      <c r="Y23" s="67" t="s">
        <v>509</v>
      </c>
      <c r="Z23" s="62" t="s">
        <v>509</v>
      </c>
      <c r="AA23" s="94" t="s">
        <v>509</v>
      </c>
    </row>
    <row r="24" spans="1:27" s="149" customFormat="1" x14ac:dyDescent="0.25">
      <c r="A24" s="67" t="s">
        <v>733</v>
      </c>
      <c r="B24" s="62">
        <v>0.54</v>
      </c>
      <c r="C24" s="94">
        <v>21</v>
      </c>
      <c r="D24" s="193" t="s">
        <v>95</v>
      </c>
      <c r="E24" s="165">
        <v>0.11123289831373705</v>
      </c>
      <c r="F24" s="94">
        <v>13</v>
      </c>
      <c r="G24" s="193" t="s">
        <v>180</v>
      </c>
      <c r="H24" s="165">
        <v>0.11425163903692746</v>
      </c>
      <c r="I24" s="94">
        <v>18</v>
      </c>
      <c r="J24" s="193" t="s">
        <v>203</v>
      </c>
      <c r="K24" s="165">
        <v>0.21392671320196593</v>
      </c>
      <c r="L24" s="94">
        <v>17</v>
      </c>
      <c r="M24" s="67" t="s">
        <v>726</v>
      </c>
      <c r="N24" s="62">
        <v>41.38</v>
      </c>
      <c r="O24" s="94">
        <v>9</v>
      </c>
      <c r="P24" s="17" t="s">
        <v>743</v>
      </c>
      <c r="Q24" s="21">
        <v>48</v>
      </c>
      <c r="R24" s="48">
        <v>4</v>
      </c>
      <c r="S24" s="67" t="s">
        <v>223</v>
      </c>
      <c r="T24" s="62">
        <v>53.33</v>
      </c>
      <c r="U24" s="94">
        <v>6</v>
      </c>
      <c r="V24" s="67" t="s">
        <v>509</v>
      </c>
      <c r="W24" s="62" t="s">
        <v>509</v>
      </c>
      <c r="X24" s="94" t="s">
        <v>509</v>
      </c>
      <c r="Y24" s="67" t="s">
        <v>509</v>
      </c>
      <c r="Z24" s="62" t="s">
        <v>509</v>
      </c>
      <c r="AA24" s="94" t="s">
        <v>509</v>
      </c>
    </row>
    <row r="25" spans="1:27" s="149" customFormat="1" x14ac:dyDescent="0.25">
      <c r="A25" s="67" t="s">
        <v>102</v>
      </c>
      <c r="B25" s="62">
        <v>0.46</v>
      </c>
      <c r="C25" s="94">
        <v>22</v>
      </c>
      <c r="D25" s="193" t="s">
        <v>187</v>
      </c>
      <c r="E25" s="165">
        <v>0.10951989437665084</v>
      </c>
      <c r="F25" s="94">
        <v>13</v>
      </c>
      <c r="G25" s="193" t="s">
        <v>181</v>
      </c>
      <c r="H25" s="165">
        <v>0.11363606005436173</v>
      </c>
      <c r="I25" s="94">
        <v>18</v>
      </c>
      <c r="J25" s="193" t="s">
        <v>216</v>
      </c>
      <c r="K25" s="165">
        <v>0.2128170368743911</v>
      </c>
      <c r="L25" s="94">
        <v>17</v>
      </c>
      <c r="M25" s="67" t="s">
        <v>256</v>
      </c>
      <c r="N25" s="62">
        <v>41.38</v>
      </c>
      <c r="O25" s="94">
        <v>9</v>
      </c>
      <c r="P25" s="17" t="s">
        <v>160</v>
      </c>
      <c r="Q25" s="21">
        <v>48</v>
      </c>
      <c r="R25" s="48">
        <v>4</v>
      </c>
      <c r="S25" s="67" t="s">
        <v>737</v>
      </c>
      <c r="T25" s="62">
        <v>53.33</v>
      </c>
      <c r="U25" s="94">
        <v>6</v>
      </c>
      <c r="V25" s="67" t="s">
        <v>509</v>
      </c>
      <c r="W25" s="62" t="s">
        <v>509</v>
      </c>
      <c r="X25" s="94" t="s">
        <v>509</v>
      </c>
      <c r="Y25" s="67" t="s">
        <v>509</v>
      </c>
      <c r="Z25" s="62" t="s">
        <v>509</v>
      </c>
      <c r="AA25" s="94" t="s">
        <v>509</v>
      </c>
    </row>
    <row r="26" spans="1:27" s="149" customFormat="1" x14ac:dyDescent="0.25">
      <c r="A26" s="67" t="s">
        <v>160</v>
      </c>
      <c r="B26" s="62">
        <v>0.46</v>
      </c>
      <c r="C26" s="94">
        <v>22</v>
      </c>
      <c r="D26" s="193" t="s">
        <v>228</v>
      </c>
      <c r="E26" s="165">
        <v>0.10888685607989912</v>
      </c>
      <c r="F26" s="94">
        <v>13</v>
      </c>
      <c r="G26" s="193" t="s">
        <v>203</v>
      </c>
      <c r="H26" s="165">
        <v>0.11036047012312075</v>
      </c>
      <c r="I26" s="94">
        <v>18</v>
      </c>
      <c r="J26" s="193" t="s">
        <v>226</v>
      </c>
      <c r="K26" s="165">
        <v>0.2111025367129655</v>
      </c>
      <c r="L26" s="94">
        <v>17</v>
      </c>
      <c r="M26" s="67" t="s">
        <v>746</v>
      </c>
      <c r="N26" s="62">
        <v>41.38</v>
      </c>
      <c r="O26" s="94">
        <v>9</v>
      </c>
      <c r="P26" s="17" t="s">
        <v>248</v>
      </c>
      <c r="Q26" s="21">
        <v>48</v>
      </c>
      <c r="R26" s="48">
        <v>4</v>
      </c>
      <c r="S26" s="67" t="s">
        <v>83</v>
      </c>
      <c r="T26" s="62">
        <v>53.33</v>
      </c>
      <c r="U26" s="94">
        <v>6</v>
      </c>
      <c r="V26" s="67" t="s">
        <v>509</v>
      </c>
      <c r="W26" s="62" t="s">
        <v>509</v>
      </c>
      <c r="X26" s="94" t="s">
        <v>509</v>
      </c>
      <c r="Y26" s="67" t="s">
        <v>509</v>
      </c>
      <c r="Z26" s="62" t="s">
        <v>509</v>
      </c>
      <c r="AA26" s="94" t="s">
        <v>509</v>
      </c>
    </row>
    <row r="27" spans="1:27" s="149" customFormat="1" x14ac:dyDescent="0.25">
      <c r="A27" s="67" t="s">
        <v>719</v>
      </c>
      <c r="B27" s="62">
        <v>0.45</v>
      </c>
      <c r="C27" s="94">
        <v>23</v>
      </c>
      <c r="D27" s="193" t="s">
        <v>248</v>
      </c>
      <c r="E27" s="165">
        <v>0.10610935580770765</v>
      </c>
      <c r="F27" s="94">
        <v>13</v>
      </c>
      <c r="G27" s="193" t="s">
        <v>184</v>
      </c>
      <c r="H27" s="165">
        <v>0.10723868756740206</v>
      </c>
      <c r="I27" s="94">
        <v>18</v>
      </c>
      <c r="J27" s="193" t="s">
        <v>239</v>
      </c>
      <c r="K27" s="165">
        <v>0.20566192394478142</v>
      </c>
      <c r="L27" s="94">
        <v>17</v>
      </c>
      <c r="M27" s="67" t="s">
        <v>183</v>
      </c>
      <c r="N27" s="62">
        <v>41.38</v>
      </c>
      <c r="O27" s="94">
        <v>9</v>
      </c>
      <c r="P27" s="17" t="s">
        <v>736</v>
      </c>
      <c r="Q27" s="21">
        <v>48</v>
      </c>
      <c r="R27" s="48">
        <v>4</v>
      </c>
      <c r="S27" s="67" t="s">
        <v>228</v>
      </c>
      <c r="T27" s="62">
        <v>53.33</v>
      </c>
      <c r="U27" s="94">
        <v>6</v>
      </c>
      <c r="V27" s="67" t="s">
        <v>509</v>
      </c>
      <c r="W27" s="62" t="s">
        <v>509</v>
      </c>
      <c r="X27" s="94" t="s">
        <v>509</v>
      </c>
      <c r="Y27" s="67" t="s">
        <v>509</v>
      </c>
      <c r="Z27" s="62" t="s">
        <v>509</v>
      </c>
      <c r="AA27" s="94" t="s">
        <v>509</v>
      </c>
    </row>
    <row r="28" spans="1:27" s="149" customFormat="1" x14ac:dyDescent="0.25">
      <c r="A28" s="67" t="s">
        <v>181</v>
      </c>
      <c r="B28" s="62">
        <v>0.44</v>
      </c>
      <c r="C28" s="94">
        <v>24</v>
      </c>
      <c r="D28" s="193" t="s">
        <v>181</v>
      </c>
      <c r="E28" s="165">
        <v>0.10528670382784511</v>
      </c>
      <c r="F28" s="94">
        <v>13</v>
      </c>
      <c r="G28" s="193" t="s">
        <v>223</v>
      </c>
      <c r="H28" s="165">
        <v>0.10566002895138124</v>
      </c>
      <c r="I28" s="94">
        <v>18</v>
      </c>
      <c r="J28" s="193" t="s">
        <v>184</v>
      </c>
      <c r="K28" s="165">
        <v>0.19265942548299783</v>
      </c>
      <c r="L28" s="94">
        <v>18</v>
      </c>
      <c r="M28" s="67" t="s">
        <v>97</v>
      </c>
      <c r="N28" s="62">
        <v>40.229999999999997</v>
      </c>
      <c r="O28" s="94">
        <v>10</v>
      </c>
      <c r="P28" s="17" t="s">
        <v>739</v>
      </c>
      <c r="Q28" s="21">
        <v>48</v>
      </c>
      <c r="R28" s="48">
        <v>4</v>
      </c>
      <c r="S28" s="67" t="s">
        <v>256</v>
      </c>
      <c r="T28" s="62">
        <v>53.13</v>
      </c>
      <c r="U28" s="94">
        <v>7</v>
      </c>
      <c r="V28" s="67" t="s">
        <v>509</v>
      </c>
      <c r="W28" s="62" t="s">
        <v>509</v>
      </c>
      <c r="X28" s="94" t="s">
        <v>509</v>
      </c>
      <c r="Y28" s="67" t="s">
        <v>509</v>
      </c>
      <c r="Z28" s="62" t="s">
        <v>509</v>
      </c>
      <c r="AA28" s="94" t="s">
        <v>509</v>
      </c>
    </row>
    <row r="29" spans="1:27" s="149" customFormat="1" x14ac:dyDescent="0.25">
      <c r="A29" s="67" t="s">
        <v>248</v>
      </c>
      <c r="B29" s="62">
        <v>0.43</v>
      </c>
      <c r="C29" s="94">
        <v>25</v>
      </c>
      <c r="D29" s="193" t="s">
        <v>222</v>
      </c>
      <c r="E29" s="165">
        <v>0.10363192463798052</v>
      </c>
      <c r="F29" s="94">
        <v>14</v>
      </c>
      <c r="G29" s="193" t="s">
        <v>226</v>
      </c>
      <c r="H29" s="165">
        <v>0.10275708067980441</v>
      </c>
      <c r="I29" s="94">
        <v>19</v>
      </c>
      <c r="J29" s="193" t="s">
        <v>181</v>
      </c>
      <c r="K29" s="165">
        <v>0.18515393576020364</v>
      </c>
      <c r="L29" s="94">
        <v>18</v>
      </c>
      <c r="M29" s="67" t="s">
        <v>706</v>
      </c>
      <c r="N29" s="62">
        <v>40.229999999999997</v>
      </c>
      <c r="O29" s="94">
        <v>10</v>
      </c>
      <c r="P29" s="17" t="s">
        <v>710</v>
      </c>
      <c r="Q29" s="21">
        <v>48</v>
      </c>
      <c r="R29" s="48">
        <v>4</v>
      </c>
      <c r="S29" s="67" t="s">
        <v>94</v>
      </c>
      <c r="T29" s="62">
        <v>50</v>
      </c>
      <c r="U29" s="94">
        <v>8</v>
      </c>
      <c r="V29" s="67" t="s">
        <v>509</v>
      </c>
      <c r="W29" s="62" t="s">
        <v>509</v>
      </c>
      <c r="X29" s="94" t="s">
        <v>509</v>
      </c>
      <c r="Y29" s="67" t="s">
        <v>509</v>
      </c>
      <c r="Z29" s="62" t="s">
        <v>509</v>
      </c>
      <c r="AA29" s="94" t="s">
        <v>509</v>
      </c>
    </row>
    <row r="30" spans="1:27" s="149" customFormat="1" x14ac:dyDescent="0.25">
      <c r="A30" s="67" t="s">
        <v>717</v>
      </c>
      <c r="B30" s="62">
        <v>0.43</v>
      </c>
      <c r="C30" s="94">
        <v>25</v>
      </c>
      <c r="D30" s="193" t="s">
        <v>701</v>
      </c>
      <c r="E30" s="165">
        <v>9.6796764554150427E-2</v>
      </c>
      <c r="F30" s="94">
        <v>14</v>
      </c>
      <c r="G30" s="193" t="s">
        <v>195</v>
      </c>
      <c r="H30" s="165">
        <v>9.3726681095055095E-2</v>
      </c>
      <c r="I30" s="94">
        <v>20</v>
      </c>
      <c r="J30" s="193" t="s">
        <v>682</v>
      </c>
      <c r="K30" s="165">
        <v>0.18115891965735254</v>
      </c>
      <c r="L30" s="94">
        <v>19</v>
      </c>
      <c r="M30" s="67" t="s">
        <v>228</v>
      </c>
      <c r="N30" s="62">
        <v>40.229999999999997</v>
      </c>
      <c r="O30" s="94">
        <v>10</v>
      </c>
      <c r="P30" s="17" t="s">
        <v>730</v>
      </c>
      <c r="Q30" s="21">
        <v>48</v>
      </c>
      <c r="R30" s="48">
        <v>4</v>
      </c>
      <c r="S30" s="67" t="s">
        <v>733</v>
      </c>
      <c r="T30" s="62">
        <v>50</v>
      </c>
      <c r="U30" s="94">
        <v>8</v>
      </c>
      <c r="V30" s="67" t="s">
        <v>509</v>
      </c>
      <c r="W30" s="62" t="s">
        <v>509</v>
      </c>
      <c r="X30" s="94" t="s">
        <v>509</v>
      </c>
      <c r="Y30" s="67" t="s">
        <v>509</v>
      </c>
      <c r="Z30" s="62" t="s">
        <v>509</v>
      </c>
      <c r="AA30" s="94" t="s">
        <v>509</v>
      </c>
    </row>
    <row r="31" spans="1:27" s="149" customFormat="1" x14ac:dyDescent="0.25">
      <c r="A31" s="67" t="s">
        <v>725</v>
      </c>
      <c r="B31" s="62">
        <v>0.43</v>
      </c>
      <c r="C31" s="94">
        <v>25</v>
      </c>
      <c r="D31" s="193" t="s">
        <v>216</v>
      </c>
      <c r="E31" s="165">
        <v>9.6717849871336886E-2</v>
      </c>
      <c r="F31" s="94">
        <v>14</v>
      </c>
      <c r="G31" s="193" t="s">
        <v>248</v>
      </c>
      <c r="H31" s="165">
        <v>9.2119557473739913E-2</v>
      </c>
      <c r="I31" s="94">
        <v>20</v>
      </c>
      <c r="J31" s="193" t="s">
        <v>248</v>
      </c>
      <c r="K31" s="165">
        <v>0.17808157525177218</v>
      </c>
      <c r="L31" s="94">
        <v>19</v>
      </c>
      <c r="M31" s="67" t="s">
        <v>99</v>
      </c>
      <c r="N31" s="62">
        <v>39.08</v>
      </c>
      <c r="O31" s="94">
        <v>11</v>
      </c>
      <c r="P31" s="17" t="s">
        <v>256</v>
      </c>
      <c r="Q31" s="21">
        <v>48</v>
      </c>
      <c r="R31" s="48">
        <v>4</v>
      </c>
      <c r="S31" s="67" t="s">
        <v>160</v>
      </c>
      <c r="T31" s="62">
        <v>50</v>
      </c>
      <c r="U31" s="94">
        <v>8</v>
      </c>
      <c r="V31" s="67" t="s">
        <v>509</v>
      </c>
      <c r="W31" s="62" t="s">
        <v>509</v>
      </c>
      <c r="X31" s="94" t="s">
        <v>509</v>
      </c>
      <c r="Y31" s="67" t="s">
        <v>509</v>
      </c>
      <c r="Z31" s="62" t="s">
        <v>509</v>
      </c>
      <c r="AA31" s="94" t="s">
        <v>509</v>
      </c>
    </row>
    <row r="32" spans="1:27" s="149" customFormat="1" x14ac:dyDescent="0.25">
      <c r="A32" s="67" t="s">
        <v>726</v>
      </c>
      <c r="B32" s="62">
        <v>0.41</v>
      </c>
      <c r="C32" s="94">
        <v>26</v>
      </c>
      <c r="D32" s="193" t="s">
        <v>226</v>
      </c>
      <c r="E32" s="165">
        <v>9.650883562891531E-2</v>
      </c>
      <c r="F32" s="94">
        <v>14</v>
      </c>
      <c r="G32" s="193" t="s">
        <v>222</v>
      </c>
      <c r="H32" s="165">
        <v>9.0507238076224378E-2</v>
      </c>
      <c r="I32" s="94">
        <v>20</v>
      </c>
      <c r="J32" s="193" t="s">
        <v>243</v>
      </c>
      <c r="K32" s="165">
        <v>0.16901868362787018</v>
      </c>
      <c r="L32" s="94">
        <v>20</v>
      </c>
      <c r="M32" s="67" t="s">
        <v>709</v>
      </c>
      <c r="N32" s="62">
        <v>39.08</v>
      </c>
      <c r="O32" s="94">
        <v>11</v>
      </c>
      <c r="P32" s="17" t="s">
        <v>682</v>
      </c>
      <c r="Q32" s="21">
        <v>48</v>
      </c>
      <c r="R32" s="48">
        <v>4</v>
      </c>
      <c r="S32" s="67" t="s">
        <v>181</v>
      </c>
      <c r="T32" s="62">
        <v>50</v>
      </c>
      <c r="U32" s="94">
        <v>8</v>
      </c>
      <c r="V32" s="67" t="s">
        <v>509</v>
      </c>
      <c r="W32" s="62" t="s">
        <v>509</v>
      </c>
      <c r="X32" s="94" t="s">
        <v>509</v>
      </c>
      <c r="Y32" s="67" t="s">
        <v>509</v>
      </c>
      <c r="Z32" s="62" t="s">
        <v>509</v>
      </c>
      <c r="AA32" s="94" t="s">
        <v>509</v>
      </c>
    </row>
    <row r="33" spans="1:27" s="149" customFormat="1" x14ac:dyDescent="0.25">
      <c r="A33" s="67" t="s">
        <v>731</v>
      </c>
      <c r="B33" s="62">
        <v>0.41</v>
      </c>
      <c r="C33" s="94">
        <v>26</v>
      </c>
      <c r="D33" s="193" t="s">
        <v>184</v>
      </c>
      <c r="E33" s="165">
        <v>9.0832609515668003E-2</v>
      </c>
      <c r="F33" s="94">
        <v>15</v>
      </c>
      <c r="G33" s="193" t="s">
        <v>736</v>
      </c>
      <c r="H33" s="165">
        <v>8.8249042608944978E-2</v>
      </c>
      <c r="I33" s="94">
        <v>20</v>
      </c>
      <c r="J33" s="193" t="s">
        <v>737</v>
      </c>
      <c r="K33" s="165">
        <v>0.16740572538566958</v>
      </c>
      <c r="L33" s="94">
        <v>20</v>
      </c>
      <c r="M33" s="67" t="s">
        <v>736</v>
      </c>
      <c r="N33" s="62">
        <v>39.08</v>
      </c>
      <c r="O33" s="94">
        <v>11</v>
      </c>
      <c r="P33" s="17" t="s">
        <v>216</v>
      </c>
      <c r="Q33" s="21">
        <v>48</v>
      </c>
      <c r="R33" s="48">
        <v>4</v>
      </c>
      <c r="S33" s="67" t="s">
        <v>736</v>
      </c>
      <c r="T33" s="62">
        <v>50</v>
      </c>
      <c r="U33" s="94">
        <v>8</v>
      </c>
      <c r="V33" s="67" t="s">
        <v>509</v>
      </c>
      <c r="W33" s="62" t="s">
        <v>509</v>
      </c>
      <c r="X33" s="94" t="s">
        <v>509</v>
      </c>
      <c r="Y33" s="67" t="s">
        <v>509</v>
      </c>
      <c r="Z33" s="62" t="s">
        <v>509</v>
      </c>
      <c r="AA33" s="94" t="s">
        <v>509</v>
      </c>
    </row>
    <row r="34" spans="1:27" s="149" customFormat="1" x14ac:dyDescent="0.25">
      <c r="A34" s="67" t="s">
        <v>740</v>
      </c>
      <c r="B34" s="62">
        <v>0.4</v>
      </c>
      <c r="C34" s="94">
        <v>27</v>
      </c>
      <c r="D34" s="193" t="s">
        <v>239</v>
      </c>
      <c r="E34" s="165">
        <v>9.0232352325365486E-2</v>
      </c>
      <c r="F34" s="94">
        <v>15</v>
      </c>
      <c r="G34" s="193" t="s">
        <v>216</v>
      </c>
      <c r="H34" s="165">
        <v>8.6019815208133746E-2</v>
      </c>
      <c r="I34" s="94">
        <v>20</v>
      </c>
      <c r="J34" s="193" t="s">
        <v>706</v>
      </c>
      <c r="K34" s="165">
        <v>0.16277241637968612</v>
      </c>
      <c r="L34" s="94">
        <v>21</v>
      </c>
      <c r="M34" s="67" t="s">
        <v>669</v>
      </c>
      <c r="N34" s="62">
        <v>39.08</v>
      </c>
      <c r="O34" s="94">
        <v>11</v>
      </c>
      <c r="P34" s="17" t="s">
        <v>180</v>
      </c>
      <c r="Q34" s="21">
        <v>48</v>
      </c>
      <c r="R34" s="48">
        <v>4</v>
      </c>
      <c r="S34" s="67" t="s">
        <v>243</v>
      </c>
      <c r="T34" s="62">
        <v>50</v>
      </c>
      <c r="U34" s="94">
        <v>8</v>
      </c>
      <c r="V34" s="67" t="s">
        <v>509</v>
      </c>
      <c r="W34" s="62" t="s">
        <v>509</v>
      </c>
      <c r="X34" s="94" t="s">
        <v>509</v>
      </c>
      <c r="Y34" s="67" t="s">
        <v>509</v>
      </c>
      <c r="Z34" s="62" t="s">
        <v>509</v>
      </c>
      <c r="AA34" s="94" t="s">
        <v>509</v>
      </c>
    </row>
    <row r="35" spans="1:27" s="149" customFormat="1" x14ac:dyDescent="0.25">
      <c r="A35" s="67" t="s">
        <v>736</v>
      </c>
      <c r="B35" s="62">
        <v>0.4</v>
      </c>
      <c r="C35" s="94">
        <v>27</v>
      </c>
      <c r="D35" s="193" t="s">
        <v>735</v>
      </c>
      <c r="E35" s="165">
        <v>8.8259816484153791E-2</v>
      </c>
      <c r="F35" s="94">
        <v>15</v>
      </c>
      <c r="G35" s="193" t="s">
        <v>682</v>
      </c>
      <c r="H35" s="165">
        <v>8.5888644906756739E-2</v>
      </c>
      <c r="I35" s="94">
        <v>20</v>
      </c>
      <c r="J35" s="193" t="s">
        <v>669</v>
      </c>
      <c r="K35" s="165">
        <v>0.15878889651080277</v>
      </c>
      <c r="L35" s="94">
        <v>21</v>
      </c>
      <c r="M35" s="67" t="s">
        <v>196</v>
      </c>
      <c r="N35" s="62">
        <v>39.08</v>
      </c>
      <c r="O35" s="94">
        <v>11</v>
      </c>
      <c r="P35" s="17" t="s">
        <v>206</v>
      </c>
      <c r="Q35" s="21">
        <v>48</v>
      </c>
      <c r="R35" s="48">
        <v>4</v>
      </c>
      <c r="S35" s="67" t="s">
        <v>735</v>
      </c>
      <c r="T35" s="62">
        <v>50</v>
      </c>
      <c r="U35" s="94">
        <v>8</v>
      </c>
      <c r="V35" s="67" t="s">
        <v>509</v>
      </c>
      <c r="W35" s="62" t="s">
        <v>509</v>
      </c>
      <c r="X35" s="94" t="s">
        <v>509</v>
      </c>
      <c r="Y35" s="67" t="s">
        <v>509</v>
      </c>
      <c r="Z35" s="62" t="s">
        <v>509</v>
      </c>
      <c r="AA35" s="94" t="s">
        <v>509</v>
      </c>
    </row>
    <row r="36" spans="1:27" s="149" customFormat="1" x14ac:dyDescent="0.25">
      <c r="A36" s="67" t="s">
        <v>195</v>
      </c>
      <c r="B36" s="62">
        <v>0.38</v>
      </c>
      <c r="C36" s="94">
        <v>28</v>
      </c>
      <c r="D36" s="193" t="s">
        <v>734</v>
      </c>
      <c r="E36" s="165">
        <v>8.4253961349339615E-2</v>
      </c>
      <c r="F36" s="94">
        <v>16</v>
      </c>
      <c r="G36" s="193" t="s">
        <v>98</v>
      </c>
      <c r="H36" s="165">
        <v>7.7051793220787118E-2</v>
      </c>
      <c r="I36" s="94">
        <v>21</v>
      </c>
      <c r="J36" s="193" t="s">
        <v>251</v>
      </c>
      <c r="K36" s="165">
        <v>0.15832731012393869</v>
      </c>
      <c r="L36" s="94">
        <v>21</v>
      </c>
      <c r="M36" s="67" t="s">
        <v>206</v>
      </c>
      <c r="N36" s="62">
        <v>39.08</v>
      </c>
      <c r="O36" s="94">
        <v>11</v>
      </c>
      <c r="P36" s="17" t="s">
        <v>355</v>
      </c>
      <c r="Q36" s="21">
        <v>48</v>
      </c>
      <c r="R36" s="48">
        <v>4</v>
      </c>
      <c r="S36" s="67" t="s">
        <v>707</v>
      </c>
      <c r="T36" s="62">
        <v>50</v>
      </c>
      <c r="U36" s="94">
        <v>8</v>
      </c>
      <c r="V36" s="67" t="s">
        <v>509</v>
      </c>
      <c r="W36" s="62" t="s">
        <v>509</v>
      </c>
      <c r="X36" s="94" t="s">
        <v>509</v>
      </c>
      <c r="Y36" s="67" t="s">
        <v>509</v>
      </c>
      <c r="Z36" s="62" t="s">
        <v>509</v>
      </c>
      <c r="AA36" s="94" t="s">
        <v>509</v>
      </c>
    </row>
    <row r="37" spans="1:27" s="149" customFormat="1" x14ac:dyDescent="0.25">
      <c r="A37" s="67" t="s">
        <v>712</v>
      </c>
      <c r="B37" s="62">
        <v>0.38</v>
      </c>
      <c r="C37" s="94">
        <v>28</v>
      </c>
      <c r="D37" s="193" t="s">
        <v>180</v>
      </c>
      <c r="E37" s="165">
        <v>8.2854270995656801E-2</v>
      </c>
      <c r="F37" s="94">
        <v>16</v>
      </c>
      <c r="G37" s="193" t="s">
        <v>258</v>
      </c>
      <c r="H37" s="165">
        <v>7.5106424998603372E-2</v>
      </c>
      <c r="I37" s="94">
        <v>21</v>
      </c>
      <c r="J37" s="193" t="s">
        <v>734</v>
      </c>
      <c r="K37" s="165">
        <v>0.14225269451433084</v>
      </c>
      <c r="L37" s="94">
        <v>22</v>
      </c>
      <c r="M37" s="67" t="s">
        <v>98</v>
      </c>
      <c r="N37" s="62">
        <v>39.08</v>
      </c>
      <c r="O37" s="94">
        <v>11</v>
      </c>
      <c r="P37" s="17" t="s">
        <v>747</v>
      </c>
      <c r="Q37" s="21">
        <v>48</v>
      </c>
      <c r="R37" s="48">
        <v>4</v>
      </c>
      <c r="S37" s="67" t="s">
        <v>191</v>
      </c>
      <c r="T37" s="62">
        <v>50</v>
      </c>
      <c r="U37" s="94">
        <v>8</v>
      </c>
      <c r="V37" s="67" t="s">
        <v>509</v>
      </c>
      <c r="W37" s="62" t="s">
        <v>509</v>
      </c>
      <c r="X37" s="94" t="s">
        <v>509</v>
      </c>
      <c r="Y37" s="67" t="s">
        <v>509</v>
      </c>
      <c r="Z37" s="62" t="s">
        <v>509</v>
      </c>
      <c r="AA37" s="94" t="s">
        <v>509</v>
      </c>
    </row>
    <row r="38" spans="1:27" s="149" customFormat="1" x14ac:dyDescent="0.25">
      <c r="A38" s="67" t="s">
        <v>239</v>
      </c>
      <c r="B38" s="62">
        <v>0.37</v>
      </c>
      <c r="C38" s="94">
        <v>29</v>
      </c>
      <c r="D38" s="193" t="s">
        <v>682</v>
      </c>
      <c r="E38" s="165">
        <v>7.796994433558227E-2</v>
      </c>
      <c r="F38" s="94">
        <v>16</v>
      </c>
      <c r="G38" s="193" t="s">
        <v>97</v>
      </c>
      <c r="H38" s="165">
        <v>7.0104313159150514E-2</v>
      </c>
      <c r="I38" s="94">
        <v>22</v>
      </c>
      <c r="J38" s="193" t="s">
        <v>187</v>
      </c>
      <c r="K38" s="165">
        <v>0.1370358050706352</v>
      </c>
      <c r="L38" s="94">
        <v>22</v>
      </c>
      <c r="M38" s="67" t="s">
        <v>747</v>
      </c>
      <c r="N38" s="62">
        <v>39.08</v>
      </c>
      <c r="O38" s="94">
        <v>11</v>
      </c>
      <c r="P38" s="17" t="s">
        <v>99</v>
      </c>
      <c r="Q38" s="21">
        <v>44</v>
      </c>
      <c r="R38" s="48">
        <v>5</v>
      </c>
      <c r="S38" s="67" t="s">
        <v>222</v>
      </c>
      <c r="T38" s="62">
        <v>50</v>
      </c>
      <c r="U38" s="94">
        <v>8</v>
      </c>
      <c r="V38" s="67" t="s">
        <v>509</v>
      </c>
      <c r="W38" s="62" t="s">
        <v>509</v>
      </c>
      <c r="X38" s="94" t="s">
        <v>509</v>
      </c>
      <c r="Y38" s="67" t="s">
        <v>509</v>
      </c>
      <c r="Z38" s="62" t="s">
        <v>509</v>
      </c>
      <c r="AA38" s="94" t="s">
        <v>509</v>
      </c>
    </row>
    <row r="39" spans="1:27" s="149" customFormat="1" x14ac:dyDescent="0.25">
      <c r="A39" s="67" t="s">
        <v>711</v>
      </c>
      <c r="B39" s="62">
        <v>0.37</v>
      </c>
      <c r="C39" s="94">
        <v>29</v>
      </c>
      <c r="D39" s="193" t="s">
        <v>669</v>
      </c>
      <c r="E39" s="165">
        <v>7.7418221247495062E-2</v>
      </c>
      <c r="F39" s="94">
        <v>16</v>
      </c>
      <c r="G39" s="193" t="s">
        <v>706</v>
      </c>
      <c r="H39" s="165">
        <v>6.9110252919582588E-2</v>
      </c>
      <c r="I39" s="94">
        <v>22</v>
      </c>
      <c r="J39" s="193" t="s">
        <v>731</v>
      </c>
      <c r="K39" s="165">
        <v>0.13527057576021842</v>
      </c>
      <c r="L39" s="94">
        <v>22</v>
      </c>
      <c r="M39" s="67" t="s">
        <v>701</v>
      </c>
      <c r="N39" s="62">
        <v>39.08</v>
      </c>
      <c r="O39" s="94">
        <v>11</v>
      </c>
      <c r="P39" s="17" t="s">
        <v>11</v>
      </c>
      <c r="Q39" s="21">
        <v>44</v>
      </c>
      <c r="R39" s="48">
        <v>5</v>
      </c>
      <c r="S39" s="67" t="s">
        <v>184</v>
      </c>
      <c r="T39" s="62">
        <v>50</v>
      </c>
      <c r="U39" s="94">
        <v>8</v>
      </c>
      <c r="V39" s="67" t="s">
        <v>509</v>
      </c>
      <c r="W39" s="62" t="s">
        <v>509</v>
      </c>
      <c r="X39" s="94" t="s">
        <v>509</v>
      </c>
      <c r="Y39" s="67" t="s">
        <v>509</v>
      </c>
      <c r="Z39" s="62" t="s">
        <v>509</v>
      </c>
      <c r="AA39" s="94" t="s">
        <v>509</v>
      </c>
    </row>
    <row r="40" spans="1:27" s="149" customFormat="1" x14ac:dyDescent="0.25">
      <c r="A40" s="67" t="s">
        <v>739</v>
      </c>
      <c r="B40" s="62">
        <v>0.37</v>
      </c>
      <c r="C40" s="94">
        <v>29</v>
      </c>
      <c r="D40" s="193" t="s">
        <v>203</v>
      </c>
      <c r="E40" s="165">
        <v>7.4182655847327181E-2</v>
      </c>
      <c r="F40" s="94">
        <v>17</v>
      </c>
      <c r="G40" s="193" t="s">
        <v>183</v>
      </c>
      <c r="H40" s="165">
        <v>6.6572662138848313E-2</v>
      </c>
      <c r="I40" s="94">
        <v>22</v>
      </c>
      <c r="J40" s="193" t="s">
        <v>750</v>
      </c>
      <c r="K40" s="165">
        <v>0.13460057096523972</v>
      </c>
      <c r="L40" s="94">
        <v>23</v>
      </c>
      <c r="M40" s="67" t="s">
        <v>247</v>
      </c>
      <c r="N40" s="62">
        <v>39.08</v>
      </c>
      <c r="O40" s="94">
        <v>11</v>
      </c>
      <c r="P40" s="17" t="s">
        <v>233</v>
      </c>
      <c r="Q40" s="21">
        <v>44</v>
      </c>
      <c r="R40" s="48">
        <v>5</v>
      </c>
      <c r="S40" s="67" t="s">
        <v>237</v>
      </c>
      <c r="T40" s="62">
        <v>46.88</v>
      </c>
      <c r="U40" s="94">
        <v>9</v>
      </c>
      <c r="V40" s="67" t="s">
        <v>509</v>
      </c>
      <c r="W40" s="62" t="s">
        <v>509</v>
      </c>
      <c r="X40" s="94" t="s">
        <v>509</v>
      </c>
      <c r="Y40" s="67" t="s">
        <v>509</v>
      </c>
      <c r="Z40" s="62" t="s">
        <v>509</v>
      </c>
      <c r="AA40" s="94" t="s">
        <v>509</v>
      </c>
    </row>
    <row r="41" spans="1:27" s="149" customFormat="1" x14ac:dyDescent="0.25">
      <c r="A41" s="67" t="s">
        <v>718</v>
      </c>
      <c r="B41" s="62">
        <v>0.37</v>
      </c>
      <c r="C41" s="94">
        <v>29</v>
      </c>
      <c r="D41" s="193" t="s">
        <v>243</v>
      </c>
      <c r="E41" s="165">
        <v>7.349540668351888E-2</v>
      </c>
      <c r="F41" s="94">
        <v>17</v>
      </c>
      <c r="G41" s="193" t="s">
        <v>256</v>
      </c>
      <c r="H41" s="165">
        <v>6.4319994283535437E-2</v>
      </c>
      <c r="I41" s="94">
        <v>23</v>
      </c>
      <c r="J41" s="193" t="s">
        <v>253</v>
      </c>
      <c r="K41" s="165">
        <v>0.12979878767411657</v>
      </c>
      <c r="L41" s="94">
        <v>23</v>
      </c>
      <c r="M41" s="67" t="s">
        <v>101</v>
      </c>
      <c r="N41" s="62">
        <v>37.93</v>
      </c>
      <c r="O41" s="94">
        <v>12</v>
      </c>
      <c r="P41" s="17" t="s">
        <v>238</v>
      </c>
      <c r="Q41" s="21">
        <v>44</v>
      </c>
      <c r="R41" s="48">
        <v>5</v>
      </c>
      <c r="S41" s="67" t="s">
        <v>258</v>
      </c>
      <c r="T41" s="62">
        <v>46.67</v>
      </c>
      <c r="U41" s="94">
        <v>10</v>
      </c>
      <c r="V41" s="67" t="s">
        <v>509</v>
      </c>
      <c r="W41" s="62" t="s">
        <v>509</v>
      </c>
      <c r="X41" s="94" t="s">
        <v>509</v>
      </c>
      <c r="Y41" s="67" t="s">
        <v>509</v>
      </c>
      <c r="Z41" s="62" t="s">
        <v>509</v>
      </c>
      <c r="AA41" s="94" t="s">
        <v>509</v>
      </c>
    </row>
    <row r="42" spans="1:27" s="149" customFormat="1" x14ac:dyDescent="0.25">
      <c r="A42" s="67" t="s">
        <v>710</v>
      </c>
      <c r="B42" s="62">
        <v>0.36</v>
      </c>
      <c r="C42" s="94">
        <v>30</v>
      </c>
      <c r="D42" s="193" t="s">
        <v>733</v>
      </c>
      <c r="E42" s="165">
        <v>7.0778432591340118E-2</v>
      </c>
      <c r="F42" s="94">
        <v>17</v>
      </c>
      <c r="G42" s="193" t="s">
        <v>717</v>
      </c>
      <c r="H42" s="165">
        <v>6.3722142039149596E-2</v>
      </c>
      <c r="I42" s="94">
        <v>23</v>
      </c>
      <c r="J42" s="193" t="s">
        <v>662</v>
      </c>
      <c r="K42" s="165">
        <v>0.11361070438580975</v>
      </c>
      <c r="L42" s="94">
        <v>24</v>
      </c>
      <c r="M42" s="67" t="s">
        <v>722</v>
      </c>
      <c r="N42" s="62">
        <v>37.93</v>
      </c>
      <c r="O42" s="94">
        <v>12</v>
      </c>
      <c r="P42" s="17" t="s">
        <v>97</v>
      </c>
      <c r="Q42" s="21">
        <v>44</v>
      </c>
      <c r="R42" s="48">
        <v>5</v>
      </c>
      <c r="S42" s="67" t="s">
        <v>719</v>
      </c>
      <c r="T42" s="62">
        <v>46.67</v>
      </c>
      <c r="U42" s="94">
        <v>10</v>
      </c>
      <c r="V42" s="67" t="s">
        <v>509</v>
      </c>
      <c r="W42" s="62" t="s">
        <v>509</v>
      </c>
      <c r="X42" s="94" t="s">
        <v>509</v>
      </c>
      <c r="Y42" s="67" t="s">
        <v>509</v>
      </c>
      <c r="Z42" s="62" t="s">
        <v>509</v>
      </c>
      <c r="AA42" s="94" t="s">
        <v>509</v>
      </c>
    </row>
    <row r="43" spans="1:27" s="149" customFormat="1" x14ac:dyDescent="0.25">
      <c r="A43" s="67" t="s">
        <v>727</v>
      </c>
      <c r="B43" s="62">
        <v>0.36</v>
      </c>
      <c r="C43" s="94">
        <v>30</v>
      </c>
      <c r="D43" s="193" t="s">
        <v>253</v>
      </c>
      <c r="E43" s="165">
        <v>6.7773573007778545E-2</v>
      </c>
      <c r="F43" s="94">
        <v>17</v>
      </c>
      <c r="G43" s="193" t="s">
        <v>239</v>
      </c>
      <c r="H43" s="165">
        <v>6.2890131697911966E-2</v>
      </c>
      <c r="I43" s="94">
        <v>23</v>
      </c>
      <c r="J43" s="193" t="s">
        <v>733</v>
      </c>
      <c r="K43" s="165">
        <v>0.11103395044019035</v>
      </c>
      <c r="L43" s="94">
        <v>24</v>
      </c>
      <c r="M43" s="67" t="s">
        <v>731</v>
      </c>
      <c r="N43" s="62">
        <v>37.93</v>
      </c>
      <c r="O43" s="94">
        <v>12</v>
      </c>
      <c r="P43" s="17" t="s">
        <v>102</v>
      </c>
      <c r="Q43" s="21">
        <v>44</v>
      </c>
      <c r="R43" s="48">
        <v>5</v>
      </c>
      <c r="S43" s="67" t="s">
        <v>248</v>
      </c>
      <c r="T43" s="62">
        <v>46.67</v>
      </c>
      <c r="U43" s="94">
        <v>10</v>
      </c>
      <c r="V43" s="67" t="s">
        <v>509</v>
      </c>
      <c r="W43" s="62" t="s">
        <v>509</v>
      </c>
      <c r="X43" s="94" t="s">
        <v>509</v>
      </c>
      <c r="Y43" s="67" t="s">
        <v>509</v>
      </c>
      <c r="Z43" s="62" t="s">
        <v>509</v>
      </c>
      <c r="AA43" s="94" t="s">
        <v>509</v>
      </c>
    </row>
    <row r="44" spans="1:27" s="149" customFormat="1" x14ac:dyDescent="0.25">
      <c r="A44" s="67" t="s">
        <v>226</v>
      </c>
      <c r="B44" s="62">
        <v>0.35</v>
      </c>
      <c r="C44" s="94">
        <v>32</v>
      </c>
      <c r="D44" s="193" t="s">
        <v>710</v>
      </c>
      <c r="E44" s="165">
        <v>6.7379885237845424E-2</v>
      </c>
      <c r="F44" s="94">
        <v>17</v>
      </c>
      <c r="G44" s="193" t="s">
        <v>355</v>
      </c>
      <c r="H44" s="165">
        <v>6.1753496412838907E-2</v>
      </c>
      <c r="I44" s="94">
        <v>23</v>
      </c>
      <c r="J44" s="193" t="s">
        <v>160</v>
      </c>
      <c r="K44" s="165">
        <v>0.10950622482378354</v>
      </c>
      <c r="L44" s="94">
        <v>24</v>
      </c>
      <c r="M44" s="67" t="s">
        <v>195</v>
      </c>
      <c r="N44" s="62">
        <v>37.93</v>
      </c>
      <c r="O44" s="94">
        <v>12</v>
      </c>
      <c r="P44" s="17" t="s">
        <v>717</v>
      </c>
      <c r="Q44" s="21">
        <v>44</v>
      </c>
      <c r="R44" s="48">
        <v>5</v>
      </c>
      <c r="S44" s="67" t="s">
        <v>203</v>
      </c>
      <c r="T44" s="62">
        <v>46.67</v>
      </c>
      <c r="U44" s="94">
        <v>10</v>
      </c>
      <c r="V44" s="67" t="s">
        <v>509</v>
      </c>
      <c r="W44" s="62" t="s">
        <v>509</v>
      </c>
      <c r="X44" s="94" t="s">
        <v>509</v>
      </c>
      <c r="Y44" s="67" t="s">
        <v>509</v>
      </c>
      <c r="Z44" s="62" t="s">
        <v>509</v>
      </c>
      <c r="AA44" s="94" t="s">
        <v>509</v>
      </c>
    </row>
    <row r="45" spans="1:27" s="149" customFormat="1" x14ac:dyDescent="0.25">
      <c r="A45" s="67" t="s">
        <v>256</v>
      </c>
      <c r="B45" s="62">
        <v>0.35</v>
      </c>
      <c r="C45" s="94">
        <v>32</v>
      </c>
      <c r="D45" s="193" t="s">
        <v>731</v>
      </c>
      <c r="E45" s="165">
        <v>6.6524679609400686E-2</v>
      </c>
      <c r="F45" s="94">
        <v>17</v>
      </c>
      <c r="G45" s="193" t="s">
        <v>735</v>
      </c>
      <c r="H45" s="165">
        <v>6.1724229698811778E-2</v>
      </c>
      <c r="I45" s="94">
        <v>23</v>
      </c>
      <c r="J45" s="193" t="s">
        <v>725</v>
      </c>
      <c r="K45" s="165">
        <v>0.10935974302152267</v>
      </c>
      <c r="L45" s="94">
        <v>24</v>
      </c>
      <c r="M45" s="67" t="s">
        <v>216</v>
      </c>
      <c r="N45" s="62">
        <v>37.93</v>
      </c>
      <c r="O45" s="94">
        <v>12</v>
      </c>
      <c r="P45" s="17" t="s">
        <v>226</v>
      </c>
      <c r="Q45" s="21">
        <v>44</v>
      </c>
      <c r="R45" s="48">
        <v>5</v>
      </c>
      <c r="S45" s="67" t="s">
        <v>748</v>
      </c>
      <c r="T45" s="62">
        <v>46.67</v>
      </c>
      <c r="U45" s="94">
        <v>10</v>
      </c>
      <c r="V45" s="67" t="s">
        <v>509</v>
      </c>
      <c r="W45" s="62" t="s">
        <v>509</v>
      </c>
      <c r="X45" s="94" t="s">
        <v>509</v>
      </c>
      <c r="Y45" s="67" t="s">
        <v>509</v>
      </c>
      <c r="Z45" s="62" t="s">
        <v>509</v>
      </c>
      <c r="AA45" s="94" t="s">
        <v>509</v>
      </c>
    </row>
    <row r="46" spans="1:27" s="149" customFormat="1" x14ac:dyDescent="0.25">
      <c r="A46" s="67" t="s">
        <v>730</v>
      </c>
      <c r="B46" s="62">
        <v>0.35</v>
      </c>
      <c r="C46" s="94">
        <v>31</v>
      </c>
      <c r="D46" s="193" t="s">
        <v>706</v>
      </c>
      <c r="E46" s="165">
        <v>6.4702930596037142E-2</v>
      </c>
      <c r="F46" s="94">
        <v>18</v>
      </c>
      <c r="G46" s="193" t="s">
        <v>707</v>
      </c>
      <c r="H46" s="165">
        <v>6.0565321185201387E-2</v>
      </c>
      <c r="I46" s="94">
        <v>23</v>
      </c>
      <c r="J46" s="193" t="s">
        <v>258</v>
      </c>
      <c r="K46" s="165">
        <v>0.10151689768099367</v>
      </c>
      <c r="L46" s="94">
        <v>25</v>
      </c>
      <c r="M46" s="67" t="s">
        <v>223</v>
      </c>
      <c r="N46" s="62">
        <v>37.93</v>
      </c>
      <c r="O46" s="94">
        <v>12</v>
      </c>
      <c r="P46" s="17" t="s">
        <v>669</v>
      </c>
      <c r="Q46" s="21">
        <v>44</v>
      </c>
      <c r="R46" s="48">
        <v>5</v>
      </c>
      <c r="S46" s="67" t="s">
        <v>747</v>
      </c>
      <c r="T46" s="62">
        <v>46.67</v>
      </c>
      <c r="U46" s="94">
        <v>10</v>
      </c>
      <c r="V46" s="67" t="s">
        <v>509</v>
      </c>
      <c r="W46" s="62" t="s">
        <v>509</v>
      </c>
      <c r="X46" s="94" t="s">
        <v>509</v>
      </c>
      <c r="Y46" s="67" t="s">
        <v>509</v>
      </c>
      <c r="Z46" s="62" t="s">
        <v>509</v>
      </c>
      <c r="AA46" s="94" t="s">
        <v>509</v>
      </c>
    </row>
    <row r="47" spans="1:27" s="149" customFormat="1" x14ac:dyDescent="0.25">
      <c r="A47" s="67" t="s">
        <v>86</v>
      </c>
      <c r="B47" s="62">
        <v>0.34</v>
      </c>
      <c r="C47" s="94">
        <v>33</v>
      </c>
      <c r="D47" s="193" t="s">
        <v>247</v>
      </c>
      <c r="E47" s="165">
        <v>6.1982208208115411E-2</v>
      </c>
      <c r="F47" s="94">
        <v>18</v>
      </c>
      <c r="G47" s="193" t="s">
        <v>701</v>
      </c>
      <c r="H47" s="165">
        <v>5.8718998580927585E-2</v>
      </c>
      <c r="I47" s="94">
        <v>23</v>
      </c>
      <c r="J47" s="193" t="s">
        <v>710</v>
      </c>
      <c r="K47" s="165">
        <v>9.8826093846041199E-2</v>
      </c>
      <c r="L47" s="94">
        <v>25</v>
      </c>
      <c r="M47" s="67" t="s">
        <v>723</v>
      </c>
      <c r="N47" s="62">
        <v>37.93</v>
      </c>
      <c r="O47" s="94">
        <v>12</v>
      </c>
      <c r="P47" s="17" t="s">
        <v>708</v>
      </c>
      <c r="Q47" s="21">
        <v>44</v>
      </c>
      <c r="R47" s="48">
        <v>5</v>
      </c>
      <c r="S47" s="67" t="s">
        <v>701</v>
      </c>
      <c r="T47" s="62">
        <v>46.67</v>
      </c>
      <c r="U47" s="94">
        <v>10</v>
      </c>
      <c r="V47" s="67" t="s">
        <v>509</v>
      </c>
      <c r="W47" s="62" t="s">
        <v>509</v>
      </c>
      <c r="X47" s="94" t="s">
        <v>509</v>
      </c>
      <c r="Y47" s="67" t="s">
        <v>509</v>
      </c>
      <c r="Z47" s="62" t="s">
        <v>509</v>
      </c>
      <c r="AA47" s="94" t="s">
        <v>509</v>
      </c>
    </row>
    <row r="48" spans="1:27" s="149" customFormat="1" x14ac:dyDescent="0.25">
      <c r="A48" s="67" t="s">
        <v>721</v>
      </c>
      <c r="B48" s="62">
        <v>0.34</v>
      </c>
      <c r="C48" s="94">
        <v>33</v>
      </c>
      <c r="D48" s="193" t="s">
        <v>736</v>
      </c>
      <c r="E48" s="165">
        <v>6.0913564145055686E-2</v>
      </c>
      <c r="F48" s="94">
        <v>18</v>
      </c>
      <c r="G48" s="193" t="s">
        <v>669</v>
      </c>
      <c r="H48" s="165">
        <v>5.6072439329699575E-2</v>
      </c>
      <c r="I48" s="94">
        <v>23</v>
      </c>
      <c r="J48" s="193" t="s">
        <v>98</v>
      </c>
      <c r="K48" s="165">
        <v>9.6482511174948271E-2</v>
      </c>
      <c r="L48" s="94">
        <v>25</v>
      </c>
      <c r="M48" s="67" t="s">
        <v>728</v>
      </c>
      <c r="N48" s="62">
        <v>37.93</v>
      </c>
      <c r="O48" s="94">
        <v>12</v>
      </c>
      <c r="P48" s="17" t="s">
        <v>184</v>
      </c>
      <c r="Q48" s="21">
        <v>44</v>
      </c>
      <c r="R48" s="48">
        <v>5</v>
      </c>
      <c r="S48" s="67" t="s">
        <v>253</v>
      </c>
      <c r="T48" s="62">
        <v>46.67</v>
      </c>
      <c r="U48" s="94">
        <v>10</v>
      </c>
      <c r="V48" s="67" t="s">
        <v>509</v>
      </c>
      <c r="W48" s="62" t="s">
        <v>509</v>
      </c>
      <c r="X48" s="94" t="s">
        <v>509</v>
      </c>
      <c r="Y48" s="67" t="s">
        <v>509</v>
      </c>
      <c r="Z48" s="62" t="s">
        <v>509</v>
      </c>
      <c r="AA48" s="94" t="s">
        <v>509</v>
      </c>
    </row>
    <row r="49" spans="1:27" s="149" customFormat="1" x14ac:dyDescent="0.25">
      <c r="A49" s="67" t="s">
        <v>706</v>
      </c>
      <c r="B49" s="62">
        <v>0.33</v>
      </c>
      <c r="C49" s="94">
        <v>34</v>
      </c>
      <c r="D49" s="193" t="s">
        <v>251</v>
      </c>
      <c r="E49" s="165">
        <v>5.9967408085252923E-2</v>
      </c>
      <c r="F49" s="94">
        <v>18</v>
      </c>
      <c r="G49" s="193" t="s">
        <v>253</v>
      </c>
      <c r="H49" s="165">
        <v>5.2486234963642048E-2</v>
      </c>
      <c r="I49" s="94">
        <v>24</v>
      </c>
      <c r="J49" s="193" t="s">
        <v>743</v>
      </c>
      <c r="K49" s="165">
        <v>9.4291701590045823E-2</v>
      </c>
      <c r="L49" s="94">
        <v>26</v>
      </c>
      <c r="M49" s="67" t="s">
        <v>744</v>
      </c>
      <c r="N49" s="62">
        <v>37.93</v>
      </c>
      <c r="O49" s="94">
        <v>12</v>
      </c>
      <c r="P49" s="17" t="s">
        <v>715</v>
      </c>
      <c r="Q49" s="21">
        <v>44</v>
      </c>
      <c r="R49" s="48">
        <v>5</v>
      </c>
      <c r="S49" s="67" t="s">
        <v>706</v>
      </c>
      <c r="T49" s="62">
        <v>43.75</v>
      </c>
      <c r="U49" s="94">
        <v>11</v>
      </c>
      <c r="V49" s="67" t="s">
        <v>509</v>
      </c>
      <c r="W49" s="62" t="s">
        <v>509</v>
      </c>
      <c r="X49" s="94" t="s">
        <v>509</v>
      </c>
      <c r="Y49" s="67" t="s">
        <v>509</v>
      </c>
      <c r="Z49" s="62" t="s">
        <v>509</v>
      </c>
      <c r="AA49" s="94" t="s">
        <v>509</v>
      </c>
    </row>
    <row r="50" spans="1:27" s="149" customFormat="1" x14ac:dyDescent="0.25">
      <c r="A50" s="67" t="s">
        <v>682</v>
      </c>
      <c r="B50" s="62">
        <v>0.33</v>
      </c>
      <c r="C50" s="94">
        <v>34</v>
      </c>
      <c r="D50" s="193" t="s">
        <v>737</v>
      </c>
      <c r="E50" s="165">
        <v>5.8037256713835993E-2</v>
      </c>
      <c r="F50" s="94">
        <v>18</v>
      </c>
      <c r="G50" s="193" t="s">
        <v>734</v>
      </c>
      <c r="H50" s="165">
        <v>5.2216790100122895E-2</v>
      </c>
      <c r="I50" s="94">
        <v>24</v>
      </c>
      <c r="J50" s="193" t="s">
        <v>355</v>
      </c>
      <c r="K50" s="165">
        <v>9.2039918699172496E-2</v>
      </c>
      <c r="L50" s="94">
        <v>26</v>
      </c>
      <c r="M50" s="67" t="s">
        <v>253</v>
      </c>
      <c r="N50" s="62">
        <v>37.93</v>
      </c>
      <c r="O50" s="94">
        <v>12</v>
      </c>
      <c r="P50" s="17" t="s">
        <v>713</v>
      </c>
      <c r="Q50" s="21">
        <v>44</v>
      </c>
      <c r="R50" s="48">
        <v>5</v>
      </c>
      <c r="S50" s="67" t="s">
        <v>234</v>
      </c>
      <c r="T50" s="62">
        <v>43.33</v>
      </c>
      <c r="U50" s="94">
        <v>12</v>
      </c>
      <c r="V50" s="67" t="s">
        <v>509</v>
      </c>
      <c r="W50" s="62" t="s">
        <v>509</v>
      </c>
      <c r="X50" s="94" t="s">
        <v>509</v>
      </c>
      <c r="Y50" s="67" t="s">
        <v>509</v>
      </c>
      <c r="Z50" s="62" t="s">
        <v>509</v>
      </c>
      <c r="AA50" s="94" t="s">
        <v>509</v>
      </c>
    </row>
    <row r="51" spans="1:27" s="149" customFormat="1" x14ac:dyDescent="0.25">
      <c r="A51" s="67" t="s">
        <v>716</v>
      </c>
      <c r="B51" s="62">
        <v>0.32</v>
      </c>
      <c r="C51" s="94">
        <v>35</v>
      </c>
      <c r="D51" s="193" t="s">
        <v>750</v>
      </c>
      <c r="E51" s="165">
        <v>5.7525639015995597E-2</v>
      </c>
      <c r="F51" s="94">
        <v>18</v>
      </c>
      <c r="G51" s="193" t="s">
        <v>243</v>
      </c>
      <c r="H51" s="165">
        <v>5.0348428311493991E-2</v>
      </c>
      <c r="I51" s="94">
        <v>24</v>
      </c>
      <c r="J51" s="193" t="s">
        <v>94</v>
      </c>
      <c r="K51" s="165">
        <v>9.1633492067712125E-2</v>
      </c>
      <c r="L51" s="94">
        <v>26</v>
      </c>
      <c r="M51" s="67" t="s">
        <v>662</v>
      </c>
      <c r="N51" s="62">
        <v>37.93</v>
      </c>
      <c r="O51" s="94">
        <v>12</v>
      </c>
      <c r="P51" s="67" t="s">
        <v>100</v>
      </c>
      <c r="Q51" s="62">
        <v>40</v>
      </c>
      <c r="R51" s="94">
        <v>6</v>
      </c>
      <c r="S51" s="67" t="s">
        <v>11</v>
      </c>
      <c r="T51" s="62">
        <v>43.33</v>
      </c>
      <c r="U51" s="94">
        <v>12</v>
      </c>
      <c r="V51" s="67" t="s">
        <v>509</v>
      </c>
      <c r="W51" s="62" t="s">
        <v>509</v>
      </c>
      <c r="X51" s="94" t="s">
        <v>509</v>
      </c>
      <c r="Y51" s="67" t="s">
        <v>509</v>
      </c>
      <c r="Z51" s="62" t="s">
        <v>509</v>
      </c>
      <c r="AA51" s="94" t="s">
        <v>509</v>
      </c>
    </row>
    <row r="52" spans="1:27" s="149" customFormat="1" x14ac:dyDescent="0.25">
      <c r="A52" s="67" t="s">
        <v>196</v>
      </c>
      <c r="B52" s="62">
        <v>0.31</v>
      </c>
      <c r="C52" s="94">
        <v>36</v>
      </c>
      <c r="D52" s="193" t="s">
        <v>662</v>
      </c>
      <c r="E52" s="165">
        <v>5.5255708438375462E-2</v>
      </c>
      <c r="F52" s="94">
        <v>18</v>
      </c>
      <c r="G52" s="193" t="s">
        <v>744</v>
      </c>
      <c r="H52" s="165">
        <v>5.0188969802873878E-2</v>
      </c>
      <c r="I52" s="94">
        <v>24</v>
      </c>
      <c r="J52" s="193" t="s">
        <v>247</v>
      </c>
      <c r="K52" s="165">
        <v>8.8740115514666998E-2</v>
      </c>
      <c r="L52" s="94">
        <v>26</v>
      </c>
      <c r="M52" s="67" t="s">
        <v>743</v>
      </c>
      <c r="N52" s="62">
        <v>36.78</v>
      </c>
      <c r="O52" s="94">
        <v>13</v>
      </c>
      <c r="P52" s="67" t="s">
        <v>722</v>
      </c>
      <c r="Q52" s="62">
        <v>40</v>
      </c>
      <c r="R52" s="94">
        <v>6</v>
      </c>
      <c r="S52" s="67" t="s">
        <v>236</v>
      </c>
      <c r="T52" s="62">
        <v>43.33</v>
      </c>
      <c r="U52" s="94">
        <v>12</v>
      </c>
      <c r="V52" s="67" t="s">
        <v>509</v>
      </c>
      <c r="W52" s="62" t="s">
        <v>509</v>
      </c>
      <c r="X52" s="94" t="s">
        <v>509</v>
      </c>
      <c r="Y52" s="67" t="s">
        <v>509</v>
      </c>
      <c r="Z52" s="62" t="s">
        <v>509</v>
      </c>
      <c r="AA52" s="94" t="s">
        <v>509</v>
      </c>
    </row>
    <row r="53" spans="1:27" s="149" customFormat="1" x14ac:dyDescent="0.25">
      <c r="A53" s="67" t="s">
        <v>203</v>
      </c>
      <c r="B53" s="62">
        <v>0.31</v>
      </c>
      <c r="C53" s="94">
        <v>36</v>
      </c>
      <c r="D53" s="193" t="s">
        <v>355</v>
      </c>
      <c r="E53" s="165">
        <v>5.2028157106948171E-2</v>
      </c>
      <c r="F53" s="94">
        <v>19</v>
      </c>
      <c r="G53" s="193" t="s">
        <v>726</v>
      </c>
      <c r="H53" s="165">
        <v>5.0149808746365883E-2</v>
      </c>
      <c r="I53" s="94">
        <v>24</v>
      </c>
      <c r="J53" s="193" t="s">
        <v>256</v>
      </c>
      <c r="K53" s="165">
        <v>8.7421251831991523E-2</v>
      </c>
      <c r="L53" s="94">
        <v>26</v>
      </c>
      <c r="M53" s="67" t="s">
        <v>181</v>
      </c>
      <c r="N53" s="62">
        <v>36.78</v>
      </c>
      <c r="O53" s="94">
        <v>13</v>
      </c>
      <c r="P53" s="67" t="s">
        <v>258</v>
      </c>
      <c r="Q53" s="62">
        <v>40</v>
      </c>
      <c r="R53" s="94">
        <v>6</v>
      </c>
      <c r="S53" s="67" t="s">
        <v>238</v>
      </c>
      <c r="T53" s="62">
        <v>43.33</v>
      </c>
      <c r="U53" s="94">
        <v>12</v>
      </c>
      <c r="V53" s="67" t="s">
        <v>509</v>
      </c>
      <c r="W53" s="62" t="s">
        <v>509</v>
      </c>
      <c r="X53" s="94" t="s">
        <v>509</v>
      </c>
      <c r="Y53" s="67" t="s">
        <v>509</v>
      </c>
      <c r="Z53" s="62" t="s">
        <v>509</v>
      </c>
      <c r="AA53" s="94" t="s">
        <v>509</v>
      </c>
    </row>
    <row r="54" spans="1:27" s="149" customFormat="1" x14ac:dyDescent="0.25">
      <c r="A54" s="67" t="s">
        <v>216</v>
      </c>
      <c r="B54" s="62">
        <v>0.31</v>
      </c>
      <c r="C54" s="94">
        <v>36</v>
      </c>
      <c r="D54" s="193" t="s">
        <v>725</v>
      </c>
      <c r="E54" s="165">
        <v>5.0501409876116739E-2</v>
      </c>
      <c r="F54" s="94">
        <v>19</v>
      </c>
      <c r="G54" s="193" t="s">
        <v>662</v>
      </c>
      <c r="H54" s="165">
        <v>4.9945397032988309E-2</v>
      </c>
      <c r="I54" s="94">
        <v>24</v>
      </c>
      <c r="J54" s="193" t="s">
        <v>744</v>
      </c>
      <c r="K54" s="165">
        <v>8.596354200212987E-2</v>
      </c>
      <c r="L54" s="94">
        <v>26</v>
      </c>
      <c r="M54" s="67" t="s">
        <v>712</v>
      </c>
      <c r="N54" s="62">
        <v>36.78</v>
      </c>
      <c r="O54" s="94">
        <v>13</v>
      </c>
      <c r="P54" s="67" t="s">
        <v>181</v>
      </c>
      <c r="Q54" s="62">
        <v>40</v>
      </c>
      <c r="R54" s="94">
        <v>6</v>
      </c>
      <c r="S54" s="67" t="s">
        <v>1</v>
      </c>
      <c r="T54" s="62">
        <v>43.33</v>
      </c>
      <c r="U54" s="94">
        <v>12</v>
      </c>
      <c r="V54" s="67" t="s">
        <v>509</v>
      </c>
      <c r="W54" s="62" t="s">
        <v>509</v>
      </c>
      <c r="X54" s="94" t="s">
        <v>509</v>
      </c>
      <c r="Y54" s="67" t="s">
        <v>509</v>
      </c>
      <c r="Z54" s="62" t="s">
        <v>509</v>
      </c>
      <c r="AA54" s="94" t="s">
        <v>509</v>
      </c>
    </row>
    <row r="55" spans="1:27" s="149" customFormat="1" x14ac:dyDescent="0.25">
      <c r="A55" s="67" t="s">
        <v>223</v>
      </c>
      <c r="B55" s="62">
        <v>0.31</v>
      </c>
      <c r="C55" s="94">
        <v>36</v>
      </c>
      <c r="D55" s="193" t="s">
        <v>258</v>
      </c>
      <c r="E55" s="165">
        <v>4.7531721030515318E-2</v>
      </c>
      <c r="F55" s="94">
        <v>19</v>
      </c>
      <c r="G55" s="193" t="s">
        <v>733</v>
      </c>
      <c r="H55" s="165">
        <v>4.9530335148659475E-2</v>
      </c>
      <c r="I55" s="94">
        <v>24</v>
      </c>
      <c r="J55" s="193" t="s">
        <v>708</v>
      </c>
      <c r="K55" s="165">
        <v>8.5397032871756831E-2</v>
      </c>
      <c r="L55" s="94">
        <v>26</v>
      </c>
      <c r="M55" s="67" t="s">
        <v>239</v>
      </c>
      <c r="N55" s="62">
        <v>36.78</v>
      </c>
      <c r="O55" s="94">
        <v>13</v>
      </c>
      <c r="P55" s="67" t="s">
        <v>718</v>
      </c>
      <c r="Q55" s="62">
        <v>40</v>
      </c>
      <c r="R55" s="94">
        <v>6</v>
      </c>
      <c r="S55" s="67" t="s">
        <v>709</v>
      </c>
      <c r="T55" s="62">
        <v>43.33</v>
      </c>
      <c r="U55" s="94">
        <v>12</v>
      </c>
      <c r="V55" s="67" t="s">
        <v>509</v>
      </c>
      <c r="W55" s="62" t="s">
        <v>509</v>
      </c>
      <c r="X55" s="94" t="s">
        <v>509</v>
      </c>
      <c r="Y55" s="67" t="s">
        <v>509</v>
      </c>
      <c r="Z55" s="62" t="s">
        <v>509</v>
      </c>
      <c r="AA55" s="94" t="s">
        <v>509</v>
      </c>
    </row>
    <row r="56" spans="1:27" s="149" customFormat="1" x14ac:dyDescent="0.25">
      <c r="A56" s="67" t="s">
        <v>669</v>
      </c>
      <c r="B56" s="62">
        <v>0.31</v>
      </c>
      <c r="C56" s="94">
        <v>36</v>
      </c>
      <c r="D56" s="193" t="s">
        <v>744</v>
      </c>
      <c r="E56" s="165">
        <v>4.7423546783516041E-2</v>
      </c>
      <c r="F56" s="94">
        <v>19</v>
      </c>
      <c r="G56" s="193" t="s">
        <v>711</v>
      </c>
      <c r="H56" s="165">
        <v>4.8119114336348627E-2</v>
      </c>
      <c r="I56" s="94">
        <v>24</v>
      </c>
      <c r="J56" s="193" t="s">
        <v>180</v>
      </c>
      <c r="K56" s="165">
        <v>8.5020303648023446E-2</v>
      </c>
      <c r="L56" s="94">
        <v>26</v>
      </c>
      <c r="M56" s="67" t="s">
        <v>711</v>
      </c>
      <c r="N56" s="62">
        <v>36.78</v>
      </c>
      <c r="O56" s="94">
        <v>13</v>
      </c>
      <c r="P56" s="67" t="s">
        <v>86</v>
      </c>
      <c r="Q56" s="62">
        <v>40</v>
      </c>
      <c r="R56" s="94">
        <v>6</v>
      </c>
      <c r="S56" s="67" t="s">
        <v>97</v>
      </c>
      <c r="T56" s="62">
        <v>43.33</v>
      </c>
      <c r="U56" s="94">
        <v>12</v>
      </c>
      <c r="V56" s="67" t="s">
        <v>509</v>
      </c>
      <c r="W56" s="62" t="s">
        <v>509</v>
      </c>
      <c r="X56" s="94" t="s">
        <v>509</v>
      </c>
      <c r="Y56" s="67" t="s">
        <v>509</v>
      </c>
      <c r="Z56" s="62" t="s">
        <v>509</v>
      </c>
      <c r="AA56" s="94" t="s">
        <v>509</v>
      </c>
    </row>
    <row r="57" spans="1:27" s="149" customFormat="1" x14ac:dyDescent="0.25">
      <c r="A57" s="67" t="s">
        <v>180</v>
      </c>
      <c r="B57" s="62">
        <v>0.3</v>
      </c>
      <c r="C57" s="94">
        <v>37</v>
      </c>
      <c r="D57" s="193" t="s">
        <v>743</v>
      </c>
      <c r="E57" s="165">
        <v>4.7308362728510488E-2</v>
      </c>
      <c r="F57" s="94">
        <v>19</v>
      </c>
      <c r="G57" s="193" t="s">
        <v>739</v>
      </c>
      <c r="H57" s="165">
        <v>4.7268925940548358E-2</v>
      </c>
      <c r="I57" s="94">
        <v>24</v>
      </c>
      <c r="J57" s="193" t="s">
        <v>736</v>
      </c>
      <c r="K57" s="165">
        <v>8.403064095176313E-2</v>
      </c>
      <c r="L57" s="94">
        <v>27</v>
      </c>
      <c r="M57" s="67" t="s">
        <v>180</v>
      </c>
      <c r="N57" s="62">
        <v>36.78</v>
      </c>
      <c r="O57" s="94">
        <v>13</v>
      </c>
      <c r="P57" s="67" t="s">
        <v>741</v>
      </c>
      <c r="Q57" s="62">
        <v>40</v>
      </c>
      <c r="R57" s="94">
        <v>6</v>
      </c>
      <c r="S57" s="67" t="s">
        <v>722</v>
      </c>
      <c r="T57" s="62">
        <v>43.33</v>
      </c>
      <c r="U57" s="94">
        <v>12</v>
      </c>
      <c r="V57" s="67" t="s">
        <v>509</v>
      </c>
      <c r="W57" s="62" t="s">
        <v>509</v>
      </c>
      <c r="X57" s="94" t="s">
        <v>509</v>
      </c>
      <c r="Y57" s="67" t="s">
        <v>509</v>
      </c>
      <c r="Z57" s="62" t="s">
        <v>509</v>
      </c>
      <c r="AA57" s="94" t="s">
        <v>509</v>
      </c>
    </row>
    <row r="58" spans="1:27" s="149" customFormat="1" x14ac:dyDescent="0.25">
      <c r="A58" s="67" t="s">
        <v>738</v>
      </c>
      <c r="B58" s="62">
        <v>0.3</v>
      </c>
      <c r="C58" s="94">
        <v>37</v>
      </c>
      <c r="D58" s="193" t="s">
        <v>707</v>
      </c>
      <c r="E58" s="165">
        <v>4.7254673799522945E-2</v>
      </c>
      <c r="F58" s="94">
        <v>19</v>
      </c>
      <c r="G58" s="193" t="s">
        <v>745</v>
      </c>
      <c r="H58" s="165">
        <v>4.7163884890208382E-2</v>
      </c>
      <c r="I58" s="94">
        <v>24</v>
      </c>
      <c r="J58" s="193" t="s">
        <v>95</v>
      </c>
      <c r="K58" s="165">
        <v>8.2344320697319409E-2</v>
      </c>
      <c r="L58" s="94">
        <v>27</v>
      </c>
      <c r="M58" s="67" t="s">
        <v>243</v>
      </c>
      <c r="N58" s="62">
        <v>36.78</v>
      </c>
      <c r="O58" s="94">
        <v>13</v>
      </c>
      <c r="P58" s="67" t="s">
        <v>749</v>
      </c>
      <c r="Q58" s="62">
        <v>40</v>
      </c>
      <c r="R58" s="94">
        <v>6</v>
      </c>
      <c r="S58" s="67" t="s">
        <v>102</v>
      </c>
      <c r="T58" s="62">
        <v>43.33</v>
      </c>
      <c r="U58" s="94">
        <v>12</v>
      </c>
      <c r="V58" s="67" t="s">
        <v>509</v>
      </c>
      <c r="W58" s="62" t="s">
        <v>509</v>
      </c>
      <c r="X58" s="94" t="s">
        <v>509</v>
      </c>
      <c r="Y58" s="67" t="s">
        <v>509</v>
      </c>
      <c r="Z58" s="62" t="s">
        <v>509</v>
      </c>
      <c r="AA58" s="94" t="s">
        <v>509</v>
      </c>
    </row>
    <row r="59" spans="1:27" s="149" customFormat="1" x14ac:dyDescent="0.25">
      <c r="A59" s="67" t="s">
        <v>720</v>
      </c>
      <c r="B59" s="62">
        <v>0.3</v>
      </c>
      <c r="C59" s="94">
        <v>37</v>
      </c>
      <c r="D59" s="193" t="s">
        <v>711</v>
      </c>
      <c r="E59" s="165">
        <v>4.3560691078514673E-2</v>
      </c>
      <c r="F59" s="94">
        <v>20</v>
      </c>
      <c r="G59" s="193" t="s">
        <v>725</v>
      </c>
      <c r="H59" s="165">
        <v>4.6931203999824207E-2</v>
      </c>
      <c r="I59" s="94">
        <v>24</v>
      </c>
      <c r="J59" s="193" t="s">
        <v>722</v>
      </c>
      <c r="K59" s="165">
        <v>8.1303912520841529E-2</v>
      </c>
      <c r="L59" s="94">
        <v>27</v>
      </c>
      <c r="M59" s="67" t="s">
        <v>741</v>
      </c>
      <c r="N59" s="62">
        <v>36.78</v>
      </c>
      <c r="O59" s="94">
        <v>13</v>
      </c>
      <c r="P59" s="67" t="s">
        <v>748</v>
      </c>
      <c r="Q59" s="62">
        <v>40</v>
      </c>
      <c r="R59" s="94">
        <v>6</v>
      </c>
      <c r="S59" s="67" t="s">
        <v>711</v>
      </c>
      <c r="T59" s="62">
        <v>43.33</v>
      </c>
      <c r="U59" s="94">
        <v>12</v>
      </c>
      <c r="V59" s="67" t="s">
        <v>509</v>
      </c>
      <c r="W59" s="62" t="s">
        <v>509</v>
      </c>
      <c r="X59" s="94" t="s">
        <v>509</v>
      </c>
      <c r="Y59" s="67" t="s">
        <v>509</v>
      </c>
      <c r="Z59" s="62" t="s">
        <v>509</v>
      </c>
      <c r="AA59" s="94" t="s">
        <v>509</v>
      </c>
    </row>
    <row r="60" spans="1:27" s="149" customFormat="1" x14ac:dyDescent="0.25">
      <c r="A60" s="67" t="s">
        <v>737</v>
      </c>
      <c r="B60" s="62">
        <v>0.3</v>
      </c>
      <c r="C60" s="94">
        <v>37</v>
      </c>
      <c r="D60" s="193" t="s">
        <v>97</v>
      </c>
      <c r="E60" s="165">
        <v>3.9686443411013482E-2</v>
      </c>
      <c r="F60" s="94">
        <v>20</v>
      </c>
      <c r="G60" s="193" t="s">
        <v>251</v>
      </c>
      <c r="H60" s="165">
        <v>4.6186480972764732E-2</v>
      </c>
      <c r="I60" s="94">
        <v>24</v>
      </c>
      <c r="J60" s="193" t="s">
        <v>740</v>
      </c>
      <c r="K60" s="165">
        <v>7.9939473961753812E-2</v>
      </c>
      <c r="L60" s="94">
        <v>27</v>
      </c>
      <c r="M60" s="67" t="s">
        <v>748</v>
      </c>
      <c r="N60" s="62">
        <v>36.78</v>
      </c>
      <c r="O60" s="94">
        <v>13</v>
      </c>
      <c r="P60" s="67" t="s">
        <v>83</v>
      </c>
      <c r="Q60" s="62">
        <v>40</v>
      </c>
      <c r="R60" s="94">
        <v>6</v>
      </c>
      <c r="S60" s="67" t="s">
        <v>720</v>
      </c>
      <c r="T60" s="62">
        <v>43.33</v>
      </c>
      <c r="U60" s="94">
        <v>12</v>
      </c>
      <c r="V60" s="67" t="s">
        <v>509</v>
      </c>
      <c r="W60" s="62" t="s">
        <v>509</v>
      </c>
      <c r="X60" s="94" t="s">
        <v>509</v>
      </c>
      <c r="Y60" s="67" t="s">
        <v>509</v>
      </c>
      <c r="Z60" s="62" t="s">
        <v>509</v>
      </c>
      <c r="AA60" s="94" t="s">
        <v>509</v>
      </c>
    </row>
    <row r="61" spans="1:27" s="149" customFormat="1" x14ac:dyDescent="0.25">
      <c r="A61" s="67" t="s">
        <v>206</v>
      </c>
      <c r="B61" s="62">
        <v>0.28000000000000003</v>
      </c>
      <c r="C61" s="94">
        <v>38</v>
      </c>
      <c r="D61" s="193" t="s">
        <v>708</v>
      </c>
      <c r="E61" s="165">
        <v>3.968078739736184E-2</v>
      </c>
      <c r="F61" s="94">
        <v>20</v>
      </c>
      <c r="G61" s="193" t="s">
        <v>727</v>
      </c>
      <c r="H61" s="165">
        <v>4.5801991787923067E-2</v>
      </c>
      <c r="I61" s="94">
        <v>24</v>
      </c>
      <c r="J61" s="193" t="s">
        <v>707</v>
      </c>
      <c r="K61" s="165">
        <v>7.8309574329942469E-2</v>
      </c>
      <c r="L61" s="94">
        <v>27</v>
      </c>
      <c r="M61" s="67" t="s">
        <v>184</v>
      </c>
      <c r="N61" s="62">
        <v>36.78</v>
      </c>
      <c r="O61" s="94">
        <v>13</v>
      </c>
      <c r="P61" s="67" t="s">
        <v>222</v>
      </c>
      <c r="Q61" s="62">
        <v>40</v>
      </c>
      <c r="R61" s="94">
        <v>6</v>
      </c>
      <c r="S61" s="67" t="s">
        <v>734</v>
      </c>
      <c r="T61" s="62">
        <v>43.33</v>
      </c>
      <c r="U61" s="94">
        <v>12</v>
      </c>
      <c r="V61" s="67" t="s">
        <v>509</v>
      </c>
      <c r="W61" s="62" t="s">
        <v>509</v>
      </c>
      <c r="X61" s="94" t="s">
        <v>509</v>
      </c>
      <c r="Y61" s="67" t="s">
        <v>509</v>
      </c>
      <c r="Z61" s="62" t="s">
        <v>509</v>
      </c>
      <c r="AA61" s="94" t="s">
        <v>509</v>
      </c>
    </row>
    <row r="62" spans="1:27" s="149" customFormat="1" x14ac:dyDescent="0.25">
      <c r="A62" s="67" t="s">
        <v>243</v>
      </c>
      <c r="B62" s="62">
        <v>0.28000000000000003</v>
      </c>
      <c r="C62" s="94">
        <v>38</v>
      </c>
      <c r="D62" s="193" t="s">
        <v>256</v>
      </c>
      <c r="E62" s="165">
        <v>3.6731932286029778E-2</v>
      </c>
      <c r="F62" s="94">
        <v>20</v>
      </c>
      <c r="G62" s="193" t="s">
        <v>247</v>
      </c>
      <c r="H62" s="165">
        <v>4.5490379431696822E-2</v>
      </c>
      <c r="I62" s="94">
        <v>24</v>
      </c>
      <c r="J62" s="167" t="s">
        <v>101</v>
      </c>
      <c r="K62" s="165">
        <v>7.6932285514374352E-2</v>
      </c>
      <c r="L62" s="94">
        <v>27</v>
      </c>
      <c r="M62" s="67" t="s">
        <v>234</v>
      </c>
      <c r="N62" s="62">
        <v>35.630000000000003</v>
      </c>
      <c r="O62" s="94">
        <v>14</v>
      </c>
      <c r="P62" s="67" t="s">
        <v>742</v>
      </c>
      <c r="Q62" s="62">
        <v>40</v>
      </c>
      <c r="R62" s="94">
        <v>6</v>
      </c>
      <c r="S62" s="67" t="s">
        <v>712</v>
      </c>
      <c r="T62" s="62">
        <v>40.630000000000003</v>
      </c>
      <c r="U62" s="94">
        <v>13</v>
      </c>
      <c r="V62" s="67" t="s">
        <v>509</v>
      </c>
      <c r="W62" s="62" t="s">
        <v>509</v>
      </c>
      <c r="X62" s="94" t="s">
        <v>509</v>
      </c>
      <c r="Y62" s="67" t="s">
        <v>509</v>
      </c>
      <c r="Z62" s="62" t="s">
        <v>509</v>
      </c>
      <c r="AA62" s="94" t="s">
        <v>509</v>
      </c>
    </row>
    <row r="63" spans="1:27" s="149" customFormat="1" x14ac:dyDescent="0.25">
      <c r="A63" s="67" t="s">
        <v>708</v>
      </c>
      <c r="B63" s="62">
        <v>0.28000000000000003</v>
      </c>
      <c r="C63" s="94">
        <v>38</v>
      </c>
      <c r="D63" s="193" t="s">
        <v>722</v>
      </c>
      <c r="E63" s="165">
        <v>3.2075533412179336E-2</v>
      </c>
      <c r="F63" s="94">
        <v>21</v>
      </c>
      <c r="G63" s="193" t="s">
        <v>746</v>
      </c>
      <c r="H63" s="165">
        <v>4.4328819376946688E-2</v>
      </c>
      <c r="I63" s="94">
        <v>25</v>
      </c>
      <c r="J63" s="167" t="s">
        <v>99</v>
      </c>
      <c r="K63" s="165">
        <v>7.541939653768219E-2</v>
      </c>
      <c r="L63" s="94">
        <v>27</v>
      </c>
      <c r="M63" s="67" t="s">
        <v>100</v>
      </c>
      <c r="N63" s="62">
        <v>35.630000000000003</v>
      </c>
      <c r="O63" s="94">
        <v>14</v>
      </c>
      <c r="P63" s="67" t="s">
        <v>253</v>
      </c>
      <c r="Q63" s="62">
        <v>40</v>
      </c>
      <c r="R63" s="94">
        <v>6</v>
      </c>
      <c r="S63" s="67" t="s">
        <v>710</v>
      </c>
      <c r="T63" s="62">
        <v>40.630000000000003</v>
      </c>
      <c r="U63" s="94">
        <v>13</v>
      </c>
      <c r="V63" s="67" t="s">
        <v>509</v>
      </c>
      <c r="W63" s="62" t="s">
        <v>509</v>
      </c>
      <c r="X63" s="94" t="s">
        <v>509</v>
      </c>
      <c r="Y63" s="67" t="s">
        <v>509</v>
      </c>
      <c r="Z63" s="62" t="s">
        <v>509</v>
      </c>
      <c r="AA63" s="94" t="s">
        <v>509</v>
      </c>
    </row>
    <row r="64" spans="1:27" s="149" customFormat="1" x14ac:dyDescent="0.25">
      <c r="A64" s="67" t="s">
        <v>707</v>
      </c>
      <c r="B64" s="62">
        <v>0.27</v>
      </c>
      <c r="C64" s="94">
        <v>39</v>
      </c>
      <c r="D64" s="193" t="s">
        <v>741</v>
      </c>
      <c r="E64" s="165">
        <v>3.1375190546350538E-2</v>
      </c>
      <c r="F64" s="94">
        <v>21</v>
      </c>
      <c r="G64" s="193" t="s">
        <v>747</v>
      </c>
      <c r="H64" s="165">
        <v>4.3767776383744905E-2</v>
      </c>
      <c r="I64" s="94">
        <v>25</v>
      </c>
      <c r="J64" s="193" t="s">
        <v>749</v>
      </c>
      <c r="K64" s="165">
        <v>6.8364209645673413E-2</v>
      </c>
      <c r="L64" s="94">
        <v>28</v>
      </c>
      <c r="M64" s="67" t="s">
        <v>719</v>
      </c>
      <c r="N64" s="62">
        <v>35.630000000000003</v>
      </c>
      <c r="O64" s="94">
        <v>14</v>
      </c>
      <c r="P64" s="67" t="s">
        <v>734</v>
      </c>
      <c r="Q64" s="62">
        <v>40</v>
      </c>
      <c r="R64" s="94">
        <v>6</v>
      </c>
      <c r="S64" s="67" t="s">
        <v>745</v>
      </c>
      <c r="T64" s="62">
        <v>40.630000000000003</v>
      </c>
      <c r="U64" s="94">
        <v>13</v>
      </c>
      <c r="V64" s="67" t="s">
        <v>509</v>
      </c>
      <c r="W64" s="62" t="s">
        <v>509</v>
      </c>
      <c r="X64" s="94" t="s">
        <v>509</v>
      </c>
      <c r="Y64" s="67" t="s">
        <v>509</v>
      </c>
      <c r="Z64" s="62" t="s">
        <v>509</v>
      </c>
      <c r="AA64" s="94" t="s">
        <v>509</v>
      </c>
    </row>
    <row r="65" spans="1:27" s="149" customFormat="1" x14ac:dyDescent="0.25">
      <c r="A65" s="67" t="s">
        <v>741</v>
      </c>
      <c r="B65" s="62">
        <v>0.27</v>
      </c>
      <c r="C65" s="94">
        <v>39</v>
      </c>
      <c r="D65" s="193" t="s">
        <v>749</v>
      </c>
      <c r="E65" s="165">
        <v>2.9062689883066532E-2</v>
      </c>
      <c r="F65" s="94">
        <v>21</v>
      </c>
      <c r="G65" s="193" t="s">
        <v>102</v>
      </c>
      <c r="H65" s="165">
        <v>4.2587875598372266E-2</v>
      </c>
      <c r="I65" s="94">
        <v>25</v>
      </c>
      <c r="J65" s="193" t="s">
        <v>730</v>
      </c>
      <c r="K65" s="165">
        <v>6.5483367666134801E-2</v>
      </c>
      <c r="L65" s="94">
        <v>28</v>
      </c>
      <c r="M65" s="67" t="s">
        <v>725</v>
      </c>
      <c r="N65" s="62">
        <v>35.630000000000003</v>
      </c>
      <c r="O65" s="94">
        <v>14</v>
      </c>
      <c r="P65" s="67" t="s">
        <v>101</v>
      </c>
      <c r="Q65" s="62">
        <v>36</v>
      </c>
      <c r="R65" s="94">
        <v>7</v>
      </c>
      <c r="S65" s="67" t="s">
        <v>744</v>
      </c>
      <c r="T65" s="62">
        <v>40.630000000000003</v>
      </c>
      <c r="U65" s="94">
        <v>13</v>
      </c>
      <c r="V65" s="67" t="s">
        <v>509</v>
      </c>
      <c r="W65" s="62" t="s">
        <v>509</v>
      </c>
      <c r="X65" s="94" t="s">
        <v>509</v>
      </c>
      <c r="Y65" s="67" t="s">
        <v>509</v>
      </c>
      <c r="Z65" s="62" t="s">
        <v>509</v>
      </c>
      <c r="AA65" s="94" t="s">
        <v>509</v>
      </c>
    </row>
    <row r="66" spans="1:27" s="149" customFormat="1" x14ac:dyDescent="0.25">
      <c r="A66" s="67" t="s">
        <v>749</v>
      </c>
      <c r="B66" s="62">
        <v>0.27</v>
      </c>
      <c r="C66" s="94">
        <v>39</v>
      </c>
      <c r="D66" s="193" t="s">
        <v>747</v>
      </c>
      <c r="E66" s="165">
        <v>2.7726977874340437E-2</v>
      </c>
      <c r="F66" s="94">
        <v>21</v>
      </c>
      <c r="G66" s="193" t="s">
        <v>750</v>
      </c>
      <c r="H66" s="165">
        <v>3.9606394852880505E-2</v>
      </c>
      <c r="I66" s="94">
        <v>25</v>
      </c>
      <c r="J66" s="193" t="s">
        <v>97</v>
      </c>
      <c r="K66" s="165">
        <v>6.487108785136779E-2</v>
      </c>
      <c r="L66" s="94">
        <v>29</v>
      </c>
      <c r="M66" s="67" t="s">
        <v>203</v>
      </c>
      <c r="N66" s="62">
        <v>35.630000000000003</v>
      </c>
      <c r="O66" s="94">
        <v>14</v>
      </c>
      <c r="P66" s="67" t="s">
        <v>731</v>
      </c>
      <c r="Q66" s="62">
        <v>36</v>
      </c>
      <c r="R66" s="94">
        <v>7</v>
      </c>
      <c r="S66" s="67" t="s">
        <v>101</v>
      </c>
      <c r="T66" s="62">
        <v>40</v>
      </c>
      <c r="U66" s="94">
        <v>14</v>
      </c>
      <c r="V66" s="67" t="s">
        <v>509</v>
      </c>
      <c r="W66" s="62" t="s">
        <v>509</v>
      </c>
      <c r="X66" s="94" t="s">
        <v>509</v>
      </c>
      <c r="Y66" s="67" t="s">
        <v>509</v>
      </c>
      <c r="Z66" s="62" t="s">
        <v>509</v>
      </c>
      <c r="AA66" s="94" t="s">
        <v>509</v>
      </c>
    </row>
    <row r="67" spans="1:27" s="149" customFormat="1" x14ac:dyDescent="0.25">
      <c r="A67" s="67" t="s">
        <v>735</v>
      </c>
      <c r="B67" s="62">
        <v>0.27</v>
      </c>
      <c r="C67" s="94">
        <v>39</v>
      </c>
      <c r="D67" s="193" t="s">
        <v>713</v>
      </c>
      <c r="E67" s="165">
        <v>2.7014422142398568E-2</v>
      </c>
      <c r="F67" s="94">
        <v>21</v>
      </c>
      <c r="G67" s="193" t="s">
        <v>712</v>
      </c>
      <c r="H67" s="165">
        <v>3.9110863528110655E-2</v>
      </c>
      <c r="I67" s="94">
        <v>25</v>
      </c>
      <c r="J67" s="193" t="s">
        <v>721</v>
      </c>
      <c r="K67" s="165">
        <v>6.3323636609305817E-2</v>
      </c>
      <c r="L67" s="94">
        <v>29</v>
      </c>
      <c r="M67" s="67" t="s">
        <v>749</v>
      </c>
      <c r="N67" s="62">
        <v>35.630000000000003</v>
      </c>
      <c r="O67" s="94">
        <v>14</v>
      </c>
      <c r="P67" s="67" t="s">
        <v>721</v>
      </c>
      <c r="Q67" s="62">
        <v>36</v>
      </c>
      <c r="R67" s="94">
        <v>7</v>
      </c>
      <c r="S67" s="67" t="s">
        <v>99</v>
      </c>
      <c r="T67" s="62">
        <v>40</v>
      </c>
      <c r="U67" s="94">
        <v>14</v>
      </c>
      <c r="V67" s="67" t="s">
        <v>509</v>
      </c>
      <c r="W67" s="62" t="s">
        <v>509</v>
      </c>
      <c r="X67" s="94" t="s">
        <v>509</v>
      </c>
      <c r="Y67" s="67" t="s">
        <v>509</v>
      </c>
      <c r="Z67" s="62" t="s">
        <v>509</v>
      </c>
      <c r="AA67" s="94" t="s">
        <v>509</v>
      </c>
    </row>
    <row r="68" spans="1:27" s="149" customFormat="1" x14ac:dyDescent="0.25">
      <c r="A68" s="67" t="s">
        <v>750</v>
      </c>
      <c r="B68" s="62">
        <v>0.27</v>
      </c>
      <c r="C68" s="94">
        <v>39</v>
      </c>
      <c r="D68" s="193" t="s">
        <v>720</v>
      </c>
      <c r="E68" s="165">
        <v>2.5347011085218252E-2</v>
      </c>
      <c r="F68" s="94">
        <v>21</v>
      </c>
      <c r="G68" s="193" t="s">
        <v>713</v>
      </c>
      <c r="H68" s="165">
        <v>3.6735917326293811E-2</v>
      </c>
      <c r="I68" s="94">
        <v>25</v>
      </c>
      <c r="J68" s="193" t="s">
        <v>714</v>
      </c>
      <c r="K68" s="165">
        <v>6.3140409755793298E-2</v>
      </c>
      <c r="L68" s="94">
        <v>29</v>
      </c>
      <c r="M68" s="67" t="s">
        <v>707</v>
      </c>
      <c r="N68" s="62">
        <v>35.630000000000003</v>
      </c>
      <c r="O68" s="94">
        <v>14</v>
      </c>
      <c r="P68" s="67" t="s">
        <v>738</v>
      </c>
      <c r="Q68" s="62">
        <v>36</v>
      </c>
      <c r="R68" s="94">
        <v>7</v>
      </c>
      <c r="S68" s="67" t="s">
        <v>235</v>
      </c>
      <c r="T68" s="62">
        <v>40</v>
      </c>
      <c r="U68" s="94">
        <v>14</v>
      </c>
      <c r="V68" s="67" t="s">
        <v>509</v>
      </c>
      <c r="W68" s="62" t="s">
        <v>509</v>
      </c>
      <c r="X68" s="94" t="s">
        <v>509</v>
      </c>
      <c r="Y68" s="67" t="s">
        <v>509</v>
      </c>
      <c r="Z68" s="62" t="s">
        <v>509</v>
      </c>
      <c r="AA68" s="94" t="s">
        <v>509</v>
      </c>
    </row>
    <row r="69" spans="1:27" s="149" customFormat="1" x14ac:dyDescent="0.25">
      <c r="A69" s="67" t="s">
        <v>191</v>
      </c>
      <c r="B69" s="62">
        <v>0.26</v>
      </c>
      <c r="C69" s="94">
        <v>40</v>
      </c>
      <c r="D69" s="193" t="s">
        <v>102</v>
      </c>
      <c r="E69" s="165">
        <v>2.3975900272086854E-2</v>
      </c>
      <c r="F69" s="94">
        <v>22</v>
      </c>
      <c r="G69" s="193" t="s">
        <v>749</v>
      </c>
      <c r="H69" s="165">
        <v>3.1905746232098638E-2</v>
      </c>
      <c r="I69" s="94">
        <v>26</v>
      </c>
      <c r="J69" s="193" t="s">
        <v>741</v>
      </c>
      <c r="K69" s="165">
        <v>6.0105690646442105E-2</v>
      </c>
      <c r="L69" s="94">
        <v>29</v>
      </c>
      <c r="M69" s="67" t="s">
        <v>355</v>
      </c>
      <c r="N69" s="62">
        <v>35.630000000000003</v>
      </c>
      <c r="O69" s="94">
        <v>14</v>
      </c>
      <c r="P69" s="67" t="s">
        <v>735</v>
      </c>
      <c r="Q69" s="62">
        <v>36</v>
      </c>
      <c r="R69" s="94">
        <v>7</v>
      </c>
      <c r="S69" s="67" t="s">
        <v>732</v>
      </c>
      <c r="T69" s="62">
        <v>40</v>
      </c>
      <c r="U69" s="94">
        <v>14</v>
      </c>
      <c r="V69" s="67" t="s">
        <v>509</v>
      </c>
      <c r="W69" s="62" t="s">
        <v>509</v>
      </c>
      <c r="X69" s="94" t="s">
        <v>509</v>
      </c>
      <c r="Y69" s="67" t="s">
        <v>509</v>
      </c>
      <c r="Z69" s="62" t="s">
        <v>509</v>
      </c>
      <c r="AA69" s="94" t="s">
        <v>509</v>
      </c>
    </row>
    <row r="70" spans="1:27" s="149" customFormat="1" x14ac:dyDescent="0.25">
      <c r="A70" s="67" t="s">
        <v>748</v>
      </c>
      <c r="B70" s="62">
        <v>0.26</v>
      </c>
      <c r="C70" s="94">
        <v>40</v>
      </c>
      <c r="D70" s="193" t="s">
        <v>730</v>
      </c>
      <c r="E70" s="165">
        <v>2.3794380911504296E-2</v>
      </c>
      <c r="F70" s="94">
        <v>22</v>
      </c>
      <c r="G70" s="193" t="s">
        <v>719</v>
      </c>
      <c r="H70" s="165">
        <v>2.335404554868686E-2</v>
      </c>
      <c r="I70" s="94">
        <v>27</v>
      </c>
      <c r="J70" s="193" t="s">
        <v>728</v>
      </c>
      <c r="K70" s="165">
        <v>5.4847376743563027E-2</v>
      </c>
      <c r="L70" s="94">
        <v>30</v>
      </c>
      <c r="M70" s="67" t="s">
        <v>740</v>
      </c>
      <c r="N70" s="62">
        <v>34.479999999999997</v>
      </c>
      <c r="O70" s="94">
        <v>15</v>
      </c>
      <c r="P70" s="67" t="s">
        <v>707</v>
      </c>
      <c r="Q70" s="62">
        <v>36</v>
      </c>
      <c r="R70" s="94">
        <v>7</v>
      </c>
      <c r="S70" s="67" t="s">
        <v>717</v>
      </c>
      <c r="T70" s="62">
        <v>40</v>
      </c>
      <c r="U70" s="94">
        <v>14</v>
      </c>
      <c r="V70" s="67" t="s">
        <v>509</v>
      </c>
      <c r="W70" s="62" t="s">
        <v>509</v>
      </c>
      <c r="X70" s="94" t="s">
        <v>509</v>
      </c>
      <c r="Y70" s="67" t="s">
        <v>509</v>
      </c>
      <c r="Z70" s="62" t="s">
        <v>509</v>
      </c>
      <c r="AA70" s="94" t="s">
        <v>509</v>
      </c>
    </row>
    <row r="71" spans="1:27" s="149" customFormat="1" x14ac:dyDescent="0.25">
      <c r="A71" s="67" t="s">
        <v>83</v>
      </c>
      <c r="B71" s="62">
        <v>0.26</v>
      </c>
      <c r="C71" s="94">
        <v>40</v>
      </c>
      <c r="D71" s="193" t="s">
        <v>746</v>
      </c>
      <c r="E71" s="165">
        <v>2.3741028933556133E-2</v>
      </c>
      <c r="F71" s="94">
        <v>22</v>
      </c>
      <c r="G71" s="193" t="s">
        <v>741</v>
      </c>
      <c r="H71" s="165">
        <v>2.1671265699293864E-2</v>
      </c>
      <c r="I71" s="94">
        <v>27</v>
      </c>
      <c r="J71" s="167" t="s">
        <v>100</v>
      </c>
      <c r="K71" s="165">
        <v>5.254708931576578E-2</v>
      </c>
      <c r="L71" s="94">
        <v>30</v>
      </c>
      <c r="M71" s="67" t="s">
        <v>718</v>
      </c>
      <c r="N71" s="62">
        <v>34.479999999999997</v>
      </c>
      <c r="O71" s="94">
        <v>15</v>
      </c>
      <c r="P71" s="67" t="s">
        <v>191</v>
      </c>
      <c r="Q71" s="62">
        <v>36</v>
      </c>
      <c r="R71" s="94">
        <v>7</v>
      </c>
      <c r="S71" s="67" t="s">
        <v>739</v>
      </c>
      <c r="T71" s="62">
        <v>40</v>
      </c>
      <c r="U71" s="94">
        <v>14</v>
      </c>
      <c r="V71" s="67" t="s">
        <v>509</v>
      </c>
      <c r="W71" s="62" t="s">
        <v>509</v>
      </c>
      <c r="X71" s="94" t="s">
        <v>509</v>
      </c>
      <c r="Y71" s="67" t="s">
        <v>509</v>
      </c>
      <c r="Z71" s="62" t="s">
        <v>509</v>
      </c>
      <c r="AA71" s="94" t="s">
        <v>509</v>
      </c>
    </row>
    <row r="72" spans="1:27" s="149" customFormat="1" x14ac:dyDescent="0.25">
      <c r="A72" s="67" t="s">
        <v>184</v>
      </c>
      <c r="B72" s="62">
        <v>0.25</v>
      </c>
      <c r="C72" s="94">
        <v>41</v>
      </c>
      <c r="D72" s="193" t="s">
        <v>745</v>
      </c>
      <c r="E72" s="165">
        <v>2.3270964932954778E-2</v>
      </c>
      <c r="F72" s="94">
        <v>22</v>
      </c>
      <c r="G72" s="193" t="s">
        <v>714</v>
      </c>
      <c r="H72" s="165">
        <v>2.1666705574394683E-2</v>
      </c>
      <c r="I72" s="94">
        <v>27</v>
      </c>
      <c r="J72" s="193" t="s">
        <v>711</v>
      </c>
      <c r="K72" s="165">
        <v>5.0956051560733358E-2</v>
      </c>
      <c r="L72" s="94">
        <v>30</v>
      </c>
      <c r="M72" s="67" t="s">
        <v>730</v>
      </c>
      <c r="N72" s="62">
        <v>34.479999999999997</v>
      </c>
      <c r="O72" s="94">
        <v>15</v>
      </c>
      <c r="P72" s="67" t="s">
        <v>728</v>
      </c>
      <c r="Q72" s="62">
        <v>36</v>
      </c>
      <c r="R72" s="94">
        <v>7</v>
      </c>
      <c r="S72" s="67" t="s">
        <v>727</v>
      </c>
      <c r="T72" s="62">
        <v>40</v>
      </c>
      <c r="U72" s="94">
        <v>14</v>
      </c>
      <c r="V72" s="67" t="s">
        <v>509</v>
      </c>
      <c r="W72" s="62" t="s">
        <v>509</v>
      </c>
      <c r="X72" s="94" t="s">
        <v>509</v>
      </c>
      <c r="Y72" s="67" t="s">
        <v>509</v>
      </c>
      <c r="Z72" s="62" t="s">
        <v>509</v>
      </c>
      <c r="AA72" s="94" t="s">
        <v>509</v>
      </c>
    </row>
    <row r="73" spans="1:27" s="149" customFormat="1" x14ac:dyDescent="0.25">
      <c r="A73" s="67" t="s">
        <v>222</v>
      </c>
      <c r="B73" s="62">
        <v>0.25</v>
      </c>
      <c r="C73" s="94">
        <v>41</v>
      </c>
      <c r="D73" s="193" t="s">
        <v>712</v>
      </c>
      <c r="E73" s="165">
        <v>2.3248116262730475E-2</v>
      </c>
      <c r="F73" s="94">
        <v>22</v>
      </c>
      <c r="G73" s="193" t="s">
        <v>710</v>
      </c>
      <c r="H73" s="165">
        <v>2.0644138409463081E-2</v>
      </c>
      <c r="I73" s="94">
        <v>27</v>
      </c>
      <c r="J73" s="193" t="s">
        <v>715</v>
      </c>
      <c r="K73" s="165">
        <v>4.8076889563163867E-2</v>
      </c>
      <c r="L73" s="94">
        <v>30</v>
      </c>
      <c r="M73" s="67" t="s">
        <v>738</v>
      </c>
      <c r="N73" s="62">
        <v>34.479999999999997</v>
      </c>
      <c r="O73" s="94">
        <v>15</v>
      </c>
      <c r="P73" s="67" t="s">
        <v>714</v>
      </c>
      <c r="Q73" s="62">
        <v>36</v>
      </c>
      <c r="R73" s="94">
        <v>7</v>
      </c>
      <c r="S73" s="67" t="s">
        <v>721</v>
      </c>
      <c r="T73" s="62">
        <v>40</v>
      </c>
      <c r="U73" s="94">
        <v>14</v>
      </c>
      <c r="V73" s="67" t="s">
        <v>509</v>
      </c>
      <c r="W73" s="62" t="s">
        <v>509</v>
      </c>
      <c r="X73" s="94" t="s">
        <v>509</v>
      </c>
      <c r="Y73" s="67" t="s">
        <v>509</v>
      </c>
      <c r="Z73" s="62" t="s">
        <v>509</v>
      </c>
      <c r="AA73" s="94" t="s">
        <v>509</v>
      </c>
    </row>
    <row r="74" spans="1:27" s="149" customFormat="1" x14ac:dyDescent="0.25">
      <c r="A74" s="67" t="s">
        <v>98</v>
      </c>
      <c r="B74" s="62">
        <v>0.25</v>
      </c>
      <c r="C74" s="94">
        <v>41</v>
      </c>
      <c r="D74" s="193" t="s">
        <v>726</v>
      </c>
      <c r="E74" s="165">
        <v>2.2296964180963368E-2</v>
      </c>
      <c r="F74" s="94">
        <v>22</v>
      </c>
      <c r="G74" s="193" t="s">
        <v>743</v>
      </c>
      <c r="H74" s="165">
        <v>1.9795968393290817E-2</v>
      </c>
      <c r="I74" s="94">
        <v>27</v>
      </c>
      <c r="J74" s="193" t="s">
        <v>745</v>
      </c>
      <c r="K74" s="165">
        <v>4.6855192017981745E-2</v>
      </c>
      <c r="L74" s="94">
        <v>30</v>
      </c>
      <c r="M74" s="67" t="s">
        <v>737</v>
      </c>
      <c r="N74" s="62">
        <v>34.479999999999997</v>
      </c>
      <c r="O74" s="94">
        <v>15</v>
      </c>
      <c r="P74" s="67" t="s">
        <v>729</v>
      </c>
      <c r="Q74" s="62">
        <v>36</v>
      </c>
      <c r="R74" s="94">
        <v>7</v>
      </c>
      <c r="S74" s="67" t="s">
        <v>749</v>
      </c>
      <c r="T74" s="62">
        <v>40</v>
      </c>
      <c r="U74" s="94">
        <v>14</v>
      </c>
      <c r="V74" s="67" t="s">
        <v>509</v>
      </c>
      <c r="W74" s="62" t="s">
        <v>509</v>
      </c>
      <c r="X74" s="94" t="s">
        <v>509</v>
      </c>
      <c r="Y74" s="67" t="s">
        <v>509</v>
      </c>
      <c r="Z74" s="62" t="s">
        <v>509</v>
      </c>
      <c r="AA74" s="94" t="s">
        <v>509</v>
      </c>
    </row>
    <row r="75" spans="1:27" s="149" customFormat="1" x14ac:dyDescent="0.25">
      <c r="A75" s="67" t="s">
        <v>723</v>
      </c>
      <c r="B75" s="62">
        <v>0.25</v>
      </c>
      <c r="C75" s="94">
        <v>41</v>
      </c>
      <c r="D75" s="193" t="s">
        <v>728</v>
      </c>
      <c r="E75" s="165">
        <v>2.140774874871362E-2</v>
      </c>
      <c r="F75" s="94">
        <v>22</v>
      </c>
      <c r="G75" s="193" t="s">
        <v>722</v>
      </c>
      <c r="H75" s="165">
        <v>1.9117844093340421E-2</v>
      </c>
      <c r="I75" s="94">
        <v>27</v>
      </c>
      <c r="J75" s="193" t="s">
        <v>738</v>
      </c>
      <c r="K75" s="165">
        <v>4.4414344121440123E-2</v>
      </c>
      <c r="L75" s="94">
        <v>31</v>
      </c>
      <c r="M75" s="67" t="s">
        <v>222</v>
      </c>
      <c r="N75" s="62">
        <v>34.479999999999997</v>
      </c>
      <c r="O75" s="94">
        <v>15</v>
      </c>
      <c r="P75" s="67" t="s">
        <v>234</v>
      </c>
      <c r="Q75" s="62">
        <v>32</v>
      </c>
      <c r="R75" s="94">
        <v>8</v>
      </c>
      <c r="S75" s="67" t="s">
        <v>746</v>
      </c>
      <c r="T75" s="62">
        <v>40</v>
      </c>
      <c r="U75" s="94">
        <v>14</v>
      </c>
      <c r="V75" s="67" t="s">
        <v>509</v>
      </c>
      <c r="W75" s="62" t="s">
        <v>509</v>
      </c>
      <c r="X75" s="94" t="s">
        <v>509</v>
      </c>
      <c r="Y75" s="67" t="s">
        <v>509</v>
      </c>
      <c r="Z75" s="62" t="s">
        <v>509</v>
      </c>
      <c r="AA75" s="94" t="s">
        <v>509</v>
      </c>
    </row>
    <row r="76" spans="1:27" s="149" customFormat="1" x14ac:dyDescent="0.25">
      <c r="A76" s="67" t="s">
        <v>746</v>
      </c>
      <c r="B76" s="62">
        <v>0.25</v>
      </c>
      <c r="C76" s="94">
        <v>41</v>
      </c>
      <c r="D76" s="193" t="s">
        <v>727</v>
      </c>
      <c r="E76" s="165">
        <v>1.945209655454044E-2</v>
      </c>
      <c r="F76" s="94">
        <v>22</v>
      </c>
      <c r="G76" s="193" t="s">
        <v>720</v>
      </c>
      <c r="H76" s="165">
        <v>1.635941884098243E-2</v>
      </c>
      <c r="I76" s="94">
        <v>27</v>
      </c>
      <c r="J76" s="193" t="s">
        <v>720</v>
      </c>
      <c r="K76" s="165">
        <v>3.8159810528667654E-2</v>
      </c>
      <c r="L76" s="94">
        <v>31</v>
      </c>
      <c r="M76" s="67" t="s">
        <v>251</v>
      </c>
      <c r="N76" s="62">
        <v>34.479999999999997</v>
      </c>
      <c r="O76" s="94">
        <v>15</v>
      </c>
      <c r="P76" s="67" t="s">
        <v>1</v>
      </c>
      <c r="Q76" s="62">
        <v>32</v>
      </c>
      <c r="R76" s="94">
        <v>8</v>
      </c>
      <c r="S76" s="67" t="s">
        <v>723</v>
      </c>
      <c r="T76" s="62">
        <v>40</v>
      </c>
      <c r="U76" s="94">
        <v>14</v>
      </c>
      <c r="V76" s="67" t="s">
        <v>509</v>
      </c>
      <c r="W76" s="62" t="s">
        <v>509</v>
      </c>
      <c r="X76" s="94" t="s">
        <v>509</v>
      </c>
      <c r="Y76" s="67" t="s">
        <v>509</v>
      </c>
      <c r="Z76" s="62" t="s">
        <v>509</v>
      </c>
      <c r="AA76" s="94" t="s">
        <v>509</v>
      </c>
    </row>
    <row r="77" spans="1:27" s="149" customFormat="1" x14ac:dyDescent="0.25">
      <c r="A77" s="67" t="s">
        <v>251</v>
      </c>
      <c r="B77" s="62">
        <v>0.24</v>
      </c>
      <c r="C77" s="94">
        <v>42</v>
      </c>
      <c r="D77" s="193" t="s">
        <v>739</v>
      </c>
      <c r="E77" s="165">
        <v>1.8884225966267629E-2</v>
      </c>
      <c r="F77" s="94">
        <v>22</v>
      </c>
      <c r="G77" s="193" t="s">
        <v>716</v>
      </c>
      <c r="H77" s="165">
        <v>1.1913457074316919E-2</v>
      </c>
      <c r="I77" s="94">
        <v>28</v>
      </c>
      <c r="J77" s="193" t="s">
        <v>718</v>
      </c>
      <c r="K77" s="165">
        <v>3.5458997637719508E-2</v>
      </c>
      <c r="L77" s="94">
        <v>31</v>
      </c>
      <c r="M77" s="67" t="s">
        <v>713</v>
      </c>
      <c r="N77" s="62">
        <v>34.479999999999997</v>
      </c>
      <c r="O77" s="94">
        <v>15</v>
      </c>
      <c r="P77" s="67" t="s">
        <v>719</v>
      </c>
      <c r="Q77" s="62">
        <v>32</v>
      </c>
      <c r="R77" s="94">
        <v>8</v>
      </c>
      <c r="S77" s="67" t="s">
        <v>728</v>
      </c>
      <c r="T77" s="62">
        <v>40</v>
      </c>
      <c r="U77" s="94">
        <v>14</v>
      </c>
      <c r="V77" s="67" t="s">
        <v>509</v>
      </c>
      <c r="W77" s="62" t="s">
        <v>509</v>
      </c>
      <c r="X77" s="94" t="s">
        <v>509</v>
      </c>
      <c r="Y77" s="67" t="s">
        <v>509</v>
      </c>
      <c r="Z77" s="62" t="s">
        <v>509</v>
      </c>
      <c r="AA77" s="94" t="s">
        <v>509</v>
      </c>
    </row>
    <row r="78" spans="1:27" s="149" customFormat="1" x14ac:dyDescent="0.25">
      <c r="A78" s="67" t="s">
        <v>715</v>
      </c>
      <c r="B78" s="62">
        <v>0.24</v>
      </c>
      <c r="C78" s="94">
        <v>42</v>
      </c>
      <c r="D78" s="193" t="s">
        <v>738</v>
      </c>
      <c r="E78" s="165">
        <v>1.7498046668877668E-2</v>
      </c>
      <c r="F78" s="94">
        <v>22</v>
      </c>
      <c r="G78" s="193" t="s">
        <v>740</v>
      </c>
      <c r="H78" s="165">
        <v>1.1733244613210833E-2</v>
      </c>
      <c r="I78" s="94">
        <v>28</v>
      </c>
      <c r="J78" s="193" t="s">
        <v>747</v>
      </c>
      <c r="K78" s="165">
        <v>3.4461414450367517E-2</v>
      </c>
      <c r="L78" s="94">
        <v>32</v>
      </c>
      <c r="M78" s="67" t="s">
        <v>83</v>
      </c>
      <c r="N78" s="62">
        <v>33.33</v>
      </c>
      <c r="O78" s="94">
        <v>16</v>
      </c>
      <c r="P78" s="67" t="s">
        <v>195</v>
      </c>
      <c r="Q78" s="62">
        <v>32</v>
      </c>
      <c r="R78" s="94">
        <v>8</v>
      </c>
      <c r="S78" s="67" t="s">
        <v>715</v>
      </c>
      <c r="T78" s="62">
        <v>40</v>
      </c>
      <c r="U78" s="94">
        <v>14</v>
      </c>
      <c r="V78" s="67" t="s">
        <v>509</v>
      </c>
      <c r="W78" s="62" t="s">
        <v>509</v>
      </c>
      <c r="X78" s="94" t="s">
        <v>509</v>
      </c>
      <c r="Y78" s="67" t="s">
        <v>509</v>
      </c>
      <c r="Z78" s="62" t="s">
        <v>509</v>
      </c>
      <c r="AA78" s="94" t="s">
        <v>509</v>
      </c>
    </row>
    <row r="79" spans="1:27" s="149" customFormat="1" x14ac:dyDescent="0.25">
      <c r="A79" s="67" t="s">
        <v>745</v>
      </c>
      <c r="B79" s="62">
        <v>0.24</v>
      </c>
      <c r="C79" s="94">
        <v>42</v>
      </c>
      <c r="D79" s="193" t="s">
        <v>714</v>
      </c>
      <c r="E79" s="165">
        <v>1.1756737983577714E-2</v>
      </c>
      <c r="F79" s="94">
        <v>23</v>
      </c>
      <c r="G79" s="193" t="s">
        <v>723</v>
      </c>
      <c r="H79" s="165">
        <v>1.1726257978530517E-2</v>
      </c>
      <c r="I79" s="94">
        <v>28</v>
      </c>
      <c r="J79" s="193" t="s">
        <v>86</v>
      </c>
      <c r="K79" s="165">
        <v>3.3902016090400021E-2</v>
      </c>
      <c r="L79" s="94">
        <v>32</v>
      </c>
      <c r="M79" s="67" t="s">
        <v>742</v>
      </c>
      <c r="N79" s="62">
        <v>33.33</v>
      </c>
      <c r="O79" s="94">
        <v>16</v>
      </c>
      <c r="P79" s="67" t="s">
        <v>711</v>
      </c>
      <c r="Q79" s="62">
        <v>32</v>
      </c>
      <c r="R79" s="94">
        <v>8</v>
      </c>
      <c r="S79" s="67" t="s">
        <v>251</v>
      </c>
      <c r="T79" s="62">
        <v>40</v>
      </c>
      <c r="U79" s="94">
        <v>14</v>
      </c>
      <c r="V79" s="67" t="s">
        <v>509</v>
      </c>
      <c r="W79" s="62" t="s">
        <v>509</v>
      </c>
      <c r="X79" s="94" t="s">
        <v>509</v>
      </c>
      <c r="Y79" s="67" t="s">
        <v>509</v>
      </c>
      <c r="Z79" s="62" t="s">
        <v>509</v>
      </c>
      <c r="AA79" s="94" t="s">
        <v>509</v>
      </c>
    </row>
    <row r="80" spans="1:27" s="149" customFormat="1" x14ac:dyDescent="0.25">
      <c r="A80" s="67" t="s">
        <v>728</v>
      </c>
      <c r="B80" s="62">
        <v>0.24</v>
      </c>
      <c r="C80" s="94">
        <v>42</v>
      </c>
      <c r="D80" s="193" t="s">
        <v>98</v>
      </c>
      <c r="E80" s="165">
        <v>1.1618081604857763E-2</v>
      </c>
      <c r="F80" s="94">
        <v>23</v>
      </c>
      <c r="G80" s="193" t="s">
        <v>728</v>
      </c>
      <c r="H80" s="165">
        <v>1.0344641300313231E-2</v>
      </c>
      <c r="I80" s="94">
        <v>28</v>
      </c>
      <c r="J80" s="193" t="s">
        <v>713</v>
      </c>
      <c r="K80" s="165">
        <v>3.3514163587776605E-2</v>
      </c>
      <c r="L80" s="94">
        <v>32</v>
      </c>
      <c r="M80" s="67" t="s">
        <v>717</v>
      </c>
      <c r="N80" s="62">
        <v>32.18</v>
      </c>
      <c r="O80" s="94">
        <v>17</v>
      </c>
      <c r="P80" s="67" t="s">
        <v>716</v>
      </c>
      <c r="Q80" s="62">
        <v>32</v>
      </c>
      <c r="R80" s="94">
        <v>8</v>
      </c>
      <c r="S80" s="67" t="s">
        <v>724</v>
      </c>
      <c r="T80" s="62">
        <v>40</v>
      </c>
      <c r="U80" s="94">
        <v>14</v>
      </c>
      <c r="V80" s="67" t="s">
        <v>509</v>
      </c>
      <c r="W80" s="62" t="s">
        <v>509</v>
      </c>
      <c r="X80" s="94" t="s">
        <v>509</v>
      </c>
      <c r="Y80" s="67" t="s">
        <v>509</v>
      </c>
      <c r="Z80" s="62" t="s">
        <v>509</v>
      </c>
      <c r="AA80" s="94" t="s">
        <v>509</v>
      </c>
    </row>
    <row r="81" spans="1:28" s="149" customFormat="1" x14ac:dyDescent="0.25">
      <c r="A81" s="67" t="s">
        <v>355</v>
      </c>
      <c r="B81" s="62">
        <v>0.23</v>
      </c>
      <c r="C81" s="94">
        <v>43</v>
      </c>
      <c r="D81" s="193" t="s">
        <v>719</v>
      </c>
      <c r="E81" s="165">
        <v>7.3894263216964656E-3</v>
      </c>
      <c r="F81" s="94">
        <v>23</v>
      </c>
      <c r="G81" s="193" t="s">
        <v>730</v>
      </c>
      <c r="H81" s="165">
        <v>5.9183924884657346E-3</v>
      </c>
      <c r="I81" s="94">
        <v>28</v>
      </c>
      <c r="J81" s="193" t="s">
        <v>712</v>
      </c>
      <c r="K81" s="165">
        <v>3.3306918051787655E-2</v>
      </c>
      <c r="L81" s="94">
        <v>32</v>
      </c>
      <c r="M81" s="67" t="s">
        <v>739</v>
      </c>
      <c r="N81" s="62">
        <v>32.18</v>
      </c>
      <c r="O81" s="94">
        <v>17</v>
      </c>
      <c r="P81" s="67" t="s">
        <v>196</v>
      </c>
      <c r="Q81" s="62">
        <v>32</v>
      </c>
      <c r="R81" s="94">
        <v>8</v>
      </c>
      <c r="S81" s="67" t="s">
        <v>714</v>
      </c>
      <c r="T81" s="62">
        <v>40</v>
      </c>
      <c r="U81" s="94">
        <v>14</v>
      </c>
      <c r="V81" s="67" t="s">
        <v>509</v>
      </c>
      <c r="W81" s="62" t="s">
        <v>509</v>
      </c>
      <c r="X81" s="94" t="s">
        <v>509</v>
      </c>
      <c r="Y81" s="67" t="s">
        <v>509</v>
      </c>
      <c r="Z81" s="62" t="s">
        <v>509</v>
      </c>
      <c r="AA81" s="94" t="s">
        <v>509</v>
      </c>
    </row>
    <row r="82" spans="1:28" s="149" customFormat="1" x14ac:dyDescent="0.25">
      <c r="A82" s="67" t="s">
        <v>183</v>
      </c>
      <c r="B82" s="62">
        <v>0.22</v>
      </c>
      <c r="C82" s="94">
        <v>44</v>
      </c>
      <c r="D82" s="193" t="s">
        <v>724</v>
      </c>
      <c r="E82" s="165">
        <v>6.7082141830880487E-3</v>
      </c>
      <c r="F82" s="94">
        <v>23</v>
      </c>
      <c r="G82" s="193" t="s">
        <v>731</v>
      </c>
      <c r="H82" s="165">
        <v>1.8436309964367948E-3</v>
      </c>
      <c r="I82" s="94">
        <v>29</v>
      </c>
      <c r="J82" s="193" t="s">
        <v>724</v>
      </c>
      <c r="K82" s="165">
        <v>3.198987878533191E-2</v>
      </c>
      <c r="L82" s="94">
        <v>32</v>
      </c>
      <c r="M82" s="67" t="s">
        <v>727</v>
      </c>
      <c r="N82" s="62">
        <v>32.18</v>
      </c>
      <c r="O82" s="94">
        <v>17</v>
      </c>
      <c r="P82" s="67" t="s">
        <v>223</v>
      </c>
      <c r="Q82" s="62">
        <v>32</v>
      </c>
      <c r="R82" s="94">
        <v>8</v>
      </c>
      <c r="S82" s="67" t="s">
        <v>729</v>
      </c>
      <c r="T82" s="62">
        <v>40</v>
      </c>
      <c r="U82" s="94">
        <v>14</v>
      </c>
      <c r="V82" s="67" t="s">
        <v>509</v>
      </c>
      <c r="W82" s="62" t="s">
        <v>509</v>
      </c>
      <c r="X82" s="94" t="s">
        <v>509</v>
      </c>
      <c r="Y82" s="67" t="s">
        <v>509</v>
      </c>
      <c r="Z82" s="62" t="s">
        <v>509</v>
      </c>
      <c r="AA82" s="94" t="s">
        <v>509</v>
      </c>
    </row>
    <row r="83" spans="1:28" s="149" customFormat="1" x14ac:dyDescent="0.25">
      <c r="A83" s="67" t="s">
        <v>713</v>
      </c>
      <c r="B83" s="62">
        <v>0.22</v>
      </c>
      <c r="C83" s="94">
        <v>44</v>
      </c>
      <c r="D83" s="193" t="s">
        <v>718</v>
      </c>
      <c r="E83" s="165">
        <v>1.8320814687222079E-3</v>
      </c>
      <c r="F83" s="94">
        <v>24</v>
      </c>
      <c r="G83" s="193" t="s">
        <v>748</v>
      </c>
      <c r="H83" s="165">
        <v>1.5607552427652494E-3</v>
      </c>
      <c r="I83" s="94">
        <v>29</v>
      </c>
      <c r="J83" s="193" t="s">
        <v>739</v>
      </c>
      <c r="K83" s="165">
        <v>2.9510416704368478E-2</v>
      </c>
      <c r="L83" s="94">
        <v>32</v>
      </c>
      <c r="M83" s="67" t="s">
        <v>226</v>
      </c>
      <c r="N83" s="62">
        <v>32.18</v>
      </c>
      <c r="O83" s="94">
        <v>17</v>
      </c>
      <c r="P83" s="67" t="s">
        <v>720</v>
      </c>
      <c r="Q83" s="62">
        <v>32</v>
      </c>
      <c r="R83" s="94">
        <v>8</v>
      </c>
      <c r="S83" s="67" t="s">
        <v>743</v>
      </c>
      <c r="T83" s="62">
        <v>37.5</v>
      </c>
      <c r="U83" s="94">
        <v>15</v>
      </c>
      <c r="V83" s="67" t="s">
        <v>509</v>
      </c>
      <c r="W83" s="62" t="s">
        <v>509</v>
      </c>
      <c r="X83" s="94" t="s">
        <v>509</v>
      </c>
      <c r="Y83" s="67" t="s">
        <v>509</v>
      </c>
      <c r="Z83" s="62" t="s">
        <v>509</v>
      </c>
      <c r="AA83" s="94" t="s">
        <v>509</v>
      </c>
    </row>
    <row r="84" spans="1:28" s="149" customFormat="1" x14ac:dyDescent="0.25">
      <c r="A84" s="67" t="s">
        <v>714</v>
      </c>
      <c r="B84" s="62">
        <v>0.22</v>
      </c>
      <c r="C84" s="94">
        <v>44</v>
      </c>
      <c r="D84" s="193" t="s">
        <v>723</v>
      </c>
      <c r="E84" s="165">
        <v>-3.1767974823463342E-3</v>
      </c>
      <c r="F84" s="94">
        <v>24</v>
      </c>
      <c r="G84" s="193" t="s">
        <v>708</v>
      </c>
      <c r="H84" s="165">
        <v>-3.8266175468021023E-3</v>
      </c>
      <c r="I84" s="94">
        <v>29</v>
      </c>
      <c r="J84" s="193" t="s">
        <v>746</v>
      </c>
      <c r="K84" s="165">
        <v>2.6538954754058396E-2</v>
      </c>
      <c r="L84" s="94">
        <v>32</v>
      </c>
      <c r="M84" s="67" t="s">
        <v>720</v>
      </c>
      <c r="N84" s="62">
        <v>32.18</v>
      </c>
      <c r="O84" s="94">
        <v>17</v>
      </c>
      <c r="P84" s="67" t="s">
        <v>750</v>
      </c>
      <c r="Q84" s="62">
        <v>32</v>
      </c>
      <c r="R84" s="94">
        <v>8</v>
      </c>
      <c r="S84" s="67" t="s">
        <v>100</v>
      </c>
      <c r="T84" s="62">
        <v>36.67</v>
      </c>
      <c r="U84" s="94">
        <v>16</v>
      </c>
      <c r="V84" s="67" t="s">
        <v>509</v>
      </c>
      <c r="W84" s="62" t="s">
        <v>509</v>
      </c>
      <c r="X84" s="94" t="s">
        <v>509</v>
      </c>
      <c r="Y84" s="67" t="s">
        <v>509</v>
      </c>
      <c r="Z84" s="62" t="s">
        <v>509</v>
      </c>
      <c r="AA84" s="94" t="s">
        <v>509</v>
      </c>
    </row>
    <row r="85" spans="1:28" s="149" customFormat="1" x14ac:dyDescent="0.25">
      <c r="A85" s="67" t="s">
        <v>742</v>
      </c>
      <c r="B85" s="62">
        <v>0.22</v>
      </c>
      <c r="C85" s="94">
        <v>44</v>
      </c>
      <c r="D85" s="193" t="s">
        <v>742</v>
      </c>
      <c r="E85" s="165">
        <v>-5.862379336567052E-3</v>
      </c>
      <c r="F85" s="94">
        <v>25</v>
      </c>
      <c r="G85" s="193" t="s">
        <v>724</v>
      </c>
      <c r="H85" s="165">
        <v>-1.2805229046701078E-2</v>
      </c>
      <c r="I85" s="94">
        <v>30</v>
      </c>
      <c r="J85" s="193" t="s">
        <v>102</v>
      </c>
      <c r="K85" s="165">
        <v>2.504089720603821E-2</v>
      </c>
      <c r="L85" s="94">
        <v>32</v>
      </c>
      <c r="M85" s="67" t="s">
        <v>708</v>
      </c>
      <c r="N85" s="62">
        <v>32.18</v>
      </c>
      <c r="O85" s="94">
        <v>17</v>
      </c>
      <c r="P85" s="67" t="s">
        <v>723</v>
      </c>
      <c r="Q85" s="62">
        <v>32</v>
      </c>
      <c r="R85" s="94">
        <v>8</v>
      </c>
      <c r="S85" s="67" t="s">
        <v>731</v>
      </c>
      <c r="T85" s="62">
        <v>36.67</v>
      </c>
      <c r="U85" s="94">
        <v>16</v>
      </c>
      <c r="V85" s="67" t="s">
        <v>509</v>
      </c>
      <c r="W85" s="62" t="s">
        <v>509</v>
      </c>
      <c r="X85" s="94" t="s">
        <v>509</v>
      </c>
      <c r="Y85" s="67" t="s">
        <v>509</v>
      </c>
      <c r="Z85" s="62" t="s">
        <v>509</v>
      </c>
      <c r="AA85" s="94" t="s">
        <v>509</v>
      </c>
    </row>
    <row r="86" spans="1:28" s="149" customFormat="1" x14ac:dyDescent="0.25">
      <c r="A86" s="67" t="s">
        <v>744</v>
      </c>
      <c r="B86" s="62">
        <v>0.22</v>
      </c>
      <c r="C86" s="94">
        <v>44</v>
      </c>
      <c r="D86" s="193" t="s">
        <v>748</v>
      </c>
      <c r="E86" s="165">
        <v>-8.2583662060090671E-3</v>
      </c>
      <c r="F86" s="94">
        <v>25</v>
      </c>
      <c r="G86" s="193" t="s">
        <v>742</v>
      </c>
      <c r="H86" s="165">
        <v>-1.8394342971513645E-2</v>
      </c>
      <c r="I86" s="94">
        <v>31</v>
      </c>
      <c r="J86" s="193" t="s">
        <v>727</v>
      </c>
      <c r="K86" s="165">
        <v>1.9513109425247158E-2</v>
      </c>
      <c r="L86" s="94">
        <v>33</v>
      </c>
      <c r="M86" s="67" t="s">
        <v>191</v>
      </c>
      <c r="N86" s="62">
        <v>32.18</v>
      </c>
      <c r="O86" s="94">
        <v>17</v>
      </c>
      <c r="P86" s="67" t="s">
        <v>247</v>
      </c>
      <c r="Q86" s="62">
        <v>32</v>
      </c>
      <c r="R86" s="94">
        <v>8</v>
      </c>
      <c r="S86" s="67" t="s">
        <v>226</v>
      </c>
      <c r="T86" s="62">
        <v>36.67</v>
      </c>
      <c r="U86" s="94">
        <v>16</v>
      </c>
      <c r="V86" s="67" t="s">
        <v>509</v>
      </c>
      <c r="W86" s="62" t="s">
        <v>509</v>
      </c>
      <c r="X86" s="94" t="s">
        <v>509</v>
      </c>
      <c r="Y86" s="67" t="s">
        <v>509</v>
      </c>
      <c r="Z86" s="62" t="s">
        <v>509</v>
      </c>
      <c r="AA86" s="94" t="s">
        <v>509</v>
      </c>
    </row>
    <row r="87" spans="1:28" s="149" customFormat="1" x14ac:dyDescent="0.25">
      <c r="A87" s="67" t="s">
        <v>724</v>
      </c>
      <c r="B87" s="62">
        <v>0.22</v>
      </c>
      <c r="C87" s="94">
        <v>44</v>
      </c>
      <c r="D87" s="193" t="s">
        <v>740</v>
      </c>
      <c r="E87" s="165">
        <v>-8.5102690956544019E-3</v>
      </c>
      <c r="F87" s="94">
        <v>25</v>
      </c>
      <c r="G87" s="193" t="s">
        <v>738</v>
      </c>
      <c r="H87" s="165">
        <v>-2.3357774687196707E-2</v>
      </c>
      <c r="I87" s="94">
        <v>31</v>
      </c>
      <c r="J87" s="193" t="s">
        <v>726</v>
      </c>
      <c r="K87" s="165">
        <v>1.8308681584545208E-2</v>
      </c>
      <c r="L87" s="94">
        <v>33</v>
      </c>
      <c r="M87" s="67" t="s">
        <v>745</v>
      </c>
      <c r="N87" s="62">
        <v>32.18</v>
      </c>
      <c r="O87" s="94">
        <v>17</v>
      </c>
      <c r="P87" s="67" t="s">
        <v>709</v>
      </c>
      <c r="Q87" s="62">
        <v>28</v>
      </c>
      <c r="R87" s="94">
        <v>9</v>
      </c>
      <c r="S87" s="67" t="s">
        <v>713</v>
      </c>
      <c r="T87" s="62">
        <v>36.67</v>
      </c>
      <c r="U87" s="94">
        <v>16</v>
      </c>
      <c r="V87" s="67" t="s">
        <v>509</v>
      </c>
      <c r="W87" s="62" t="s">
        <v>509</v>
      </c>
      <c r="X87" s="94" t="s">
        <v>509</v>
      </c>
      <c r="Y87" s="67" t="s">
        <v>509</v>
      </c>
      <c r="Z87" s="62" t="s">
        <v>509</v>
      </c>
      <c r="AA87" s="94" t="s">
        <v>509</v>
      </c>
    </row>
    <row r="88" spans="1:28" s="149" customFormat="1" x14ac:dyDescent="0.25">
      <c r="A88" s="67" t="s">
        <v>729</v>
      </c>
      <c r="B88" s="62">
        <v>0.22</v>
      </c>
      <c r="C88" s="94">
        <v>44</v>
      </c>
      <c r="D88" s="193" t="s">
        <v>717</v>
      </c>
      <c r="E88" s="165">
        <v>-1.0802627111532926E-2</v>
      </c>
      <c r="F88" s="94">
        <v>25</v>
      </c>
      <c r="G88" s="193" t="s">
        <v>729</v>
      </c>
      <c r="H88" s="165">
        <v>-2.9014414381811116E-2</v>
      </c>
      <c r="I88" s="94">
        <v>32</v>
      </c>
      <c r="J88" s="193" t="s">
        <v>723</v>
      </c>
      <c r="K88" s="165">
        <v>1.4680496873097649E-2</v>
      </c>
      <c r="L88" s="94">
        <v>34</v>
      </c>
      <c r="M88" s="67" t="s">
        <v>715</v>
      </c>
      <c r="N88" s="62">
        <v>32.18</v>
      </c>
      <c r="O88" s="94">
        <v>17</v>
      </c>
      <c r="P88" s="67" t="s">
        <v>725</v>
      </c>
      <c r="Q88" s="62">
        <v>28</v>
      </c>
      <c r="R88" s="94">
        <v>9</v>
      </c>
      <c r="S88" s="67" t="s">
        <v>742</v>
      </c>
      <c r="T88" s="62">
        <v>36.67</v>
      </c>
      <c r="U88" s="94">
        <v>16</v>
      </c>
      <c r="V88" s="67" t="s">
        <v>509</v>
      </c>
      <c r="W88" s="62" t="s">
        <v>509</v>
      </c>
      <c r="X88" s="94" t="s">
        <v>509</v>
      </c>
      <c r="Y88" s="67" t="s">
        <v>509</v>
      </c>
      <c r="Z88" s="62" t="s">
        <v>509</v>
      </c>
      <c r="AA88" s="94" t="s">
        <v>509</v>
      </c>
    </row>
    <row r="89" spans="1:28" s="149" customFormat="1" x14ac:dyDescent="0.25">
      <c r="A89" s="67" t="s">
        <v>747</v>
      </c>
      <c r="B89" s="62">
        <v>0.22</v>
      </c>
      <c r="C89" s="94">
        <v>44</v>
      </c>
      <c r="D89" s="193" t="s">
        <v>729</v>
      </c>
      <c r="E89" s="165">
        <v>-2.5865903698775804E-2</v>
      </c>
      <c r="F89" s="94">
        <v>26</v>
      </c>
      <c r="G89" s="193" t="s">
        <v>721</v>
      </c>
      <c r="H89" s="165">
        <v>-3.4095265385913252E-2</v>
      </c>
      <c r="I89" s="94">
        <v>32</v>
      </c>
      <c r="J89" s="193" t="s">
        <v>83</v>
      </c>
      <c r="K89" s="165">
        <v>1.4102972063508249E-2</v>
      </c>
      <c r="L89" s="94">
        <v>34</v>
      </c>
      <c r="M89" s="67" t="s">
        <v>729</v>
      </c>
      <c r="N89" s="62">
        <v>32.18</v>
      </c>
      <c r="O89" s="94">
        <v>17</v>
      </c>
      <c r="P89" s="67" t="s">
        <v>726</v>
      </c>
      <c r="Q89" s="62">
        <v>28</v>
      </c>
      <c r="R89" s="94">
        <v>9</v>
      </c>
      <c r="S89" s="67" t="s">
        <v>740</v>
      </c>
      <c r="T89" s="62">
        <v>34.380000000000003</v>
      </c>
      <c r="U89" s="94">
        <v>17</v>
      </c>
      <c r="V89" s="67" t="s">
        <v>509</v>
      </c>
      <c r="W89" s="62" t="s">
        <v>509</v>
      </c>
      <c r="X89" s="94" t="s">
        <v>509</v>
      </c>
      <c r="Y89" s="67" t="s">
        <v>509</v>
      </c>
      <c r="Z89" s="62" t="s">
        <v>509</v>
      </c>
      <c r="AA89" s="94" t="s">
        <v>509</v>
      </c>
    </row>
    <row r="90" spans="1:28" s="149" customFormat="1" x14ac:dyDescent="0.25">
      <c r="A90" s="67" t="s">
        <v>701</v>
      </c>
      <c r="B90" s="62">
        <v>0.22</v>
      </c>
      <c r="C90" s="94">
        <v>44</v>
      </c>
      <c r="D90" s="193" t="s">
        <v>716</v>
      </c>
      <c r="E90" s="165">
        <v>-2.9535504598906189E-2</v>
      </c>
      <c r="F90" s="94">
        <v>26</v>
      </c>
      <c r="G90" s="193" t="s">
        <v>718</v>
      </c>
      <c r="H90" s="165">
        <v>-3.6336264213606563E-2</v>
      </c>
      <c r="I90" s="94">
        <v>33</v>
      </c>
      <c r="J90" s="193" t="s">
        <v>717</v>
      </c>
      <c r="K90" s="165">
        <v>1.0012948538072473E-2</v>
      </c>
      <c r="L90" s="94">
        <v>34</v>
      </c>
      <c r="M90" s="67" t="s">
        <v>160</v>
      </c>
      <c r="N90" s="62">
        <v>31.03</v>
      </c>
      <c r="O90" s="94">
        <v>18</v>
      </c>
      <c r="P90" s="67" t="s">
        <v>740</v>
      </c>
      <c r="Q90" s="62">
        <v>28</v>
      </c>
      <c r="R90" s="94">
        <v>9</v>
      </c>
      <c r="S90" s="67" t="s">
        <v>718</v>
      </c>
      <c r="T90" s="62">
        <v>33.33</v>
      </c>
      <c r="U90" s="94">
        <v>18</v>
      </c>
      <c r="V90" s="67" t="s">
        <v>509</v>
      </c>
      <c r="W90" s="62" t="s">
        <v>509</v>
      </c>
      <c r="X90" s="94" t="s">
        <v>509</v>
      </c>
      <c r="Y90" s="67" t="s">
        <v>509</v>
      </c>
      <c r="Z90" s="62" t="s">
        <v>509</v>
      </c>
      <c r="AA90" s="94" t="s">
        <v>509</v>
      </c>
    </row>
    <row r="91" spans="1:28" s="149" customFormat="1" x14ac:dyDescent="0.25">
      <c r="A91" s="67" t="s">
        <v>228</v>
      </c>
      <c r="B91" s="62">
        <v>0.21</v>
      </c>
      <c r="C91" s="94">
        <v>45</v>
      </c>
      <c r="D91" s="193" t="s">
        <v>721</v>
      </c>
      <c r="E91" s="165">
        <v>-3.004230629705984E-2</v>
      </c>
      <c r="F91" s="94">
        <v>26</v>
      </c>
      <c r="G91" s="193" t="s">
        <v>737</v>
      </c>
      <c r="H91" s="165">
        <v>-4.6041242934149788E-2</v>
      </c>
      <c r="I91" s="94">
        <v>34</v>
      </c>
      <c r="J91" s="193" t="s">
        <v>742</v>
      </c>
      <c r="K91" s="165">
        <v>7.3416930474819227E-3</v>
      </c>
      <c r="L91" s="94">
        <v>34</v>
      </c>
      <c r="M91" s="67" t="s">
        <v>716</v>
      </c>
      <c r="N91" s="62">
        <v>31.03</v>
      </c>
      <c r="O91" s="94">
        <v>18</v>
      </c>
      <c r="P91" s="67" t="s">
        <v>183</v>
      </c>
      <c r="Q91" s="62">
        <v>28</v>
      </c>
      <c r="R91" s="94">
        <v>9</v>
      </c>
      <c r="S91" s="67" t="s">
        <v>180</v>
      </c>
      <c r="T91" s="62">
        <v>33.33</v>
      </c>
      <c r="U91" s="94">
        <v>18</v>
      </c>
      <c r="V91" s="67" t="s">
        <v>509</v>
      </c>
      <c r="W91" s="62" t="s">
        <v>509</v>
      </c>
      <c r="X91" s="94" t="s">
        <v>509</v>
      </c>
      <c r="Y91" s="67" t="s">
        <v>509</v>
      </c>
      <c r="Z91" s="62" t="s">
        <v>509</v>
      </c>
      <c r="AA91" s="94" t="s">
        <v>509</v>
      </c>
    </row>
    <row r="92" spans="1:28" s="149" customFormat="1" x14ac:dyDescent="0.25">
      <c r="A92" s="67" t="s">
        <v>247</v>
      </c>
      <c r="B92" s="62">
        <v>0.21</v>
      </c>
      <c r="C92" s="94">
        <v>45</v>
      </c>
      <c r="D92" s="193" t="s">
        <v>715</v>
      </c>
      <c r="E92" s="165">
        <v>-4.4418602051690549E-2</v>
      </c>
      <c r="F92" s="94">
        <v>27</v>
      </c>
      <c r="G92" s="193" t="s">
        <v>715</v>
      </c>
      <c r="H92" s="165">
        <v>-9.0066710553193804E-2</v>
      </c>
      <c r="I92" s="94">
        <v>35</v>
      </c>
      <c r="J92" s="193" t="s">
        <v>719</v>
      </c>
      <c r="K92" s="165">
        <v>7.1518344488904631E-3</v>
      </c>
      <c r="L92" s="94">
        <v>34</v>
      </c>
      <c r="M92" s="67" t="s">
        <v>724</v>
      </c>
      <c r="N92" s="62">
        <v>31.03</v>
      </c>
      <c r="O92" s="94">
        <v>18</v>
      </c>
      <c r="P92" s="67" t="s">
        <v>733</v>
      </c>
      <c r="Q92" s="62">
        <v>24</v>
      </c>
      <c r="R92" s="94">
        <v>10</v>
      </c>
      <c r="S92" s="67" t="s">
        <v>725</v>
      </c>
      <c r="T92" s="62">
        <v>31.25</v>
      </c>
      <c r="U92" s="94">
        <v>19</v>
      </c>
      <c r="V92" s="67" t="s">
        <v>509</v>
      </c>
      <c r="W92" s="62" t="s">
        <v>509</v>
      </c>
      <c r="X92" s="94" t="s">
        <v>509</v>
      </c>
      <c r="Y92" s="67" t="s">
        <v>509</v>
      </c>
      <c r="Z92" s="62" t="s">
        <v>509</v>
      </c>
      <c r="AA92" s="94" t="s">
        <v>509</v>
      </c>
    </row>
    <row r="93" spans="1:28" s="149" customFormat="1" x14ac:dyDescent="0.25">
      <c r="A93" s="67" t="s">
        <v>253</v>
      </c>
      <c r="B93" s="62">
        <v>0.21</v>
      </c>
      <c r="C93" s="94">
        <v>45</v>
      </c>
      <c r="D93" s="193" t="s">
        <v>160</v>
      </c>
      <c r="E93" s="165">
        <v>-0.18492203713506689</v>
      </c>
      <c r="F93" s="94">
        <v>28</v>
      </c>
      <c r="G93" s="193" t="s">
        <v>160</v>
      </c>
      <c r="H93" s="165">
        <v>-0.11999704205581939</v>
      </c>
      <c r="I93" s="94">
        <v>36</v>
      </c>
      <c r="J93" s="193" t="s">
        <v>748</v>
      </c>
      <c r="K93" s="165">
        <v>-2.9830952439366663E-3</v>
      </c>
      <c r="L93" s="94">
        <v>35</v>
      </c>
      <c r="M93" s="67" t="s">
        <v>714</v>
      </c>
      <c r="N93" s="62">
        <v>31.03</v>
      </c>
      <c r="O93" s="94">
        <v>18</v>
      </c>
      <c r="P93" s="67" t="s">
        <v>727</v>
      </c>
      <c r="Q93" s="62">
        <v>24</v>
      </c>
      <c r="R93" s="94">
        <v>10</v>
      </c>
      <c r="S93" s="67" t="s">
        <v>716</v>
      </c>
      <c r="T93" s="62">
        <v>31.25</v>
      </c>
      <c r="U93" s="94">
        <v>19</v>
      </c>
      <c r="V93" s="67" t="s">
        <v>509</v>
      </c>
      <c r="W93" s="62" t="s">
        <v>509</v>
      </c>
      <c r="X93" s="94" t="s">
        <v>509</v>
      </c>
      <c r="Y93" s="67" t="s">
        <v>509</v>
      </c>
      <c r="Z93" s="62" t="s">
        <v>509</v>
      </c>
      <c r="AA93" s="94" t="s">
        <v>509</v>
      </c>
    </row>
    <row r="94" spans="1:28" s="149" customFormat="1" x14ac:dyDescent="0.25">
      <c r="A94" s="67" t="s">
        <v>662</v>
      </c>
      <c r="B94" s="62">
        <v>0.21</v>
      </c>
      <c r="C94" s="94">
        <v>45</v>
      </c>
      <c r="D94" s="193" t="s">
        <v>86</v>
      </c>
      <c r="E94" s="165">
        <v>-0.33914011605840821</v>
      </c>
      <c r="F94" s="94">
        <v>29</v>
      </c>
      <c r="G94" s="193" t="s">
        <v>86</v>
      </c>
      <c r="H94" s="165">
        <v>-0.25629847856105936</v>
      </c>
      <c r="I94" s="94">
        <v>37</v>
      </c>
      <c r="J94" s="193" t="s">
        <v>729</v>
      </c>
      <c r="K94" s="165">
        <v>-1.6335867544455741E-2</v>
      </c>
      <c r="L94" s="94">
        <v>36</v>
      </c>
      <c r="M94" s="67" t="s">
        <v>721</v>
      </c>
      <c r="N94" s="62">
        <v>28.74</v>
      </c>
      <c r="O94" s="94">
        <v>19</v>
      </c>
      <c r="P94" s="67" t="s">
        <v>662</v>
      </c>
      <c r="Q94" s="62">
        <v>24</v>
      </c>
      <c r="R94" s="94">
        <v>10</v>
      </c>
      <c r="S94" s="67" t="s">
        <v>741</v>
      </c>
      <c r="T94" s="62">
        <v>28.13</v>
      </c>
      <c r="U94" s="94">
        <v>20</v>
      </c>
      <c r="V94" s="67" t="s">
        <v>509</v>
      </c>
      <c r="W94" s="62" t="s">
        <v>509</v>
      </c>
      <c r="X94" s="94" t="s">
        <v>509</v>
      </c>
      <c r="Y94" s="67" t="s">
        <v>509</v>
      </c>
      <c r="Z94" s="62" t="s">
        <v>509</v>
      </c>
      <c r="AA94" s="94" t="s">
        <v>509</v>
      </c>
    </row>
    <row r="95" spans="1:28" s="62" customFormat="1" x14ac:dyDescent="0.25">
      <c r="A95" s="62" t="s">
        <v>734</v>
      </c>
      <c r="B95" s="62">
        <v>0.21</v>
      </c>
      <c r="C95" s="62">
        <v>45</v>
      </c>
      <c r="D95" s="193" t="s">
        <v>83</v>
      </c>
      <c r="E95" s="165">
        <v>-0.43889811969938797</v>
      </c>
      <c r="F95" s="62">
        <v>30</v>
      </c>
      <c r="G95" s="193" t="s">
        <v>83</v>
      </c>
      <c r="H95" s="165">
        <v>-0.49730172797189864</v>
      </c>
      <c r="I95" s="62">
        <v>38</v>
      </c>
      <c r="J95" s="193" t="s">
        <v>716</v>
      </c>
      <c r="K95" s="165">
        <v>-1.6773880658039336E-2</v>
      </c>
      <c r="L95" s="62">
        <v>37</v>
      </c>
      <c r="M95" s="67" t="s">
        <v>86</v>
      </c>
      <c r="N95" s="62">
        <v>26.44</v>
      </c>
      <c r="O95" s="94">
        <v>20</v>
      </c>
      <c r="P95" s="62" t="s">
        <v>744</v>
      </c>
      <c r="Q95" s="62">
        <v>20</v>
      </c>
      <c r="R95" s="94">
        <v>11</v>
      </c>
      <c r="S95" s="62" t="s">
        <v>86</v>
      </c>
      <c r="T95" s="62">
        <v>21.88</v>
      </c>
      <c r="U95" s="62">
        <v>21</v>
      </c>
      <c r="V95" s="67" t="s">
        <v>509</v>
      </c>
      <c r="W95" s="62" t="s">
        <v>509</v>
      </c>
      <c r="X95" s="62" t="s">
        <v>509</v>
      </c>
      <c r="Y95" s="67" t="s">
        <v>509</v>
      </c>
      <c r="Z95" s="62" t="s">
        <v>509</v>
      </c>
      <c r="AA95" s="62" t="s">
        <v>509</v>
      </c>
      <c r="AB95" s="67"/>
    </row>
    <row r="96" spans="1:28" ht="15.75" thickBot="1" x14ac:dyDescent="0.3">
      <c r="A96" s="197" t="s">
        <v>20</v>
      </c>
      <c r="B96" s="198"/>
      <c r="C96" s="199"/>
      <c r="D96" s="197" t="s">
        <v>20</v>
      </c>
      <c r="E96" s="198"/>
      <c r="F96" s="199"/>
      <c r="G96" s="197" t="s">
        <v>20</v>
      </c>
      <c r="H96" s="198"/>
      <c r="I96" s="199"/>
      <c r="J96" s="197" t="s">
        <v>20</v>
      </c>
      <c r="K96" s="198"/>
      <c r="L96" s="199"/>
      <c r="M96" s="197" t="s">
        <v>20</v>
      </c>
      <c r="N96" s="198"/>
      <c r="O96" s="198"/>
      <c r="P96" s="197" t="s">
        <v>20</v>
      </c>
      <c r="Q96" s="198"/>
      <c r="R96" s="199"/>
      <c r="S96" s="197" t="s">
        <v>20</v>
      </c>
      <c r="T96" s="198"/>
      <c r="U96" s="199"/>
      <c r="V96" s="197" t="s">
        <v>20</v>
      </c>
      <c r="W96" s="198"/>
      <c r="X96" s="199"/>
      <c r="Y96" s="197" t="s">
        <v>20</v>
      </c>
      <c r="Z96" s="198"/>
      <c r="AA96" s="199"/>
    </row>
    <row r="98" spans="1:30" ht="15.75" thickBot="1" x14ac:dyDescent="0.3"/>
    <row r="99" spans="1:30" ht="15.75" thickBot="1" x14ac:dyDescent="0.3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224" t="s">
        <v>417</v>
      </c>
      <c r="R99" s="225"/>
      <c r="S99" s="61"/>
      <c r="T99" s="61"/>
      <c r="U99" s="61"/>
      <c r="V99" s="61"/>
      <c r="W99" s="61"/>
      <c r="X99" s="61"/>
      <c r="Y99" s="64"/>
      <c r="Z99" s="64"/>
      <c r="AA99" s="64"/>
      <c r="AB99" s="64"/>
      <c r="AC99" s="64"/>
      <c r="AD99" s="64"/>
    </row>
    <row r="100" spans="1:30" x14ac:dyDescent="0.25">
      <c r="A100" s="221" t="s">
        <v>416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3"/>
      <c r="M100" s="228" t="s">
        <v>418</v>
      </c>
      <c r="N100" s="229"/>
      <c r="O100" s="230"/>
      <c r="Q100" s="226"/>
      <c r="R100" s="227"/>
    </row>
    <row r="101" spans="1:30" ht="75" x14ac:dyDescent="0.25">
      <c r="A101" s="5" t="s">
        <v>30</v>
      </c>
      <c r="B101" s="6" t="s">
        <v>29</v>
      </c>
      <c r="C101" s="6" t="s">
        <v>31</v>
      </c>
      <c r="D101" s="6" t="s">
        <v>32</v>
      </c>
      <c r="E101" s="6" t="s">
        <v>33</v>
      </c>
      <c r="F101" s="6" t="s">
        <v>34</v>
      </c>
      <c r="G101" s="6" t="s">
        <v>35</v>
      </c>
      <c r="H101" s="6" t="s">
        <v>36</v>
      </c>
      <c r="I101" s="6" t="s">
        <v>271</v>
      </c>
      <c r="J101" s="6" t="s">
        <v>37</v>
      </c>
      <c r="K101" s="70" t="s">
        <v>38</v>
      </c>
      <c r="L101" s="66" t="s">
        <v>39</v>
      </c>
      <c r="M101" s="5" t="s">
        <v>30</v>
      </c>
      <c r="N101" s="70" t="s">
        <v>419</v>
      </c>
      <c r="O101" s="148" t="s">
        <v>420</v>
      </c>
      <c r="Q101" s="65" t="s">
        <v>21</v>
      </c>
      <c r="R101" s="66" t="s">
        <v>273</v>
      </c>
      <c r="T101" s="63" t="s">
        <v>21</v>
      </c>
      <c r="U101" s="49" t="s">
        <v>407</v>
      </c>
      <c r="V101" s="49" t="s">
        <v>408</v>
      </c>
      <c r="W101" s="49" t="s">
        <v>409</v>
      </c>
      <c r="X101" s="49" t="s">
        <v>410</v>
      </c>
      <c r="Y101" s="49" t="s">
        <v>411</v>
      </c>
      <c r="Z101" s="49" t="s">
        <v>412</v>
      </c>
      <c r="AA101" s="49" t="s">
        <v>413</v>
      </c>
      <c r="AB101" s="49" t="s">
        <v>414</v>
      </c>
      <c r="AC101" s="49" t="s">
        <v>415</v>
      </c>
      <c r="AD101" s="49" t="s">
        <v>406</v>
      </c>
    </row>
    <row r="102" spans="1:30" x14ac:dyDescent="0.25">
      <c r="A102" s="67" t="s">
        <v>232</v>
      </c>
      <c r="B102" s="62">
        <v>11</v>
      </c>
      <c r="C102" s="2">
        <v>2</v>
      </c>
      <c r="D102" s="2">
        <v>5</v>
      </c>
      <c r="E102" s="2">
        <v>1</v>
      </c>
      <c r="F102" s="2">
        <v>2</v>
      </c>
      <c r="G102" s="2">
        <v>3</v>
      </c>
      <c r="H102" s="2">
        <v>2</v>
      </c>
      <c r="I102" s="2" t="s">
        <v>509</v>
      </c>
      <c r="J102" s="2" t="s">
        <v>509</v>
      </c>
      <c r="K102" s="2" t="s">
        <v>509</v>
      </c>
      <c r="L102" s="4" t="s">
        <v>509</v>
      </c>
      <c r="M102" s="195" t="s">
        <v>232</v>
      </c>
      <c r="N102" s="196">
        <f t="shared" ref="N102:N133" si="0">SUM(B102:H102)</f>
        <v>26</v>
      </c>
      <c r="O102" s="127">
        <v>1</v>
      </c>
      <c r="Q102" s="133" t="s">
        <v>232</v>
      </c>
      <c r="R102" s="116">
        <v>6</v>
      </c>
      <c r="T102" t="s">
        <v>86</v>
      </c>
      <c r="U102">
        <f>COUNTIF(A3:A7,"metacell-11")</f>
        <v>0</v>
      </c>
      <c r="V102">
        <f>COUNTIF(D3:D12,"metacell-11")</f>
        <v>0</v>
      </c>
      <c r="W102">
        <f>COUNTIF(G3:G9,"metacell-11")</f>
        <v>0</v>
      </c>
      <c r="X102">
        <f>COUNTIF(J3:J9,"metacell-11")</f>
        <v>0</v>
      </c>
      <c r="Y102">
        <f>COUNTIF(M3:M9,"metacell-11")</f>
        <v>0</v>
      </c>
      <c r="Z102">
        <f>COUNTIF(P3:P50,"metacell-11")</f>
        <v>0</v>
      </c>
      <c r="AA102">
        <f>COUNTIF(S3:S18,"metacell-11")</f>
        <v>0</v>
      </c>
      <c r="AB102" t="s">
        <v>509</v>
      </c>
      <c r="AC102" t="s">
        <v>509</v>
      </c>
      <c r="AD102">
        <f>SUM(U102:AA102)</f>
        <v>0</v>
      </c>
    </row>
    <row r="103" spans="1:30" x14ac:dyDescent="0.25">
      <c r="A103" s="67" t="s">
        <v>233</v>
      </c>
      <c r="B103" s="62">
        <v>6</v>
      </c>
      <c r="C103" s="2">
        <v>2</v>
      </c>
      <c r="D103" s="2">
        <v>4</v>
      </c>
      <c r="E103" s="2">
        <v>2</v>
      </c>
      <c r="F103" s="2">
        <v>8</v>
      </c>
      <c r="G103" s="2">
        <v>5</v>
      </c>
      <c r="H103" s="2">
        <v>6</v>
      </c>
      <c r="I103" s="2" t="s">
        <v>509</v>
      </c>
      <c r="J103" s="2" t="s">
        <v>509</v>
      </c>
      <c r="K103" s="2" t="s">
        <v>509</v>
      </c>
      <c r="L103" s="4" t="s">
        <v>509</v>
      </c>
      <c r="M103" s="195" t="s">
        <v>233</v>
      </c>
      <c r="N103" s="196">
        <f t="shared" si="0"/>
        <v>33</v>
      </c>
      <c r="O103" s="127">
        <v>2</v>
      </c>
      <c r="Q103" s="133" t="s">
        <v>11</v>
      </c>
      <c r="R103" s="116">
        <v>5</v>
      </c>
      <c r="T103" t="s">
        <v>180</v>
      </c>
      <c r="U103">
        <f>COUNTIF(A3:A7,"metacell-114")</f>
        <v>0</v>
      </c>
      <c r="V103">
        <f>COUNTIF(D3:D12,"metacell-114")</f>
        <v>0</v>
      </c>
      <c r="W103">
        <f>COUNTIF(G3:G9,"metacell-114")</f>
        <v>0</v>
      </c>
      <c r="X103">
        <f>COUNTIF(J3:J9,"metacell-114")</f>
        <v>0</v>
      </c>
      <c r="Y103">
        <f>COUNTIF(M3:M9,"metacell-114")</f>
        <v>0</v>
      </c>
      <c r="Z103">
        <f>COUNTIF(P3:P50,"metacell-114")</f>
        <v>1</v>
      </c>
      <c r="AA103">
        <f>COUNTIF(S3:S18,"metacell-114")</f>
        <v>0</v>
      </c>
      <c r="AB103" t="s">
        <v>509</v>
      </c>
      <c r="AC103" t="s">
        <v>509</v>
      </c>
      <c r="AD103">
        <f t="shared" ref="AD103:AD166" si="1">SUM(U103:AA103)</f>
        <v>1</v>
      </c>
    </row>
    <row r="104" spans="1:30" x14ac:dyDescent="0.25">
      <c r="A104" s="54" t="s">
        <v>11</v>
      </c>
      <c r="B104" s="62">
        <v>4</v>
      </c>
      <c r="C104" s="2">
        <v>1</v>
      </c>
      <c r="D104" s="2">
        <v>3</v>
      </c>
      <c r="E104" s="2">
        <v>4</v>
      </c>
      <c r="F104" s="2">
        <v>9</v>
      </c>
      <c r="G104" s="2">
        <v>5</v>
      </c>
      <c r="H104" s="2">
        <v>12</v>
      </c>
      <c r="I104" s="2" t="s">
        <v>509</v>
      </c>
      <c r="J104" s="2" t="s">
        <v>509</v>
      </c>
      <c r="K104" s="2" t="s">
        <v>509</v>
      </c>
      <c r="L104" s="4" t="s">
        <v>509</v>
      </c>
      <c r="M104" s="195" t="s">
        <v>11</v>
      </c>
      <c r="N104" s="196">
        <f t="shared" si="0"/>
        <v>38</v>
      </c>
      <c r="O104" s="127">
        <v>3</v>
      </c>
      <c r="Q104" s="3" t="s">
        <v>233</v>
      </c>
      <c r="R104" s="4">
        <v>4</v>
      </c>
      <c r="T104" t="s">
        <v>181</v>
      </c>
      <c r="U104">
        <f>COUNTIF(A3:A7,"metacell-115")</f>
        <v>0</v>
      </c>
      <c r="V104">
        <f>COUNTIF(D3:D12,"metacell-115")</f>
        <v>0</v>
      </c>
      <c r="W104">
        <f>COUNTIF(G3:G9,"metacell-115")</f>
        <v>0</v>
      </c>
      <c r="X104">
        <f>COUNTIF(J3:J9,"metacell-115")</f>
        <v>0</v>
      </c>
      <c r="Y104">
        <f>COUNTIF(M3:M9,"metacell-115")</f>
        <v>0</v>
      </c>
      <c r="Z104">
        <f>COUNTIF(P3:P50,"metacell-115")</f>
        <v>0</v>
      </c>
      <c r="AA104">
        <f>COUNTIF(S3:S18,"metacell-115")</f>
        <v>0</v>
      </c>
      <c r="AB104" t="s">
        <v>509</v>
      </c>
      <c r="AC104" t="s">
        <v>509</v>
      </c>
      <c r="AD104">
        <f t="shared" si="1"/>
        <v>0</v>
      </c>
    </row>
    <row r="105" spans="1:30" x14ac:dyDescent="0.25">
      <c r="A105" s="67" t="s">
        <v>235</v>
      </c>
      <c r="B105" s="62">
        <v>7</v>
      </c>
      <c r="C105" s="2">
        <v>1</v>
      </c>
      <c r="D105" s="2">
        <v>2</v>
      </c>
      <c r="E105" s="2">
        <v>3</v>
      </c>
      <c r="F105" s="2">
        <v>9</v>
      </c>
      <c r="G105" s="2">
        <v>4</v>
      </c>
      <c r="H105" s="2">
        <v>14</v>
      </c>
      <c r="I105" s="2" t="s">
        <v>509</v>
      </c>
      <c r="J105" s="2" t="s">
        <v>509</v>
      </c>
      <c r="K105" s="2" t="s">
        <v>509</v>
      </c>
      <c r="L105" s="4" t="s">
        <v>509</v>
      </c>
      <c r="M105" s="195" t="s">
        <v>235</v>
      </c>
      <c r="N105" s="196">
        <f t="shared" si="0"/>
        <v>40</v>
      </c>
      <c r="O105" s="127">
        <v>4</v>
      </c>
      <c r="Q105" s="3" t="s">
        <v>234</v>
      </c>
      <c r="R105" s="4">
        <v>4</v>
      </c>
      <c r="T105" t="s">
        <v>183</v>
      </c>
      <c r="U105">
        <f>COUNTIF(A3:A7,"metacell-117")</f>
        <v>0</v>
      </c>
      <c r="V105">
        <f>COUNTIF(D3:D12,"metacell-117")</f>
        <v>0</v>
      </c>
      <c r="W105">
        <f>COUNTIF(G3:G9,"metacell-117")</f>
        <v>0</v>
      </c>
      <c r="X105">
        <f>COUNTIF(J3:J9,"metacell-117")</f>
        <v>0</v>
      </c>
      <c r="Y105">
        <f>COUNTIF(M3:M9,"metacell-117")</f>
        <v>0</v>
      </c>
      <c r="Z105">
        <f>COUNTIF(P3:P50,"metacell-117")</f>
        <v>0</v>
      </c>
      <c r="AA105">
        <f>COUNTIF(S3:S18,"metacell-117")</f>
        <v>1</v>
      </c>
      <c r="AB105" t="s">
        <v>509</v>
      </c>
      <c r="AC105" t="s">
        <v>509</v>
      </c>
      <c r="AD105">
        <f t="shared" si="1"/>
        <v>1</v>
      </c>
    </row>
    <row r="106" spans="1:30" x14ac:dyDescent="0.25">
      <c r="A106" s="67" t="s">
        <v>238</v>
      </c>
      <c r="B106" s="62">
        <v>9</v>
      </c>
      <c r="C106" s="2">
        <v>2</v>
      </c>
      <c r="D106" s="2">
        <v>5</v>
      </c>
      <c r="E106" s="2">
        <v>1</v>
      </c>
      <c r="F106" s="2">
        <v>6</v>
      </c>
      <c r="G106" s="2">
        <v>5</v>
      </c>
      <c r="H106" s="2">
        <v>12</v>
      </c>
      <c r="I106" s="2" t="s">
        <v>509</v>
      </c>
      <c r="J106" s="2" t="s">
        <v>509</v>
      </c>
      <c r="K106" s="2" t="s">
        <v>509</v>
      </c>
      <c r="L106" s="4" t="s">
        <v>509</v>
      </c>
      <c r="M106" s="195" t="s">
        <v>238</v>
      </c>
      <c r="N106" s="196">
        <f t="shared" si="0"/>
        <v>40</v>
      </c>
      <c r="O106" s="127">
        <v>4</v>
      </c>
      <c r="Q106" s="3" t="s">
        <v>235</v>
      </c>
      <c r="R106" s="4">
        <v>4</v>
      </c>
      <c r="T106" t="s">
        <v>184</v>
      </c>
      <c r="U106">
        <f>COUNTIF(A3:A7,"metacell-118")</f>
        <v>0</v>
      </c>
      <c r="V106">
        <f>COUNTIF(D3:D12,"metacell-118")</f>
        <v>0</v>
      </c>
      <c r="W106">
        <f>COUNTIF(G3:G9,"metacell-118")</f>
        <v>0</v>
      </c>
      <c r="X106">
        <f>COUNTIF(J3:J9,"metacell-118")</f>
        <v>0</v>
      </c>
      <c r="Y106">
        <f>COUNTIF(M3:M9,"metacell-118")</f>
        <v>0</v>
      </c>
      <c r="Z106">
        <f>COUNTIF(P3:P50,"metacell-118")</f>
        <v>1</v>
      </c>
      <c r="AA106">
        <f>COUNTIF(S3:S18,"metacell-118")</f>
        <v>0</v>
      </c>
      <c r="AB106" t="s">
        <v>509</v>
      </c>
      <c r="AC106" t="s">
        <v>509</v>
      </c>
      <c r="AD106">
        <f t="shared" si="1"/>
        <v>1</v>
      </c>
    </row>
    <row r="107" spans="1:30" x14ac:dyDescent="0.25">
      <c r="A107" s="67" t="s">
        <v>237</v>
      </c>
      <c r="B107" s="62">
        <v>12</v>
      </c>
      <c r="C107" s="2">
        <v>4</v>
      </c>
      <c r="D107" s="2">
        <v>10</v>
      </c>
      <c r="E107" s="2">
        <v>5</v>
      </c>
      <c r="F107" s="2">
        <v>1</v>
      </c>
      <c r="G107" s="2">
        <v>2</v>
      </c>
      <c r="H107" s="2">
        <v>9</v>
      </c>
      <c r="I107" s="2" t="s">
        <v>509</v>
      </c>
      <c r="J107" s="2" t="s">
        <v>509</v>
      </c>
      <c r="K107" s="2" t="s">
        <v>509</v>
      </c>
      <c r="L107" s="4" t="s">
        <v>509</v>
      </c>
      <c r="M107" s="195" t="s">
        <v>237</v>
      </c>
      <c r="N107" s="196">
        <f t="shared" si="0"/>
        <v>43</v>
      </c>
      <c r="O107" s="127">
        <v>5</v>
      </c>
      <c r="Q107" s="3" t="s">
        <v>237</v>
      </c>
      <c r="R107" s="4">
        <v>4</v>
      </c>
      <c r="T107" t="s">
        <v>187</v>
      </c>
      <c r="U107">
        <f>COUNTIF(A3:A7,"metacell-121")</f>
        <v>0</v>
      </c>
      <c r="V107">
        <f>COUNTIF(D3:D12,"metacell-121")</f>
        <v>0</v>
      </c>
      <c r="W107">
        <f>COUNTIF(G3:G9,"metacell-121")</f>
        <v>0</v>
      </c>
      <c r="X107">
        <f>COUNTIF(J3:J9,"metacell-121")</f>
        <v>0</v>
      </c>
      <c r="Y107">
        <f>COUNTIF(M3:M9,"metacell-121")</f>
        <v>0</v>
      </c>
      <c r="Z107">
        <f>COUNTIF(P3:P50,"metacell-121")</f>
        <v>1</v>
      </c>
      <c r="AA107">
        <f>COUNTIF(S3:S18,"metacell-121")</f>
        <v>0</v>
      </c>
      <c r="AB107" t="s">
        <v>509</v>
      </c>
      <c r="AC107" t="s">
        <v>509</v>
      </c>
      <c r="AD107">
        <f t="shared" si="1"/>
        <v>1</v>
      </c>
    </row>
    <row r="108" spans="1:30" x14ac:dyDescent="0.25">
      <c r="A108" s="67" t="s">
        <v>236</v>
      </c>
      <c r="B108" s="62">
        <v>8</v>
      </c>
      <c r="C108" s="2">
        <v>3</v>
      </c>
      <c r="D108" s="2">
        <v>7</v>
      </c>
      <c r="E108" s="2">
        <v>7</v>
      </c>
      <c r="F108" s="2">
        <v>3</v>
      </c>
      <c r="G108" s="2">
        <v>4</v>
      </c>
      <c r="H108" s="2">
        <v>12</v>
      </c>
      <c r="I108" s="2" t="s">
        <v>509</v>
      </c>
      <c r="J108" s="2" t="s">
        <v>509</v>
      </c>
      <c r="K108" s="2" t="s">
        <v>509</v>
      </c>
      <c r="L108" s="4" t="s">
        <v>509</v>
      </c>
      <c r="M108" s="3" t="s">
        <v>236</v>
      </c>
      <c r="N108" s="2">
        <f t="shared" si="0"/>
        <v>44</v>
      </c>
      <c r="O108" s="4">
        <v>6</v>
      </c>
      <c r="Q108" s="3" t="s">
        <v>238</v>
      </c>
      <c r="R108" s="4">
        <v>4</v>
      </c>
      <c r="T108" t="s">
        <v>191</v>
      </c>
      <c r="U108">
        <f>COUNTIF(A3:A7,"metacell-125")</f>
        <v>0</v>
      </c>
      <c r="V108">
        <f>COUNTIF(D3:D12,"metacell-125")</f>
        <v>0</v>
      </c>
      <c r="W108">
        <f>COUNTIF(G3:G9,"metacell-125")</f>
        <v>0</v>
      </c>
      <c r="X108">
        <f>COUNTIF(J3:J9,"metacell-125")</f>
        <v>0</v>
      </c>
      <c r="Y108">
        <f>COUNTIF(M3:M9,"metacell-125")</f>
        <v>0</v>
      </c>
      <c r="Z108">
        <f>COUNTIF(P3:P50,"metacell-125")</f>
        <v>0</v>
      </c>
      <c r="AA108">
        <f>COUNTIF(S3:S18,"metacell-125")</f>
        <v>0</v>
      </c>
      <c r="AB108" t="s">
        <v>509</v>
      </c>
      <c r="AC108" t="s">
        <v>509</v>
      </c>
      <c r="AD108">
        <f t="shared" si="1"/>
        <v>0</v>
      </c>
    </row>
    <row r="109" spans="1:30" x14ac:dyDescent="0.25">
      <c r="A109" s="54" t="s">
        <v>234</v>
      </c>
      <c r="B109" s="62">
        <v>3</v>
      </c>
      <c r="C109" s="2">
        <v>2</v>
      </c>
      <c r="D109" s="2">
        <v>1</v>
      </c>
      <c r="E109" s="2">
        <v>5</v>
      </c>
      <c r="F109" s="2">
        <v>14</v>
      </c>
      <c r="G109" s="2">
        <v>8</v>
      </c>
      <c r="H109" s="2">
        <v>12</v>
      </c>
      <c r="I109" s="2" t="s">
        <v>509</v>
      </c>
      <c r="J109" s="2" t="s">
        <v>509</v>
      </c>
      <c r="K109" s="2" t="s">
        <v>509</v>
      </c>
      <c r="L109" s="4" t="s">
        <v>509</v>
      </c>
      <c r="M109" s="3" t="s">
        <v>234</v>
      </c>
      <c r="N109" s="2">
        <f t="shared" si="0"/>
        <v>45</v>
      </c>
      <c r="O109" s="4">
        <v>7</v>
      </c>
      <c r="Q109" s="3" t="s">
        <v>236</v>
      </c>
      <c r="R109" s="4">
        <v>3</v>
      </c>
      <c r="T109" t="s">
        <v>195</v>
      </c>
      <c r="U109">
        <f>COUNTIF(A3:A7,"metacell-129")</f>
        <v>0</v>
      </c>
      <c r="V109">
        <f>COUNTIF(D3:D12,"metacell-129")</f>
        <v>0</v>
      </c>
      <c r="W109">
        <f>COUNTIF(G3:G9,"metacell-129")</f>
        <v>0</v>
      </c>
      <c r="X109">
        <f>COUNTIF(J3:J9,"metacell-129")</f>
        <v>0</v>
      </c>
      <c r="Y109">
        <f>COUNTIF(M3:M9,"metacell-129")</f>
        <v>0</v>
      </c>
      <c r="Z109">
        <f>COUNTIF(P3:P50,"metacell-129")</f>
        <v>0</v>
      </c>
      <c r="AA109">
        <f>COUNTIF(S3:S18,"metacell-129")</f>
        <v>0</v>
      </c>
      <c r="AB109" t="s">
        <v>509</v>
      </c>
      <c r="AC109" t="s">
        <v>509</v>
      </c>
      <c r="AD109">
        <f t="shared" si="1"/>
        <v>0</v>
      </c>
    </row>
    <row r="110" spans="1:30" x14ac:dyDescent="0.25">
      <c r="A110" s="67" t="s">
        <v>1</v>
      </c>
      <c r="B110" s="62">
        <v>10</v>
      </c>
      <c r="C110" s="2">
        <v>4</v>
      </c>
      <c r="D110" s="2">
        <v>7</v>
      </c>
      <c r="E110" s="2">
        <v>6</v>
      </c>
      <c r="F110" s="2">
        <v>9</v>
      </c>
      <c r="G110" s="2">
        <v>8</v>
      </c>
      <c r="H110" s="2">
        <v>12</v>
      </c>
      <c r="I110" s="2" t="s">
        <v>509</v>
      </c>
      <c r="J110" s="2" t="s">
        <v>509</v>
      </c>
      <c r="K110" s="2" t="s">
        <v>509</v>
      </c>
      <c r="L110" s="4" t="s">
        <v>509</v>
      </c>
      <c r="M110" s="3" t="s">
        <v>1</v>
      </c>
      <c r="N110" s="2">
        <f t="shared" si="0"/>
        <v>56</v>
      </c>
      <c r="O110" s="4">
        <v>8</v>
      </c>
      <c r="Q110" s="3" t="s">
        <v>95</v>
      </c>
      <c r="R110" s="4">
        <v>3</v>
      </c>
      <c r="T110" t="s">
        <v>196</v>
      </c>
      <c r="U110">
        <f>COUNTIF(A3:A7,"metacell-130")</f>
        <v>0</v>
      </c>
      <c r="V110">
        <f>COUNTIF(D3:D12,"metacell-130")</f>
        <v>0</v>
      </c>
      <c r="W110">
        <f>COUNTIF(G3:G9,"metacell-130")</f>
        <v>0</v>
      </c>
      <c r="X110">
        <f>COUNTIF(J3:J9,"metacell-130")</f>
        <v>0</v>
      </c>
      <c r="Y110">
        <f>COUNTIF(M3:M9,"metacell-130")</f>
        <v>0</v>
      </c>
      <c r="Z110">
        <f>COUNTIF(P3:P50,"metacell-130")</f>
        <v>0</v>
      </c>
      <c r="AA110">
        <f>COUNTIF(S3:S18,"metacell-130")</f>
        <v>1</v>
      </c>
      <c r="AB110" t="s">
        <v>509</v>
      </c>
      <c r="AC110" t="s">
        <v>509</v>
      </c>
      <c r="AD110">
        <f t="shared" si="1"/>
        <v>1</v>
      </c>
    </row>
    <row r="111" spans="1:30" x14ac:dyDescent="0.25">
      <c r="A111" s="67" t="s">
        <v>94</v>
      </c>
      <c r="B111" s="62">
        <v>13</v>
      </c>
      <c r="C111" s="2">
        <v>7</v>
      </c>
      <c r="D111" s="2">
        <v>8</v>
      </c>
      <c r="E111" s="2">
        <v>26</v>
      </c>
      <c r="F111" s="2">
        <v>4</v>
      </c>
      <c r="G111" s="2">
        <v>4</v>
      </c>
      <c r="H111" s="2">
        <v>8</v>
      </c>
      <c r="I111" s="2" t="s">
        <v>509</v>
      </c>
      <c r="J111" s="2" t="s">
        <v>509</v>
      </c>
      <c r="K111" s="2" t="s">
        <v>509</v>
      </c>
      <c r="L111" s="4" t="s">
        <v>509</v>
      </c>
      <c r="M111" s="3" t="s">
        <v>94</v>
      </c>
      <c r="N111" s="2">
        <f t="shared" si="0"/>
        <v>70</v>
      </c>
      <c r="O111" s="4">
        <v>9</v>
      </c>
      <c r="Q111" s="3" t="s">
        <v>101</v>
      </c>
      <c r="R111" s="4">
        <v>3</v>
      </c>
      <c r="T111" t="s">
        <v>203</v>
      </c>
      <c r="U111">
        <f>COUNTIF(A3:A7,"metacell-137")</f>
        <v>0</v>
      </c>
      <c r="V111">
        <f>COUNTIF(D3:D12,"metacell-137")</f>
        <v>0</v>
      </c>
      <c r="W111">
        <f>COUNTIF(G3:G9,"metacell-137")</f>
        <v>0</v>
      </c>
      <c r="X111">
        <f>COUNTIF(J3:J9,"metacell-137")</f>
        <v>0</v>
      </c>
      <c r="Y111">
        <f>COUNTIF(M3:M9,"metacell-137")</f>
        <v>0</v>
      </c>
      <c r="Z111">
        <f>COUNTIF(P3:P50,"metacell-137")</f>
        <v>1</v>
      </c>
      <c r="AA111">
        <f>COUNTIF(S3:S18,"metacell-137")</f>
        <v>0</v>
      </c>
      <c r="AB111" t="s">
        <v>509</v>
      </c>
      <c r="AC111" t="s">
        <v>509</v>
      </c>
      <c r="AD111">
        <f t="shared" si="1"/>
        <v>1</v>
      </c>
    </row>
    <row r="112" spans="1:30" x14ac:dyDescent="0.25">
      <c r="A112" s="54" t="s">
        <v>101</v>
      </c>
      <c r="B112" s="62">
        <v>1</v>
      </c>
      <c r="C112" s="2">
        <v>5</v>
      </c>
      <c r="D112" s="2">
        <v>4</v>
      </c>
      <c r="E112" s="2">
        <v>27</v>
      </c>
      <c r="F112" s="2">
        <v>12</v>
      </c>
      <c r="G112" s="2">
        <v>7</v>
      </c>
      <c r="H112" s="2">
        <v>14</v>
      </c>
      <c r="I112" s="2" t="s">
        <v>509</v>
      </c>
      <c r="J112" s="2" t="s">
        <v>509</v>
      </c>
      <c r="K112" s="2" t="s">
        <v>509</v>
      </c>
      <c r="L112" s="4" t="s">
        <v>509</v>
      </c>
      <c r="M112" s="3" t="s">
        <v>101</v>
      </c>
      <c r="N112" s="2">
        <f t="shared" si="0"/>
        <v>70</v>
      </c>
      <c r="O112" s="4">
        <v>9</v>
      </c>
      <c r="Q112" s="3" t="s">
        <v>682</v>
      </c>
      <c r="R112" s="4">
        <v>3</v>
      </c>
      <c r="T112" t="s">
        <v>206</v>
      </c>
      <c r="U112">
        <f>COUNTIF(A3:A7,"metacell-140")</f>
        <v>0</v>
      </c>
      <c r="V112">
        <f>COUNTIF(D3:D12,"metacell-140")</f>
        <v>0</v>
      </c>
      <c r="W112">
        <f>COUNTIF(G3:G9,"metacell-140")</f>
        <v>0</v>
      </c>
      <c r="X112">
        <f>COUNTIF(J3:J9,"metacell-140")</f>
        <v>0</v>
      </c>
      <c r="Y112">
        <f>COUNTIF(M3:M9,"metacell-140")</f>
        <v>0</v>
      </c>
      <c r="Z112">
        <f>COUNTIF(P3:P50,"metacell-140")</f>
        <v>1</v>
      </c>
      <c r="AA112">
        <f>COUNTIF(S3:S18,"metacell-140")</f>
        <v>1</v>
      </c>
      <c r="AB112" t="s">
        <v>509</v>
      </c>
      <c r="AC112" t="s">
        <v>509</v>
      </c>
      <c r="AD112">
        <f t="shared" si="1"/>
        <v>2</v>
      </c>
    </row>
    <row r="113" spans="1:30" x14ac:dyDescent="0.25">
      <c r="A113" s="67" t="s">
        <v>732</v>
      </c>
      <c r="B113" s="62">
        <v>16</v>
      </c>
      <c r="C113" s="2">
        <v>8</v>
      </c>
      <c r="D113" s="2">
        <v>12</v>
      </c>
      <c r="E113" s="2">
        <v>9</v>
      </c>
      <c r="F113" s="2">
        <v>8</v>
      </c>
      <c r="G113" s="2">
        <v>4</v>
      </c>
      <c r="H113" s="2">
        <v>14</v>
      </c>
      <c r="I113" s="2" t="s">
        <v>509</v>
      </c>
      <c r="J113" s="2" t="s">
        <v>509</v>
      </c>
      <c r="K113" s="2" t="s">
        <v>509</v>
      </c>
      <c r="L113" s="4" t="s">
        <v>509</v>
      </c>
      <c r="M113" s="3" t="s">
        <v>732</v>
      </c>
      <c r="N113" s="2">
        <f t="shared" si="0"/>
        <v>71</v>
      </c>
      <c r="O113" s="4">
        <v>10</v>
      </c>
      <c r="Q113" s="3" t="s">
        <v>206</v>
      </c>
      <c r="R113" s="4">
        <v>2</v>
      </c>
      <c r="T113" t="s">
        <v>216</v>
      </c>
      <c r="U113">
        <f>COUNTIF(A3:A7,"metacell-150")</f>
        <v>0</v>
      </c>
      <c r="V113">
        <f>COUNTIF(D3:D12,"metacell-150")</f>
        <v>0</v>
      </c>
      <c r="W113">
        <f>COUNTIF(G3:G9,"metacell-150")</f>
        <v>0</v>
      </c>
      <c r="X113">
        <f>COUNTIF(J3:J9,"metacell-150")</f>
        <v>0</v>
      </c>
      <c r="Y113">
        <f>COUNTIF(M3:M9,"metacell-150")</f>
        <v>0</v>
      </c>
      <c r="Z113">
        <f>COUNTIF(P3:P50,"metacell-150")</f>
        <v>1</v>
      </c>
      <c r="AA113">
        <f>COUNTIF(S3:S18,"metacell-150")</f>
        <v>0</v>
      </c>
      <c r="AB113" t="s">
        <v>509</v>
      </c>
      <c r="AC113" t="s">
        <v>509</v>
      </c>
      <c r="AD113">
        <f t="shared" si="1"/>
        <v>1</v>
      </c>
    </row>
    <row r="114" spans="1:30" x14ac:dyDescent="0.25">
      <c r="A114" s="67" t="s">
        <v>95</v>
      </c>
      <c r="B114" s="62">
        <v>14</v>
      </c>
      <c r="C114" s="2">
        <v>13</v>
      </c>
      <c r="D114" s="2">
        <v>11</v>
      </c>
      <c r="E114" s="2">
        <v>27</v>
      </c>
      <c r="F114" s="2">
        <v>4</v>
      </c>
      <c r="G114" s="2">
        <v>3</v>
      </c>
      <c r="H114" s="2">
        <v>3</v>
      </c>
      <c r="I114" s="2" t="s">
        <v>509</v>
      </c>
      <c r="J114" s="2" t="s">
        <v>509</v>
      </c>
      <c r="K114" s="2" t="s">
        <v>509</v>
      </c>
      <c r="L114" s="4" t="s">
        <v>509</v>
      </c>
      <c r="M114" s="3" t="s">
        <v>95</v>
      </c>
      <c r="N114" s="2">
        <f t="shared" si="0"/>
        <v>75</v>
      </c>
      <c r="O114" s="4">
        <v>11</v>
      </c>
      <c r="Q114" s="3" t="s">
        <v>239</v>
      </c>
      <c r="R114" s="4">
        <v>2</v>
      </c>
      <c r="T114" t="s">
        <v>222</v>
      </c>
      <c r="U114">
        <f>COUNTIF(A3:A7,"metacell-156")</f>
        <v>0</v>
      </c>
      <c r="V114">
        <f>COUNTIF(D3:D12,"metacell-156")</f>
        <v>0</v>
      </c>
      <c r="W114">
        <f>COUNTIF(G3:G9,"metacell-156")</f>
        <v>0</v>
      </c>
      <c r="X114">
        <f>COUNTIF(J3:J9,"metacell-156")</f>
        <v>0</v>
      </c>
      <c r="Y114">
        <f>COUNTIF(M3:M9,"metacell-156")</f>
        <v>0</v>
      </c>
      <c r="Z114">
        <f>COUNTIF(P3:P50,"metacell-156")</f>
        <v>0</v>
      </c>
      <c r="AA114">
        <f>COUNTIF(S3:S18,"metacell-156")</f>
        <v>0</v>
      </c>
      <c r="AB114" t="s">
        <v>509</v>
      </c>
      <c r="AC114" t="s">
        <v>509</v>
      </c>
      <c r="AD114">
        <f t="shared" si="1"/>
        <v>0</v>
      </c>
    </row>
    <row r="115" spans="1:30" x14ac:dyDescent="0.25">
      <c r="A115" s="54" t="s">
        <v>99</v>
      </c>
      <c r="B115" s="62">
        <v>2</v>
      </c>
      <c r="C115" s="2">
        <v>9</v>
      </c>
      <c r="D115" s="2">
        <v>9</v>
      </c>
      <c r="E115" s="2">
        <v>27</v>
      </c>
      <c r="F115" s="2">
        <v>11</v>
      </c>
      <c r="G115" s="2">
        <v>5</v>
      </c>
      <c r="H115" s="2">
        <v>14</v>
      </c>
      <c r="I115" s="2" t="s">
        <v>509</v>
      </c>
      <c r="J115" s="2" t="s">
        <v>509</v>
      </c>
      <c r="K115" s="2" t="s">
        <v>509</v>
      </c>
      <c r="L115" s="4" t="s">
        <v>509</v>
      </c>
      <c r="M115" s="3" t="s">
        <v>99</v>
      </c>
      <c r="N115" s="2">
        <f t="shared" si="0"/>
        <v>77</v>
      </c>
      <c r="O115" s="4">
        <v>12</v>
      </c>
      <c r="Q115" s="3" t="s">
        <v>94</v>
      </c>
      <c r="R115" s="4">
        <v>2</v>
      </c>
      <c r="T115" t="s">
        <v>223</v>
      </c>
      <c r="U115">
        <f>COUNTIF(A3:A7,"metacell-157")</f>
        <v>0</v>
      </c>
      <c r="V115">
        <f>COUNTIF(D3:D12,"metacell-157")</f>
        <v>0</v>
      </c>
      <c r="W115">
        <f>COUNTIF(G3:G9,"metacell-157")</f>
        <v>0</v>
      </c>
      <c r="X115">
        <f>COUNTIF(J3:J9,"metacell-157")</f>
        <v>0</v>
      </c>
      <c r="Y115">
        <f>COUNTIF(M3:M9,"metacell-157")</f>
        <v>0</v>
      </c>
      <c r="Z115">
        <f>COUNTIF(P3:P50,"metacell-157")</f>
        <v>0</v>
      </c>
      <c r="AA115">
        <f>COUNTIF(S3:S18,"metacell-157")</f>
        <v>0</v>
      </c>
      <c r="AB115" t="s">
        <v>509</v>
      </c>
      <c r="AC115" t="s">
        <v>509</v>
      </c>
      <c r="AD115">
        <f t="shared" si="1"/>
        <v>0</v>
      </c>
    </row>
    <row r="116" spans="1:30" x14ac:dyDescent="0.25">
      <c r="A116" s="67" t="s">
        <v>187</v>
      </c>
      <c r="B116" s="62">
        <v>17</v>
      </c>
      <c r="C116" s="2">
        <v>13</v>
      </c>
      <c r="D116" s="2">
        <v>14</v>
      </c>
      <c r="E116" s="2">
        <v>22</v>
      </c>
      <c r="F116" s="2">
        <v>6</v>
      </c>
      <c r="G116" s="2">
        <v>2</v>
      </c>
      <c r="H116" s="2">
        <v>6</v>
      </c>
      <c r="I116" s="2" t="s">
        <v>509</v>
      </c>
      <c r="J116" s="2" t="s">
        <v>509</v>
      </c>
      <c r="K116" s="2" t="s">
        <v>509</v>
      </c>
      <c r="L116" s="4" t="s">
        <v>509</v>
      </c>
      <c r="M116" s="3" t="s">
        <v>187</v>
      </c>
      <c r="N116" s="2">
        <f t="shared" si="0"/>
        <v>80</v>
      </c>
      <c r="O116" s="4">
        <v>13</v>
      </c>
      <c r="Q116" s="3" t="s">
        <v>355</v>
      </c>
      <c r="R116" s="4">
        <v>2</v>
      </c>
      <c r="T116" t="s">
        <v>226</v>
      </c>
      <c r="U116">
        <f>COUNTIF(A3:A7,"metacell-160")</f>
        <v>0</v>
      </c>
      <c r="V116">
        <f>COUNTIF(D3:D12,"metacell-160")</f>
        <v>0</v>
      </c>
      <c r="W116">
        <f>COUNTIF(G3:G9,"metacell-160")</f>
        <v>0</v>
      </c>
      <c r="X116">
        <f>COUNTIF(J3:J9,"metacell-160")</f>
        <v>0</v>
      </c>
      <c r="Y116">
        <f>COUNTIF(M3:M9,"metacell-160")</f>
        <v>0</v>
      </c>
      <c r="Z116">
        <f>COUNTIF(P3:P50,"metacell-160")</f>
        <v>1</v>
      </c>
      <c r="AA116">
        <f>COUNTIF(S3:S18,"metacell-160")</f>
        <v>0</v>
      </c>
      <c r="AB116" t="s">
        <v>509</v>
      </c>
      <c r="AC116" t="s">
        <v>509</v>
      </c>
      <c r="AD116">
        <f t="shared" si="1"/>
        <v>1</v>
      </c>
    </row>
    <row r="117" spans="1:30" x14ac:dyDescent="0.25">
      <c r="A117" s="67" t="s">
        <v>709</v>
      </c>
      <c r="B117" s="62">
        <v>15</v>
      </c>
      <c r="C117" s="2">
        <v>8</v>
      </c>
      <c r="D117" s="2">
        <v>13</v>
      </c>
      <c r="E117" s="2">
        <v>14</v>
      </c>
      <c r="F117" s="2">
        <v>11</v>
      </c>
      <c r="G117" s="2">
        <v>9</v>
      </c>
      <c r="H117" s="2">
        <v>12</v>
      </c>
      <c r="I117" s="2" t="s">
        <v>509</v>
      </c>
      <c r="J117" s="2" t="s">
        <v>509</v>
      </c>
      <c r="K117" s="2" t="s">
        <v>509</v>
      </c>
      <c r="L117" s="4" t="s">
        <v>509</v>
      </c>
      <c r="M117" s="3" t="s">
        <v>709</v>
      </c>
      <c r="N117" s="2">
        <f t="shared" si="0"/>
        <v>82</v>
      </c>
      <c r="O117" s="4">
        <v>14</v>
      </c>
      <c r="Q117" s="3" t="s">
        <v>708</v>
      </c>
      <c r="R117" s="4">
        <v>2</v>
      </c>
      <c r="T117" t="s">
        <v>228</v>
      </c>
      <c r="U117">
        <f>COUNTIF(A3:A7,"metacell-162")</f>
        <v>0</v>
      </c>
      <c r="V117">
        <f>COUNTIF(D3:D12,"metacell-162")</f>
        <v>0</v>
      </c>
      <c r="W117">
        <f>COUNTIF(G3:G9,"metacell-162")</f>
        <v>0</v>
      </c>
      <c r="X117">
        <f>COUNTIF(J3:J9,"metacell-162")</f>
        <v>0</v>
      </c>
      <c r="Y117">
        <f>COUNTIF(M3:M9,"metacell-162")</f>
        <v>0</v>
      </c>
      <c r="Z117">
        <f>COUNTIF(P3:P50,"metacell-162")</f>
        <v>1</v>
      </c>
      <c r="AA117">
        <f>COUNTIF(S3:S18,"metacell-162")</f>
        <v>0</v>
      </c>
      <c r="AB117" t="s">
        <v>509</v>
      </c>
      <c r="AC117" t="s">
        <v>509</v>
      </c>
      <c r="AD117">
        <f t="shared" si="1"/>
        <v>1</v>
      </c>
    </row>
    <row r="118" spans="1:30" x14ac:dyDescent="0.25">
      <c r="A118" s="54" t="s">
        <v>100</v>
      </c>
      <c r="B118" s="62">
        <v>5</v>
      </c>
      <c r="C118" s="2">
        <v>6</v>
      </c>
      <c r="D118" s="2">
        <v>6</v>
      </c>
      <c r="E118" s="2">
        <v>30</v>
      </c>
      <c r="F118" s="2">
        <v>14</v>
      </c>
      <c r="G118" s="2">
        <v>6</v>
      </c>
      <c r="H118" s="2">
        <v>16</v>
      </c>
      <c r="I118" s="2" t="s">
        <v>509</v>
      </c>
      <c r="J118" s="2" t="s">
        <v>509</v>
      </c>
      <c r="K118" s="2" t="s">
        <v>509</v>
      </c>
      <c r="L118" s="4" t="s">
        <v>509</v>
      </c>
      <c r="M118" s="3" t="s">
        <v>100</v>
      </c>
      <c r="N118" s="2">
        <f t="shared" si="0"/>
        <v>83</v>
      </c>
      <c r="O118" s="4">
        <v>15</v>
      </c>
      <c r="Q118" s="3" t="s">
        <v>710</v>
      </c>
      <c r="R118" s="4">
        <v>2</v>
      </c>
      <c r="T118" t="s">
        <v>232</v>
      </c>
      <c r="U118">
        <f>COUNTIF(A3:A7,"metacell-166")</f>
        <v>0</v>
      </c>
      <c r="V118">
        <f>COUNTIF(D3:D12,"metacell-166")</f>
        <v>1</v>
      </c>
      <c r="W118">
        <f>COUNTIF(G3:G9,"metacell-166")</f>
        <v>1</v>
      </c>
      <c r="X118">
        <f>COUNTIF(J3:J9,"metacell-166")</f>
        <v>1</v>
      </c>
      <c r="Y118">
        <f>COUNTIF(M3:M9,"metacell-166")</f>
        <v>1</v>
      </c>
      <c r="Z118">
        <f>COUNTIF(P3:P50,"metacell-166")</f>
        <v>1</v>
      </c>
      <c r="AA118">
        <f>COUNTIF(S3:S18,"metacell-166")</f>
        <v>1</v>
      </c>
      <c r="AB118" t="s">
        <v>509</v>
      </c>
      <c r="AC118" t="s">
        <v>509</v>
      </c>
      <c r="AD118">
        <f t="shared" si="1"/>
        <v>6</v>
      </c>
    </row>
    <row r="119" spans="1:30" x14ac:dyDescent="0.25">
      <c r="A119" s="67" t="s">
        <v>196</v>
      </c>
      <c r="B119" s="62">
        <v>36</v>
      </c>
      <c r="C119" s="2">
        <v>10</v>
      </c>
      <c r="D119" s="2">
        <v>16</v>
      </c>
      <c r="E119" s="2">
        <v>9</v>
      </c>
      <c r="F119" s="2">
        <v>11</v>
      </c>
      <c r="G119" s="2">
        <v>8</v>
      </c>
      <c r="H119" s="2">
        <v>4</v>
      </c>
      <c r="I119" s="2" t="s">
        <v>509</v>
      </c>
      <c r="J119" s="2" t="s">
        <v>509</v>
      </c>
      <c r="K119" s="2" t="s">
        <v>509</v>
      </c>
      <c r="L119" s="4" t="s">
        <v>509</v>
      </c>
      <c r="M119" s="3" t="s">
        <v>196</v>
      </c>
      <c r="N119" s="2">
        <f t="shared" si="0"/>
        <v>94</v>
      </c>
      <c r="O119" s="4">
        <v>16</v>
      </c>
      <c r="Q119" s="3" t="s">
        <v>98</v>
      </c>
      <c r="R119" s="4">
        <v>2</v>
      </c>
      <c r="T119" t="s">
        <v>233</v>
      </c>
      <c r="U119">
        <f>COUNTIF(A3:A7,"metacell-167")</f>
        <v>0</v>
      </c>
      <c r="V119">
        <f>COUNTIF(D3:D12,"metacell-167")</f>
        <v>1</v>
      </c>
      <c r="W119">
        <f>COUNTIF(G3:G9,"metacell-167")</f>
        <v>1</v>
      </c>
      <c r="X119">
        <f>COUNTIF(J3:J9,"metacell-167")</f>
        <v>1</v>
      </c>
      <c r="Y119">
        <f>COUNTIF(M3:M9,"metacell-167")</f>
        <v>0</v>
      </c>
      <c r="Z119">
        <f>COUNTIF(P3:P50,"metacell-167")</f>
        <v>1</v>
      </c>
      <c r="AA119">
        <f>COUNTIF(S3:S18,"metacell-167")</f>
        <v>0</v>
      </c>
      <c r="AB119" t="s">
        <v>509</v>
      </c>
      <c r="AC119" t="s">
        <v>509</v>
      </c>
      <c r="AD119">
        <f t="shared" si="1"/>
        <v>4</v>
      </c>
    </row>
    <row r="120" spans="1:30" x14ac:dyDescent="0.25">
      <c r="A120" s="67" t="s">
        <v>206</v>
      </c>
      <c r="B120" s="62">
        <v>38</v>
      </c>
      <c r="C120" s="2">
        <v>11</v>
      </c>
      <c r="D120" s="2">
        <v>15</v>
      </c>
      <c r="E120" s="2">
        <v>11</v>
      </c>
      <c r="F120" s="2">
        <v>11</v>
      </c>
      <c r="G120" s="2">
        <v>4</v>
      </c>
      <c r="H120" s="2">
        <v>4</v>
      </c>
      <c r="I120" s="2" t="s">
        <v>509</v>
      </c>
      <c r="J120" s="2" t="s">
        <v>509</v>
      </c>
      <c r="K120" s="2" t="s">
        <v>509</v>
      </c>
      <c r="L120" s="4" t="s">
        <v>509</v>
      </c>
      <c r="M120" s="3" t="s">
        <v>206</v>
      </c>
      <c r="N120" s="2">
        <f t="shared" si="0"/>
        <v>94</v>
      </c>
      <c r="O120" s="4">
        <v>16</v>
      </c>
      <c r="Q120" s="3" t="s">
        <v>99</v>
      </c>
      <c r="R120" s="4">
        <v>2</v>
      </c>
      <c r="T120" t="s">
        <v>234</v>
      </c>
      <c r="U120">
        <f>COUNTIF(A3:A7,"metacell-168")</f>
        <v>1</v>
      </c>
      <c r="V120">
        <f>COUNTIF(D3:D12,"metacell-168")</f>
        <v>1</v>
      </c>
      <c r="W120">
        <f>COUNTIF(G3:G9,"metacell-168")</f>
        <v>1</v>
      </c>
      <c r="X120">
        <f>COUNTIF(J3:J9,"metacell-168")</f>
        <v>1</v>
      </c>
      <c r="Y120">
        <f>COUNTIF(M3:M9,"metacell-168")</f>
        <v>0</v>
      </c>
      <c r="Z120">
        <f>COUNTIF(P3:P50,"metacell-168")</f>
        <v>0</v>
      </c>
      <c r="AA120">
        <f>COUNTIF(S3:S18,"metacell-168")</f>
        <v>0</v>
      </c>
      <c r="AB120" t="s">
        <v>509</v>
      </c>
      <c r="AC120" t="s">
        <v>509</v>
      </c>
      <c r="AD120">
        <f t="shared" si="1"/>
        <v>4</v>
      </c>
    </row>
    <row r="121" spans="1:30" x14ac:dyDescent="0.25">
      <c r="A121" s="67" t="s">
        <v>248</v>
      </c>
      <c r="B121" s="62">
        <v>25</v>
      </c>
      <c r="C121" s="2">
        <v>13</v>
      </c>
      <c r="D121" s="2">
        <v>20</v>
      </c>
      <c r="E121" s="2">
        <v>19</v>
      </c>
      <c r="F121" s="2">
        <v>7</v>
      </c>
      <c r="G121" s="2">
        <v>4</v>
      </c>
      <c r="H121" s="2">
        <v>10</v>
      </c>
      <c r="I121" s="2" t="s">
        <v>509</v>
      </c>
      <c r="J121" s="2" t="s">
        <v>509</v>
      </c>
      <c r="K121" s="2" t="s">
        <v>509</v>
      </c>
      <c r="L121" s="4" t="s">
        <v>509</v>
      </c>
      <c r="M121" s="3" t="s">
        <v>248</v>
      </c>
      <c r="N121" s="2">
        <f t="shared" si="0"/>
        <v>98</v>
      </c>
      <c r="O121" s="4">
        <v>17</v>
      </c>
      <c r="Q121" s="3" t="s">
        <v>669</v>
      </c>
      <c r="R121" s="4">
        <v>2</v>
      </c>
      <c r="T121" t="s">
        <v>1</v>
      </c>
      <c r="U121">
        <f>COUNTIF(A3:A7,"metacell-169")</f>
        <v>0</v>
      </c>
      <c r="V121">
        <f>COUNTIF(D3:D12,"metacell-169")</f>
        <v>1</v>
      </c>
      <c r="W121">
        <f>COUNTIF(G3:G9,"metacell-169")</f>
        <v>0</v>
      </c>
      <c r="X121">
        <f>COUNTIF(J3:J9,"metacell-169")</f>
        <v>0</v>
      </c>
      <c r="Y121">
        <f>COUNTIF(M3:M9,"metacell-169")</f>
        <v>0</v>
      </c>
      <c r="Z121">
        <f>COUNTIF(P3:P50,"metacell-169")</f>
        <v>0</v>
      </c>
      <c r="AA121">
        <f>COUNTIF(S3:S18,"metacell-169")</f>
        <v>0</v>
      </c>
      <c r="AB121" t="s">
        <v>509</v>
      </c>
      <c r="AC121" t="s">
        <v>509</v>
      </c>
      <c r="AD121">
        <f t="shared" si="1"/>
        <v>1</v>
      </c>
    </row>
    <row r="122" spans="1:30" x14ac:dyDescent="0.25">
      <c r="A122" s="67" t="s">
        <v>682</v>
      </c>
      <c r="B122" s="62">
        <v>34</v>
      </c>
      <c r="C122" s="2">
        <v>16</v>
      </c>
      <c r="D122" s="2">
        <v>20</v>
      </c>
      <c r="E122" s="2">
        <v>19</v>
      </c>
      <c r="F122" s="2">
        <v>5</v>
      </c>
      <c r="G122" s="2">
        <v>4</v>
      </c>
      <c r="H122" s="2">
        <v>1</v>
      </c>
      <c r="I122" s="2" t="s">
        <v>509</v>
      </c>
      <c r="J122" s="2" t="s">
        <v>509</v>
      </c>
      <c r="K122" s="2" t="s">
        <v>509</v>
      </c>
      <c r="L122" s="4" t="s">
        <v>509</v>
      </c>
      <c r="M122" s="3" t="s">
        <v>682</v>
      </c>
      <c r="N122" s="2">
        <f t="shared" si="0"/>
        <v>99</v>
      </c>
      <c r="O122" s="4">
        <v>18</v>
      </c>
      <c r="Q122" s="3" t="s">
        <v>180</v>
      </c>
      <c r="R122" s="4">
        <v>1</v>
      </c>
      <c r="T122" t="s">
        <v>235</v>
      </c>
      <c r="U122">
        <f>COUNTIF(A3:A7,"metacell-170")</f>
        <v>0</v>
      </c>
      <c r="V122">
        <f>COUNTIF(D3:D12,"metacell-170")</f>
        <v>1</v>
      </c>
      <c r="W122">
        <f>COUNTIF(G3:G9,"metacell-170")</f>
        <v>1</v>
      </c>
      <c r="X122">
        <f>COUNTIF(J3:J9,"metacell-170")</f>
        <v>1</v>
      </c>
      <c r="Y122">
        <f>COUNTIF(M3:M9,"metacell-170")</f>
        <v>0</v>
      </c>
      <c r="Z122">
        <f>COUNTIF(P3:P50,"metacell-170")</f>
        <v>1</v>
      </c>
      <c r="AA122">
        <f>COUNTIF(S3:S18,"metacell-170")</f>
        <v>0</v>
      </c>
      <c r="AB122" t="s">
        <v>509</v>
      </c>
      <c r="AC122" t="s">
        <v>509</v>
      </c>
      <c r="AD122">
        <f t="shared" si="1"/>
        <v>4</v>
      </c>
    </row>
    <row r="123" spans="1:30" x14ac:dyDescent="0.25">
      <c r="A123" s="67" t="s">
        <v>181</v>
      </c>
      <c r="B123" s="62">
        <v>24</v>
      </c>
      <c r="C123" s="2">
        <v>13</v>
      </c>
      <c r="D123" s="2">
        <v>18</v>
      </c>
      <c r="E123" s="2">
        <v>18</v>
      </c>
      <c r="F123" s="2">
        <v>13</v>
      </c>
      <c r="G123" s="2">
        <v>6</v>
      </c>
      <c r="H123" s="2">
        <v>8</v>
      </c>
      <c r="I123" s="2" t="s">
        <v>509</v>
      </c>
      <c r="J123" s="2" t="s">
        <v>509</v>
      </c>
      <c r="K123" s="2" t="s">
        <v>509</v>
      </c>
      <c r="L123" s="4" t="s">
        <v>509</v>
      </c>
      <c r="M123" s="3" t="s">
        <v>181</v>
      </c>
      <c r="N123" s="2">
        <f t="shared" si="0"/>
        <v>100</v>
      </c>
      <c r="O123" s="4">
        <v>19</v>
      </c>
      <c r="Q123" s="3" t="s">
        <v>183</v>
      </c>
      <c r="R123" s="4">
        <v>1</v>
      </c>
      <c r="T123" t="s">
        <v>236</v>
      </c>
      <c r="U123">
        <f>COUNTIF(A3:A7,"metacell-171")</f>
        <v>0</v>
      </c>
      <c r="V123">
        <f>COUNTIF(D3:D12,"metacell-171")</f>
        <v>1</v>
      </c>
      <c r="W123">
        <f>COUNTIF(G3:G9,"metacell-171")</f>
        <v>0</v>
      </c>
      <c r="X123">
        <f>COUNTIF(J3:J9,"metacell-171")</f>
        <v>0</v>
      </c>
      <c r="Y123">
        <f>COUNTIF(M3:M9,"metacell-171")</f>
        <v>1</v>
      </c>
      <c r="Z123">
        <f>COUNTIF(P3:P50,"metacell-171")</f>
        <v>1</v>
      </c>
      <c r="AA123">
        <f>COUNTIF(S3:S18,"metacell-171")</f>
        <v>0</v>
      </c>
      <c r="AB123" t="s">
        <v>509</v>
      </c>
      <c r="AC123" t="s">
        <v>509</v>
      </c>
      <c r="AD123">
        <f t="shared" si="1"/>
        <v>3</v>
      </c>
    </row>
    <row r="124" spans="1:30" x14ac:dyDescent="0.25">
      <c r="A124" s="67" t="s">
        <v>223</v>
      </c>
      <c r="B124" s="62">
        <v>36</v>
      </c>
      <c r="C124" s="2">
        <v>11</v>
      </c>
      <c r="D124" s="2">
        <v>18</v>
      </c>
      <c r="E124" s="2">
        <v>10</v>
      </c>
      <c r="F124" s="2">
        <v>12</v>
      </c>
      <c r="G124" s="2">
        <v>8</v>
      </c>
      <c r="H124" s="2">
        <v>6</v>
      </c>
      <c r="I124" s="2" t="s">
        <v>509</v>
      </c>
      <c r="J124" s="2" t="s">
        <v>509</v>
      </c>
      <c r="K124" s="2" t="s">
        <v>509</v>
      </c>
      <c r="L124" s="4" t="s">
        <v>509</v>
      </c>
      <c r="M124" s="3" t="s">
        <v>223</v>
      </c>
      <c r="N124" s="2">
        <f t="shared" si="0"/>
        <v>101</v>
      </c>
      <c r="O124" s="4">
        <v>20</v>
      </c>
      <c r="Q124" s="3" t="s">
        <v>184</v>
      </c>
      <c r="R124" s="4">
        <v>1</v>
      </c>
      <c r="T124" t="s">
        <v>11</v>
      </c>
      <c r="U124">
        <f>COUNTIF(A3:A7,"metacell-172")</f>
        <v>1</v>
      </c>
      <c r="V124">
        <f>COUNTIF(D3:D12,"metacell-172")</f>
        <v>1</v>
      </c>
      <c r="W124">
        <f>COUNTIF(G3:G9,"metacell-172")</f>
        <v>1</v>
      </c>
      <c r="X124">
        <f>COUNTIF(J3:J9,"metacell-172")</f>
        <v>1</v>
      </c>
      <c r="Y124">
        <f>COUNTIF(M3:M9,"metacell-172")</f>
        <v>0</v>
      </c>
      <c r="Z124">
        <f>COUNTIF(P3:P50,"metacell-172")</f>
        <v>1</v>
      </c>
      <c r="AA124">
        <f>COUNTIF(S3:S18,"metacell-172")</f>
        <v>0</v>
      </c>
      <c r="AB124" t="s">
        <v>509</v>
      </c>
      <c r="AC124" t="s">
        <v>509</v>
      </c>
      <c r="AD124">
        <f t="shared" si="1"/>
        <v>5</v>
      </c>
    </row>
    <row r="125" spans="1:30" x14ac:dyDescent="0.25">
      <c r="A125" s="67" t="s">
        <v>239</v>
      </c>
      <c r="B125" s="62">
        <v>29</v>
      </c>
      <c r="C125" s="2">
        <v>15</v>
      </c>
      <c r="D125" s="2">
        <v>23</v>
      </c>
      <c r="E125" s="2">
        <v>17</v>
      </c>
      <c r="F125" s="2">
        <v>13</v>
      </c>
      <c r="G125" s="2">
        <v>2</v>
      </c>
      <c r="H125" s="2">
        <v>2</v>
      </c>
      <c r="I125" s="2" t="s">
        <v>509</v>
      </c>
      <c r="J125" s="2" t="s">
        <v>509</v>
      </c>
      <c r="K125" s="2" t="s">
        <v>509</v>
      </c>
      <c r="L125" s="4" t="s">
        <v>509</v>
      </c>
      <c r="M125" s="3" t="s">
        <v>239</v>
      </c>
      <c r="N125" s="2">
        <f t="shared" si="0"/>
        <v>101</v>
      </c>
      <c r="O125" s="4">
        <v>20</v>
      </c>
      <c r="Q125" s="3" t="s">
        <v>187</v>
      </c>
      <c r="R125" s="4">
        <v>1</v>
      </c>
      <c r="T125" t="s">
        <v>237</v>
      </c>
      <c r="U125">
        <f>COUNTIF(A3:A7,"metacell-173")</f>
        <v>0</v>
      </c>
      <c r="V125">
        <f>COUNTIF(D3:D12,"metacell-173")</f>
        <v>1</v>
      </c>
      <c r="W125">
        <f>COUNTIF(G3:G9,"metacell-173")</f>
        <v>0</v>
      </c>
      <c r="X125">
        <f>COUNTIF(J3:J9,"metacell-173")</f>
        <v>1</v>
      </c>
      <c r="Y125">
        <f>COUNTIF(M3:M9,"metacell-173")</f>
        <v>1</v>
      </c>
      <c r="Z125">
        <f>COUNTIF(P3:P50,"metacell-173")</f>
        <v>1</v>
      </c>
      <c r="AA125">
        <f>COUNTIF(S3:S18,"metacell-173")</f>
        <v>0</v>
      </c>
      <c r="AB125" t="s">
        <v>509</v>
      </c>
      <c r="AC125" t="s">
        <v>509</v>
      </c>
      <c r="AD125">
        <f t="shared" si="1"/>
        <v>4</v>
      </c>
    </row>
    <row r="126" spans="1:30" x14ac:dyDescent="0.25">
      <c r="A126" s="67" t="s">
        <v>195</v>
      </c>
      <c r="B126" s="62">
        <v>28</v>
      </c>
      <c r="C126" s="2">
        <v>12</v>
      </c>
      <c r="D126" s="2">
        <v>20</v>
      </c>
      <c r="E126" s="2">
        <v>16</v>
      </c>
      <c r="F126" s="2">
        <v>12</v>
      </c>
      <c r="G126" s="2">
        <v>8</v>
      </c>
      <c r="H126" s="2">
        <v>6</v>
      </c>
      <c r="I126" s="2" t="s">
        <v>509</v>
      </c>
      <c r="J126" s="2" t="s">
        <v>509</v>
      </c>
      <c r="K126" s="2" t="s">
        <v>509</v>
      </c>
      <c r="L126" s="4" t="s">
        <v>509</v>
      </c>
      <c r="M126" s="3" t="s">
        <v>195</v>
      </c>
      <c r="N126" s="2">
        <f t="shared" si="0"/>
        <v>102</v>
      </c>
      <c r="O126" s="4">
        <v>21</v>
      </c>
      <c r="Q126" s="3" t="s">
        <v>196</v>
      </c>
      <c r="R126" s="4">
        <v>1</v>
      </c>
      <c r="T126" t="s">
        <v>238</v>
      </c>
      <c r="U126">
        <f>COUNTIF(A3:A7,"metacell-174")</f>
        <v>0</v>
      </c>
      <c r="V126">
        <f>COUNTIF(D3:D12,"metacell-174")</f>
        <v>1</v>
      </c>
      <c r="W126">
        <f>COUNTIF(G3:G9,"metacell-174")</f>
        <v>1</v>
      </c>
      <c r="X126">
        <f>COUNTIF(J3:J9,"metacell-174")</f>
        <v>1</v>
      </c>
      <c r="Y126">
        <f>COUNTIF(M3:M9,"metacell-174")</f>
        <v>0</v>
      </c>
      <c r="Z126">
        <f>COUNTIF(P3:P50,"metacell-174")</f>
        <v>1</v>
      </c>
      <c r="AA126">
        <f>COUNTIF(S3:S18,"metacell-174")</f>
        <v>0</v>
      </c>
      <c r="AB126" t="s">
        <v>509</v>
      </c>
      <c r="AC126" t="s">
        <v>509</v>
      </c>
      <c r="AD126">
        <f t="shared" si="1"/>
        <v>4</v>
      </c>
    </row>
    <row r="127" spans="1:30" x14ac:dyDescent="0.25">
      <c r="A127" s="67" t="s">
        <v>191</v>
      </c>
      <c r="B127" s="62">
        <v>40</v>
      </c>
      <c r="C127" s="2">
        <v>11</v>
      </c>
      <c r="D127" s="2">
        <v>17</v>
      </c>
      <c r="E127" s="2">
        <v>8</v>
      </c>
      <c r="F127" s="2">
        <v>17</v>
      </c>
      <c r="G127" s="2">
        <v>7</v>
      </c>
      <c r="H127" s="2">
        <v>8</v>
      </c>
      <c r="I127" s="2" t="s">
        <v>509</v>
      </c>
      <c r="J127" s="2" t="s">
        <v>509</v>
      </c>
      <c r="K127" s="2" t="s">
        <v>509</v>
      </c>
      <c r="L127" s="4" t="s">
        <v>509</v>
      </c>
      <c r="M127" s="3" t="s">
        <v>191</v>
      </c>
      <c r="N127" s="2">
        <f t="shared" si="0"/>
        <v>108</v>
      </c>
      <c r="O127" s="4">
        <v>22</v>
      </c>
      <c r="Q127" s="3" t="s">
        <v>203</v>
      </c>
      <c r="R127" s="4">
        <v>1</v>
      </c>
      <c r="T127" t="s">
        <v>239</v>
      </c>
      <c r="U127">
        <f>COUNTIF(A3:A7,"metacell-175")</f>
        <v>0</v>
      </c>
      <c r="V127">
        <f>COUNTIF(D3:D12,"metacell-175")</f>
        <v>0</v>
      </c>
      <c r="W127">
        <f>COUNTIF(G3:G9,"metacell-175")</f>
        <v>0</v>
      </c>
      <c r="X127">
        <f>COUNTIF(J3:J9,"metacell-175")</f>
        <v>0</v>
      </c>
      <c r="Y127">
        <f>COUNTIF(M3:M9,"metacell-175")</f>
        <v>0</v>
      </c>
      <c r="Z127">
        <f>COUNTIF(P3:P50,"metacell-175")</f>
        <v>1</v>
      </c>
      <c r="AA127">
        <f>COUNTIF(S3:S18,"metacell-175")</f>
        <v>1</v>
      </c>
      <c r="AB127" t="s">
        <v>509</v>
      </c>
      <c r="AC127" t="s">
        <v>509</v>
      </c>
      <c r="AD127">
        <f t="shared" si="1"/>
        <v>2</v>
      </c>
    </row>
    <row r="128" spans="1:30" x14ac:dyDescent="0.25">
      <c r="A128" s="67" t="s">
        <v>216</v>
      </c>
      <c r="B128" s="62">
        <v>36</v>
      </c>
      <c r="C128" s="2">
        <v>14</v>
      </c>
      <c r="D128" s="2">
        <v>20</v>
      </c>
      <c r="E128" s="2">
        <v>17</v>
      </c>
      <c r="F128" s="2">
        <v>12</v>
      </c>
      <c r="G128" s="2">
        <v>4</v>
      </c>
      <c r="H128" s="2">
        <v>6</v>
      </c>
      <c r="I128" s="2" t="s">
        <v>509</v>
      </c>
      <c r="J128" s="2" t="s">
        <v>509</v>
      </c>
      <c r="K128" s="2" t="s">
        <v>509</v>
      </c>
      <c r="L128" s="4" t="s">
        <v>509</v>
      </c>
      <c r="M128" s="3" t="s">
        <v>216</v>
      </c>
      <c r="N128" s="2">
        <f t="shared" si="0"/>
        <v>109</v>
      </c>
      <c r="O128" s="4">
        <v>23</v>
      </c>
      <c r="Q128" s="3" t="s">
        <v>216</v>
      </c>
      <c r="R128" s="4">
        <v>1</v>
      </c>
      <c r="T128" t="s">
        <v>243</v>
      </c>
      <c r="U128">
        <f>COUNTIF(A3:A7,"metacell-179")</f>
        <v>0</v>
      </c>
      <c r="V128">
        <f>COUNTIF(D3:D12,"metacell-179")</f>
        <v>0</v>
      </c>
      <c r="W128">
        <f>COUNTIF(G3:G9,"metacell-179")</f>
        <v>0</v>
      </c>
      <c r="X128">
        <f>COUNTIF(J3:J9,"metacell-179")</f>
        <v>0</v>
      </c>
      <c r="Y128">
        <f>COUNTIF(M3:M9,"metacell-179")</f>
        <v>0</v>
      </c>
      <c r="Z128">
        <f>COUNTIF(P3:P50,"metacell-179")</f>
        <v>1</v>
      </c>
      <c r="AA128">
        <f>COUNTIF(S3:S18,"metacell-179")</f>
        <v>0</v>
      </c>
      <c r="AB128" t="s">
        <v>509</v>
      </c>
      <c r="AC128" t="s">
        <v>509</v>
      </c>
      <c r="AD128">
        <f t="shared" si="1"/>
        <v>1</v>
      </c>
    </row>
    <row r="129" spans="1:30" x14ac:dyDescent="0.25">
      <c r="A129" s="67" t="s">
        <v>228</v>
      </c>
      <c r="B129" s="62">
        <v>45</v>
      </c>
      <c r="C129" s="2">
        <v>13</v>
      </c>
      <c r="D129" s="2">
        <v>16</v>
      </c>
      <c r="E129" s="2">
        <v>16</v>
      </c>
      <c r="F129" s="2">
        <v>10</v>
      </c>
      <c r="G129" s="2">
        <v>3</v>
      </c>
      <c r="H129" s="2">
        <v>6</v>
      </c>
      <c r="I129" s="2" t="s">
        <v>509</v>
      </c>
      <c r="J129" s="2" t="s">
        <v>509</v>
      </c>
      <c r="K129" s="2" t="s">
        <v>509</v>
      </c>
      <c r="L129" s="4" t="s">
        <v>509</v>
      </c>
      <c r="M129" s="3" t="s">
        <v>228</v>
      </c>
      <c r="N129" s="2">
        <f t="shared" si="0"/>
        <v>109</v>
      </c>
      <c r="O129" s="4">
        <v>23</v>
      </c>
      <c r="Q129" s="3" t="s">
        <v>226</v>
      </c>
      <c r="R129" s="4">
        <v>1</v>
      </c>
      <c r="T129" t="s">
        <v>247</v>
      </c>
      <c r="U129">
        <f>COUNTIF(A3:A7,"metacell-183")</f>
        <v>0</v>
      </c>
      <c r="V129">
        <f>COUNTIF(D3:D12,"metacell-183")</f>
        <v>0</v>
      </c>
      <c r="W129">
        <f>COUNTIF(G3:G9,"metacell-183")</f>
        <v>0</v>
      </c>
      <c r="X129">
        <f>COUNTIF(J3:J9,"metacell-183")</f>
        <v>0</v>
      </c>
      <c r="Y129">
        <f>COUNTIF(M3:M9,"metacell-183")</f>
        <v>0</v>
      </c>
      <c r="Z129">
        <f>COUNTIF(P3:P50,"metacell-183")</f>
        <v>0</v>
      </c>
      <c r="AA129">
        <f>COUNTIF(S3:S18,"metacell-183")</f>
        <v>1</v>
      </c>
      <c r="AB129" t="s">
        <v>509</v>
      </c>
      <c r="AC129" t="s">
        <v>509</v>
      </c>
      <c r="AD129">
        <f t="shared" si="1"/>
        <v>1</v>
      </c>
    </row>
    <row r="130" spans="1:30" x14ac:dyDescent="0.25">
      <c r="A130" s="67" t="s">
        <v>183</v>
      </c>
      <c r="B130" s="62">
        <v>44</v>
      </c>
      <c r="C130" s="2">
        <v>13</v>
      </c>
      <c r="D130" s="2">
        <v>22</v>
      </c>
      <c r="E130" s="2">
        <v>12</v>
      </c>
      <c r="F130" s="2">
        <v>9</v>
      </c>
      <c r="G130" s="2">
        <v>9</v>
      </c>
      <c r="H130" s="2">
        <v>2</v>
      </c>
      <c r="I130" s="2" t="s">
        <v>509</v>
      </c>
      <c r="J130" s="2" t="s">
        <v>509</v>
      </c>
      <c r="K130" s="2" t="s">
        <v>509</v>
      </c>
      <c r="L130" s="4" t="s">
        <v>509</v>
      </c>
      <c r="M130" s="3" t="s">
        <v>183</v>
      </c>
      <c r="N130" s="2">
        <f t="shared" si="0"/>
        <v>111</v>
      </c>
      <c r="O130" s="4">
        <v>24</v>
      </c>
      <c r="Q130" s="3" t="s">
        <v>228</v>
      </c>
      <c r="R130" s="4">
        <v>1</v>
      </c>
      <c r="T130" t="s">
        <v>248</v>
      </c>
      <c r="U130">
        <f>COUNTIF(A3:A7,"metacell-184")</f>
        <v>0</v>
      </c>
      <c r="V130">
        <f>COUNTIF(D3:D12,"metacell-184")</f>
        <v>0</v>
      </c>
      <c r="W130">
        <f>COUNTIF(G3:G9,"metacell-184")</f>
        <v>0</v>
      </c>
      <c r="X130">
        <f>COUNTIF(J3:J9,"metacell-184")</f>
        <v>0</v>
      </c>
      <c r="Y130">
        <f>COUNTIF(M3:M9,"metacell-184")</f>
        <v>0</v>
      </c>
      <c r="Z130">
        <f>COUNTIF(P3:P50,"metacell-184")</f>
        <v>1</v>
      </c>
      <c r="AA130">
        <f>COUNTIF(S3:S18,"metacell-184")</f>
        <v>0</v>
      </c>
      <c r="AB130" t="s">
        <v>509</v>
      </c>
      <c r="AC130" t="s">
        <v>509</v>
      </c>
      <c r="AD130">
        <f t="shared" si="1"/>
        <v>1</v>
      </c>
    </row>
    <row r="131" spans="1:30" x14ac:dyDescent="0.25">
      <c r="A131" s="67" t="s">
        <v>258</v>
      </c>
      <c r="B131" s="62">
        <v>21</v>
      </c>
      <c r="C131" s="2">
        <v>19</v>
      </c>
      <c r="D131" s="2">
        <v>21</v>
      </c>
      <c r="E131" s="2">
        <v>25</v>
      </c>
      <c r="F131" s="2">
        <v>9</v>
      </c>
      <c r="G131" s="2">
        <v>6</v>
      </c>
      <c r="H131" s="2">
        <v>10</v>
      </c>
      <c r="I131" s="2" t="s">
        <v>509</v>
      </c>
      <c r="J131" s="2" t="s">
        <v>509</v>
      </c>
      <c r="K131" s="2" t="s">
        <v>509</v>
      </c>
      <c r="L131" s="4" t="s">
        <v>509</v>
      </c>
      <c r="M131" s="3" t="s">
        <v>258</v>
      </c>
      <c r="N131" s="2">
        <f t="shared" si="0"/>
        <v>111</v>
      </c>
      <c r="O131" s="4">
        <v>24</v>
      </c>
      <c r="Q131" s="3" t="s">
        <v>1</v>
      </c>
      <c r="R131" s="4">
        <v>1</v>
      </c>
      <c r="T131" t="s">
        <v>251</v>
      </c>
      <c r="U131">
        <f>COUNTIF(A3:A7,"metacell-187")</f>
        <v>0</v>
      </c>
      <c r="V131">
        <f>COUNTIF(D3:D12,"metacell-187")</f>
        <v>0</v>
      </c>
      <c r="W131">
        <f>COUNTIF(G3:G9,"metacell-187")</f>
        <v>0</v>
      </c>
      <c r="X131">
        <f>COUNTIF(J3:J9,"metacell-187")</f>
        <v>0</v>
      </c>
      <c r="Y131">
        <f>COUNTIF(M3:M9,"metacell-187")</f>
        <v>0</v>
      </c>
      <c r="Z131">
        <f>COUNTIF(P3:P50,"metacell-187")</f>
        <v>1</v>
      </c>
      <c r="AA131">
        <f>COUNTIF(S3:S18,"metacell-187")</f>
        <v>0</v>
      </c>
      <c r="AB131" t="s">
        <v>509</v>
      </c>
      <c r="AC131" t="s">
        <v>509</v>
      </c>
      <c r="AD131">
        <f t="shared" si="1"/>
        <v>1</v>
      </c>
    </row>
    <row r="132" spans="1:30" x14ac:dyDescent="0.25">
      <c r="A132" s="67" t="s">
        <v>733</v>
      </c>
      <c r="B132" s="62">
        <v>21</v>
      </c>
      <c r="C132" s="2">
        <v>17</v>
      </c>
      <c r="D132" s="2">
        <v>24</v>
      </c>
      <c r="E132" s="2">
        <v>24</v>
      </c>
      <c r="F132" s="2">
        <v>7</v>
      </c>
      <c r="G132" s="2">
        <v>10</v>
      </c>
      <c r="H132" s="2">
        <v>8</v>
      </c>
      <c r="I132" s="2" t="s">
        <v>509</v>
      </c>
      <c r="J132" s="2" t="s">
        <v>509</v>
      </c>
      <c r="K132" s="2" t="s">
        <v>509</v>
      </c>
      <c r="L132" s="4" t="s">
        <v>509</v>
      </c>
      <c r="M132" s="3" t="s">
        <v>733</v>
      </c>
      <c r="N132" s="2">
        <f t="shared" si="0"/>
        <v>111</v>
      </c>
      <c r="O132" s="4">
        <v>24</v>
      </c>
      <c r="Q132" s="3" t="s">
        <v>243</v>
      </c>
      <c r="R132" s="4">
        <v>1</v>
      </c>
      <c r="T132" t="s">
        <v>94</v>
      </c>
      <c r="U132">
        <f>COUNTIF(A3:A7,"metacell-19")</f>
        <v>0</v>
      </c>
      <c r="V132">
        <f>COUNTIF(D3:D12,"metacell-19")</f>
        <v>0</v>
      </c>
      <c r="W132">
        <f>COUNTIF(G3:G9,"metacell-19")</f>
        <v>0</v>
      </c>
      <c r="X132">
        <f>COUNTIF(J3:J9,"metacell-19")</f>
        <v>0</v>
      </c>
      <c r="Y132">
        <f>COUNTIF(M3:M9,"metacell-19")</f>
        <v>1</v>
      </c>
      <c r="Z132">
        <f>COUNTIF(P3:P50,"metacell-19")</f>
        <v>1</v>
      </c>
      <c r="AA132">
        <f>COUNTIF(S3:S18,"metacell-19")</f>
        <v>0</v>
      </c>
      <c r="AB132" t="s">
        <v>509</v>
      </c>
      <c r="AC132" t="s">
        <v>509</v>
      </c>
      <c r="AD132">
        <f t="shared" si="1"/>
        <v>2</v>
      </c>
    </row>
    <row r="133" spans="1:30" x14ac:dyDescent="0.25">
      <c r="A133" s="67" t="s">
        <v>203</v>
      </c>
      <c r="B133" s="62">
        <v>36</v>
      </c>
      <c r="C133" s="2">
        <v>17</v>
      </c>
      <c r="D133" s="2">
        <v>18</v>
      </c>
      <c r="E133" s="2">
        <v>17</v>
      </c>
      <c r="F133" s="2">
        <v>14</v>
      </c>
      <c r="G133" s="2">
        <v>3</v>
      </c>
      <c r="H133" s="2">
        <v>10</v>
      </c>
      <c r="I133" s="2" t="s">
        <v>509</v>
      </c>
      <c r="J133" s="2" t="s">
        <v>509</v>
      </c>
      <c r="K133" s="2" t="s">
        <v>509</v>
      </c>
      <c r="L133" s="4" t="s">
        <v>509</v>
      </c>
      <c r="M133" s="3" t="s">
        <v>203</v>
      </c>
      <c r="N133" s="2">
        <f t="shared" si="0"/>
        <v>115</v>
      </c>
      <c r="O133" s="4">
        <v>25</v>
      </c>
      <c r="Q133" s="3" t="s">
        <v>247</v>
      </c>
      <c r="R133" s="4">
        <v>1</v>
      </c>
      <c r="T133" t="s">
        <v>253</v>
      </c>
      <c r="U133">
        <f>COUNTIF(A3:A7,"metacell-191")</f>
        <v>0</v>
      </c>
      <c r="V133">
        <f>COUNTIF(D3:D12,"metacell-191")</f>
        <v>0</v>
      </c>
      <c r="W133">
        <f>COUNTIF(G3:G9,"metacell-191")</f>
        <v>0</v>
      </c>
      <c r="X133">
        <f>COUNTIF(J3:J9,"metacell-191")</f>
        <v>0</v>
      </c>
      <c r="Y133">
        <f>COUNTIF(M3:M9,"metacell-191")</f>
        <v>0</v>
      </c>
      <c r="Z133">
        <f>COUNTIF(P3:P50,"metacell-191")</f>
        <v>0</v>
      </c>
      <c r="AA133">
        <f>COUNTIF(S3:S18,"metacell-191")</f>
        <v>0</v>
      </c>
      <c r="AB133" t="s">
        <v>509</v>
      </c>
      <c r="AC133" t="s">
        <v>509</v>
      </c>
      <c r="AD133">
        <f t="shared" si="1"/>
        <v>0</v>
      </c>
    </row>
    <row r="134" spans="1:30" x14ac:dyDescent="0.25">
      <c r="A134" s="67" t="s">
        <v>735</v>
      </c>
      <c r="B134" s="62">
        <v>39</v>
      </c>
      <c r="C134" s="2">
        <v>15</v>
      </c>
      <c r="D134" s="2">
        <v>23</v>
      </c>
      <c r="E134" s="2">
        <v>15</v>
      </c>
      <c r="F134" s="2">
        <v>8</v>
      </c>
      <c r="G134" s="2">
        <v>7</v>
      </c>
      <c r="H134" s="2">
        <v>8</v>
      </c>
      <c r="I134" s="2" t="s">
        <v>509</v>
      </c>
      <c r="J134" s="2" t="s">
        <v>509</v>
      </c>
      <c r="K134" s="2" t="s">
        <v>509</v>
      </c>
      <c r="L134" s="4" t="s">
        <v>509</v>
      </c>
      <c r="M134" s="3" t="s">
        <v>735</v>
      </c>
      <c r="N134" s="2">
        <f t="shared" ref="N134:N165" si="2">SUM(B134:H134)</f>
        <v>115</v>
      </c>
      <c r="O134" s="4">
        <v>25</v>
      </c>
      <c r="Q134" s="3" t="s">
        <v>248</v>
      </c>
      <c r="R134" s="4">
        <v>1</v>
      </c>
      <c r="T134" t="s">
        <v>256</v>
      </c>
      <c r="U134">
        <f>COUNTIF(A3:A7,"metacell-194")</f>
        <v>0</v>
      </c>
      <c r="V134">
        <f>COUNTIF(D3:D12,"metacell-194")</f>
        <v>0</v>
      </c>
      <c r="W134">
        <f>COUNTIF(G3:G9,"metacell-194")</f>
        <v>0</v>
      </c>
      <c r="X134">
        <f>COUNTIF(J3:J9,"metacell-194")</f>
        <v>0</v>
      </c>
      <c r="Y134">
        <f>COUNTIF(M3:M9,"metacell-194")</f>
        <v>0</v>
      </c>
      <c r="Z134">
        <f>COUNTIF(P3:P50,"metacell-194")</f>
        <v>1</v>
      </c>
      <c r="AA134">
        <f>COUNTIF(S3:S18,"metacell-194")</f>
        <v>0</v>
      </c>
      <c r="AB134" t="s">
        <v>509</v>
      </c>
      <c r="AC134" t="s">
        <v>509</v>
      </c>
      <c r="AD134">
        <f t="shared" si="1"/>
        <v>1</v>
      </c>
    </row>
    <row r="135" spans="1:30" x14ac:dyDescent="0.25">
      <c r="A135" s="67" t="s">
        <v>736</v>
      </c>
      <c r="B135" s="62">
        <v>27</v>
      </c>
      <c r="C135" s="2">
        <v>18</v>
      </c>
      <c r="D135" s="2">
        <v>20</v>
      </c>
      <c r="E135" s="2">
        <v>27</v>
      </c>
      <c r="F135" s="2">
        <v>11</v>
      </c>
      <c r="G135" s="2">
        <v>4</v>
      </c>
      <c r="H135" s="2">
        <v>8</v>
      </c>
      <c r="I135" s="2" t="s">
        <v>509</v>
      </c>
      <c r="J135" s="2" t="s">
        <v>509</v>
      </c>
      <c r="K135" s="2" t="s">
        <v>509</v>
      </c>
      <c r="L135" s="4" t="s">
        <v>509</v>
      </c>
      <c r="M135" s="3" t="s">
        <v>736</v>
      </c>
      <c r="N135" s="2">
        <f t="shared" si="2"/>
        <v>115</v>
      </c>
      <c r="O135" s="4">
        <v>25</v>
      </c>
      <c r="Q135" s="3" t="s">
        <v>251</v>
      </c>
      <c r="R135" s="4">
        <v>1</v>
      </c>
      <c r="T135" t="s">
        <v>258</v>
      </c>
      <c r="U135">
        <f>COUNTIF(A3:A7,"metacell-199")</f>
        <v>0</v>
      </c>
      <c r="V135">
        <f>COUNTIF(D3:D12,"metacell-199")</f>
        <v>0</v>
      </c>
      <c r="W135">
        <f>COUNTIF(G3:G9,"metacell-199")</f>
        <v>0</v>
      </c>
      <c r="X135">
        <f>COUNTIF(J3:J9,"metacell-199")</f>
        <v>0</v>
      </c>
      <c r="Y135">
        <f>COUNTIF(M3:M9,"metacell-199")</f>
        <v>0</v>
      </c>
      <c r="Z135">
        <f>COUNTIF(P3:P50,"metacell-199")</f>
        <v>0</v>
      </c>
      <c r="AA135">
        <f>COUNTIF(S3:S18,"metacell-199")</f>
        <v>0</v>
      </c>
      <c r="AB135" t="s">
        <v>509</v>
      </c>
      <c r="AC135" t="s">
        <v>509</v>
      </c>
      <c r="AD135">
        <f t="shared" si="1"/>
        <v>0</v>
      </c>
    </row>
    <row r="136" spans="1:30" x14ac:dyDescent="0.25">
      <c r="A136" s="67" t="s">
        <v>669</v>
      </c>
      <c r="B136" s="62">
        <v>36</v>
      </c>
      <c r="C136" s="2">
        <v>16</v>
      </c>
      <c r="D136" s="2">
        <v>23</v>
      </c>
      <c r="E136" s="2">
        <v>21</v>
      </c>
      <c r="F136" s="2">
        <v>11</v>
      </c>
      <c r="G136" s="2">
        <v>5</v>
      </c>
      <c r="H136" s="2">
        <v>3</v>
      </c>
      <c r="I136" s="2" t="s">
        <v>509</v>
      </c>
      <c r="J136" s="2" t="s">
        <v>509</v>
      </c>
      <c r="K136" s="2" t="s">
        <v>509</v>
      </c>
      <c r="L136" s="4" t="s">
        <v>509</v>
      </c>
      <c r="M136" s="3" t="s">
        <v>669</v>
      </c>
      <c r="N136" s="2">
        <f t="shared" si="2"/>
        <v>115</v>
      </c>
      <c r="O136" s="4">
        <v>25</v>
      </c>
      <c r="Q136" s="3" t="s">
        <v>256</v>
      </c>
      <c r="R136" s="4">
        <v>1</v>
      </c>
      <c r="T136" t="s">
        <v>95</v>
      </c>
      <c r="U136">
        <f>COUNTIF(A3:A7,"metacell-20")</f>
        <v>0</v>
      </c>
      <c r="V136">
        <f>COUNTIF(D3:D12,"metacell-20")</f>
        <v>0</v>
      </c>
      <c r="W136">
        <f>COUNTIF(G3:G9,"metacell-20")</f>
        <v>0</v>
      </c>
      <c r="X136">
        <f>COUNTIF(J3:J9,"metacell-20")</f>
        <v>0</v>
      </c>
      <c r="Y136">
        <f>COUNTIF(M3:M9,"metacell-20")</f>
        <v>1</v>
      </c>
      <c r="Z136">
        <f>COUNTIF(P3:P50,"metacell-20")</f>
        <v>1</v>
      </c>
      <c r="AA136">
        <f>COUNTIF(S3:S18,"metacell-20")</f>
        <v>1</v>
      </c>
      <c r="AB136" t="s">
        <v>509</v>
      </c>
      <c r="AC136" t="s">
        <v>509</v>
      </c>
      <c r="AD136">
        <f t="shared" si="1"/>
        <v>3</v>
      </c>
    </row>
    <row r="137" spans="1:30" x14ac:dyDescent="0.25">
      <c r="A137" s="67" t="s">
        <v>97</v>
      </c>
      <c r="B137" s="62">
        <v>18</v>
      </c>
      <c r="C137" s="2">
        <v>20</v>
      </c>
      <c r="D137" s="2">
        <v>22</v>
      </c>
      <c r="E137" s="2">
        <v>29</v>
      </c>
      <c r="F137" s="2">
        <v>10</v>
      </c>
      <c r="G137" s="2">
        <v>5</v>
      </c>
      <c r="H137" s="2">
        <v>12</v>
      </c>
      <c r="I137" s="2" t="s">
        <v>509</v>
      </c>
      <c r="J137" s="2" t="s">
        <v>509</v>
      </c>
      <c r="K137" s="2" t="s">
        <v>509</v>
      </c>
      <c r="L137" s="4" t="s">
        <v>509</v>
      </c>
      <c r="M137" s="3" t="s">
        <v>97</v>
      </c>
      <c r="N137" s="2">
        <f t="shared" si="2"/>
        <v>116</v>
      </c>
      <c r="O137" s="4">
        <v>26</v>
      </c>
      <c r="Q137" s="3" t="s">
        <v>706</v>
      </c>
      <c r="R137" s="4">
        <v>1</v>
      </c>
      <c r="T137" t="s">
        <v>355</v>
      </c>
      <c r="U137">
        <f>COUNTIF(A3:A7,"metacell-202")</f>
        <v>0</v>
      </c>
      <c r="V137">
        <f>COUNTIF(D3:D12,"metacell-202")</f>
        <v>0</v>
      </c>
      <c r="W137">
        <f>COUNTIF(G3:G9,"metacell-202")</f>
        <v>0</v>
      </c>
      <c r="X137">
        <f>COUNTIF(J3:J9,"metacell-202")</f>
        <v>0</v>
      </c>
      <c r="Y137">
        <f>COUNTIF(M3:M9,"metacell-202")</f>
        <v>0</v>
      </c>
      <c r="Z137">
        <f>COUNTIF(P3:P50,"metacell-202")</f>
        <v>1</v>
      </c>
      <c r="AA137">
        <f>COUNTIF(S3:S18,"metacell-202")</f>
        <v>1</v>
      </c>
      <c r="AB137" t="s">
        <v>509</v>
      </c>
      <c r="AC137" t="s">
        <v>509</v>
      </c>
      <c r="AD137">
        <f t="shared" si="1"/>
        <v>2</v>
      </c>
    </row>
    <row r="138" spans="1:30" x14ac:dyDescent="0.25">
      <c r="A138" s="67" t="s">
        <v>222</v>
      </c>
      <c r="B138" s="62">
        <v>41</v>
      </c>
      <c r="C138" s="2">
        <v>14</v>
      </c>
      <c r="D138" s="2">
        <v>20</v>
      </c>
      <c r="E138" s="2">
        <v>13</v>
      </c>
      <c r="F138" s="2">
        <v>15</v>
      </c>
      <c r="G138" s="2">
        <v>6</v>
      </c>
      <c r="H138" s="2">
        <v>8</v>
      </c>
      <c r="I138" s="2" t="s">
        <v>509</v>
      </c>
      <c r="J138" s="2" t="s">
        <v>509</v>
      </c>
      <c r="K138" s="2" t="s">
        <v>509</v>
      </c>
      <c r="L138" s="4" t="s">
        <v>509</v>
      </c>
      <c r="M138" s="3" t="s">
        <v>222</v>
      </c>
      <c r="N138" s="2">
        <f t="shared" si="2"/>
        <v>117</v>
      </c>
      <c r="O138" s="4">
        <v>27</v>
      </c>
      <c r="Q138" s="3" t="s">
        <v>97</v>
      </c>
      <c r="R138" s="4">
        <v>1</v>
      </c>
      <c r="T138" t="s">
        <v>706</v>
      </c>
      <c r="U138">
        <f>COUNTIF(A3:A7,"metacell-210")</f>
        <v>0</v>
      </c>
      <c r="V138">
        <f>COUNTIF(D3:D12,"metacell-210")</f>
        <v>0</v>
      </c>
      <c r="W138">
        <f>COUNTIF(G3:G9,"metacell-210")</f>
        <v>0</v>
      </c>
      <c r="X138">
        <f>COUNTIF(J3:J9,"metacell-210")</f>
        <v>0</v>
      </c>
      <c r="Y138">
        <f>COUNTIF(M3:M9,"metacell-210")</f>
        <v>0</v>
      </c>
      <c r="Z138">
        <f>COUNTIF(P3:P50,"metacell-210")</f>
        <v>1</v>
      </c>
      <c r="AA138">
        <f>COUNTIF(S3:S18,"metacell-210")</f>
        <v>0</v>
      </c>
      <c r="AB138" t="s">
        <v>509</v>
      </c>
      <c r="AC138" t="s">
        <v>509</v>
      </c>
      <c r="AD138">
        <f t="shared" si="1"/>
        <v>1</v>
      </c>
    </row>
    <row r="139" spans="1:30" x14ac:dyDescent="0.25">
      <c r="A139" s="67" t="s">
        <v>706</v>
      </c>
      <c r="B139" s="62">
        <v>34</v>
      </c>
      <c r="C139" s="2">
        <v>18</v>
      </c>
      <c r="D139" s="2">
        <v>22</v>
      </c>
      <c r="E139" s="2">
        <v>21</v>
      </c>
      <c r="F139" s="2">
        <v>10</v>
      </c>
      <c r="G139" s="2">
        <v>1</v>
      </c>
      <c r="H139" s="2">
        <v>11</v>
      </c>
      <c r="I139" s="2" t="s">
        <v>509</v>
      </c>
      <c r="J139" s="2" t="s">
        <v>509</v>
      </c>
      <c r="K139" s="2" t="s">
        <v>509</v>
      </c>
      <c r="L139" s="4" t="s">
        <v>509</v>
      </c>
      <c r="M139" s="3" t="s">
        <v>706</v>
      </c>
      <c r="N139" s="2">
        <f t="shared" si="2"/>
        <v>117</v>
      </c>
      <c r="O139" s="4">
        <v>27</v>
      </c>
      <c r="Q139" s="3" t="s">
        <v>738</v>
      </c>
      <c r="R139" s="4">
        <v>1</v>
      </c>
      <c r="T139" t="s">
        <v>707</v>
      </c>
      <c r="U139">
        <f>COUNTIF(A3:A7,"metacell-216")</f>
        <v>0</v>
      </c>
      <c r="V139">
        <f>COUNTIF(D3:D12,"metacell-216")</f>
        <v>0</v>
      </c>
      <c r="W139">
        <f>COUNTIF(G3:G9,"metacell-216")</f>
        <v>0</v>
      </c>
      <c r="X139">
        <f>COUNTIF(J3:J9,"metacell-216")</f>
        <v>0</v>
      </c>
      <c r="Y139">
        <f>COUNTIF(M3:M9,"metacell-216")</f>
        <v>0</v>
      </c>
      <c r="Z139">
        <f>COUNTIF(P3:P50,"metacell-216")</f>
        <v>0</v>
      </c>
      <c r="AA139">
        <f>COUNTIF(S3:S18,"metacell-216")</f>
        <v>0</v>
      </c>
      <c r="AB139" t="s">
        <v>509</v>
      </c>
      <c r="AC139" t="s">
        <v>509</v>
      </c>
      <c r="AD139">
        <f t="shared" si="1"/>
        <v>0</v>
      </c>
    </row>
    <row r="140" spans="1:30" x14ac:dyDescent="0.25">
      <c r="A140" s="67" t="s">
        <v>184</v>
      </c>
      <c r="B140" s="62">
        <v>41</v>
      </c>
      <c r="C140" s="2">
        <v>15</v>
      </c>
      <c r="D140" s="2">
        <v>18</v>
      </c>
      <c r="E140" s="2">
        <v>18</v>
      </c>
      <c r="F140" s="2">
        <v>13</v>
      </c>
      <c r="G140" s="2">
        <v>5</v>
      </c>
      <c r="H140" s="2">
        <v>8</v>
      </c>
      <c r="I140" s="2" t="s">
        <v>509</v>
      </c>
      <c r="J140" s="2" t="s">
        <v>509</v>
      </c>
      <c r="K140" s="2" t="s">
        <v>509</v>
      </c>
      <c r="L140" s="4" t="s">
        <v>509</v>
      </c>
      <c r="M140" s="3" t="s">
        <v>184</v>
      </c>
      <c r="N140" s="2">
        <f t="shared" si="2"/>
        <v>118</v>
      </c>
      <c r="O140" s="4">
        <v>28</v>
      </c>
      <c r="Q140" s="3" t="s">
        <v>712</v>
      </c>
      <c r="R140" s="4">
        <v>1</v>
      </c>
      <c r="T140" t="s">
        <v>708</v>
      </c>
      <c r="U140">
        <f>COUNTIF(A3:A7,"metacell-219")</f>
        <v>0</v>
      </c>
      <c r="V140">
        <f>COUNTIF(D3:D12,"metacell-219")</f>
        <v>0</v>
      </c>
      <c r="W140">
        <f>COUNTIF(G3:G9,"metacell-219")</f>
        <v>0</v>
      </c>
      <c r="X140">
        <f>COUNTIF(J3:J9,"metacell-219")</f>
        <v>0</v>
      </c>
      <c r="Y140">
        <f>COUNTIF(M3:M9,"metacell-219")</f>
        <v>0</v>
      </c>
      <c r="Z140">
        <f>COUNTIF(P3:P50,"metacell-219")</f>
        <v>1</v>
      </c>
      <c r="AA140">
        <f>COUNTIF(S3:S18,"metacell-219")</f>
        <v>1</v>
      </c>
      <c r="AB140" t="s">
        <v>509</v>
      </c>
      <c r="AC140" t="s">
        <v>509</v>
      </c>
      <c r="AD140">
        <f t="shared" si="1"/>
        <v>2</v>
      </c>
    </row>
    <row r="141" spans="1:30" x14ac:dyDescent="0.25">
      <c r="A141" s="67" t="s">
        <v>226</v>
      </c>
      <c r="B141" s="62">
        <v>32</v>
      </c>
      <c r="C141" s="2">
        <v>14</v>
      </c>
      <c r="D141" s="2">
        <v>19</v>
      </c>
      <c r="E141" s="2">
        <v>17</v>
      </c>
      <c r="F141" s="2">
        <v>17</v>
      </c>
      <c r="G141" s="2">
        <v>5</v>
      </c>
      <c r="H141" s="2">
        <v>16</v>
      </c>
      <c r="I141" s="2" t="s">
        <v>509</v>
      </c>
      <c r="J141" s="2" t="s">
        <v>509</v>
      </c>
      <c r="K141" s="2" t="s">
        <v>509</v>
      </c>
      <c r="L141" s="4" t="s">
        <v>509</v>
      </c>
      <c r="M141" s="3" t="s">
        <v>226</v>
      </c>
      <c r="N141" s="2">
        <f t="shared" si="2"/>
        <v>120</v>
      </c>
      <c r="O141" s="4">
        <v>29</v>
      </c>
      <c r="Q141" s="3" t="s">
        <v>713</v>
      </c>
      <c r="R141" s="4">
        <v>1</v>
      </c>
      <c r="T141" t="s">
        <v>97</v>
      </c>
      <c r="U141">
        <f>COUNTIF(A3:A7,"metacell-22")</f>
        <v>0</v>
      </c>
      <c r="V141">
        <f>COUNTIF(D3:D12,"metacell-22")</f>
        <v>0</v>
      </c>
      <c r="W141">
        <f>COUNTIF(G3:G9,"metacell-22")</f>
        <v>0</v>
      </c>
      <c r="X141">
        <f>COUNTIF(J3:J9,"metacell-22")</f>
        <v>0</v>
      </c>
      <c r="Y141">
        <f>COUNTIF(M3:M9,"metacell-22")</f>
        <v>0</v>
      </c>
      <c r="Z141">
        <f>COUNTIF(P3:P50,"metacell-22")</f>
        <v>1</v>
      </c>
      <c r="AA141">
        <f>COUNTIF(S3:S18,"metacell-22")</f>
        <v>0</v>
      </c>
      <c r="AB141" t="s">
        <v>509</v>
      </c>
      <c r="AC141" t="s">
        <v>509</v>
      </c>
      <c r="AD141">
        <f t="shared" si="1"/>
        <v>1</v>
      </c>
    </row>
    <row r="142" spans="1:30" x14ac:dyDescent="0.25">
      <c r="A142" s="67" t="s">
        <v>701</v>
      </c>
      <c r="B142" s="62">
        <v>44</v>
      </c>
      <c r="C142" s="2">
        <v>14</v>
      </c>
      <c r="D142" s="2">
        <v>23</v>
      </c>
      <c r="E142" s="2">
        <v>16</v>
      </c>
      <c r="F142" s="2">
        <v>11</v>
      </c>
      <c r="G142" s="2">
        <v>2</v>
      </c>
      <c r="H142" s="2">
        <v>10</v>
      </c>
      <c r="I142" s="2" t="s">
        <v>509</v>
      </c>
      <c r="J142" s="2" t="s">
        <v>509</v>
      </c>
      <c r="K142" s="2" t="s">
        <v>509</v>
      </c>
      <c r="L142" s="4" t="s">
        <v>509</v>
      </c>
      <c r="M142" s="3" t="s">
        <v>701</v>
      </c>
      <c r="N142" s="2">
        <f t="shared" si="2"/>
        <v>120</v>
      </c>
      <c r="O142" s="4">
        <v>29</v>
      </c>
      <c r="Q142" s="3" t="s">
        <v>739</v>
      </c>
      <c r="R142" s="4">
        <v>1</v>
      </c>
      <c r="T142" t="s">
        <v>709</v>
      </c>
      <c r="U142">
        <f>COUNTIF(A3:A7,"metacell-227")</f>
        <v>0</v>
      </c>
      <c r="V142">
        <f>COUNTIF(D3:D12,"metacell-227")</f>
        <v>0</v>
      </c>
      <c r="W142">
        <f>COUNTIF(G3:G9,"metacell-227")</f>
        <v>0</v>
      </c>
      <c r="X142">
        <f>COUNTIF(J3:J9,"metacell-227")</f>
        <v>0</v>
      </c>
      <c r="Y142">
        <f>COUNTIF(M3:M9,"metacell-227")</f>
        <v>0</v>
      </c>
      <c r="Z142">
        <f>COUNTIF(P3:P50,"metacell-227")</f>
        <v>0</v>
      </c>
      <c r="AA142">
        <f>COUNTIF(S3:S18,"metacell-227")</f>
        <v>0</v>
      </c>
      <c r="AB142" t="s">
        <v>509</v>
      </c>
      <c r="AC142" t="s">
        <v>509</v>
      </c>
      <c r="AD142">
        <f t="shared" si="1"/>
        <v>0</v>
      </c>
    </row>
    <row r="143" spans="1:30" x14ac:dyDescent="0.25">
      <c r="A143" s="67" t="s">
        <v>256</v>
      </c>
      <c r="B143" s="62">
        <v>32</v>
      </c>
      <c r="C143" s="2">
        <v>20</v>
      </c>
      <c r="D143" s="2">
        <v>23</v>
      </c>
      <c r="E143" s="2">
        <v>26</v>
      </c>
      <c r="F143" s="2">
        <v>9</v>
      </c>
      <c r="G143" s="2">
        <v>4</v>
      </c>
      <c r="H143" s="2">
        <v>7</v>
      </c>
      <c r="I143" s="2" t="s">
        <v>509</v>
      </c>
      <c r="J143" s="2" t="s">
        <v>509</v>
      </c>
      <c r="K143" s="2" t="s">
        <v>509</v>
      </c>
      <c r="L143" s="4" t="s">
        <v>509</v>
      </c>
      <c r="M143" s="3" t="s">
        <v>256</v>
      </c>
      <c r="N143" s="2">
        <f t="shared" si="2"/>
        <v>121</v>
      </c>
      <c r="O143" s="4">
        <v>30</v>
      </c>
      <c r="Q143" s="3" t="s">
        <v>715</v>
      </c>
      <c r="R143" s="4">
        <v>1</v>
      </c>
      <c r="T143" t="s">
        <v>710</v>
      </c>
      <c r="U143">
        <f>COUNTIF(A3:A7,"metacell-228")</f>
        <v>0</v>
      </c>
      <c r="V143">
        <f>COUNTIF(D3:D12,"metacell-228")</f>
        <v>0</v>
      </c>
      <c r="W143">
        <f>COUNTIF(G3:G9,"metacell-228")</f>
        <v>0</v>
      </c>
      <c r="X143">
        <f>COUNTIF(J3:J9,"metacell-228")</f>
        <v>0</v>
      </c>
      <c r="Y143">
        <f>COUNTIF(M3:M9,"metacell-228")</f>
        <v>1</v>
      </c>
      <c r="Z143">
        <f>COUNTIF(P3:P50,"metacell-228")</f>
        <v>1</v>
      </c>
      <c r="AA143">
        <f>COUNTIF(S3:S18,"metacell-228")</f>
        <v>0</v>
      </c>
      <c r="AB143" t="s">
        <v>509</v>
      </c>
      <c r="AC143" t="s">
        <v>509</v>
      </c>
      <c r="AD143">
        <f t="shared" si="1"/>
        <v>2</v>
      </c>
    </row>
    <row r="144" spans="1:30" x14ac:dyDescent="0.25">
      <c r="A144" s="67" t="s">
        <v>710</v>
      </c>
      <c r="B144" s="62">
        <v>30</v>
      </c>
      <c r="C144" s="2">
        <v>17</v>
      </c>
      <c r="D144" s="2">
        <v>27</v>
      </c>
      <c r="E144" s="2">
        <v>25</v>
      </c>
      <c r="F144" s="2">
        <v>5</v>
      </c>
      <c r="G144" s="2">
        <v>4</v>
      </c>
      <c r="H144" s="2">
        <v>13</v>
      </c>
      <c r="I144" s="2" t="s">
        <v>509</v>
      </c>
      <c r="J144" s="2" t="s">
        <v>509</v>
      </c>
      <c r="K144" s="2" t="s">
        <v>509</v>
      </c>
      <c r="L144" s="4" t="s">
        <v>509</v>
      </c>
      <c r="M144" s="3" t="s">
        <v>710</v>
      </c>
      <c r="N144" s="2">
        <f t="shared" si="2"/>
        <v>121</v>
      </c>
      <c r="O144" s="4">
        <v>30</v>
      </c>
      <c r="Q144" s="3" t="s">
        <v>100</v>
      </c>
      <c r="R144" s="4">
        <v>1</v>
      </c>
      <c r="T144" t="s">
        <v>738</v>
      </c>
      <c r="U144">
        <f>COUNTIF(A3:A7,"metacell-229")</f>
        <v>0</v>
      </c>
      <c r="V144">
        <f>COUNTIF(D3:D12,"metacell-229")</f>
        <v>0</v>
      </c>
      <c r="W144">
        <f>COUNTIF(G3:G9,"metacell-229")</f>
        <v>0</v>
      </c>
      <c r="X144">
        <f>COUNTIF(J3:J9,"metacell-229")</f>
        <v>0</v>
      </c>
      <c r="Y144">
        <f>COUNTIF(M3:M9,"metacell-229")</f>
        <v>0</v>
      </c>
      <c r="Z144">
        <f>COUNTIF(P3:P50,"metacell-229")</f>
        <v>0</v>
      </c>
      <c r="AA144">
        <f>COUNTIF(S3:S18,"metacell-229")</f>
        <v>1</v>
      </c>
      <c r="AB144" t="s">
        <v>509</v>
      </c>
      <c r="AC144" t="s">
        <v>509</v>
      </c>
      <c r="AD144">
        <f t="shared" si="1"/>
        <v>1</v>
      </c>
    </row>
    <row r="145" spans="1:30" x14ac:dyDescent="0.25">
      <c r="A145" s="67" t="s">
        <v>243</v>
      </c>
      <c r="B145" s="62">
        <v>38</v>
      </c>
      <c r="C145" s="2">
        <v>17</v>
      </c>
      <c r="D145" s="2">
        <v>24</v>
      </c>
      <c r="E145" s="2">
        <v>20</v>
      </c>
      <c r="F145" s="2">
        <v>13</v>
      </c>
      <c r="G145" s="2">
        <v>2</v>
      </c>
      <c r="H145" s="2">
        <v>8</v>
      </c>
      <c r="I145" s="2" t="s">
        <v>509</v>
      </c>
      <c r="J145" s="2" t="s">
        <v>509</v>
      </c>
      <c r="K145" s="2" t="s">
        <v>509</v>
      </c>
      <c r="L145" s="4" t="s">
        <v>509</v>
      </c>
      <c r="M145" s="3" t="s">
        <v>243</v>
      </c>
      <c r="N145" s="2">
        <f t="shared" si="2"/>
        <v>122</v>
      </c>
      <c r="O145" s="4">
        <v>31</v>
      </c>
      <c r="Q145" s="3" t="s">
        <v>717</v>
      </c>
      <c r="R145" s="4">
        <v>1</v>
      </c>
      <c r="T145" t="s">
        <v>98</v>
      </c>
      <c r="U145">
        <f>COUNTIF(A3:A7,"metacell-23")</f>
        <v>0</v>
      </c>
      <c r="V145">
        <f>COUNTIF(D3:D12,"metacell-23")</f>
        <v>0</v>
      </c>
      <c r="W145">
        <f>COUNTIF(G3:G9,"metacell-23")</f>
        <v>0</v>
      </c>
      <c r="X145">
        <f>COUNTIF(J3:J9,"metacell-23")</f>
        <v>0</v>
      </c>
      <c r="Y145">
        <f>COUNTIF(M3:M9,"metacell-23")</f>
        <v>0</v>
      </c>
      <c r="Z145">
        <f>COUNTIF(P3:P50,"metacell-23")</f>
        <v>1</v>
      </c>
      <c r="AA145">
        <f>COUNTIF(S3:S18,"metacell-23")</f>
        <v>1</v>
      </c>
      <c r="AB145" t="s">
        <v>509</v>
      </c>
      <c r="AC145" t="s">
        <v>509</v>
      </c>
      <c r="AD145">
        <f t="shared" si="1"/>
        <v>2</v>
      </c>
    </row>
    <row r="146" spans="1:30" x14ac:dyDescent="0.25">
      <c r="A146" s="67" t="s">
        <v>743</v>
      </c>
      <c r="B146" s="62">
        <v>19</v>
      </c>
      <c r="C146" s="2">
        <v>19</v>
      </c>
      <c r="D146" s="2">
        <v>27</v>
      </c>
      <c r="E146" s="2">
        <v>26</v>
      </c>
      <c r="F146" s="2">
        <v>13</v>
      </c>
      <c r="G146" s="2">
        <v>4</v>
      </c>
      <c r="H146" s="2">
        <v>15</v>
      </c>
      <c r="I146" s="2" t="s">
        <v>509</v>
      </c>
      <c r="J146" s="2" t="s">
        <v>509</v>
      </c>
      <c r="K146" s="2" t="s">
        <v>509</v>
      </c>
      <c r="L146" s="4" t="s">
        <v>509</v>
      </c>
      <c r="M146" s="3" t="s">
        <v>743</v>
      </c>
      <c r="N146" s="2">
        <f t="shared" si="2"/>
        <v>123</v>
      </c>
      <c r="O146" s="4">
        <v>32</v>
      </c>
      <c r="Q146" s="3" t="s">
        <v>743</v>
      </c>
      <c r="R146" s="4">
        <v>1</v>
      </c>
      <c r="T146" t="s">
        <v>711</v>
      </c>
      <c r="U146">
        <f>COUNTIF(A3:A7,"metacell-230")</f>
        <v>0</v>
      </c>
      <c r="V146">
        <f>COUNTIF(D3:D12,"metacell-230")</f>
        <v>0</v>
      </c>
      <c r="W146">
        <f>COUNTIF(G3:G9,"metacell-230")</f>
        <v>0</v>
      </c>
      <c r="X146">
        <f>COUNTIF(J3:J9,"metacell-230")</f>
        <v>0</v>
      </c>
      <c r="Y146">
        <f>COUNTIF(M3:M9,"metacell-230")</f>
        <v>0</v>
      </c>
      <c r="Z146">
        <f>COUNTIF(P3:P50,"metacell-230")</f>
        <v>0</v>
      </c>
      <c r="AA146">
        <f>COUNTIF(S3:S18,"metacell-230")</f>
        <v>0</v>
      </c>
      <c r="AB146" t="s">
        <v>509</v>
      </c>
      <c r="AC146" t="s">
        <v>509</v>
      </c>
      <c r="AD146">
        <f t="shared" si="1"/>
        <v>0</v>
      </c>
    </row>
    <row r="147" spans="1:30" x14ac:dyDescent="0.25">
      <c r="A147" s="67" t="s">
        <v>722</v>
      </c>
      <c r="B147" s="62">
        <v>20</v>
      </c>
      <c r="C147" s="2">
        <v>21</v>
      </c>
      <c r="D147" s="2">
        <v>27</v>
      </c>
      <c r="E147" s="2">
        <v>27</v>
      </c>
      <c r="F147" s="2">
        <v>12</v>
      </c>
      <c r="G147" s="2">
        <v>6</v>
      </c>
      <c r="H147" s="2">
        <v>12</v>
      </c>
      <c r="I147" s="2" t="s">
        <v>509</v>
      </c>
      <c r="J147" s="2" t="s">
        <v>509</v>
      </c>
      <c r="K147" s="2" t="s">
        <v>509</v>
      </c>
      <c r="L147" s="4" t="s">
        <v>509</v>
      </c>
      <c r="M147" s="3" t="s">
        <v>722</v>
      </c>
      <c r="N147" s="2">
        <f t="shared" si="2"/>
        <v>125</v>
      </c>
      <c r="O147" s="4">
        <v>33</v>
      </c>
      <c r="Q147" s="3" t="s">
        <v>102</v>
      </c>
      <c r="R147" s="4">
        <v>1</v>
      </c>
      <c r="T147" t="s">
        <v>712</v>
      </c>
      <c r="U147">
        <f>COUNTIF(A3:A7,"metacell-231")</f>
        <v>0</v>
      </c>
      <c r="V147">
        <f>COUNTIF(D3:D12,"metacell-231")</f>
        <v>0</v>
      </c>
      <c r="W147">
        <f>COUNTIF(G3:G9,"metacell-231")</f>
        <v>0</v>
      </c>
      <c r="X147">
        <f>COUNTIF(J3:J9,"metacell-231")</f>
        <v>0</v>
      </c>
      <c r="Y147">
        <f>COUNTIF(M3:M9,"metacell-231")</f>
        <v>0</v>
      </c>
      <c r="Z147">
        <f>COUNTIF(P3:P50,"metacell-231")</f>
        <v>1</v>
      </c>
      <c r="AA147">
        <f>COUNTIF(S3:S18,"metacell-231")</f>
        <v>0</v>
      </c>
      <c r="AB147" t="s">
        <v>509</v>
      </c>
      <c r="AC147" t="s">
        <v>509</v>
      </c>
      <c r="AD147">
        <f t="shared" si="1"/>
        <v>1</v>
      </c>
    </row>
    <row r="148" spans="1:30" x14ac:dyDescent="0.25">
      <c r="A148" s="67" t="s">
        <v>102</v>
      </c>
      <c r="B148" s="62">
        <v>22</v>
      </c>
      <c r="C148" s="2">
        <v>22</v>
      </c>
      <c r="D148" s="2">
        <v>25</v>
      </c>
      <c r="E148" s="2">
        <v>32</v>
      </c>
      <c r="F148" s="2">
        <v>8</v>
      </c>
      <c r="G148" s="2">
        <v>5</v>
      </c>
      <c r="H148" s="2">
        <v>12</v>
      </c>
      <c r="I148" s="2" t="s">
        <v>509</v>
      </c>
      <c r="J148" s="2" t="s">
        <v>509</v>
      </c>
      <c r="K148" s="2" t="s">
        <v>509</v>
      </c>
      <c r="L148" s="4" t="s">
        <v>509</v>
      </c>
      <c r="M148" s="3" t="s">
        <v>102</v>
      </c>
      <c r="N148" s="2">
        <f t="shared" si="2"/>
        <v>126</v>
      </c>
      <c r="O148" s="4">
        <v>34</v>
      </c>
      <c r="Q148" s="3" t="s">
        <v>724</v>
      </c>
      <c r="R148" s="4">
        <v>1</v>
      </c>
      <c r="T148" t="s">
        <v>713</v>
      </c>
      <c r="U148">
        <f>COUNTIF(A3:A7,"metacell-233")</f>
        <v>0</v>
      </c>
      <c r="V148">
        <f>COUNTIF(D3:D12,"metacell-233")</f>
        <v>0</v>
      </c>
      <c r="W148">
        <f>COUNTIF(G3:G9,"metacell-233")</f>
        <v>0</v>
      </c>
      <c r="X148">
        <f>COUNTIF(J3:J9,"metacell-233")</f>
        <v>0</v>
      </c>
      <c r="Y148">
        <f>COUNTIF(M3:M9,"metacell-233")</f>
        <v>0</v>
      </c>
      <c r="Z148">
        <f>COUNTIF(P3:P50,"metacell-233")</f>
        <v>1</v>
      </c>
      <c r="AA148">
        <f>COUNTIF(S3:S18,"metacell-233")</f>
        <v>0</v>
      </c>
      <c r="AB148" t="s">
        <v>509</v>
      </c>
      <c r="AC148" t="s">
        <v>509</v>
      </c>
      <c r="AD148">
        <f t="shared" si="1"/>
        <v>1</v>
      </c>
    </row>
    <row r="149" spans="1:30" x14ac:dyDescent="0.25">
      <c r="A149" s="67" t="s">
        <v>750</v>
      </c>
      <c r="B149" s="62">
        <v>39</v>
      </c>
      <c r="C149" s="2">
        <v>18</v>
      </c>
      <c r="D149" s="2">
        <v>25</v>
      </c>
      <c r="E149" s="2">
        <v>23</v>
      </c>
      <c r="F149" s="2">
        <v>8</v>
      </c>
      <c r="G149" s="2">
        <v>8</v>
      </c>
      <c r="H149" s="2">
        <v>5</v>
      </c>
      <c r="I149" s="2" t="s">
        <v>509</v>
      </c>
      <c r="J149" s="2" t="s">
        <v>509</v>
      </c>
      <c r="K149" s="2" t="s">
        <v>509</v>
      </c>
      <c r="L149" s="4" t="s">
        <v>509</v>
      </c>
      <c r="M149" s="3" t="s">
        <v>750</v>
      </c>
      <c r="N149" s="2">
        <f t="shared" si="2"/>
        <v>126</v>
      </c>
      <c r="O149" s="4">
        <v>34</v>
      </c>
      <c r="Q149" s="3" t="s">
        <v>745</v>
      </c>
      <c r="R149" s="4">
        <v>1</v>
      </c>
      <c r="T149" t="s">
        <v>739</v>
      </c>
      <c r="U149">
        <f>COUNTIF(A3:A7,"metacell-234")</f>
        <v>0</v>
      </c>
      <c r="V149">
        <f>COUNTIF(D3:D12,"metacell-234")</f>
        <v>0</v>
      </c>
      <c r="W149">
        <f>COUNTIF(G3:G9,"metacell-234")</f>
        <v>0</v>
      </c>
      <c r="X149">
        <f>COUNTIF(J3:J9,"metacell-234")</f>
        <v>0</v>
      </c>
      <c r="Y149">
        <f>COUNTIF(M3:M9,"metacell-234")</f>
        <v>0</v>
      </c>
      <c r="Z149">
        <f>COUNTIF(P3:P50,"metacell-234")</f>
        <v>1</v>
      </c>
      <c r="AA149">
        <f>COUNTIF(S3:S18,"metacell-234")</f>
        <v>0</v>
      </c>
      <c r="AB149" t="s">
        <v>509</v>
      </c>
      <c r="AC149" t="s">
        <v>509</v>
      </c>
      <c r="AD149">
        <f t="shared" si="1"/>
        <v>1</v>
      </c>
    </row>
    <row r="150" spans="1:30" x14ac:dyDescent="0.25">
      <c r="A150" s="67" t="s">
        <v>726</v>
      </c>
      <c r="B150" s="62">
        <v>26</v>
      </c>
      <c r="C150" s="2">
        <v>22</v>
      </c>
      <c r="D150" s="2">
        <v>24</v>
      </c>
      <c r="E150" s="2">
        <v>33</v>
      </c>
      <c r="F150" s="2">
        <v>9</v>
      </c>
      <c r="G150" s="2">
        <v>9</v>
      </c>
      <c r="H150" s="2">
        <v>4</v>
      </c>
      <c r="I150" s="2" t="s">
        <v>509</v>
      </c>
      <c r="J150" s="2" t="s">
        <v>509</v>
      </c>
      <c r="K150" s="2" t="s">
        <v>509</v>
      </c>
      <c r="L150" s="4" t="s">
        <v>509</v>
      </c>
      <c r="M150" s="3" t="s">
        <v>726</v>
      </c>
      <c r="N150" s="2">
        <f t="shared" si="2"/>
        <v>127</v>
      </c>
      <c r="O150" s="4">
        <v>35</v>
      </c>
      <c r="Q150" s="3" t="s">
        <v>726</v>
      </c>
      <c r="R150" s="4">
        <v>1</v>
      </c>
      <c r="T150" t="s">
        <v>714</v>
      </c>
      <c r="U150">
        <f>COUNTIF(A3:A7,"metacell-238")</f>
        <v>0</v>
      </c>
      <c r="V150">
        <f>COUNTIF(D3:D12,"metacell-238")</f>
        <v>0</v>
      </c>
      <c r="W150">
        <f>COUNTIF(G3:G9,"metacell-238")</f>
        <v>0</v>
      </c>
      <c r="X150">
        <f>COUNTIF(J3:J9,"metacell-238")</f>
        <v>0</v>
      </c>
      <c r="Y150">
        <f>COUNTIF(M3:M9,"metacell-238")</f>
        <v>0</v>
      </c>
      <c r="Z150">
        <f>COUNTIF(P3:P50,"metacell-238")</f>
        <v>0</v>
      </c>
      <c r="AA150">
        <f>COUNTIF(S3:S18,"metacell-238")</f>
        <v>0</v>
      </c>
      <c r="AB150" t="s">
        <v>509</v>
      </c>
      <c r="AC150" t="s">
        <v>509</v>
      </c>
      <c r="AD150">
        <f t="shared" si="1"/>
        <v>0</v>
      </c>
    </row>
    <row r="151" spans="1:30" x14ac:dyDescent="0.25">
      <c r="A151" s="67" t="s">
        <v>98</v>
      </c>
      <c r="B151" s="62">
        <v>41</v>
      </c>
      <c r="C151" s="2">
        <v>23</v>
      </c>
      <c r="D151" s="2">
        <v>21</v>
      </c>
      <c r="E151" s="2">
        <v>25</v>
      </c>
      <c r="F151" s="2">
        <v>11</v>
      </c>
      <c r="G151" s="2">
        <v>3</v>
      </c>
      <c r="H151" s="2">
        <v>5</v>
      </c>
      <c r="I151" s="2" t="s">
        <v>509</v>
      </c>
      <c r="J151" s="2" t="s">
        <v>509</v>
      </c>
      <c r="K151" s="2" t="s">
        <v>509</v>
      </c>
      <c r="L151" s="4" t="s">
        <v>509</v>
      </c>
      <c r="M151" s="3" t="s">
        <v>98</v>
      </c>
      <c r="N151" s="2">
        <f t="shared" si="2"/>
        <v>129</v>
      </c>
      <c r="O151" s="4">
        <v>36</v>
      </c>
      <c r="Q151" s="3" t="s">
        <v>746</v>
      </c>
      <c r="R151" s="4">
        <v>1</v>
      </c>
      <c r="T151" t="s">
        <v>99</v>
      </c>
      <c r="U151">
        <f>COUNTIF(A3:A7,"metacell-24")</f>
        <v>1</v>
      </c>
      <c r="V151">
        <f>COUNTIF(D3:D12,"metacell-24")</f>
        <v>0</v>
      </c>
      <c r="W151">
        <f>COUNTIF(G3:G9,"metacell-24")</f>
        <v>0</v>
      </c>
      <c r="X151">
        <f>COUNTIF(J3:J9,"metacell-24")</f>
        <v>0</v>
      </c>
      <c r="Y151">
        <f>COUNTIF(M3:M9,"metacell-24")</f>
        <v>0</v>
      </c>
      <c r="Z151">
        <f>COUNTIF(P3:P50,"metacell-24")</f>
        <v>1</v>
      </c>
      <c r="AA151">
        <f>COUNTIF(S3:S18,"metacell-24")</f>
        <v>0</v>
      </c>
      <c r="AB151" t="s">
        <v>509</v>
      </c>
      <c r="AC151" t="s">
        <v>509</v>
      </c>
      <c r="AD151">
        <f t="shared" si="1"/>
        <v>2</v>
      </c>
    </row>
    <row r="152" spans="1:30" x14ac:dyDescent="0.25">
      <c r="A152" s="67" t="s">
        <v>731</v>
      </c>
      <c r="B152" s="62">
        <v>26</v>
      </c>
      <c r="C152" s="2">
        <v>17</v>
      </c>
      <c r="D152" s="2">
        <v>29</v>
      </c>
      <c r="E152" s="2">
        <v>22</v>
      </c>
      <c r="F152" s="2">
        <v>12</v>
      </c>
      <c r="G152" s="2">
        <v>7</v>
      </c>
      <c r="H152" s="2">
        <v>16</v>
      </c>
      <c r="I152" s="2" t="s">
        <v>509</v>
      </c>
      <c r="J152" s="2" t="s">
        <v>509</v>
      </c>
      <c r="K152" s="2" t="s">
        <v>509</v>
      </c>
      <c r="L152" s="4" t="s">
        <v>509</v>
      </c>
      <c r="M152" s="3" t="s">
        <v>731</v>
      </c>
      <c r="N152" s="2">
        <f t="shared" si="2"/>
        <v>129</v>
      </c>
      <c r="O152" s="4">
        <v>36</v>
      </c>
      <c r="Q152" s="3" t="s">
        <v>730</v>
      </c>
      <c r="R152" s="4">
        <v>1</v>
      </c>
      <c r="T152" t="s">
        <v>715</v>
      </c>
      <c r="U152">
        <f>COUNTIF(A3:A7,"metacell-243")</f>
        <v>0</v>
      </c>
      <c r="V152">
        <f>COUNTIF(D3:D12,"metacell-243")</f>
        <v>0</v>
      </c>
      <c r="W152">
        <f>COUNTIF(G3:G9,"metacell-243")</f>
        <v>0</v>
      </c>
      <c r="X152">
        <f>COUNTIF(J3:J9,"metacell-243")</f>
        <v>0</v>
      </c>
      <c r="Y152">
        <f>COUNTIF(M3:M9,"metacell-243")</f>
        <v>0</v>
      </c>
      <c r="Z152">
        <f>COUNTIF(P3:P50,"metacell-243")</f>
        <v>1</v>
      </c>
      <c r="AA152">
        <f>COUNTIF(S3:S18,"metacell-243")</f>
        <v>0</v>
      </c>
      <c r="AB152" t="s">
        <v>509</v>
      </c>
      <c r="AC152" t="s">
        <v>509</v>
      </c>
      <c r="AD152">
        <f t="shared" si="1"/>
        <v>1</v>
      </c>
    </row>
    <row r="153" spans="1:30" x14ac:dyDescent="0.25">
      <c r="A153" s="67" t="s">
        <v>180</v>
      </c>
      <c r="B153" s="62">
        <v>37</v>
      </c>
      <c r="C153" s="2">
        <v>16</v>
      </c>
      <c r="D153" s="2">
        <v>18</v>
      </c>
      <c r="E153" s="2">
        <v>26</v>
      </c>
      <c r="F153" s="2">
        <v>13</v>
      </c>
      <c r="G153" s="2">
        <v>4</v>
      </c>
      <c r="H153" s="2">
        <v>18</v>
      </c>
      <c r="I153" s="2" t="s">
        <v>509</v>
      </c>
      <c r="J153" s="2" t="s">
        <v>509</v>
      </c>
      <c r="K153" s="2" t="s">
        <v>509</v>
      </c>
      <c r="L153" s="4" t="s">
        <v>509</v>
      </c>
      <c r="M153" s="3" t="s">
        <v>180</v>
      </c>
      <c r="N153" s="2">
        <f t="shared" si="2"/>
        <v>132</v>
      </c>
      <c r="O153" s="4">
        <v>37</v>
      </c>
      <c r="Q153" s="3" t="s">
        <v>747</v>
      </c>
      <c r="R153" s="4">
        <v>1</v>
      </c>
      <c r="T153" t="s">
        <v>716</v>
      </c>
      <c r="U153">
        <f>COUNTIF(A3:A7,"metacell-245")</f>
        <v>0</v>
      </c>
      <c r="V153">
        <f>COUNTIF(D3:D12,"metacell-245")</f>
        <v>0</v>
      </c>
      <c r="W153">
        <f>COUNTIF(G3:G9,"metacell-245")</f>
        <v>0</v>
      </c>
      <c r="X153">
        <f>COUNTIF(J3:J9,"metacell-245")</f>
        <v>0</v>
      </c>
      <c r="Y153">
        <f>COUNTIF(M3:M9,"metacell-245")</f>
        <v>0</v>
      </c>
      <c r="Z153">
        <f>COUNTIF(P3:P50,"metacell-245")</f>
        <v>0</v>
      </c>
      <c r="AA153">
        <f>COUNTIF(S3:S18,"metacell-245")</f>
        <v>0</v>
      </c>
      <c r="AB153" t="s">
        <v>509</v>
      </c>
      <c r="AC153" t="s">
        <v>509</v>
      </c>
      <c r="AD153">
        <f t="shared" si="1"/>
        <v>0</v>
      </c>
    </row>
    <row r="154" spans="1:30" x14ac:dyDescent="0.25">
      <c r="A154" s="67" t="s">
        <v>737</v>
      </c>
      <c r="B154" s="62">
        <v>37</v>
      </c>
      <c r="C154" s="2">
        <v>18</v>
      </c>
      <c r="D154" s="2">
        <v>34</v>
      </c>
      <c r="E154" s="2">
        <v>20</v>
      </c>
      <c r="F154" s="2">
        <v>15</v>
      </c>
      <c r="G154" s="2">
        <v>2</v>
      </c>
      <c r="H154" s="2">
        <v>6</v>
      </c>
      <c r="I154" s="2" t="s">
        <v>509</v>
      </c>
      <c r="J154" s="2" t="s">
        <v>509</v>
      </c>
      <c r="K154" s="2" t="s">
        <v>509</v>
      </c>
      <c r="L154" s="4" t="s">
        <v>509</v>
      </c>
      <c r="M154" s="3" t="s">
        <v>737</v>
      </c>
      <c r="N154" s="2">
        <f t="shared" si="2"/>
        <v>132</v>
      </c>
      <c r="O154" s="4">
        <v>37</v>
      </c>
      <c r="Q154" s="3" t="s">
        <v>662</v>
      </c>
      <c r="R154" s="4">
        <v>1</v>
      </c>
      <c r="T154" t="s">
        <v>100</v>
      </c>
      <c r="U154">
        <f>COUNTIF(A3:A7,"metacell-25")</f>
        <v>1</v>
      </c>
      <c r="V154">
        <f>COUNTIF(D3:D12,"metacell-25")</f>
        <v>0</v>
      </c>
      <c r="W154">
        <f>COUNTIF(G3:G9,"metacell-25")</f>
        <v>0</v>
      </c>
      <c r="X154">
        <f>COUNTIF(J3:J9,"metacell-25")</f>
        <v>0</v>
      </c>
      <c r="Y154">
        <f>COUNTIF(M3:M9,"metacell-25")</f>
        <v>0</v>
      </c>
      <c r="Z154">
        <f>COUNTIF(P3:P50,"metacell-25")</f>
        <v>0</v>
      </c>
      <c r="AA154">
        <f>COUNTIF(S3:S18,"metacell-25")</f>
        <v>0</v>
      </c>
      <c r="AB154" t="s">
        <v>509</v>
      </c>
      <c r="AC154" t="s">
        <v>509</v>
      </c>
      <c r="AD154">
        <f t="shared" si="1"/>
        <v>1</v>
      </c>
    </row>
    <row r="155" spans="1:30" x14ac:dyDescent="0.25">
      <c r="A155" s="67" t="s">
        <v>734</v>
      </c>
      <c r="B155" s="62">
        <v>45</v>
      </c>
      <c r="C155" s="2">
        <v>16</v>
      </c>
      <c r="D155" s="2">
        <v>24</v>
      </c>
      <c r="E155" s="2">
        <v>22</v>
      </c>
      <c r="F155" s="2">
        <v>8</v>
      </c>
      <c r="G155" s="2">
        <v>6</v>
      </c>
      <c r="H155" s="2">
        <v>12</v>
      </c>
      <c r="I155" s="2" t="s">
        <v>509</v>
      </c>
      <c r="J155" s="2" t="s">
        <v>509</v>
      </c>
      <c r="K155" s="2" t="s">
        <v>509</v>
      </c>
      <c r="L155" s="4" t="s">
        <v>509</v>
      </c>
      <c r="M155" s="3" t="s">
        <v>734</v>
      </c>
      <c r="N155" s="2">
        <f t="shared" si="2"/>
        <v>133</v>
      </c>
      <c r="O155" s="4">
        <v>38</v>
      </c>
      <c r="Q155" s="3" t="s">
        <v>732</v>
      </c>
      <c r="R155" s="4">
        <v>1</v>
      </c>
      <c r="T155" t="s">
        <v>717</v>
      </c>
      <c r="U155">
        <f>COUNTIF(A3:A7,"metacell-250")</f>
        <v>0</v>
      </c>
      <c r="V155">
        <f>COUNTIF(D3:D12,"metacell-250")</f>
        <v>0</v>
      </c>
      <c r="W155">
        <f>COUNTIF(G3:G9,"metacell-250")</f>
        <v>0</v>
      </c>
      <c r="X155">
        <f>COUNTIF(J3:J9,"metacell-250")</f>
        <v>0</v>
      </c>
      <c r="Y155">
        <f>COUNTIF(M3:M9,"metacell-250")</f>
        <v>0</v>
      </c>
      <c r="Z155">
        <f>COUNTIF(P3:P50,"metacell-250")</f>
        <v>1</v>
      </c>
      <c r="AA155">
        <f>COUNTIF(S3:S18,"metacell-250")</f>
        <v>0</v>
      </c>
      <c r="AB155" t="s">
        <v>509</v>
      </c>
      <c r="AC155" t="s">
        <v>509</v>
      </c>
      <c r="AD155">
        <f t="shared" si="1"/>
        <v>1</v>
      </c>
    </row>
    <row r="156" spans="1:30" x14ac:dyDescent="0.25">
      <c r="A156" s="67" t="s">
        <v>355</v>
      </c>
      <c r="B156" s="62">
        <v>43</v>
      </c>
      <c r="C156" s="2">
        <v>19</v>
      </c>
      <c r="D156" s="2">
        <v>23</v>
      </c>
      <c r="E156" s="2">
        <v>26</v>
      </c>
      <c r="F156" s="2">
        <v>14</v>
      </c>
      <c r="G156" s="2">
        <v>4</v>
      </c>
      <c r="H156" s="2">
        <v>5</v>
      </c>
      <c r="I156" s="2" t="s">
        <v>509</v>
      </c>
      <c r="J156" s="2" t="s">
        <v>509</v>
      </c>
      <c r="K156" s="2" t="s">
        <v>509</v>
      </c>
      <c r="L156" s="4" t="s">
        <v>509</v>
      </c>
      <c r="M156" s="3" t="s">
        <v>355</v>
      </c>
      <c r="N156" s="2">
        <f t="shared" si="2"/>
        <v>134</v>
      </c>
      <c r="O156" s="4">
        <v>39</v>
      </c>
      <c r="Q156" s="3" t="s">
        <v>736</v>
      </c>
      <c r="R156" s="4">
        <v>1</v>
      </c>
      <c r="T156" t="s">
        <v>740</v>
      </c>
      <c r="U156">
        <f>COUNTIF(A3:A7,"metacell-251")</f>
        <v>0</v>
      </c>
      <c r="V156">
        <f>COUNTIF(D3:D12,"metacell-251")</f>
        <v>0</v>
      </c>
      <c r="W156">
        <f>COUNTIF(G3:G9,"metacell-251")</f>
        <v>0</v>
      </c>
      <c r="X156">
        <f>COUNTIF(J3:J9,"metacell-251")</f>
        <v>0</v>
      </c>
      <c r="Y156">
        <f>COUNTIF(M3:M9,"metacell-251")</f>
        <v>0</v>
      </c>
      <c r="Z156">
        <f>COUNTIF(P3:P50,"metacell-251")</f>
        <v>0</v>
      </c>
      <c r="AA156">
        <f>COUNTIF(S3:S18,"metacell-251")</f>
        <v>0</v>
      </c>
      <c r="AB156" t="s">
        <v>509</v>
      </c>
      <c r="AC156" t="s">
        <v>509</v>
      </c>
      <c r="AD156">
        <f t="shared" si="1"/>
        <v>0</v>
      </c>
    </row>
    <row r="157" spans="1:30" x14ac:dyDescent="0.25">
      <c r="A157" s="67" t="s">
        <v>725</v>
      </c>
      <c r="B157" s="62">
        <v>25</v>
      </c>
      <c r="C157" s="2">
        <v>19</v>
      </c>
      <c r="D157" s="2">
        <v>24</v>
      </c>
      <c r="E157" s="2">
        <v>24</v>
      </c>
      <c r="F157" s="2">
        <v>14</v>
      </c>
      <c r="G157" s="2">
        <v>9</v>
      </c>
      <c r="H157" s="2">
        <v>19</v>
      </c>
      <c r="I157" s="2" t="s">
        <v>509</v>
      </c>
      <c r="J157" s="2" t="s">
        <v>509</v>
      </c>
      <c r="K157" s="2" t="s">
        <v>509</v>
      </c>
      <c r="L157" s="4" t="s">
        <v>509</v>
      </c>
      <c r="M157" s="3" t="s">
        <v>725</v>
      </c>
      <c r="N157" s="2">
        <f t="shared" si="2"/>
        <v>134</v>
      </c>
      <c r="O157" s="4">
        <v>39</v>
      </c>
      <c r="Q157" s="3" t="s">
        <v>750</v>
      </c>
      <c r="R157" s="4">
        <v>1</v>
      </c>
      <c r="T157" t="s">
        <v>741</v>
      </c>
      <c r="U157">
        <f>COUNTIF(A3:A7,"metacell-254")</f>
        <v>0</v>
      </c>
      <c r="V157">
        <f>COUNTIF(D3:D12,"metacell-254")</f>
        <v>0</v>
      </c>
      <c r="W157">
        <f>COUNTIF(G3:G9,"metacell-254")</f>
        <v>0</v>
      </c>
      <c r="X157">
        <f>COUNTIF(J3:J9,"metacell-254")</f>
        <v>0</v>
      </c>
      <c r="Y157">
        <f>COUNTIF(M3:M9,"metacell-254")</f>
        <v>0</v>
      </c>
      <c r="Z157">
        <f>COUNTIF(P3:P50,"metacell-254")</f>
        <v>0</v>
      </c>
      <c r="AA157">
        <f>COUNTIF(S3:S18,"metacell-254")</f>
        <v>0</v>
      </c>
      <c r="AB157" t="s">
        <v>509</v>
      </c>
      <c r="AC157" t="s">
        <v>509</v>
      </c>
      <c r="AD157">
        <f t="shared" si="1"/>
        <v>0</v>
      </c>
    </row>
    <row r="158" spans="1:30" x14ac:dyDescent="0.25">
      <c r="A158" s="67" t="s">
        <v>730</v>
      </c>
      <c r="B158" s="62">
        <v>31</v>
      </c>
      <c r="C158" s="2">
        <v>22</v>
      </c>
      <c r="D158" s="2">
        <v>28</v>
      </c>
      <c r="E158" s="2">
        <v>28</v>
      </c>
      <c r="F158" s="2">
        <v>15</v>
      </c>
      <c r="G158" s="2">
        <v>4</v>
      </c>
      <c r="H158" s="2">
        <v>6</v>
      </c>
      <c r="I158" s="2" t="s">
        <v>509</v>
      </c>
      <c r="J158" s="2" t="s">
        <v>509</v>
      </c>
      <c r="K158" s="2" t="s">
        <v>509</v>
      </c>
      <c r="L158" s="4" t="s">
        <v>509</v>
      </c>
      <c r="M158" s="3" t="s">
        <v>730</v>
      </c>
      <c r="N158" s="2">
        <f t="shared" si="2"/>
        <v>134</v>
      </c>
      <c r="O158" s="4">
        <v>39</v>
      </c>
      <c r="Q158" s="3" t="s">
        <v>737</v>
      </c>
      <c r="R158" s="4">
        <v>1</v>
      </c>
      <c r="T158" t="s">
        <v>742</v>
      </c>
      <c r="U158">
        <f>COUNTIF(A3:A7,"metacell-255")</f>
        <v>0</v>
      </c>
      <c r="V158">
        <f>COUNTIF(D3:D12,"metacell-255")</f>
        <v>0</v>
      </c>
      <c r="W158">
        <f>COUNTIF(G3:G9,"metacell-255")</f>
        <v>0</v>
      </c>
      <c r="X158">
        <f>COUNTIF(J3:J9,"metacell-255")</f>
        <v>0</v>
      </c>
      <c r="Y158">
        <f>COUNTIF(M3:M9,"metacell-255")</f>
        <v>0</v>
      </c>
      <c r="Z158">
        <f>COUNTIF(P3:P50,"metacell-255")</f>
        <v>0</v>
      </c>
      <c r="AA158">
        <f>COUNTIF(S3:S18,"metacell-255")</f>
        <v>0</v>
      </c>
      <c r="AB158" t="s">
        <v>509</v>
      </c>
      <c r="AC158" t="s">
        <v>509</v>
      </c>
      <c r="AD158">
        <f t="shared" si="1"/>
        <v>0</v>
      </c>
    </row>
    <row r="159" spans="1:30" x14ac:dyDescent="0.25">
      <c r="A159" s="67" t="s">
        <v>712</v>
      </c>
      <c r="B159" s="62">
        <v>28</v>
      </c>
      <c r="C159" s="2">
        <v>22</v>
      </c>
      <c r="D159" s="2">
        <v>25</v>
      </c>
      <c r="E159" s="2">
        <v>32</v>
      </c>
      <c r="F159" s="2">
        <v>13</v>
      </c>
      <c r="G159" s="2">
        <v>2</v>
      </c>
      <c r="H159" s="2">
        <v>13</v>
      </c>
      <c r="I159" s="2" t="s">
        <v>509</v>
      </c>
      <c r="J159" s="2" t="s">
        <v>509</v>
      </c>
      <c r="K159" s="2" t="s">
        <v>509</v>
      </c>
      <c r="L159" s="4" t="s">
        <v>509</v>
      </c>
      <c r="M159" s="3" t="s">
        <v>712</v>
      </c>
      <c r="N159" s="2">
        <f t="shared" si="2"/>
        <v>135</v>
      </c>
      <c r="O159" s="4">
        <v>40</v>
      </c>
      <c r="Q159" s="3" t="s">
        <v>701</v>
      </c>
      <c r="R159" s="4">
        <v>1</v>
      </c>
      <c r="T159" t="s">
        <v>718</v>
      </c>
      <c r="U159">
        <f>COUNTIF(A3:A7,"metacell-257")</f>
        <v>0</v>
      </c>
      <c r="V159">
        <f>COUNTIF(D3:D12,"metacell-257")</f>
        <v>0</v>
      </c>
      <c r="W159">
        <f>COUNTIF(G3:G9,"metacell-257")</f>
        <v>0</v>
      </c>
      <c r="X159">
        <f>COUNTIF(J3:J9,"metacell-257")</f>
        <v>0</v>
      </c>
      <c r="Y159">
        <f>COUNTIF(M3:M9,"metacell-257")</f>
        <v>0</v>
      </c>
      <c r="Z159">
        <f>COUNTIF(P3:P50,"metacell-257")</f>
        <v>0</v>
      </c>
      <c r="AA159">
        <f>COUNTIF(S3:S18,"metacell-257")</f>
        <v>0</v>
      </c>
      <c r="AB159" t="s">
        <v>509</v>
      </c>
      <c r="AC159" t="s">
        <v>509</v>
      </c>
      <c r="AD159">
        <f t="shared" si="1"/>
        <v>0</v>
      </c>
    </row>
    <row r="160" spans="1:30" x14ac:dyDescent="0.25">
      <c r="A160" s="67" t="s">
        <v>711</v>
      </c>
      <c r="B160" s="62">
        <v>29</v>
      </c>
      <c r="C160" s="2">
        <v>20</v>
      </c>
      <c r="D160" s="2">
        <v>24</v>
      </c>
      <c r="E160" s="2">
        <v>30</v>
      </c>
      <c r="F160" s="2">
        <v>13</v>
      </c>
      <c r="G160" s="2">
        <v>8</v>
      </c>
      <c r="H160" s="2">
        <v>12</v>
      </c>
      <c r="I160" s="2" t="s">
        <v>509</v>
      </c>
      <c r="J160" s="2" t="s">
        <v>509</v>
      </c>
      <c r="K160" s="2" t="s">
        <v>509</v>
      </c>
      <c r="L160" s="4" t="s">
        <v>509</v>
      </c>
      <c r="M160" s="3" t="s">
        <v>711</v>
      </c>
      <c r="N160" s="2">
        <f t="shared" si="2"/>
        <v>136</v>
      </c>
      <c r="O160" s="4">
        <v>41</v>
      </c>
      <c r="Q160" s="3" t="s">
        <v>160</v>
      </c>
      <c r="R160" s="4">
        <v>1</v>
      </c>
      <c r="T160" t="s">
        <v>101</v>
      </c>
      <c r="U160">
        <f>COUNTIF(A3:A7,"metacell-26")</f>
        <v>1</v>
      </c>
      <c r="V160">
        <f>COUNTIF(D3:D12,"metacell-26")</f>
        <v>1</v>
      </c>
      <c r="W160">
        <f>COUNTIF(G3:G9,"metacell-26")</f>
        <v>1</v>
      </c>
      <c r="X160">
        <f>COUNTIF(J3:J9,"metacell-26")</f>
        <v>0</v>
      </c>
      <c r="Y160">
        <f>COUNTIF(M3:M9,"metacell-26")</f>
        <v>0</v>
      </c>
      <c r="Z160">
        <f>COUNTIF(P3:P50,"metacell-26")</f>
        <v>0</v>
      </c>
      <c r="AA160">
        <f>COUNTIF(S3:S18,"metacell-26")</f>
        <v>0</v>
      </c>
      <c r="AB160" t="s">
        <v>509</v>
      </c>
      <c r="AC160" t="s">
        <v>509</v>
      </c>
      <c r="AD160">
        <f t="shared" si="1"/>
        <v>3</v>
      </c>
    </row>
    <row r="161" spans="1:30" x14ac:dyDescent="0.25">
      <c r="A161" s="67" t="s">
        <v>247</v>
      </c>
      <c r="B161" s="62">
        <v>45</v>
      </c>
      <c r="C161" s="2">
        <v>18</v>
      </c>
      <c r="D161" s="2">
        <v>24</v>
      </c>
      <c r="E161" s="2">
        <v>26</v>
      </c>
      <c r="F161" s="2">
        <v>11</v>
      </c>
      <c r="G161" s="2">
        <v>8</v>
      </c>
      <c r="H161" s="2">
        <v>5</v>
      </c>
      <c r="I161" s="2" t="s">
        <v>509</v>
      </c>
      <c r="J161" s="2" t="s">
        <v>509</v>
      </c>
      <c r="K161" s="2" t="s">
        <v>509</v>
      </c>
      <c r="L161" s="4" t="s">
        <v>509</v>
      </c>
      <c r="M161" s="3" t="s">
        <v>247</v>
      </c>
      <c r="N161" s="2">
        <f t="shared" si="2"/>
        <v>137</v>
      </c>
      <c r="O161" s="4">
        <v>42</v>
      </c>
      <c r="Q161" s="3" t="s">
        <v>86</v>
      </c>
      <c r="R161" s="4">
        <v>0</v>
      </c>
      <c r="T161" t="s">
        <v>743</v>
      </c>
      <c r="U161">
        <f>COUNTIF(A3:A7,"metacell-260")</f>
        <v>0</v>
      </c>
      <c r="V161">
        <f>COUNTIF(D3:D12,"metacell-260")</f>
        <v>0</v>
      </c>
      <c r="W161">
        <f>COUNTIF(G3:G9,"metacell-260")</f>
        <v>0</v>
      </c>
      <c r="X161">
        <f>COUNTIF(J3:J9,"metacell-260")</f>
        <v>0</v>
      </c>
      <c r="Y161">
        <f>COUNTIF(M3:M9,"metacell-260")</f>
        <v>0</v>
      </c>
      <c r="Z161">
        <f>COUNTIF(P3:P50,"metacell-260")</f>
        <v>1</v>
      </c>
      <c r="AA161">
        <f>COUNTIF(S3:S18,"metacell-260")</f>
        <v>0</v>
      </c>
      <c r="AB161" t="s">
        <v>509</v>
      </c>
      <c r="AC161" t="s">
        <v>509</v>
      </c>
      <c r="AD161">
        <f t="shared" si="1"/>
        <v>1</v>
      </c>
    </row>
    <row r="162" spans="1:30" x14ac:dyDescent="0.25">
      <c r="A162" s="67" t="s">
        <v>251</v>
      </c>
      <c r="B162" s="62">
        <v>42</v>
      </c>
      <c r="C162" s="2">
        <v>18</v>
      </c>
      <c r="D162" s="2">
        <v>24</v>
      </c>
      <c r="E162" s="2">
        <v>21</v>
      </c>
      <c r="F162" s="2">
        <v>15</v>
      </c>
      <c r="G162" s="2">
        <v>3</v>
      </c>
      <c r="H162" s="2">
        <v>14</v>
      </c>
      <c r="I162" s="2" t="s">
        <v>509</v>
      </c>
      <c r="J162" s="2" t="s">
        <v>509</v>
      </c>
      <c r="K162" s="2" t="s">
        <v>509</v>
      </c>
      <c r="L162" s="4" t="s">
        <v>509</v>
      </c>
      <c r="M162" s="3" t="s">
        <v>251</v>
      </c>
      <c r="N162" s="2">
        <f t="shared" si="2"/>
        <v>137</v>
      </c>
      <c r="O162" s="4">
        <v>42</v>
      </c>
      <c r="Q162" s="3" t="s">
        <v>181</v>
      </c>
      <c r="R162" s="4">
        <v>0</v>
      </c>
      <c r="T162" t="s">
        <v>719</v>
      </c>
      <c r="U162">
        <f>COUNTIF(A3:A7,"metacell-261")</f>
        <v>0</v>
      </c>
      <c r="V162">
        <f>COUNTIF(D3:D12,"metacell-261")</f>
        <v>0</v>
      </c>
      <c r="W162">
        <f>COUNTIF(G3:G9,"metacell-261")</f>
        <v>0</v>
      </c>
      <c r="X162">
        <f>COUNTIF(J3:J9,"metacell-261")</f>
        <v>0</v>
      </c>
      <c r="Y162">
        <f>COUNTIF(M3:M9,"metacell-261")</f>
        <v>0</v>
      </c>
      <c r="Z162">
        <f>COUNTIF(P3:P50,"metacell-261")</f>
        <v>0</v>
      </c>
      <c r="AA162">
        <f>COUNTIF(S3:S18,"metacell-261")</f>
        <v>0</v>
      </c>
      <c r="AB162" t="s">
        <v>509</v>
      </c>
      <c r="AC162" t="s">
        <v>509</v>
      </c>
      <c r="AD162">
        <f t="shared" si="1"/>
        <v>0</v>
      </c>
    </row>
    <row r="163" spans="1:30" x14ac:dyDescent="0.25">
      <c r="A163" s="67" t="s">
        <v>253</v>
      </c>
      <c r="B163" s="62">
        <v>45</v>
      </c>
      <c r="C163" s="2">
        <v>17</v>
      </c>
      <c r="D163" s="2">
        <v>24</v>
      </c>
      <c r="E163" s="2">
        <v>23</v>
      </c>
      <c r="F163" s="2">
        <v>12</v>
      </c>
      <c r="G163" s="2">
        <v>6</v>
      </c>
      <c r="H163" s="2">
        <v>10</v>
      </c>
      <c r="I163" s="2" t="s">
        <v>509</v>
      </c>
      <c r="J163" s="2" t="s">
        <v>509</v>
      </c>
      <c r="K163" s="2" t="s">
        <v>509</v>
      </c>
      <c r="L163" s="4" t="s">
        <v>509</v>
      </c>
      <c r="M163" s="3" t="s">
        <v>253</v>
      </c>
      <c r="N163" s="2">
        <f t="shared" si="2"/>
        <v>137</v>
      </c>
      <c r="O163" s="4">
        <v>42</v>
      </c>
      <c r="Q163" s="3" t="s">
        <v>191</v>
      </c>
      <c r="R163" s="4">
        <v>0</v>
      </c>
      <c r="T163" t="s">
        <v>720</v>
      </c>
      <c r="U163">
        <f>COUNTIF(A3:A7,"metacell-262")</f>
        <v>0</v>
      </c>
      <c r="V163">
        <f>COUNTIF(D3:D12,"metacell-262")</f>
        <v>0</v>
      </c>
      <c r="W163">
        <f>COUNTIF(G3:G9,"metacell-262")</f>
        <v>0</v>
      </c>
      <c r="X163">
        <f>COUNTIF(J3:J9,"metacell-262")</f>
        <v>0</v>
      </c>
      <c r="Y163">
        <f>COUNTIF(M3:M9,"metacell-262")</f>
        <v>0</v>
      </c>
      <c r="Z163">
        <f>COUNTIF(P3:P50,"metacell-262")</f>
        <v>0</v>
      </c>
      <c r="AA163">
        <f>COUNTIF(S3:S18,"metacell-262")</f>
        <v>0</v>
      </c>
      <c r="AB163" t="s">
        <v>509</v>
      </c>
      <c r="AC163" t="s">
        <v>509</v>
      </c>
      <c r="AD163">
        <f t="shared" si="1"/>
        <v>0</v>
      </c>
    </row>
    <row r="164" spans="1:30" x14ac:dyDescent="0.25">
      <c r="A164" s="67" t="s">
        <v>707</v>
      </c>
      <c r="B164" s="62">
        <v>39</v>
      </c>
      <c r="C164" s="2">
        <v>19</v>
      </c>
      <c r="D164" s="2">
        <v>23</v>
      </c>
      <c r="E164" s="2">
        <v>27</v>
      </c>
      <c r="F164" s="2">
        <v>14</v>
      </c>
      <c r="G164" s="2">
        <v>7</v>
      </c>
      <c r="H164" s="2">
        <v>8</v>
      </c>
      <c r="I164" s="2" t="s">
        <v>509</v>
      </c>
      <c r="J164" s="2" t="s">
        <v>509</v>
      </c>
      <c r="K164" s="2" t="s">
        <v>509</v>
      </c>
      <c r="L164" s="4" t="s">
        <v>509</v>
      </c>
      <c r="M164" s="3" t="s">
        <v>707</v>
      </c>
      <c r="N164" s="2">
        <f t="shared" si="2"/>
        <v>137</v>
      </c>
      <c r="O164" s="4">
        <v>42</v>
      </c>
      <c r="Q164" s="3" t="s">
        <v>195</v>
      </c>
      <c r="R164" s="4">
        <v>0</v>
      </c>
      <c r="T164" t="s">
        <v>744</v>
      </c>
      <c r="U164">
        <f>COUNTIF(A3:A7,"metacell-263")</f>
        <v>0</v>
      </c>
      <c r="V164">
        <f>COUNTIF(D3:D12,"metacell-263")</f>
        <v>0</v>
      </c>
      <c r="W164">
        <f>COUNTIF(G3:G9,"metacell-263")</f>
        <v>0</v>
      </c>
      <c r="X164">
        <f>COUNTIF(J3:J9,"metacell-263")</f>
        <v>0</v>
      </c>
      <c r="Y164">
        <f>COUNTIF(M3:M9,"metacell-263")</f>
        <v>0</v>
      </c>
      <c r="Z164">
        <f>COUNTIF(P3:P50,"metacell-263")</f>
        <v>0</v>
      </c>
      <c r="AA164">
        <f>COUNTIF(S3:S18,"metacell-263")</f>
        <v>0</v>
      </c>
      <c r="AB164" t="s">
        <v>509</v>
      </c>
      <c r="AC164" t="s">
        <v>509</v>
      </c>
      <c r="AD164">
        <f t="shared" si="1"/>
        <v>0</v>
      </c>
    </row>
    <row r="165" spans="1:30" x14ac:dyDescent="0.25">
      <c r="A165" s="67" t="s">
        <v>662</v>
      </c>
      <c r="B165" s="62">
        <v>45</v>
      </c>
      <c r="C165" s="2">
        <v>18</v>
      </c>
      <c r="D165" s="2">
        <v>24</v>
      </c>
      <c r="E165" s="2">
        <v>24</v>
      </c>
      <c r="F165" s="2">
        <v>12</v>
      </c>
      <c r="G165" s="2">
        <v>10</v>
      </c>
      <c r="H165" s="2">
        <v>5</v>
      </c>
      <c r="I165" s="2" t="s">
        <v>509</v>
      </c>
      <c r="J165" s="2" t="s">
        <v>509</v>
      </c>
      <c r="K165" s="2" t="s">
        <v>509</v>
      </c>
      <c r="L165" s="4" t="s">
        <v>509</v>
      </c>
      <c r="M165" s="3" t="s">
        <v>662</v>
      </c>
      <c r="N165" s="2">
        <f t="shared" si="2"/>
        <v>138</v>
      </c>
      <c r="O165" s="4">
        <v>43</v>
      </c>
      <c r="Q165" s="3" t="s">
        <v>222</v>
      </c>
      <c r="R165" s="4">
        <v>0</v>
      </c>
      <c r="T165" t="s">
        <v>721</v>
      </c>
      <c r="U165">
        <f>COUNTIF(A3:A7,"metacell-267")</f>
        <v>0</v>
      </c>
      <c r="V165">
        <f>COUNTIF(D3:D12,"metacell-267")</f>
        <v>0</v>
      </c>
      <c r="W165">
        <f>COUNTIF(G3:G9,"metacell-267")</f>
        <v>0</v>
      </c>
      <c r="X165">
        <f>COUNTIF(J3:J9,"metacell-267")</f>
        <v>0</v>
      </c>
      <c r="Y165">
        <f>COUNTIF(M3:M9,"metacell-267")</f>
        <v>0</v>
      </c>
      <c r="Z165">
        <f>COUNTIF(P3:P50,"metacell-267")</f>
        <v>0</v>
      </c>
      <c r="AA165">
        <f>COUNTIF(S3:S18,"metacell-267")</f>
        <v>0</v>
      </c>
      <c r="AB165" t="s">
        <v>509</v>
      </c>
      <c r="AC165" t="s">
        <v>509</v>
      </c>
      <c r="AD165">
        <f t="shared" si="1"/>
        <v>0</v>
      </c>
    </row>
    <row r="166" spans="1:30" x14ac:dyDescent="0.25">
      <c r="A166" s="67" t="s">
        <v>708</v>
      </c>
      <c r="B166" s="62">
        <v>38</v>
      </c>
      <c r="C166" s="2">
        <v>20</v>
      </c>
      <c r="D166" s="2">
        <v>29</v>
      </c>
      <c r="E166" s="2">
        <v>26</v>
      </c>
      <c r="F166" s="2">
        <v>17</v>
      </c>
      <c r="G166" s="2">
        <v>5</v>
      </c>
      <c r="H166" s="2">
        <v>4</v>
      </c>
      <c r="I166" s="2" t="s">
        <v>509</v>
      </c>
      <c r="J166" s="2" t="s">
        <v>509</v>
      </c>
      <c r="K166" s="2" t="s">
        <v>509</v>
      </c>
      <c r="L166" s="4" t="s">
        <v>509</v>
      </c>
      <c r="M166" s="3" t="s">
        <v>708</v>
      </c>
      <c r="N166" s="2">
        <f t="shared" ref="N166:N194" si="3">SUM(B166:H166)</f>
        <v>139</v>
      </c>
      <c r="O166" s="4">
        <v>44</v>
      </c>
      <c r="Q166" s="3" t="s">
        <v>223</v>
      </c>
      <c r="R166" s="4">
        <v>0</v>
      </c>
      <c r="T166" t="s">
        <v>102</v>
      </c>
      <c r="U166">
        <f>COUNTIF(A3:A7,"metacell-27")</f>
        <v>0</v>
      </c>
      <c r="V166">
        <f>COUNTIF(D3:D12,"metacell-27")</f>
        <v>0</v>
      </c>
      <c r="W166">
        <f>COUNTIF(G3:G9,"metacell-27")</f>
        <v>0</v>
      </c>
      <c r="X166">
        <f>COUNTIF(J3:J9,"metacell-27")</f>
        <v>0</v>
      </c>
      <c r="Y166">
        <f>COUNTIF(M3:M9,"metacell-27")</f>
        <v>0</v>
      </c>
      <c r="Z166">
        <f>COUNTIF(P3:P50,"metacell-27")</f>
        <v>1</v>
      </c>
      <c r="AA166">
        <f>COUNTIF(S3:S18,"metacell-27")</f>
        <v>0</v>
      </c>
      <c r="AB166" t="s">
        <v>509</v>
      </c>
      <c r="AC166" t="s">
        <v>509</v>
      </c>
      <c r="AD166">
        <f t="shared" si="1"/>
        <v>1</v>
      </c>
    </row>
    <row r="167" spans="1:30" x14ac:dyDescent="0.25">
      <c r="A167" s="67" t="s">
        <v>719</v>
      </c>
      <c r="B167" s="62">
        <v>23</v>
      </c>
      <c r="C167" s="2">
        <v>23</v>
      </c>
      <c r="D167" s="2">
        <v>27</v>
      </c>
      <c r="E167" s="2">
        <v>34</v>
      </c>
      <c r="F167" s="2">
        <v>14</v>
      </c>
      <c r="G167" s="2">
        <v>8</v>
      </c>
      <c r="H167" s="2">
        <v>10</v>
      </c>
      <c r="I167" s="2" t="s">
        <v>509</v>
      </c>
      <c r="J167" s="2" t="s">
        <v>509</v>
      </c>
      <c r="K167" s="2" t="s">
        <v>509</v>
      </c>
      <c r="L167" s="4" t="s">
        <v>509</v>
      </c>
      <c r="M167" s="3" t="s">
        <v>719</v>
      </c>
      <c r="N167" s="2">
        <f t="shared" si="3"/>
        <v>139</v>
      </c>
      <c r="O167" s="4">
        <v>44</v>
      </c>
      <c r="Q167" s="3" t="s">
        <v>253</v>
      </c>
      <c r="R167" s="4">
        <v>0</v>
      </c>
      <c r="T167" t="s">
        <v>722</v>
      </c>
      <c r="U167">
        <f>COUNTIF(A3:A7,"metacell-271")</f>
        <v>0</v>
      </c>
      <c r="V167">
        <f>COUNTIF(D3:D12,"metacell-271")</f>
        <v>0</v>
      </c>
      <c r="W167">
        <f>COUNTIF(G3:G9,"metacell-271")</f>
        <v>0</v>
      </c>
      <c r="X167">
        <f>COUNTIF(J3:J9,"metacell-271")</f>
        <v>0</v>
      </c>
      <c r="Y167">
        <f>COUNTIF(M3:M9,"metacell-271")</f>
        <v>0</v>
      </c>
      <c r="Z167">
        <f>COUNTIF(P3:P50,"metacell-271")</f>
        <v>0</v>
      </c>
      <c r="AA167">
        <f>COUNTIF(S3:S18,"metacell-271")</f>
        <v>0</v>
      </c>
      <c r="AB167" t="s">
        <v>509</v>
      </c>
      <c r="AC167" t="s">
        <v>509</v>
      </c>
      <c r="AD167">
        <f t="shared" ref="AD167:AD194" si="4">SUM(U167:AA167)</f>
        <v>0</v>
      </c>
    </row>
    <row r="168" spans="1:30" x14ac:dyDescent="0.25">
      <c r="A168" s="67" t="s">
        <v>160</v>
      </c>
      <c r="B168" s="62">
        <v>22</v>
      </c>
      <c r="C168" s="2">
        <v>28</v>
      </c>
      <c r="D168" s="2">
        <v>36</v>
      </c>
      <c r="E168" s="2">
        <v>24</v>
      </c>
      <c r="F168" s="2">
        <v>18</v>
      </c>
      <c r="G168" s="2">
        <v>4</v>
      </c>
      <c r="H168" s="2">
        <v>8</v>
      </c>
      <c r="I168" s="2" t="s">
        <v>509</v>
      </c>
      <c r="J168" s="2" t="s">
        <v>509</v>
      </c>
      <c r="K168" s="2" t="s">
        <v>509</v>
      </c>
      <c r="L168" s="4" t="s">
        <v>509</v>
      </c>
      <c r="M168" s="3" t="s">
        <v>160</v>
      </c>
      <c r="N168" s="2">
        <f t="shared" si="3"/>
        <v>140</v>
      </c>
      <c r="O168" s="4">
        <v>45</v>
      </c>
      <c r="Q168" s="3" t="s">
        <v>258</v>
      </c>
      <c r="R168" s="4">
        <v>0</v>
      </c>
      <c r="T168" t="s">
        <v>723</v>
      </c>
      <c r="U168">
        <f>COUNTIF(A3:A7,"metacell-274")</f>
        <v>0</v>
      </c>
      <c r="V168">
        <f>COUNTIF(D3:D12,"metacell-274")</f>
        <v>0</v>
      </c>
      <c r="W168">
        <f>COUNTIF(G3:G9,"metacell-274")</f>
        <v>0</v>
      </c>
      <c r="X168">
        <f>COUNTIF(J3:J9,"metacell-274")</f>
        <v>0</v>
      </c>
      <c r="Y168">
        <f>COUNTIF(M3:M9,"metacell-274")</f>
        <v>0</v>
      </c>
      <c r="Z168">
        <f>COUNTIF(P3:P50,"metacell-274")</f>
        <v>0</v>
      </c>
      <c r="AA168">
        <f>COUNTIF(S3:S18,"metacell-274")</f>
        <v>0</v>
      </c>
      <c r="AB168" t="s">
        <v>509</v>
      </c>
      <c r="AC168" t="s">
        <v>509</v>
      </c>
      <c r="AD168">
        <f t="shared" si="4"/>
        <v>0</v>
      </c>
    </row>
    <row r="169" spans="1:30" x14ac:dyDescent="0.25">
      <c r="A169" s="67" t="s">
        <v>739</v>
      </c>
      <c r="B169" s="62">
        <v>29</v>
      </c>
      <c r="C169" s="2">
        <v>22</v>
      </c>
      <c r="D169" s="2">
        <v>24</v>
      </c>
      <c r="E169" s="2">
        <v>32</v>
      </c>
      <c r="F169" s="2">
        <v>17</v>
      </c>
      <c r="G169" s="2">
        <v>4</v>
      </c>
      <c r="H169" s="2">
        <v>14</v>
      </c>
      <c r="I169" s="2" t="s">
        <v>509</v>
      </c>
      <c r="J169" s="2" t="s">
        <v>509</v>
      </c>
      <c r="K169" s="2" t="s">
        <v>509</v>
      </c>
      <c r="L169" s="4" t="s">
        <v>509</v>
      </c>
      <c r="M169" s="3" t="s">
        <v>739</v>
      </c>
      <c r="N169" s="2">
        <f t="shared" si="3"/>
        <v>142</v>
      </c>
      <c r="O169" s="4">
        <v>46</v>
      </c>
      <c r="Q169" s="3" t="s">
        <v>707</v>
      </c>
      <c r="R169" s="4">
        <v>0</v>
      </c>
      <c r="T169" t="s">
        <v>724</v>
      </c>
      <c r="U169">
        <f>COUNTIF(A3:A7,"metacell-278")</f>
        <v>0</v>
      </c>
      <c r="V169">
        <f>COUNTIF(D3:D12,"metacell-278")</f>
        <v>0</v>
      </c>
      <c r="W169">
        <f>COUNTIF(G3:G9,"metacell-278")</f>
        <v>0</v>
      </c>
      <c r="X169">
        <f>COUNTIF(J3:J9,"metacell-278")</f>
        <v>0</v>
      </c>
      <c r="Y169">
        <f>COUNTIF(M3:M9,"metacell-278")</f>
        <v>0</v>
      </c>
      <c r="Z169">
        <f>COUNTIF(P3:P50,"metacell-278")</f>
        <v>1</v>
      </c>
      <c r="AA169">
        <f>COUNTIF(S3:S18,"metacell-278")</f>
        <v>0</v>
      </c>
      <c r="AB169" t="s">
        <v>509</v>
      </c>
      <c r="AC169" t="s">
        <v>509</v>
      </c>
      <c r="AD169">
        <f t="shared" si="4"/>
        <v>1</v>
      </c>
    </row>
    <row r="170" spans="1:30" x14ac:dyDescent="0.25">
      <c r="A170" s="67" t="s">
        <v>717</v>
      </c>
      <c r="B170" s="62">
        <v>25</v>
      </c>
      <c r="C170" s="2">
        <v>25</v>
      </c>
      <c r="D170" s="2">
        <v>23</v>
      </c>
      <c r="E170" s="2">
        <v>34</v>
      </c>
      <c r="F170" s="2">
        <v>17</v>
      </c>
      <c r="G170" s="2">
        <v>5</v>
      </c>
      <c r="H170" s="2">
        <v>14</v>
      </c>
      <c r="I170" s="2" t="s">
        <v>509</v>
      </c>
      <c r="J170" s="2" t="s">
        <v>509</v>
      </c>
      <c r="K170" s="2" t="s">
        <v>509</v>
      </c>
      <c r="L170" s="4" t="s">
        <v>509</v>
      </c>
      <c r="M170" s="3" t="s">
        <v>717</v>
      </c>
      <c r="N170" s="2">
        <f t="shared" si="3"/>
        <v>143</v>
      </c>
      <c r="O170" s="4">
        <v>47</v>
      </c>
      <c r="Q170" s="3" t="s">
        <v>709</v>
      </c>
      <c r="R170" s="4">
        <v>0</v>
      </c>
      <c r="T170" t="s">
        <v>725</v>
      </c>
      <c r="U170">
        <f>COUNTIF(A3:A7,"metacell-281")</f>
        <v>0</v>
      </c>
      <c r="V170">
        <f>COUNTIF(D3:D12,"metacell-281")</f>
        <v>0</v>
      </c>
      <c r="W170">
        <f>COUNTIF(G3:G9,"metacell-281")</f>
        <v>0</v>
      </c>
      <c r="X170">
        <f>COUNTIF(J3:J9,"metacell-281")</f>
        <v>0</v>
      </c>
      <c r="Y170">
        <f>COUNTIF(M3:M9,"metacell-281")</f>
        <v>0</v>
      </c>
      <c r="Z170">
        <f>COUNTIF(P3:P50,"metacell-281")</f>
        <v>0</v>
      </c>
      <c r="AA170">
        <f>COUNTIF(S3:S18,"metacell-281")</f>
        <v>0</v>
      </c>
      <c r="AB170" t="s">
        <v>509</v>
      </c>
      <c r="AC170" t="s">
        <v>509</v>
      </c>
      <c r="AD170">
        <f t="shared" si="4"/>
        <v>0</v>
      </c>
    </row>
    <row r="171" spans="1:30" x14ac:dyDescent="0.25">
      <c r="A171" s="67" t="s">
        <v>746</v>
      </c>
      <c r="B171" s="62">
        <v>41</v>
      </c>
      <c r="C171" s="2">
        <v>22</v>
      </c>
      <c r="D171" s="2">
        <v>25</v>
      </c>
      <c r="E171" s="2">
        <v>32</v>
      </c>
      <c r="F171" s="2">
        <v>9</v>
      </c>
      <c r="G171" s="2">
        <v>3</v>
      </c>
      <c r="H171" s="2">
        <v>14</v>
      </c>
      <c r="I171" s="2" t="s">
        <v>509</v>
      </c>
      <c r="J171" s="2" t="s">
        <v>509</v>
      </c>
      <c r="K171" s="2" t="s">
        <v>509</v>
      </c>
      <c r="L171" s="4" t="s">
        <v>509</v>
      </c>
      <c r="M171" s="3" t="s">
        <v>746</v>
      </c>
      <c r="N171" s="2">
        <f t="shared" si="3"/>
        <v>146</v>
      </c>
      <c r="O171" s="4">
        <v>48</v>
      </c>
      <c r="Q171" s="3" t="s">
        <v>711</v>
      </c>
      <c r="R171" s="4">
        <v>0</v>
      </c>
      <c r="T171" t="s">
        <v>745</v>
      </c>
      <c r="U171">
        <f>COUNTIF(A3:A7,"metacell-282")</f>
        <v>0</v>
      </c>
      <c r="V171">
        <f>COUNTIF(D3:D12,"metacell-282")</f>
        <v>0</v>
      </c>
      <c r="W171">
        <f>COUNTIF(G3:G9,"metacell-282")</f>
        <v>0</v>
      </c>
      <c r="X171">
        <f>COUNTIF(J3:J9,"metacell-282")</f>
        <v>0</v>
      </c>
      <c r="Y171">
        <f>COUNTIF(M3:M9,"metacell-282")</f>
        <v>0</v>
      </c>
      <c r="Z171">
        <f>COUNTIF(P3:P50,"metacell-282")</f>
        <v>1</v>
      </c>
      <c r="AA171">
        <f>COUNTIF(S3:S18,"metacell-282")</f>
        <v>0</v>
      </c>
      <c r="AB171" t="s">
        <v>509</v>
      </c>
      <c r="AC171" t="s">
        <v>509</v>
      </c>
      <c r="AD171">
        <f t="shared" si="4"/>
        <v>1</v>
      </c>
    </row>
    <row r="172" spans="1:30" x14ac:dyDescent="0.25">
      <c r="A172" s="67" t="s">
        <v>738</v>
      </c>
      <c r="B172" s="62">
        <v>37</v>
      </c>
      <c r="C172" s="2">
        <v>22</v>
      </c>
      <c r="D172" s="2">
        <v>31</v>
      </c>
      <c r="E172" s="2">
        <v>31</v>
      </c>
      <c r="F172" s="2">
        <v>15</v>
      </c>
      <c r="G172" s="2">
        <v>7</v>
      </c>
      <c r="H172" s="2">
        <v>4</v>
      </c>
      <c r="I172" s="2" t="s">
        <v>509</v>
      </c>
      <c r="J172" s="2" t="s">
        <v>509</v>
      </c>
      <c r="K172" s="2" t="s">
        <v>509</v>
      </c>
      <c r="L172" s="4" t="s">
        <v>509</v>
      </c>
      <c r="M172" s="3" t="s">
        <v>738</v>
      </c>
      <c r="N172" s="2">
        <f t="shared" si="3"/>
        <v>147</v>
      </c>
      <c r="O172" s="4">
        <v>49</v>
      </c>
      <c r="Q172" s="3" t="s">
        <v>714</v>
      </c>
      <c r="R172" s="4">
        <v>0</v>
      </c>
      <c r="T172" t="s">
        <v>726</v>
      </c>
      <c r="U172">
        <f>COUNTIF(A3:A7,"metacell-285")</f>
        <v>0</v>
      </c>
      <c r="V172">
        <f>COUNTIF(D3:D12,"metacell-285")</f>
        <v>0</v>
      </c>
      <c r="W172">
        <f>COUNTIF(G3:G9,"metacell-285")</f>
        <v>0</v>
      </c>
      <c r="X172">
        <f>COUNTIF(J3:J9,"metacell-285")</f>
        <v>0</v>
      </c>
      <c r="Y172">
        <f>COUNTIF(M3:M9,"metacell-285")</f>
        <v>0</v>
      </c>
      <c r="Z172">
        <f>COUNTIF(P3:P50,"metacell-285")</f>
        <v>0</v>
      </c>
      <c r="AA172">
        <f>COUNTIF(S3:S18,"metacell-285")</f>
        <v>1</v>
      </c>
      <c r="AB172" t="s">
        <v>509</v>
      </c>
      <c r="AC172" t="s">
        <v>509</v>
      </c>
      <c r="AD172">
        <f t="shared" si="4"/>
        <v>1</v>
      </c>
    </row>
    <row r="173" spans="1:30" x14ac:dyDescent="0.25">
      <c r="A173" s="67" t="s">
        <v>747</v>
      </c>
      <c r="B173" s="62">
        <v>44</v>
      </c>
      <c r="C173" s="2">
        <v>21</v>
      </c>
      <c r="D173" s="2">
        <v>25</v>
      </c>
      <c r="E173" s="2">
        <v>32</v>
      </c>
      <c r="F173" s="2">
        <v>11</v>
      </c>
      <c r="G173" s="2">
        <v>4</v>
      </c>
      <c r="H173" s="2">
        <v>10</v>
      </c>
      <c r="I173" s="2" t="s">
        <v>509</v>
      </c>
      <c r="J173" s="2" t="s">
        <v>509</v>
      </c>
      <c r="K173" s="2" t="s">
        <v>509</v>
      </c>
      <c r="L173" s="4" t="s">
        <v>509</v>
      </c>
      <c r="M173" s="3" t="s">
        <v>747</v>
      </c>
      <c r="N173" s="2">
        <f t="shared" si="3"/>
        <v>147</v>
      </c>
      <c r="O173" s="4">
        <v>49</v>
      </c>
      <c r="Q173" s="3" t="s">
        <v>716</v>
      </c>
      <c r="R173" s="4">
        <v>0</v>
      </c>
      <c r="T173" t="s">
        <v>746</v>
      </c>
      <c r="U173">
        <f>COUNTIF(A3:A7,"metacell-286")</f>
        <v>0</v>
      </c>
      <c r="V173">
        <f>COUNTIF(D3:D12,"metacell-286")</f>
        <v>0</v>
      </c>
      <c r="W173">
        <f>COUNTIF(G3:G9,"metacell-286")</f>
        <v>0</v>
      </c>
      <c r="X173">
        <f>COUNTIF(J3:J9,"metacell-286")</f>
        <v>0</v>
      </c>
      <c r="Y173">
        <f>COUNTIF(M3:M9,"metacell-286")</f>
        <v>0</v>
      </c>
      <c r="Z173">
        <f>COUNTIF(P3:P50,"metacell-286")</f>
        <v>1</v>
      </c>
      <c r="AA173">
        <f>COUNTIF(S3:S18,"metacell-286")</f>
        <v>0</v>
      </c>
      <c r="AB173" t="s">
        <v>509</v>
      </c>
      <c r="AC173" t="s">
        <v>509</v>
      </c>
      <c r="AD173">
        <f t="shared" si="4"/>
        <v>1</v>
      </c>
    </row>
    <row r="174" spans="1:30" x14ac:dyDescent="0.25">
      <c r="A174" s="67" t="s">
        <v>740</v>
      </c>
      <c r="B174" s="62">
        <v>27</v>
      </c>
      <c r="C174" s="2">
        <v>25</v>
      </c>
      <c r="D174" s="2">
        <v>28</v>
      </c>
      <c r="E174" s="2">
        <v>27</v>
      </c>
      <c r="F174" s="2">
        <v>15</v>
      </c>
      <c r="G174" s="2">
        <v>9</v>
      </c>
      <c r="H174" s="2">
        <v>17</v>
      </c>
      <c r="I174" s="2" t="s">
        <v>509</v>
      </c>
      <c r="J174" s="2" t="s">
        <v>509</v>
      </c>
      <c r="K174" s="2" t="s">
        <v>509</v>
      </c>
      <c r="L174" s="4" t="s">
        <v>509</v>
      </c>
      <c r="M174" s="3" t="s">
        <v>740</v>
      </c>
      <c r="N174" s="2">
        <f t="shared" si="3"/>
        <v>148</v>
      </c>
      <c r="O174" s="4">
        <v>50</v>
      </c>
      <c r="Q174" s="3" t="s">
        <v>740</v>
      </c>
      <c r="R174" s="4">
        <v>0</v>
      </c>
      <c r="T174" t="s">
        <v>727</v>
      </c>
      <c r="U174">
        <f>COUNTIF(A3:A7,"metacell-290")</f>
        <v>0</v>
      </c>
      <c r="V174">
        <f>COUNTIF(D3:D12,"metacell-290")</f>
        <v>0</v>
      </c>
      <c r="W174">
        <f>COUNTIF(G3:G9,"metacell-290")</f>
        <v>0</v>
      </c>
      <c r="X174">
        <f>COUNTIF(J3:J9,"metacell-290")</f>
        <v>0</v>
      </c>
      <c r="Y174">
        <f>COUNTIF(M3:M9,"metacell-290")</f>
        <v>0</v>
      </c>
      <c r="Z174">
        <f>COUNTIF(P3:P50,"metacell-290")</f>
        <v>0</v>
      </c>
      <c r="AA174">
        <f>COUNTIF(S3:S18,"metacell-290")</f>
        <v>0</v>
      </c>
      <c r="AB174" t="s">
        <v>509</v>
      </c>
      <c r="AC174" t="s">
        <v>509</v>
      </c>
      <c r="AD174">
        <f t="shared" si="4"/>
        <v>0</v>
      </c>
    </row>
    <row r="175" spans="1:30" x14ac:dyDescent="0.25">
      <c r="A175" s="67" t="s">
        <v>749</v>
      </c>
      <c r="B175" s="62">
        <v>39</v>
      </c>
      <c r="C175" s="2">
        <v>21</v>
      </c>
      <c r="D175" s="2">
        <v>26</v>
      </c>
      <c r="E175" s="2">
        <v>28</v>
      </c>
      <c r="F175" s="2">
        <v>14</v>
      </c>
      <c r="G175" s="2">
        <v>6</v>
      </c>
      <c r="H175" s="2">
        <v>14</v>
      </c>
      <c r="I175" s="2" t="s">
        <v>509</v>
      </c>
      <c r="J175" s="2" t="s">
        <v>509</v>
      </c>
      <c r="K175" s="2" t="s">
        <v>509</v>
      </c>
      <c r="L175" s="4" t="s">
        <v>509</v>
      </c>
      <c r="M175" s="3" t="s">
        <v>749</v>
      </c>
      <c r="N175" s="2">
        <f t="shared" si="3"/>
        <v>148</v>
      </c>
      <c r="O175" s="4">
        <v>50</v>
      </c>
      <c r="Q175" s="3" t="s">
        <v>741</v>
      </c>
      <c r="R175" s="4">
        <v>0</v>
      </c>
      <c r="T175" t="s">
        <v>728</v>
      </c>
      <c r="U175">
        <f>COUNTIF(A3:A7,"metacell-291")</f>
        <v>0</v>
      </c>
      <c r="V175">
        <f>COUNTIF(D3:D12,"metacell-291")</f>
        <v>0</v>
      </c>
      <c r="W175">
        <f>COUNTIF(G3:G9,"metacell-291")</f>
        <v>0</v>
      </c>
      <c r="X175">
        <f>COUNTIF(J3:J9,"metacell-291")</f>
        <v>0</v>
      </c>
      <c r="Y175">
        <f>COUNTIF(M3:M9,"metacell-291")</f>
        <v>0</v>
      </c>
      <c r="Z175">
        <f>COUNTIF(P3:P50,"metacell-291")</f>
        <v>0</v>
      </c>
      <c r="AA175">
        <f>COUNTIF(S3:S18,"metacell-291")</f>
        <v>0</v>
      </c>
      <c r="AB175" t="s">
        <v>509</v>
      </c>
      <c r="AC175" t="s">
        <v>509</v>
      </c>
      <c r="AD175">
        <f t="shared" si="4"/>
        <v>0</v>
      </c>
    </row>
    <row r="176" spans="1:30" x14ac:dyDescent="0.25">
      <c r="A176" s="67" t="s">
        <v>744</v>
      </c>
      <c r="B176" s="62">
        <v>44</v>
      </c>
      <c r="C176" s="2">
        <v>19</v>
      </c>
      <c r="D176" s="2">
        <v>24</v>
      </c>
      <c r="E176" s="2">
        <v>26</v>
      </c>
      <c r="F176" s="2">
        <v>12</v>
      </c>
      <c r="G176" s="2">
        <v>11</v>
      </c>
      <c r="H176" s="2">
        <v>13</v>
      </c>
      <c r="I176" s="2" t="s">
        <v>509</v>
      </c>
      <c r="J176" s="2" t="s">
        <v>509</v>
      </c>
      <c r="K176" s="2" t="s">
        <v>509</v>
      </c>
      <c r="L176" s="4" t="s">
        <v>509</v>
      </c>
      <c r="M176" s="3" t="s">
        <v>744</v>
      </c>
      <c r="N176" s="2">
        <f t="shared" si="3"/>
        <v>149</v>
      </c>
      <c r="O176" s="4">
        <v>51</v>
      </c>
      <c r="Q176" s="3" t="s">
        <v>742</v>
      </c>
      <c r="R176" s="4">
        <v>0</v>
      </c>
      <c r="T176" t="s">
        <v>729</v>
      </c>
      <c r="U176">
        <f>COUNTIF(A3:A7,"metacell-292")</f>
        <v>0</v>
      </c>
      <c r="V176">
        <f>COUNTIF(D3:D12,"metacell-292")</f>
        <v>0</v>
      </c>
      <c r="W176">
        <f>COUNTIF(G3:G9,"metacell-292")</f>
        <v>0</v>
      </c>
      <c r="X176">
        <f>COUNTIF(J3:J9,"metacell-292")</f>
        <v>0</v>
      </c>
      <c r="Y176">
        <f>COUNTIF(M3:M9,"metacell-292")</f>
        <v>0</v>
      </c>
      <c r="Z176">
        <f>COUNTIF(P3:P50,"metacell-292")</f>
        <v>0</v>
      </c>
      <c r="AA176">
        <f>COUNTIF(S3:S18,"metacell-292")</f>
        <v>0</v>
      </c>
      <c r="AB176" t="s">
        <v>509</v>
      </c>
      <c r="AC176" t="s">
        <v>509</v>
      </c>
      <c r="AD176">
        <f t="shared" si="4"/>
        <v>0</v>
      </c>
    </row>
    <row r="177" spans="1:30" x14ac:dyDescent="0.25">
      <c r="A177" s="67" t="s">
        <v>727</v>
      </c>
      <c r="B177" s="62">
        <v>30</v>
      </c>
      <c r="C177" s="2">
        <v>22</v>
      </c>
      <c r="D177" s="2">
        <v>24</v>
      </c>
      <c r="E177" s="2">
        <v>33</v>
      </c>
      <c r="F177" s="2">
        <v>17</v>
      </c>
      <c r="G177" s="2">
        <v>10</v>
      </c>
      <c r="H177" s="2">
        <v>14</v>
      </c>
      <c r="I177" s="2" t="s">
        <v>509</v>
      </c>
      <c r="J177" s="2" t="s">
        <v>509</v>
      </c>
      <c r="K177" s="2" t="s">
        <v>509</v>
      </c>
      <c r="L177" s="4" t="s">
        <v>509</v>
      </c>
      <c r="M177" s="3" t="s">
        <v>727</v>
      </c>
      <c r="N177" s="2">
        <f t="shared" si="3"/>
        <v>150</v>
      </c>
      <c r="O177" s="4">
        <v>52</v>
      </c>
      <c r="Q177" s="3" t="s">
        <v>718</v>
      </c>
      <c r="R177" s="4">
        <v>0</v>
      </c>
      <c r="T177" t="s">
        <v>730</v>
      </c>
      <c r="U177">
        <f>COUNTIF(A3:A7,"metacell-297")</f>
        <v>0</v>
      </c>
      <c r="V177">
        <f>COUNTIF(D3:D12,"metacell-297")</f>
        <v>0</v>
      </c>
      <c r="W177">
        <f>COUNTIF(G3:G9,"metacell-297")</f>
        <v>0</v>
      </c>
      <c r="X177">
        <f>COUNTIF(J3:J9,"metacell-297")</f>
        <v>0</v>
      </c>
      <c r="Y177">
        <f>COUNTIF(M3:M9,"metacell-297")</f>
        <v>0</v>
      </c>
      <c r="Z177">
        <f>COUNTIF(P3:P50,"metacell-297")</f>
        <v>1</v>
      </c>
      <c r="AA177">
        <f>COUNTIF(S3:S18,"metacell-297")</f>
        <v>0</v>
      </c>
      <c r="AB177" t="s">
        <v>509</v>
      </c>
      <c r="AC177" t="s">
        <v>509</v>
      </c>
      <c r="AD177">
        <f t="shared" si="4"/>
        <v>1</v>
      </c>
    </row>
    <row r="178" spans="1:30" x14ac:dyDescent="0.25">
      <c r="A178" s="67" t="s">
        <v>745</v>
      </c>
      <c r="B178" s="62">
        <v>42</v>
      </c>
      <c r="C178" s="2">
        <v>22</v>
      </c>
      <c r="D178" s="2">
        <v>24</v>
      </c>
      <c r="E178" s="2">
        <v>30</v>
      </c>
      <c r="F178" s="2">
        <v>17</v>
      </c>
      <c r="G178" s="2">
        <v>3</v>
      </c>
      <c r="H178" s="2">
        <v>13</v>
      </c>
      <c r="I178" s="2" t="s">
        <v>509</v>
      </c>
      <c r="J178" s="2" t="s">
        <v>509</v>
      </c>
      <c r="K178" s="2" t="s">
        <v>509</v>
      </c>
      <c r="L178" s="4" t="s">
        <v>509</v>
      </c>
      <c r="M178" s="3" t="s">
        <v>745</v>
      </c>
      <c r="N178" s="2">
        <f t="shared" si="3"/>
        <v>151</v>
      </c>
      <c r="O178" s="4">
        <v>53</v>
      </c>
      <c r="Q178" s="3" t="s">
        <v>719</v>
      </c>
      <c r="R178" s="4">
        <v>0</v>
      </c>
      <c r="T178" t="s">
        <v>747</v>
      </c>
      <c r="U178">
        <f>COUNTIF(A3:A7,"metacell-298")</f>
        <v>0</v>
      </c>
      <c r="V178">
        <f>COUNTIF(D3:D12,"metacell-298")</f>
        <v>0</v>
      </c>
      <c r="W178">
        <f>COUNTIF(G3:G9,"metacell-298")</f>
        <v>0</v>
      </c>
      <c r="X178">
        <f>COUNTIF(J3:J9,"metacell-298")</f>
        <v>0</v>
      </c>
      <c r="Y178">
        <f>COUNTIF(M3:M9,"metacell-298")</f>
        <v>0</v>
      </c>
      <c r="Z178">
        <f>COUNTIF(P3:P50,"metacell-298")</f>
        <v>1</v>
      </c>
      <c r="AA178">
        <f>COUNTIF(S3:S18,"metacell-298")</f>
        <v>0</v>
      </c>
      <c r="AB178" t="s">
        <v>509</v>
      </c>
      <c r="AC178" t="s">
        <v>509</v>
      </c>
      <c r="AD178">
        <f t="shared" si="4"/>
        <v>1</v>
      </c>
    </row>
    <row r="179" spans="1:30" x14ac:dyDescent="0.25">
      <c r="A179" s="67" t="s">
        <v>720</v>
      </c>
      <c r="B179" s="62">
        <v>37</v>
      </c>
      <c r="C179" s="2">
        <v>21</v>
      </c>
      <c r="D179" s="2">
        <v>27</v>
      </c>
      <c r="E179" s="2">
        <v>31</v>
      </c>
      <c r="F179" s="2">
        <v>17</v>
      </c>
      <c r="G179" s="2">
        <v>8</v>
      </c>
      <c r="H179" s="2">
        <v>12</v>
      </c>
      <c r="I179" s="2" t="s">
        <v>509</v>
      </c>
      <c r="J179" s="2" t="s">
        <v>509</v>
      </c>
      <c r="K179" s="2" t="s">
        <v>509</v>
      </c>
      <c r="L179" s="4" t="s">
        <v>509</v>
      </c>
      <c r="M179" s="3" t="s">
        <v>720</v>
      </c>
      <c r="N179" s="2">
        <f t="shared" si="3"/>
        <v>153</v>
      </c>
      <c r="O179" s="4">
        <v>54</v>
      </c>
      <c r="Q179" s="3" t="s">
        <v>720</v>
      </c>
      <c r="R179" s="4">
        <v>0</v>
      </c>
      <c r="T179" t="s">
        <v>731</v>
      </c>
      <c r="U179">
        <f>COUNTIF(A3:A7,"metacell-302")</f>
        <v>0</v>
      </c>
      <c r="V179">
        <f>COUNTIF(D3:D12,"metacell-302")</f>
        <v>0</v>
      </c>
      <c r="W179">
        <f>COUNTIF(G3:G9,"metacell-302")</f>
        <v>0</v>
      </c>
      <c r="X179">
        <f>COUNTIF(J3:J9,"metacell-302")</f>
        <v>0</v>
      </c>
      <c r="Y179">
        <f>COUNTIF(M3:M9,"metacell-302")</f>
        <v>0</v>
      </c>
      <c r="Z179">
        <f>COUNTIF(P3:P50,"metacell-302")</f>
        <v>0</v>
      </c>
      <c r="AA179">
        <f>COUNTIF(S3:S18,"metacell-302")</f>
        <v>0</v>
      </c>
      <c r="AB179" t="s">
        <v>509</v>
      </c>
      <c r="AC179" t="s">
        <v>509</v>
      </c>
      <c r="AD179">
        <f t="shared" si="4"/>
        <v>0</v>
      </c>
    </row>
    <row r="180" spans="1:30" x14ac:dyDescent="0.25">
      <c r="A180" s="67" t="s">
        <v>741</v>
      </c>
      <c r="B180" s="62">
        <v>39</v>
      </c>
      <c r="C180" s="2">
        <v>21</v>
      </c>
      <c r="D180" s="2">
        <v>27</v>
      </c>
      <c r="E180" s="2">
        <v>29</v>
      </c>
      <c r="F180" s="2">
        <v>13</v>
      </c>
      <c r="G180" s="2">
        <v>6</v>
      </c>
      <c r="H180" s="2">
        <v>20</v>
      </c>
      <c r="I180" s="2" t="s">
        <v>509</v>
      </c>
      <c r="J180" s="2" t="s">
        <v>509</v>
      </c>
      <c r="K180" s="2" t="s">
        <v>509</v>
      </c>
      <c r="L180" s="4" t="s">
        <v>509</v>
      </c>
      <c r="M180" s="3" t="s">
        <v>741</v>
      </c>
      <c r="N180" s="2">
        <f t="shared" si="3"/>
        <v>155</v>
      </c>
      <c r="O180" s="4">
        <v>55</v>
      </c>
      <c r="Q180" s="3" t="s">
        <v>744</v>
      </c>
      <c r="R180" s="4">
        <v>0</v>
      </c>
      <c r="T180" t="s">
        <v>748</v>
      </c>
      <c r="U180">
        <f>COUNTIF(A3:A7,"metacell-307")</f>
        <v>0</v>
      </c>
      <c r="V180">
        <f>COUNTIF(D3:D12,"metacell-307")</f>
        <v>0</v>
      </c>
      <c r="W180">
        <f>COUNTIF(G3:G9,"metacell-307")</f>
        <v>0</v>
      </c>
      <c r="X180">
        <f>COUNTIF(J3:J9,"metacell-307")</f>
        <v>0</v>
      </c>
      <c r="Y180">
        <f>COUNTIF(M3:M9,"metacell-307")</f>
        <v>0</v>
      </c>
      <c r="Z180">
        <f>COUNTIF(P3:P50,"metacell-307")</f>
        <v>0</v>
      </c>
      <c r="AA180">
        <f>COUNTIF(S3:S18,"metacell-307")</f>
        <v>0</v>
      </c>
      <c r="AB180" t="s">
        <v>509</v>
      </c>
      <c r="AC180" t="s">
        <v>509</v>
      </c>
      <c r="AD180">
        <f t="shared" si="4"/>
        <v>0</v>
      </c>
    </row>
    <row r="181" spans="1:30" x14ac:dyDescent="0.25">
      <c r="A181" s="67" t="s">
        <v>728</v>
      </c>
      <c r="B181" s="62">
        <v>42</v>
      </c>
      <c r="C181" s="2">
        <v>22</v>
      </c>
      <c r="D181" s="2">
        <v>28</v>
      </c>
      <c r="E181" s="2">
        <v>30</v>
      </c>
      <c r="F181" s="2">
        <v>12</v>
      </c>
      <c r="G181" s="2">
        <v>7</v>
      </c>
      <c r="H181" s="2">
        <v>14</v>
      </c>
      <c r="I181" s="2" t="s">
        <v>509</v>
      </c>
      <c r="J181" s="2" t="s">
        <v>509</v>
      </c>
      <c r="K181" s="2" t="s">
        <v>509</v>
      </c>
      <c r="L181" s="4" t="s">
        <v>509</v>
      </c>
      <c r="M181" s="3" t="s">
        <v>728</v>
      </c>
      <c r="N181" s="2">
        <f t="shared" si="3"/>
        <v>155</v>
      </c>
      <c r="O181" s="4">
        <v>55</v>
      </c>
      <c r="Q181" s="3" t="s">
        <v>721</v>
      </c>
      <c r="R181" s="4">
        <v>0</v>
      </c>
      <c r="T181" t="s">
        <v>749</v>
      </c>
      <c r="U181">
        <f>COUNTIF(A3:A7,"metacell-313")</f>
        <v>0</v>
      </c>
      <c r="V181">
        <f>COUNTIF(D3:D12,"metacell-313")</f>
        <v>0</v>
      </c>
      <c r="W181">
        <f>COUNTIF(G3:G9,"metacell-313")</f>
        <v>0</v>
      </c>
      <c r="X181">
        <f>COUNTIF(J3:J9,"metacell-313")</f>
        <v>0</v>
      </c>
      <c r="Y181">
        <f>COUNTIF(M3:M9,"metacell-313")</f>
        <v>0</v>
      </c>
      <c r="Z181">
        <f>COUNTIF(P3:P50,"metacell-313")</f>
        <v>0</v>
      </c>
      <c r="AA181">
        <f>COUNTIF(S3:S18,"metacell-313")</f>
        <v>0</v>
      </c>
      <c r="AB181" t="s">
        <v>509</v>
      </c>
      <c r="AC181" t="s">
        <v>509</v>
      </c>
      <c r="AD181">
        <f t="shared" si="4"/>
        <v>0</v>
      </c>
    </row>
    <row r="182" spans="1:30" x14ac:dyDescent="0.25">
      <c r="A182" s="67" t="s">
        <v>718</v>
      </c>
      <c r="B182" s="62">
        <v>29</v>
      </c>
      <c r="C182" s="2">
        <v>24</v>
      </c>
      <c r="D182" s="2">
        <v>33</v>
      </c>
      <c r="E182" s="2">
        <v>31</v>
      </c>
      <c r="F182" s="2">
        <v>15</v>
      </c>
      <c r="G182" s="2">
        <v>6</v>
      </c>
      <c r="H182" s="2">
        <v>18</v>
      </c>
      <c r="I182" s="2" t="s">
        <v>509</v>
      </c>
      <c r="J182" s="2" t="s">
        <v>509</v>
      </c>
      <c r="K182" s="2" t="s">
        <v>509</v>
      </c>
      <c r="L182" s="4" t="s">
        <v>509</v>
      </c>
      <c r="M182" s="3" t="s">
        <v>718</v>
      </c>
      <c r="N182" s="2">
        <f t="shared" si="3"/>
        <v>156</v>
      </c>
      <c r="O182" s="4">
        <v>56</v>
      </c>
      <c r="Q182" s="3" t="s">
        <v>722</v>
      </c>
      <c r="R182" s="4">
        <v>0</v>
      </c>
      <c r="T182" t="s">
        <v>662</v>
      </c>
      <c r="U182">
        <f>COUNTIF(A3:A7,"metacell-328")</f>
        <v>0</v>
      </c>
      <c r="V182">
        <f>COUNTIF(D3:D12,"metacell-328")</f>
        <v>0</v>
      </c>
      <c r="W182">
        <f>COUNTIF(G3:G9,"metacell-328")</f>
        <v>0</v>
      </c>
      <c r="X182">
        <f>COUNTIF(J3:J9,"metacell-328")</f>
        <v>0</v>
      </c>
      <c r="Y182">
        <f>COUNTIF(M3:M9,"metacell-328")</f>
        <v>0</v>
      </c>
      <c r="Z182">
        <f>COUNTIF(P3:P50,"metacell-328")</f>
        <v>0</v>
      </c>
      <c r="AA182">
        <f>COUNTIF(S3:S18,"metacell-328")</f>
        <v>1</v>
      </c>
      <c r="AB182" t="s">
        <v>509</v>
      </c>
      <c r="AC182" t="s">
        <v>509</v>
      </c>
      <c r="AD182">
        <f t="shared" si="4"/>
        <v>1</v>
      </c>
    </row>
    <row r="183" spans="1:30" x14ac:dyDescent="0.25">
      <c r="A183" s="67" t="s">
        <v>713</v>
      </c>
      <c r="B183" s="62">
        <v>44</v>
      </c>
      <c r="C183" s="2">
        <v>21</v>
      </c>
      <c r="D183" s="2">
        <v>25</v>
      </c>
      <c r="E183" s="2">
        <v>32</v>
      </c>
      <c r="F183" s="2">
        <v>15</v>
      </c>
      <c r="G183" s="2">
        <v>5</v>
      </c>
      <c r="H183" s="2">
        <v>16</v>
      </c>
      <c r="I183" s="2" t="s">
        <v>509</v>
      </c>
      <c r="J183" s="2" t="s">
        <v>509</v>
      </c>
      <c r="K183" s="2" t="s">
        <v>509</v>
      </c>
      <c r="L183" s="4" t="s">
        <v>509</v>
      </c>
      <c r="M183" s="3" t="s">
        <v>713</v>
      </c>
      <c r="N183" s="2">
        <f t="shared" si="3"/>
        <v>158</v>
      </c>
      <c r="O183" s="4">
        <v>57</v>
      </c>
      <c r="Q183" s="3" t="s">
        <v>723</v>
      </c>
      <c r="R183" s="4">
        <v>0</v>
      </c>
      <c r="T183" t="s">
        <v>732</v>
      </c>
      <c r="U183">
        <f>COUNTIF(A3:A7,"metacell-329")</f>
        <v>0</v>
      </c>
      <c r="V183">
        <f>COUNTIF(D3:D12,"metacell-329")</f>
        <v>0</v>
      </c>
      <c r="W183">
        <f>COUNTIF(G3:G9,"metacell-329")</f>
        <v>0</v>
      </c>
      <c r="X183">
        <f>COUNTIF(J3:J9,"metacell-329")</f>
        <v>0</v>
      </c>
      <c r="Y183">
        <f>COUNTIF(M3:M9,"metacell-329")</f>
        <v>0</v>
      </c>
      <c r="Z183">
        <f>COUNTIF(P3:P50,"metacell-329")</f>
        <v>1</v>
      </c>
      <c r="AA183">
        <f>COUNTIF(S3:S18,"metacell-329")</f>
        <v>0</v>
      </c>
      <c r="AB183" t="s">
        <v>509</v>
      </c>
      <c r="AC183" t="s">
        <v>509</v>
      </c>
      <c r="AD183">
        <f t="shared" si="4"/>
        <v>1</v>
      </c>
    </row>
    <row r="184" spans="1:30" x14ac:dyDescent="0.25">
      <c r="A184" s="67" t="s">
        <v>748</v>
      </c>
      <c r="B184" s="62">
        <v>40</v>
      </c>
      <c r="C184" s="2">
        <v>25</v>
      </c>
      <c r="D184" s="2">
        <v>29</v>
      </c>
      <c r="E184" s="2">
        <v>35</v>
      </c>
      <c r="F184" s="2">
        <v>13</v>
      </c>
      <c r="G184" s="2">
        <v>6</v>
      </c>
      <c r="H184" s="2">
        <v>10</v>
      </c>
      <c r="I184" s="2" t="s">
        <v>509</v>
      </c>
      <c r="J184" s="2" t="s">
        <v>509</v>
      </c>
      <c r="K184" s="2" t="s">
        <v>509</v>
      </c>
      <c r="L184" s="4" t="s">
        <v>509</v>
      </c>
      <c r="M184" s="3" t="s">
        <v>748</v>
      </c>
      <c r="N184" s="2">
        <f t="shared" si="3"/>
        <v>158</v>
      </c>
      <c r="O184" s="4">
        <v>57</v>
      </c>
      <c r="Q184" s="3" t="s">
        <v>725</v>
      </c>
      <c r="R184" s="4">
        <v>0</v>
      </c>
      <c r="T184" t="s">
        <v>733</v>
      </c>
      <c r="U184">
        <f>COUNTIF(A3:A7,"metacell-330")</f>
        <v>0</v>
      </c>
      <c r="V184">
        <f>COUNTIF(D3:D12,"metacell-330")</f>
        <v>0</v>
      </c>
      <c r="W184">
        <f>COUNTIF(G3:G9,"metacell-330")</f>
        <v>0</v>
      </c>
      <c r="X184">
        <f>COUNTIF(J3:J9,"metacell-330")</f>
        <v>0</v>
      </c>
      <c r="Y184">
        <f>COUNTIF(M3:M9,"metacell-330")</f>
        <v>0</v>
      </c>
      <c r="Z184">
        <f>COUNTIF(P3:P50,"metacell-330")</f>
        <v>0</v>
      </c>
      <c r="AA184">
        <f>COUNTIF(S3:S18,"metacell-330")</f>
        <v>0</v>
      </c>
      <c r="AB184" t="s">
        <v>509</v>
      </c>
      <c r="AC184" t="s">
        <v>509</v>
      </c>
      <c r="AD184">
        <f t="shared" si="4"/>
        <v>0</v>
      </c>
    </row>
    <row r="185" spans="1:30" x14ac:dyDescent="0.25">
      <c r="A185" s="67" t="s">
        <v>721</v>
      </c>
      <c r="B185" s="62">
        <v>33</v>
      </c>
      <c r="C185" s="2">
        <v>26</v>
      </c>
      <c r="D185" s="2">
        <v>32</v>
      </c>
      <c r="E185" s="2">
        <v>29</v>
      </c>
      <c r="F185" s="2">
        <v>19</v>
      </c>
      <c r="G185" s="2">
        <v>7</v>
      </c>
      <c r="H185" s="2">
        <v>14</v>
      </c>
      <c r="I185" s="2" t="s">
        <v>509</v>
      </c>
      <c r="J185" s="2" t="s">
        <v>509</v>
      </c>
      <c r="K185" s="2" t="s">
        <v>509</v>
      </c>
      <c r="L185" s="4" t="s">
        <v>509</v>
      </c>
      <c r="M185" s="3" t="s">
        <v>721</v>
      </c>
      <c r="N185" s="2">
        <f t="shared" si="3"/>
        <v>160</v>
      </c>
      <c r="O185" s="4">
        <v>58</v>
      </c>
      <c r="Q185" s="3" t="s">
        <v>727</v>
      </c>
      <c r="R185" s="4">
        <v>0</v>
      </c>
      <c r="T185" t="s">
        <v>734</v>
      </c>
      <c r="U185">
        <f>COUNTIF(A3:A7,"metacell-337")</f>
        <v>0</v>
      </c>
      <c r="V185">
        <f>COUNTIF(D3:D12,"metacell-337")</f>
        <v>0</v>
      </c>
      <c r="W185">
        <f>COUNTIF(G3:G9,"metacell-337")</f>
        <v>0</v>
      </c>
      <c r="X185">
        <f>COUNTIF(J3:J9,"metacell-337")</f>
        <v>0</v>
      </c>
      <c r="Y185">
        <f>COUNTIF(M3:M9,"metacell-337")</f>
        <v>0</v>
      </c>
      <c r="Z185">
        <f>COUNTIF(P3:P50,"metacell-337")</f>
        <v>0</v>
      </c>
      <c r="AA185">
        <f>COUNTIF(S3:S18,"metacell-337")</f>
        <v>0</v>
      </c>
      <c r="AB185" t="s">
        <v>509</v>
      </c>
      <c r="AC185" t="s">
        <v>509</v>
      </c>
      <c r="AD185">
        <f t="shared" si="4"/>
        <v>0</v>
      </c>
    </row>
    <row r="186" spans="1:30" x14ac:dyDescent="0.25">
      <c r="A186" s="67" t="s">
        <v>723</v>
      </c>
      <c r="B186" s="62">
        <v>41</v>
      </c>
      <c r="C186" s="2">
        <v>24</v>
      </c>
      <c r="D186" s="2">
        <v>28</v>
      </c>
      <c r="E186" s="2">
        <v>34</v>
      </c>
      <c r="F186" s="2">
        <v>12</v>
      </c>
      <c r="G186" s="2">
        <v>8</v>
      </c>
      <c r="H186" s="2">
        <v>14</v>
      </c>
      <c r="I186" s="2" t="s">
        <v>509</v>
      </c>
      <c r="J186" s="2" t="s">
        <v>509</v>
      </c>
      <c r="K186" s="2" t="s">
        <v>509</v>
      </c>
      <c r="L186" s="4" t="s">
        <v>509</v>
      </c>
      <c r="M186" s="3" t="s">
        <v>723</v>
      </c>
      <c r="N186" s="2">
        <f t="shared" si="3"/>
        <v>161</v>
      </c>
      <c r="O186" s="4">
        <v>59</v>
      </c>
      <c r="Q186" s="3" t="s">
        <v>728</v>
      </c>
      <c r="R186" s="4">
        <v>0</v>
      </c>
      <c r="T186" t="s">
        <v>735</v>
      </c>
      <c r="U186">
        <f>COUNTIF(A3:A7,"metacell-340")</f>
        <v>0</v>
      </c>
      <c r="V186">
        <f>COUNTIF(D3:D12,"metacell-340")</f>
        <v>0</v>
      </c>
      <c r="W186">
        <f>COUNTIF(G3:G9,"metacell-340")</f>
        <v>0</v>
      </c>
      <c r="X186">
        <f>COUNTIF(J3:J9,"metacell-340")</f>
        <v>0</v>
      </c>
      <c r="Y186">
        <f>COUNTIF(M3:M9,"metacell-340")</f>
        <v>0</v>
      </c>
      <c r="Z186">
        <f>COUNTIF(P3:P50,"metacell-340")</f>
        <v>0</v>
      </c>
      <c r="AA186">
        <f>COUNTIF(S3:S18,"metacell-340")</f>
        <v>0</v>
      </c>
      <c r="AB186" t="s">
        <v>509</v>
      </c>
      <c r="AC186" t="s">
        <v>509</v>
      </c>
      <c r="AD186">
        <f t="shared" si="4"/>
        <v>0</v>
      </c>
    </row>
    <row r="187" spans="1:30" x14ac:dyDescent="0.25">
      <c r="A187" s="67" t="s">
        <v>714</v>
      </c>
      <c r="B187" s="62">
        <v>44</v>
      </c>
      <c r="C187" s="2">
        <v>23</v>
      </c>
      <c r="D187" s="2">
        <v>27</v>
      </c>
      <c r="E187" s="2">
        <v>29</v>
      </c>
      <c r="F187" s="2">
        <v>18</v>
      </c>
      <c r="G187" s="2">
        <v>7</v>
      </c>
      <c r="H187" s="2">
        <v>14</v>
      </c>
      <c r="I187" s="2" t="s">
        <v>509</v>
      </c>
      <c r="J187" s="2" t="s">
        <v>509</v>
      </c>
      <c r="K187" s="2" t="s">
        <v>509</v>
      </c>
      <c r="L187" s="4" t="s">
        <v>509</v>
      </c>
      <c r="M187" s="3" t="s">
        <v>714</v>
      </c>
      <c r="N187" s="2">
        <f t="shared" si="3"/>
        <v>162</v>
      </c>
      <c r="O187" s="4">
        <v>60</v>
      </c>
      <c r="Q187" s="3" t="s">
        <v>729</v>
      </c>
      <c r="R187" s="4">
        <v>0</v>
      </c>
      <c r="T187" t="s">
        <v>736</v>
      </c>
      <c r="U187">
        <f>COUNTIF(A3:A7,"metacell-344")</f>
        <v>0</v>
      </c>
      <c r="V187">
        <f>COUNTIF(D3:D12,"metacell-344")</f>
        <v>0</v>
      </c>
      <c r="W187">
        <f>COUNTIF(G3:G9,"metacell-344")</f>
        <v>0</v>
      </c>
      <c r="X187">
        <f>COUNTIF(J3:J9,"metacell-344")</f>
        <v>0</v>
      </c>
      <c r="Y187">
        <f>COUNTIF(M3:M9,"metacell-344")</f>
        <v>0</v>
      </c>
      <c r="Z187">
        <f>COUNTIF(P3:P50,"metacell-344")</f>
        <v>1</v>
      </c>
      <c r="AA187">
        <f>COUNTIF(S3:S18,"metacell-344")</f>
        <v>0</v>
      </c>
      <c r="AB187" t="s">
        <v>509</v>
      </c>
      <c r="AC187" t="s">
        <v>509</v>
      </c>
      <c r="AD187">
        <f t="shared" si="4"/>
        <v>1</v>
      </c>
    </row>
    <row r="188" spans="1:30" x14ac:dyDescent="0.25">
      <c r="A188" s="67" t="s">
        <v>724</v>
      </c>
      <c r="B188" s="62">
        <v>44</v>
      </c>
      <c r="C188" s="2">
        <v>23</v>
      </c>
      <c r="D188" s="2">
        <v>30</v>
      </c>
      <c r="E188" s="2">
        <v>32</v>
      </c>
      <c r="F188" s="2">
        <v>18</v>
      </c>
      <c r="G188" s="2">
        <v>3</v>
      </c>
      <c r="H188" s="2">
        <v>14</v>
      </c>
      <c r="I188" s="2" t="s">
        <v>509</v>
      </c>
      <c r="J188" s="2" t="s">
        <v>509</v>
      </c>
      <c r="K188" s="2" t="s">
        <v>509</v>
      </c>
      <c r="L188" s="4" t="s">
        <v>509</v>
      </c>
      <c r="M188" s="3" t="s">
        <v>724</v>
      </c>
      <c r="N188" s="2">
        <f t="shared" si="3"/>
        <v>164</v>
      </c>
      <c r="O188" s="4">
        <v>61</v>
      </c>
      <c r="Q188" s="3" t="s">
        <v>731</v>
      </c>
      <c r="R188" s="4">
        <v>0</v>
      </c>
      <c r="T188" t="s">
        <v>669</v>
      </c>
      <c r="U188">
        <f>COUNTIF(A3:A7,"metacell-353")</f>
        <v>0</v>
      </c>
      <c r="V188">
        <f>COUNTIF(D3:D12,"metacell-353")</f>
        <v>0</v>
      </c>
      <c r="W188">
        <f>COUNTIF(G3:G9,"metacell-353")</f>
        <v>0</v>
      </c>
      <c r="X188">
        <f>COUNTIF(J3:J9,"metacell-353")</f>
        <v>0</v>
      </c>
      <c r="Y188">
        <f>COUNTIF(M3:M9,"metacell-353")</f>
        <v>0</v>
      </c>
      <c r="Z188">
        <f>COUNTIF(P3:P50,"metacell-353")</f>
        <v>1</v>
      </c>
      <c r="AA188">
        <f>COUNTIF(S3:S18,"metacell-353")</f>
        <v>1</v>
      </c>
      <c r="AB188" t="s">
        <v>509</v>
      </c>
      <c r="AC188" t="s">
        <v>509</v>
      </c>
      <c r="AD188">
        <f t="shared" si="4"/>
        <v>2</v>
      </c>
    </row>
    <row r="189" spans="1:30" x14ac:dyDescent="0.25">
      <c r="A189" s="67" t="s">
        <v>715</v>
      </c>
      <c r="B189" s="62">
        <v>42</v>
      </c>
      <c r="C189" s="2">
        <v>27</v>
      </c>
      <c r="D189" s="2">
        <v>35</v>
      </c>
      <c r="E189" s="2">
        <v>30</v>
      </c>
      <c r="F189" s="2">
        <v>17</v>
      </c>
      <c r="G189" s="2">
        <v>5</v>
      </c>
      <c r="H189" s="2">
        <v>14</v>
      </c>
      <c r="I189" s="2" t="s">
        <v>509</v>
      </c>
      <c r="J189" s="2" t="s">
        <v>509</v>
      </c>
      <c r="K189" s="2" t="s">
        <v>509</v>
      </c>
      <c r="L189" s="4" t="s">
        <v>509</v>
      </c>
      <c r="M189" s="3" t="s">
        <v>715</v>
      </c>
      <c r="N189" s="2">
        <f t="shared" si="3"/>
        <v>170</v>
      </c>
      <c r="O189" s="4">
        <v>62</v>
      </c>
      <c r="Q189" s="3" t="s">
        <v>748</v>
      </c>
      <c r="R189" s="4">
        <v>0</v>
      </c>
      <c r="T189" t="s">
        <v>750</v>
      </c>
      <c r="U189">
        <f>COUNTIF(A3:A7,"metacell-355")</f>
        <v>0</v>
      </c>
      <c r="V189">
        <f>COUNTIF(D3:D12,"metacell-355")</f>
        <v>0</v>
      </c>
      <c r="W189">
        <f>COUNTIF(G3:G9,"metacell-355")</f>
        <v>0</v>
      </c>
      <c r="X189">
        <f>COUNTIF(J3:J9,"metacell-355")</f>
        <v>0</v>
      </c>
      <c r="Y189">
        <f>COUNTIF(M3:M9,"metacell-355")</f>
        <v>0</v>
      </c>
      <c r="Z189">
        <f>COUNTIF(P3:P50,"metacell-355")</f>
        <v>0</v>
      </c>
      <c r="AA189">
        <f>COUNTIF(S3:S18,"metacell-355")</f>
        <v>1</v>
      </c>
      <c r="AB189" t="s">
        <v>509</v>
      </c>
      <c r="AC189" t="s">
        <v>509</v>
      </c>
      <c r="AD189">
        <f t="shared" si="4"/>
        <v>1</v>
      </c>
    </row>
    <row r="190" spans="1:30" x14ac:dyDescent="0.25">
      <c r="A190" s="67" t="s">
        <v>83</v>
      </c>
      <c r="B190" s="62">
        <v>40</v>
      </c>
      <c r="C190" s="2">
        <v>30</v>
      </c>
      <c r="D190" s="2">
        <v>38</v>
      </c>
      <c r="E190" s="2">
        <v>34</v>
      </c>
      <c r="F190" s="2">
        <v>16</v>
      </c>
      <c r="G190" s="2">
        <v>6</v>
      </c>
      <c r="H190" s="2">
        <v>6</v>
      </c>
      <c r="I190" s="2" t="s">
        <v>509</v>
      </c>
      <c r="J190" s="2" t="s">
        <v>509</v>
      </c>
      <c r="K190" s="2" t="s">
        <v>509</v>
      </c>
      <c r="L190" s="4" t="s">
        <v>509</v>
      </c>
      <c r="M190" s="3" t="s">
        <v>83</v>
      </c>
      <c r="N190" s="2">
        <f t="shared" si="3"/>
        <v>170</v>
      </c>
      <c r="O190" s="4">
        <v>63</v>
      </c>
      <c r="Q190" s="3" t="s">
        <v>749</v>
      </c>
      <c r="R190" s="4">
        <v>0</v>
      </c>
      <c r="T190" t="s">
        <v>737</v>
      </c>
      <c r="U190">
        <f>COUNTIF(A3:A7,"metacell-356")</f>
        <v>0</v>
      </c>
      <c r="V190">
        <f>COUNTIF(D3:D12,"metacell-356")</f>
        <v>0</v>
      </c>
      <c r="W190">
        <f>COUNTIF(G3:G9,"metacell-356")</f>
        <v>0</v>
      </c>
      <c r="X190">
        <f>COUNTIF(J3:J9,"metacell-356")</f>
        <v>0</v>
      </c>
      <c r="Y190">
        <f>COUNTIF(M3:M9,"metacell-356")</f>
        <v>0</v>
      </c>
      <c r="Z190">
        <f>COUNTIF(P3:P50,"metacell-356")</f>
        <v>1</v>
      </c>
      <c r="AA190">
        <f>COUNTIF(S3:S18,"metacell-356")</f>
        <v>0</v>
      </c>
      <c r="AB190" t="s">
        <v>509</v>
      </c>
      <c r="AC190" t="s">
        <v>509</v>
      </c>
      <c r="AD190">
        <f t="shared" si="4"/>
        <v>1</v>
      </c>
    </row>
    <row r="191" spans="1:30" x14ac:dyDescent="0.25">
      <c r="A191" s="67" t="s">
        <v>716</v>
      </c>
      <c r="B191" s="62">
        <v>35</v>
      </c>
      <c r="C191" s="2">
        <v>26</v>
      </c>
      <c r="D191" s="2">
        <v>28</v>
      </c>
      <c r="E191" s="2">
        <v>37</v>
      </c>
      <c r="F191" s="2">
        <v>18</v>
      </c>
      <c r="G191" s="2">
        <v>8</v>
      </c>
      <c r="H191" s="2">
        <v>19</v>
      </c>
      <c r="I191" s="2" t="s">
        <v>509</v>
      </c>
      <c r="J191" s="2" t="s">
        <v>509</v>
      </c>
      <c r="K191" s="2" t="s">
        <v>509</v>
      </c>
      <c r="L191" s="4" t="s">
        <v>509</v>
      </c>
      <c r="M191" s="3" t="s">
        <v>716</v>
      </c>
      <c r="N191" s="2">
        <f t="shared" si="3"/>
        <v>171</v>
      </c>
      <c r="O191" s="4">
        <v>64</v>
      </c>
      <c r="Q191" s="3" t="s">
        <v>733</v>
      </c>
      <c r="R191" s="4">
        <v>0</v>
      </c>
      <c r="T191" t="s">
        <v>682</v>
      </c>
      <c r="U191">
        <f>COUNTIF(A3:A7,"metacell-369")</f>
        <v>0</v>
      </c>
      <c r="V191">
        <f>COUNTIF(D3:D12,"metacell-369")</f>
        <v>0</v>
      </c>
      <c r="W191">
        <f>COUNTIF(G3:G9,"metacell-369")</f>
        <v>0</v>
      </c>
      <c r="X191">
        <f>COUNTIF(J3:J9,"metacell-369")</f>
        <v>0</v>
      </c>
      <c r="Y191">
        <f>COUNTIF(M3:M9,"metacell-369")</f>
        <v>1</v>
      </c>
      <c r="Z191">
        <f>COUNTIF(P3:P50,"metacell-369")</f>
        <v>1</v>
      </c>
      <c r="AA191">
        <f>COUNTIF(S3:S18,"metacell-369")</f>
        <v>1</v>
      </c>
      <c r="AB191" t="s">
        <v>509</v>
      </c>
      <c r="AC191" t="s">
        <v>509</v>
      </c>
      <c r="AD191">
        <f t="shared" si="4"/>
        <v>3</v>
      </c>
    </row>
    <row r="192" spans="1:30" x14ac:dyDescent="0.25">
      <c r="A192" s="67" t="s">
        <v>742</v>
      </c>
      <c r="B192" s="62">
        <v>44</v>
      </c>
      <c r="C192" s="2">
        <v>25</v>
      </c>
      <c r="D192" s="2">
        <v>31</v>
      </c>
      <c r="E192" s="2">
        <v>34</v>
      </c>
      <c r="F192" s="2">
        <v>16</v>
      </c>
      <c r="G192" s="2">
        <v>6</v>
      </c>
      <c r="H192" s="2">
        <v>16</v>
      </c>
      <c r="I192" s="2" t="s">
        <v>509</v>
      </c>
      <c r="J192" s="2" t="s">
        <v>509</v>
      </c>
      <c r="K192" s="2" t="s">
        <v>509</v>
      </c>
      <c r="L192" s="4" t="s">
        <v>509</v>
      </c>
      <c r="M192" s="3" t="s">
        <v>742</v>
      </c>
      <c r="N192" s="2">
        <f t="shared" si="3"/>
        <v>172</v>
      </c>
      <c r="O192" s="4">
        <v>65</v>
      </c>
      <c r="Q192" s="3" t="s">
        <v>734</v>
      </c>
      <c r="R192" s="4">
        <v>0</v>
      </c>
      <c r="T192" t="s">
        <v>701</v>
      </c>
      <c r="U192">
        <f>COUNTIF(A3:A7,"metacell-390")</f>
        <v>0</v>
      </c>
      <c r="V192">
        <f>COUNTIF(D3:D12,"metacell-390")</f>
        <v>0</v>
      </c>
      <c r="W192">
        <f>COUNTIF(G3:G9,"metacell-390")</f>
        <v>0</v>
      </c>
      <c r="X192">
        <f>COUNTIF(J3:J9,"metacell-390")</f>
        <v>0</v>
      </c>
      <c r="Y192">
        <f>COUNTIF(M3:M9,"metacell-390")</f>
        <v>0</v>
      </c>
      <c r="Z192">
        <f>COUNTIF(P3:P50,"metacell-390")</f>
        <v>1</v>
      </c>
      <c r="AA192">
        <f>COUNTIF(S3:S18,"metacell-390")</f>
        <v>0</v>
      </c>
      <c r="AB192" t="s">
        <v>509</v>
      </c>
      <c r="AC192" t="s">
        <v>509</v>
      </c>
      <c r="AD192">
        <f t="shared" si="4"/>
        <v>1</v>
      </c>
    </row>
    <row r="193" spans="1:30" x14ac:dyDescent="0.25">
      <c r="A193" s="67" t="s">
        <v>729</v>
      </c>
      <c r="B193" s="62">
        <v>44</v>
      </c>
      <c r="C193" s="2">
        <v>26</v>
      </c>
      <c r="D193" s="2">
        <v>32</v>
      </c>
      <c r="E193" s="2">
        <v>36</v>
      </c>
      <c r="F193" s="2">
        <v>17</v>
      </c>
      <c r="G193" s="2">
        <v>7</v>
      </c>
      <c r="H193" s="2">
        <v>14</v>
      </c>
      <c r="I193" s="2" t="s">
        <v>509</v>
      </c>
      <c r="J193" s="2" t="s">
        <v>509</v>
      </c>
      <c r="K193" s="2" t="s">
        <v>509</v>
      </c>
      <c r="L193" s="4" t="s">
        <v>509</v>
      </c>
      <c r="M193" s="3" t="s">
        <v>729</v>
      </c>
      <c r="N193" s="2">
        <f t="shared" si="3"/>
        <v>176</v>
      </c>
      <c r="O193" s="4">
        <v>66</v>
      </c>
      <c r="Q193" s="3" t="s">
        <v>735</v>
      </c>
      <c r="R193" s="4">
        <v>0</v>
      </c>
      <c r="T193" t="s">
        <v>83</v>
      </c>
      <c r="U193">
        <f>COUNTIF(A3:A7,"metacell-8")</f>
        <v>0</v>
      </c>
      <c r="V193">
        <f>COUNTIF(D3:D12,"metacell-8")</f>
        <v>0</v>
      </c>
      <c r="W193">
        <f>COUNTIF(G3:G9,"metacell-8")</f>
        <v>0</v>
      </c>
      <c r="X193">
        <f>COUNTIF(J3:J9,"metacell-8")</f>
        <v>0</v>
      </c>
      <c r="Y193">
        <f>COUNTIF(M3:M9,"metacell-8")</f>
        <v>0</v>
      </c>
      <c r="Z193">
        <f>COUNTIF(P3:P50,"metacell-8")</f>
        <v>0</v>
      </c>
      <c r="AA193">
        <f>COUNTIF(S3:S18,"metacell-8")</f>
        <v>0</v>
      </c>
      <c r="AB193" t="s">
        <v>509</v>
      </c>
      <c r="AC193" t="s">
        <v>509</v>
      </c>
      <c r="AD193">
        <f t="shared" si="4"/>
        <v>0</v>
      </c>
    </row>
    <row r="194" spans="1:30" ht="15.75" thickBot="1" x14ac:dyDescent="0.3">
      <c r="A194" s="68" t="s">
        <v>86</v>
      </c>
      <c r="B194" s="147">
        <v>33</v>
      </c>
      <c r="C194" s="11">
        <v>29</v>
      </c>
      <c r="D194" s="11">
        <v>37</v>
      </c>
      <c r="E194" s="11">
        <v>32</v>
      </c>
      <c r="F194" s="11">
        <v>20</v>
      </c>
      <c r="G194" s="11">
        <v>6</v>
      </c>
      <c r="H194" s="11">
        <v>21</v>
      </c>
      <c r="I194" s="11" t="s">
        <v>509</v>
      </c>
      <c r="J194" s="11" t="s">
        <v>509</v>
      </c>
      <c r="K194" s="11" t="s">
        <v>509</v>
      </c>
      <c r="L194" s="69" t="s">
        <v>509</v>
      </c>
      <c r="M194" s="76" t="s">
        <v>86</v>
      </c>
      <c r="N194" s="11">
        <f t="shared" si="3"/>
        <v>178</v>
      </c>
      <c r="O194" s="69">
        <v>67</v>
      </c>
      <c r="Q194" s="76" t="s">
        <v>83</v>
      </c>
      <c r="R194" s="69">
        <v>0</v>
      </c>
      <c r="T194" t="s">
        <v>160</v>
      </c>
      <c r="U194">
        <f>COUNTIF(A3:A7,"metacell-90")</f>
        <v>0</v>
      </c>
      <c r="V194">
        <f>COUNTIF(D3:D12,"metacell-90")</f>
        <v>0</v>
      </c>
      <c r="W194">
        <f>COUNTIF(G3:G9,"metacell-90")</f>
        <v>0</v>
      </c>
      <c r="X194">
        <f>COUNTIF(J3:J9,"metacell-90")</f>
        <v>0</v>
      </c>
      <c r="Y194">
        <f>COUNTIF(M3:M9,"metacell-90")</f>
        <v>0</v>
      </c>
      <c r="Z194">
        <f>COUNTIF(P3:P50,"metacell-90")</f>
        <v>1</v>
      </c>
      <c r="AA194">
        <f>COUNTIF(S3:S18,"metacell-90")</f>
        <v>0</v>
      </c>
      <c r="AB194" t="s">
        <v>509</v>
      </c>
      <c r="AC194" t="s">
        <v>509</v>
      </c>
      <c r="AD194">
        <f t="shared" si="4"/>
        <v>1</v>
      </c>
    </row>
  </sheetData>
  <sortState ref="Q102:R194">
    <sortCondition descending="1" ref="R102:R194"/>
  </sortState>
  <mergeCells count="21">
    <mergeCell ref="S1:U1"/>
    <mergeCell ref="V1:X1"/>
    <mergeCell ref="Y1:AA1"/>
    <mergeCell ref="Q99:R100"/>
    <mergeCell ref="A100:L100"/>
    <mergeCell ref="M100:O100"/>
    <mergeCell ref="A96:C96"/>
    <mergeCell ref="D96:F96"/>
    <mergeCell ref="G96:I96"/>
    <mergeCell ref="J96:L96"/>
    <mergeCell ref="A1:C1"/>
    <mergeCell ref="D1:F1"/>
    <mergeCell ref="G1:I1"/>
    <mergeCell ref="J1:L1"/>
    <mergeCell ref="M1:O1"/>
    <mergeCell ref="P1:R1"/>
    <mergeCell ref="M96:O96"/>
    <mergeCell ref="P96:R96"/>
    <mergeCell ref="S96:U96"/>
    <mergeCell ref="V96:X96"/>
    <mergeCell ref="Y96:AA9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7"/>
  <sheetViews>
    <sheetView tabSelected="1" workbookViewId="0">
      <selection activeCell="M129" sqref="M129"/>
    </sheetView>
  </sheetViews>
  <sheetFormatPr defaultRowHeight="15" x14ac:dyDescent="0.25"/>
  <cols>
    <col min="1" max="1" width="12.710937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2.7109375" bestFit="1" customWidth="1"/>
    <col min="16" max="16" width="12.7109375" bestFit="1" customWidth="1"/>
    <col min="17" max="17" width="12.42578125" bestFit="1" customWidth="1"/>
    <col min="19" max="19" width="12.7109375" bestFit="1" customWidth="1"/>
    <col min="20" max="20" width="12.42578125" bestFit="1" customWidth="1"/>
    <col min="22" max="22" width="10.7109375" customWidth="1"/>
    <col min="25" max="25" width="10.140625" customWidth="1"/>
  </cols>
  <sheetData>
    <row r="1" spans="1:27" ht="72.75" customHeight="1" x14ac:dyDescent="0.25">
      <c r="A1" s="232" t="s">
        <v>653</v>
      </c>
      <c r="B1" s="233"/>
      <c r="C1" s="234"/>
      <c r="D1" s="235" t="s">
        <v>22</v>
      </c>
      <c r="E1" s="236"/>
      <c r="F1" s="237"/>
      <c r="G1" s="235" t="s">
        <v>23</v>
      </c>
      <c r="H1" s="236"/>
      <c r="I1" s="237"/>
      <c r="J1" s="235" t="s">
        <v>24</v>
      </c>
      <c r="K1" s="236"/>
      <c r="L1" s="237"/>
      <c r="M1" s="235" t="s">
        <v>25</v>
      </c>
      <c r="N1" s="236"/>
      <c r="O1" s="237"/>
      <c r="P1" s="235" t="s">
        <v>26</v>
      </c>
      <c r="Q1" s="236"/>
      <c r="R1" s="237"/>
      <c r="S1" s="235" t="s">
        <v>284</v>
      </c>
      <c r="T1" s="236"/>
      <c r="U1" s="237"/>
      <c r="V1" s="235" t="s">
        <v>27</v>
      </c>
      <c r="W1" s="236"/>
      <c r="X1" s="237"/>
      <c r="Y1" s="232" t="s">
        <v>28</v>
      </c>
      <c r="Z1" s="233"/>
      <c r="AA1" s="234"/>
    </row>
    <row r="2" spans="1:27" x14ac:dyDescent="0.25">
      <c r="A2" s="238" t="s">
        <v>21</v>
      </c>
      <c r="B2" s="239" t="s">
        <v>19</v>
      </c>
      <c r="C2" s="240" t="s">
        <v>17</v>
      </c>
      <c r="D2" s="238" t="s">
        <v>21</v>
      </c>
      <c r="E2" s="239" t="s">
        <v>19</v>
      </c>
      <c r="F2" s="240" t="s">
        <v>17</v>
      </c>
      <c r="G2" s="238" t="s">
        <v>21</v>
      </c>
      <c r="H2" s="239" t="s">
        <v>19</v>
      </c>
      <c r="I2" s="240" t="s">
        <v>17</v>
      </c>
      <c r="J2" s="238" t="s">
        <v>21</v>
      </c>
      <c r="K2" s="239" t="s">
        <v>19</v>
      </c>
      <c r="L2" s="240" t="s">
        <v>17</v>
      </c>
      <c r="M2" s="238" t="s">
        <v>21</v>
      </c>
      <c r="N2" s="239" t="s">
        <v>19</v>
      </c>
      <c r="O2" s="240" t="s">
        <v>17</v>
      </c>
      <c r="P2" s="238" t="s">
        <v>21</v>
      </c>
      <c r="Q2" s="239" t="s">
        <v>19</v>
      </c>
      <c r="R2" s="240" t="s">
        <v>17</v>
      </c>
      <c r="S2" s="238" t="s">
        <v>21</v>
      </c>
      <c r="T2" s="239" t="s">
        <v>19</v>
      </c>
      <c r="U2" s="240" t="s">
        <v>17</v>
      </c>
      <c r="V2" s="238" t="s">
        <v>21</v>
      </c>
      <c r="W2" s="239" t="s">
        <v>19</v>
      </c>
      <c r="X2" s="240" t="s">
        <v>17</v>
      </c>
      <c r="Y2" s="238" t="s">
        <v>21</v>
      </c>
      <c r="Z2" s="239" t="s">
        <v>19</v>
      </c>
      <c r="AA2" s="240" t="s">
        <v>17</v>
      </c>
    </row>
    <row r="3" spans="1:27" x14ac:dyDescent="0.25">
      <c r="A3" s="17" t="s">
        <v>191</v>
      </c>
      <c r="B3" s="21">
        <v>1.29</v>
      </c>
      <c r="C3" s="48">
        <v>1</v>
      </c>
      <c r="D3" s="194" t="s">
        <v>196</v>
      </c>
      <c r="E3" s="139">
        <v>0.14731488916002275</v>
      </c>
      <c r="F3" s="52">
        <v>1</v>
      </c>
      <c r="G3" s="194" t="s">
        <v>187</v>
      </c>
      <c r="H3" s="139">
        <v>0.17718740618550918</v>
      </c>
      <c r="I3" s="48">
        <v>1</v>
      </c>
      <c r="J3" s="170" t="s">
        <v>190</v>
      </c>
      <c r="K3" s="139">
        <v>0.35645558048987891</v>
      </c>
      <c r="L3" s="48">
        <v>1</v>
      </c>
      <c r="M3" s="17" t="s">
        <v>702</v>
      </c>
      <c r="N3" s="21">
        <v>52.87</v>
      </c>
      <c r="O3" s="48">
        <v>1</v>
      </c>
      <c r="P3" s="17" t="s">
        <v>5</v>
      </c>
      <c r="Q3" s="21">
        <v>56</v>
      </c>
      <c r="R3" s="48">
        <v>1</v>
      </c>
      <c r="S3" s="17" t="s">
        <v>189</v>
      </c>
      <c r="T3" s="21">
        <v>70</v>
      </c>
      <c r="U3" s="48">
        <v>1</v>
      </c>
      <c r="V3" s="67" t="s">
        <v>509</v>
      </c>
      <c r="W3" s="62" t="s">
        <v>509</v>
      </c>
      <c r="X3" s="94" t="s">
        <v>509</v>
      </c>
      <c r="Y3" s="67" t="s">
        <v>509</v>
      </c>
      <c r="Z3" s="20" t="s">
        <v>509</v>
      </c>
      <c r="AA3" s="94" t="s">
        <v>509</v>
      </c>
    </row>
    <row r="4" spans="1:27" x14ac:dyDescent="0.25">
      <c r="A4" s="17" t="s">
        <v>190</v>
      </c>
      <c r="B4" s="21">
        <v>1.28</v>
      </c>
      <c r="C4" s="48">
        <v>2</v>
      </c>
      <c r="D4" s="194" t="s">
        <v>223</v>
      </c>
      <c r="E4" s="139">
        <v>0.14433071616185403</v>
      </c>
      <c r="F4" s="52">
        <v>2</v>
      </c>
      <c r="G4" s="194" t="s">
        <v>206</v>
      </c>
      <c r="H4" s="139">
        <v>0.15646867894155234</v>
      </c>
      <c r="I4" s="48">
        <v>2</v>
      </c>
      <c r="J4" s="194" t="s">
        <v>225</v>
      </c>
      <c r="K4" s="139">
        <v>0.34796543332325414</v>
      </c>
      <c r="L4" s="48">
        <v>2</v>
      </c>
      <c r="M4" s="17" t="s">
        <v>249</v>
      </c>
      <c r="N4" s="21">
        <v>51.72</v>
      </c>
      <c r="O4" s="48">
        <v>2</v>
      </c>
      <c r="P4" s="17" t="s">
        <v>187</v>
      </c>
      <c r="Q4" s="21">
        <v>56</v>
      </c>
      <c r="R4" s="48">
        <v>1</v>
      </c>
      <c r="S4" s="17" t="s">
        <v>225</v>
      </c>
      <c r="T4" s="21">
        <v>66.67</v>
      </c>
      <c r="U4" s="48">
        <v>2</v>
      </c>
      <c r="V4" s="67" t="s">
        <v>509</v>
      </c>
      <c r="W4" s="62" t="s">
        <v>509</v>
      </c>
      <c r="X4" s="94" t="s">
        <v>509</v>
      </c>
      <c r="Y4" s="67" t="s">
        <v>509</v>
      </c>
      <c r="Z4" s="20" t="s">
        <v>509</v>
      </c>
      <c r="AA4" s="94" t="s">
        <v>509</v>
      </c>
    </row>
    <row r="5" spans="1:27" x14ac:dyDescent="0.25">
      <c r="A5" s="17" t="s">
        <v>198</v>
      </c>
      <c r="B5" s="21">
        <v>1.21</v>
      </c>
      <c r="C5" s="48">
        <v>3</v>
      </c>
      <c r="D5" s="170" t="s">
        <v>190</v>
      </c>
      <c r="E5" s="139">
        <v>0.14273362450885196</v>
      </c>
      <c r="F5" s="52">
        <v>2</v>
      </c>
      <c r="G5" s="194" t="s">
        <v>208</v>
      </c>
      <c r="H5" s="139">
        <v>0.13586038279576501</v>
      </c>
      <c r="I5" s="48">
        <v>3</v>
      </c>
      <c r="J5" s="194" t="s">
        <v>205</v>
      </c>
      <c r="K5" s="139">
        <v>0.33604060798453506</v>
      </c>
      <c r="L5" s="48">
        <v>3</v>
      </c>
      <c r="M5" s="17" t="s">
        <v>687</v>
      </c>
      <c r="N5" s="21">
        <v>49.43</v>
      </c>
      <c r="O5" s="48">
        <v>3</v>
      </c>
      <c r="P5" s="17" t="s">
        <v>249</v>
      </c>
      <c r="Q5" s="21">
        <v>56</v>
      </c>
      <c r="R5" s="48">
        <v>1</v>
      </c>
      <c r="S5" s="17" t="s">
        <v>183</v>
      </c>
      <c r="T5" s="21">
        <v>66.67</v>
      </c>
      <c r="U5" s="48">
        <v>2</v>
      </c>
      <c r="V5" s="67" t="s">
        <v>509</v>
      </c>
      <c r="W5" s="62" t="s">
        <v>509</v>
      </c>
      <c r="X5" s="94" t="s">
        <v>509</v>
      </c>
      <c r="Y5" s="67" t="s">
        <v>509</v>
      </c>
      <c r="Z5" s="20" t="s">
        <v>509</v>
      </c>
      <c r="AA5" s="94" t="s">
        <v>509</v>
      </c>
    </row>
    <row r="6" spans="1:27" x14ac:dyDescent="0.25">
      <c r="A6" s="17" t="s">
        <v>192</v>
      </c>
      <c r="B6" s="21">
        <v>1.18</v>
      </c>
      <c r="C6" s="48">
        <v>4</v>
      </c>
      <c r="D6" s="194" t="s">
        <v>225</v>
      </c>
      <c r="E6" s="139">
        <v>0.14043633361273519</v>
      </c>
      <c r="F6" s="52">
        <v>2</v>
      </c>
      <c r="G6" s="194" t="s">
        <v>228</v>
      </c>
      <c r="H6" s="139">
        <v>0.12989357405111476</v>
      </c>
      <c r="I6" s="48">
        <v>4</v>
      </c>
      <c r="J6" s="170" t="s">
        <v>191</v>
      </c>
      <c r="K6" s="139">
        <v>0.33067585129626004</v>
      </c>
      <c r="L6" s="48">
        <v>4</v>
      </c>
      <c r="M6" s="17" t="s">
        <v>5</v>
      </c>
      <c r="N6" s="21">
        <v>48.28</v>
      </c>
      <c r="O6" s="48">
        <v>4</v>
      </c>
      <c r="P6" s="17" t="s">
        <v>682</v>
      </c>
      <c r="Q6" s="21">
        <v>56</v>
      </c>
      <c r="R6" s="48">
        <v>1</v>
      </c>
      <c r="S6" s="17" t="s">
        <v>185</v>
      </c>
      <c r="T6" s="21">
        <v>66.67</v>
      </c>
      <c r="U6" s="48">
        <v>2</v>
      </c>
      <c r="V6" s="67" t="s">
        <v>509</v>
      </c>
      <c r="W6" s="62" t="s">
        <v>509</v>
      </c>
      <c r="X6" s="94" t="s">
        <v>509</v>
      </c>
      <c r="Y6" s="67" t="s">
        <v>509</v>
      </c>
      <c r="Z6" s="20" t="s">
        <v>509</v>
      </c>
      <c r="AA6" s="94" t="s">
        <v>509</v>
      </c>
    </row>
    <row r="7" spans="1:27" x14ac:dyDescent="0.25">
      <c r="A7" s="17" t="s">
        <v>193</v>
      </c>
      <c r="B7" s="21">
        <v>1.17</v>
      </c>
      <c r="C7" s="48">
        <v>5</v>
      </c>
      <c r="D7" s="194" t="s">
        <v>200</v>
      </c>
      <c r="E7" s="139">
        <v>0.13880614768238403</v>
      </c>
      <c r="F7" s="52">
        <v>2</v>
      </c>
      <c r="G7" s="194" t="s">
        <v>196</v>
      </c>
      <c r="H7" s="139">
        <v>0.12969468181825172</v>
      </c>
      <c r="I7" s="48">
        <v>4</v>
      </c>
      <c r="J7" s="194" t="s">
        <v>196</v>
      </c>
      <c r="K7" s="139">
        <v>0.32078230310248024</v>
      </c>
      <c r="L7" s="48">
        <v>5</v>
      </c>
      <c r="M7" s="17" t="s">
        <v>177</v>
      </c>
      <c r="N7" s="21">
        <v>48.28</v>
      </c>
      <c r="O7" s="48">
        <v>4</v>
      </c>
      <c r="P7" s="17" t="s">
        <v>667</v>
      </c>
      <c r="Q7" s="21">
        <v>56</v>
      </c>
      <c r="R7" s="48">
        <v>1</v>
      </c>
      <c r="S7" s="17" t="s">
        <v>703</v>
      </c>
      <c r="T7" s="21">
        <v>66.67</v>
      </c>
      <c r="U7" s="48">
        <v>2</v>
      </c>
      <c r="V7" s="67" t="s">
        <v>509</v>
      </c>
      <c r="W7" s="62" t="s">
        <v>509</v>
      </c>
      <c r="X7" s="94" t="s">
        <v>509</v>
      </c>
      <c r="Y7" s="67" t="s">
        <v>509</v>
      </c>
      <c r="Z7" s="20" t="s">
        <v>509</v>
      </c>
      <c r="AA7" s="94" t="s">
        <v>509</v>
      </c>
    </row>
    <row r="8" spans="1:27" x14ac:dyDescent="0.25">
      <c r="A8" s="67" t="s">
        <v>206</v>
      </c>
      <c r="B8" s="62">
        <v>1.1399999999999999</v>
      </c>
      <c r="C8" s="94">
        <v>6</v>
      </c>
      <c r="D8" s="194" t="s">
        <v>206</v>
      </c>
      <c r="E8" s="139">
        <v>0.13710376534912336</v>
      </c>
      <c r="F8" s="52">
        <v>2</v>
      </c>
      <c r="G8" s="170" t="s">
        <v>190</v>
      </c>
      <c r="H8" s="139">
        <v>0.1281575590614572</v>
      </c>
      <c r="I8" s="48">
        <v>4</v>
      </c>
      <c r="J8" s="194" t="s">
        <v>227</v>
      </c>
      <c r="K8" s="139">
        <v>0.32022123732112667</v>
      </c>
      <c r="L8" s="48">
        <v>5</v>
      </c>
      <c r="M8" s="17" t="s">
        <v>668</v>
      </c>
      <c r="N8" s="21">
        <v>47.13</v>
      </c>
      <c r="O8" s="48">
        <v>5</v>
      </c>
      <c r="P8" s="17" t="s">
        <v>228</v>
      </c>
      <c r="Q8" s="21">
        <v>52</v>
      </c>
      <c r="R8" s="48">
        <v>2</v>
      </c>
      <c r="S8" s="17" t="s">
        <v>668</v>
      </c>
      <c r="T8" s="21">
        <v>66.67</v>
      </c>
      <c r="U8" s="48">
        <v>2</v>
      </c>
      <c r="V8" s="67" t="s">
        <v>509</v>
      </c>
      <c r="W8" s="62" t="s">
        <v>509</v>
      </c>
      <c r="X8" s="94" t="s">
        <v>509</v>
      </c>
      <c r="Y8" s="67" t="s">
        <v>509</v>
      </c>
      <c r="Z8" s="20" t="s">
        <v>509</v>
      </c>
      <c r="AA8" s="94" t="s">
        <v>509</v>
      </c>
    </row>
    <row r="9" spans="1:27" x14ac:dyDescent="0.25">
      <c r="A9" s="67" t="s">
        <v>205</v>
      </c>
      <c r="B9" s="62">
        <v>1.1200000000000001</v>
      </c>
      <c r="C9" s="94">
        <v>7</v>
      </c>
      <c r="D9" s="194" t="s">
        <v>227</v>
      </c>
      <c r="E9" s="139">
        <v>0.13605824133649957</v>
      </c>
      <c r="F9" s="52">
        <v>2</v>
      </c>
      <c r="G9" s="170" t="s">
        <v>198</v>
      </c>
      <c r="H9" s="139">
        <v>0.12694791001622691</v>
      </c>
      <c r="I9" s="48">
        <v>4</v>
      </c>
      <c r="J9" s="193" t="s">
        <v>223</v>
      </c>
      <c r="K9" s="165">
        <v>0.3136752077788526</v>
      </c>
      <c r="L9" s="94">
        <v>6</v>
      </c>
      <c r="M9" s="67" t="s">
        <v>703</v>
      </c>
      <c r="N9" s="62">
        <v>45.98</v>
      </c>
      <c r="O9" s="94">
        <v>6</v>
      </c>
      <c r="P9" s="17" t="s">
        <v>229</v>
      </c>
      <c r="Q9" s="21">
        <v>52</v>
      </c>
      <c r="R9" s="48">
        <v>2</v>
      </c>
      <c r="S9" s="17" t="s">
        <v>673</v>
      </c>
      <c r="T9" s="21">
        <v>66.67</v>
      </c>
      <c r="U9" s="48">
        <v>2</v>
      </c>
      <c r="V9" s="67" t="s">
        <v>509</v>
      </c>
      <c r="W9" s="62" t="s">
        <v>509</v>
      </c>
      <c r="X9" s="94" t="s">
        <v>509</v>
      </c>
      <c r="Y9" s="67" t="s">
        <v>509</v>
      </c>
      <c r="Z9" s="20" t="s">
        <v>509</v>
      </c>
      <c r="AA9" s="94" t="s">
        <v>509</v>
      </c>
    </row>
    <row r="10" spans="1:27" x14ac:dyDescent="0.25">
      <c r="A10" s="67" t="s">
        <v>207</v>
      </c>
      <c r="B10" s="62">
        <v>1.1000000000000001</v>
      </c>
      <c r="C10" s="94">
        <v>8</v>
      </c>
      <c r="D10" s="170" t="s">
        <v>191</v>
      </c>
      <c r="E10" s="139">
        <v>0.13604111497665672</v>
      </c>
      <c r="F10" s="52">
        <v>2</v>
      </c>
      <c r="G10" s="194" t="s">
        <v>179</v>
      </c>
      <c r="H10" s="139">
        <v>0.12637748362567217</v>
      </c>
      <c r="I10" s="48">
        <v>4</v>
      </c>
      <c r="J10" s="193" t="s">
        <v>189</v>
      </c>
      <c r="K10" s="165">
        <v>0.3107873461083176</v>
      </c>
      <c r="L10" s="94">
        <v>6</v>
      </c>
      <c r="M10" s="67" t="s">
        <v>682</v>
      </c>
      <c r="N10" s="62">
        <v>45.98</v>
      </c>
      <c r="O10" s="94">
        <v>6</v>
      </c>
      <c r="P10" s="17" t="s">
        <v>203</v>
      </c>
      <c r="Q10" s="21">
        <v>52</v>
      </c>
      <c r="R10" s="48">
        <v>2</v>
      </c>
      <c r="S10" s="17" t="s">
        <v>5</v>
      </c>
      <c r="T10" s="21">
        <v>63.33</v>
      </c>
      <c r="U10" s="48">
        <v>3</v>
      </c>
      <c r="V10" s="67" t="s">
        <v>509</v>
      </c>
      <c r="W10" s="62" t="s">
        <v>509</v>
      </c>
      <c r="X10" s="94" t="s">
        <v>509</v>
      </c>
      <c r="Y10" s="67" t="s">
        <v>509</v>
      </c>
      <c r="Z10" s="20" t="s">
        <v>509</v>
      </c>
      <c r="AA10" s="94" t="s">
        <v>509</v>
      </c>
    </row>
    <row r="11" spans="1:27" x14ac:dyDescent="0.25">
      <c r="A11" s="67" t="s">
        <v>194</v>
      </c>
      <c r="B11" s="62">
        <v>1.0900000000000001</v>
      </c>
      <c r="C11" s="94">
        <v>9</v>
      </c>
      <c r="D11" s="194" t="s">
        <v>202</v>
      </c>
      <c r="E11" s="139">
        <v>0.13371714323905964</v>
      </c>
      <c r="F11" s="52">
        <v>3</v>
      </c>
      <c r="G11" s="170" t="s">
        <v>191</v>
      </c>
      <c r="H11" s="139">
        <v>0.12297526946750835</v>
      </c>
      <c r="I11" s="48">
        <v>5</v>
      </c>
      <c r="J11" s="193" t="s">
        <v>206</v>
      </c>
      <c r="K11" s="165">
        <v>0.30180320029172703</v>
      </c>
      <c r="L11" s="94">
        <v>7</v>
      </c>
      <c r="M11" s="67" t="s">
        <v>252</v>
      </c>
      <c r="N11" s="62">
        <v>45.98</v>
      </c>
      <c r="O11" s="94">
        <v>6</v>
      </c>
      <c r="P11" s="17" t="s">
        <v>206</v>
      </c>
      <c r="Q11" s="21">
        <v>48</v>
      </c>
      <c r="R11" s="48">
        <v>3</v>
      </c>
      <c r="S11" s="17" t="s">
        <v>208</v>
      </c>
      <c r="T11" s="21">
        <v>63.33</v>
      </c>
      <c r="U11" s="48">
        <v>3</v>
      </c>
      <c r="V11" s="67" t="s">
        <v>509</v>
      </c>
      <c r="W11" s="62" t="s">
        <v>509</v>
      </c>
      <c r="X11" s="94" t="s">
        <v>509</v>
      </c>
      <c r="Y11" s="67" t="s">
        <v>509</v>
      </c>
      <c r="Z11" s="20" t="s">
        <v>509</v>
      </c>
      <c r="AA11" s="94" t="s">
        <v>509</v>
      </c>
    </row>
    <row r="12" spans="1:27" x14ac:dyDescent="0.25">
      <c r="A12" s="67" t="s">
        <v>224</v>
      </c>
      <c r="B12" s="62">
        <v>1.06</v>
      </c>
      <c r="C12" s="94">
        <v>10</v>
      </c>
      <c r="D12" s="194" t="s">
        <v>205</v>
      </c>
      <c r="E12" s="139">
        <v>0.13015580348191866</v>
      </c>
      <c r="F12" s="52">
        <v>3</v>
      </c>
      <c r="G12" s="194" t="s">
        <v>229</v>
      </c>
      <c r="H12" s="139">
        <v>0.12150405230859616</v>
      </c>
      <c r="I12" s="48">
        <v>5</v>
      </c>
      <c r="J12" s="193" t="s">
        <v>200</v>
      </c>
      <c r="K12" s="165">
        <v>0.2847639200667178</v>
      </c>
      <c r="L12" s="94">
        <v>8</v>
      </c>
      <c r="M12" s="67" t="s">
        <v>189</v>
      </c>
      <c r="N12" s="62">
        <v>44.83</v>
      </c>
      <c r="O12" s="94">
        <v>7</v>
      </c>
      <c r="P12" s="17" t="s">
        <v>215</v>
      </c>
      <c r="Q12" s="21">
        <v>48</v>
      </c>
      <c r="R12" s="48">
        <v>3</v>
      </c>
      <c r="S12" s="17" t="s">
        <v>688</v>
      </c>
      <c r="T12" s="21">
        <v>63.33</v>
      </c>
      <c r="U12" s="48">
        <v>3</v>
      </c>
      <c r="V12" s="67" t="s">
        <v>509</v>
      </c>
      <c r="W12" s="62" t="s">
        <v>509</v>
      </c>
      <c r="X12" s="94" t="s">
        <v>509</v>
      </c>
      <c r="Y12" s="67" t="s">
        <v>509</v>
      </c>
      <c r="Z12" s="20" t="s">
        <v>509</v>
      </c>
      <c r="AA12" s="94" t="s">
        <v>509</v>
      </c>
    </row>
    <row r="13" spans="1:27" x14ac:dyDescent="0.25">
      <c r="A13" s="67" t="s">
        <v>197</v>
      </c>
      <c r="B13" s="62">
        <v>1.05</v>
      </c>
      <c r="C13" s="94">
        <v>11</v>
      </c>
      <c r="D13" s="194" t="s">
        <v>189</v>
      </c>
      <c r="E13" s="139">
        <v>0.12649314544946547</v>
      </c>
      <c r="F13" s="52">
        <v>3</v>
      </c>
      <c r="G13" s="194" t="s">
        <v>227</v>
      </c>
      <c r="H13" s="139">
        <v>0.1214719048814667</v>
      </c>
      <c r="I13" s="48">
        <v>5</v>
      </c>
      <c r="J13" s="167" t="s">
        <v>192</v>
      </c>
      <c r="K13" s="165">
        <v>0.28416080681830375</v>
      </c>
      <c r="L13" s="94">
        <v>8</v>
      </c>
      <c r="M13" s="67" t="s">
        <v>185</v>
      </c>
      <c r="N13" s="62">
        <v>44.83</v>
      </c>
      <c r="O13" s="94">
        <v>7</v>
      </c>
      <c r="P13" s="17" t="s">
        <v>208</v>
      </c>
      <c r="Q13" s="21">
        <v>48</v>
      </c>
      <c r="R13" s="48">
        <v>3</v>
      </c>
      <c r="S13" s="17" t="s">
        <v>689</v>
      </c>
      <c r="T13" s="21">
        <v>63.33</v>
      </c>
      <c r="U13" s="48">
        <v>3</v>
      </c>
      <c r="V13" s="67" t="s">
        <v>509</v>
      </c>
      <c r="W13" s="62" t="s">
        <v>509</v>
      </c>
      <c r="X13" s="94" t="s">
        <v>509</v>
      </c>
      <c r="Y13" s="67" t="s">
        <v>509</v>
      </c>
      <c r="Z13" s="20" t="s">
        <v>509</v>
      </c>
      <c r="AA13" s="94" t="s">
        <v>509</v>
      </c>
    </row>
    <row r="14" spans="1:27" x14ac:dyDescent="0.25">
      <c r="A14" s="67" t="s">
        <v>230</v>
      </c>
      <c r="B14" s="62">
        <v>1.04</v>
      </c>
      <c r="C14" s="94">
        <v>12</v>
      </c>
      <c r="D14" s="194" t="s">
        <v>680</v>
      </c>
      <c r="E14" s="139">
        <v>0.11812792312655786</v>
      </c>
      <c r="F14" s="52">
        <v>4</v>
      </c>
      <c r="G14" s="194" t="s">
        <v>202</v>
      </c>
      <c r="H14" s="139">
        <v>0.12065353054870721</v>
      </c>
      <c r="I14" s="48">
        <v>5</v>
      </c>
      <c r="J14" s="193" t="s">
        <v>230</v>
      </c>
      <c r="K14" s="165">
        <v>0.28234883388326965</v>
      </c>
      <c r="L14" s="94">
        <v>8</v>
      </c>
      <c r="M14" s="67" t="s">
        <v>187</v>
      </c>
      <c r="N14" s="62">
        <v>44.83</v>
      </c>
      <c r="O14" s="94">
        <v>7</v>
      </c>
      <c r="P14" s="17" t="s">
        <v>216</v>
      </c>
      <c r="Q14" s="21">
        <v>48</v>
      </c>
      <c r="R14" s="48">
        <v>3</v>
      </c>
      <c r="S14" s="17" t="s">
        <v>687</v>
      </c>
      <c r="T14" s="21">
        <v>63.33</v>
      </c>
      <c r="U14" s="48">
        <v>3</v>
      </c>
      <c r="V14" s="67" t="s">
        <v>509</v>
      </c>
      <c r="W14" s="62" t="s">
        <v>509</v>
      </c>
      <c r="X14" s="94" t="s">
        <v>509</v>
      </c>
      <c r="Y14" s="67" t="s">
        <v>509</v>
      </c>
      <c r="Z14" s="20" t="s">
        <v>509</v>
      </c>
      <c r="AA14" s="94" t="s">
        <v>509</v>
      </c>
    </row>
    <row r="15" spans="1:27" x14ac:dyDescent="0.25">
      <c r="A15" s="67" t="s">
        <v>189</v>
      </c>
      <c r="B15" s="62">
        <v>1.03</v>
      </c>
      <c r="C15" s="94">
        <v>13</v>
      </c>
      <c r="D15" s="194" t="s">
        <v>185</v>
      </c>
      <c r="E15" s="139">
        <v>0.11796667605274586</v>
      </c>
      <c r="F15" s="52">
        <v>4</v>
      </c>
      <c r="G15" s="193" t="s">
        <v>214</v>
      </c>
      <c r="H15" s="165">
        <v>0.11448075290151805</v>
      </c>
      <c r="I15" s="94">
        <v>6</v>
      </c>
      <c r="J15" s="193" t="s">
        <v>194</v>
      </c>
      <c r="K15" s="165">
        <v>0.28092398388915579</v>
      </c>
      <c r="L15" s="94">
        <v>8</v>
      </c>
      <c r="M15" s="67" t="s">
        <v>672</v>
      </c>
      <c r="N15" s="62">
        <v>44.83</v>
      </c>
      <c r="O15" s="94">
        <v>7</v>
      </c>
      <c r="P15" s="17" t="s">
        <v>687</v>
      </c>
      <c r="Q15" s="21">
        <v>48</v>
      </c>
      <c r="R15" s="48">
        <v>3</v>
      </c>
      <c r="S15" s="17" t="s">
        <v>691</v>
      </c>
      <c r="T15" s="21">
        <v>63.33</v>
      </c>
      <c r="U15" s="48">
        <v>3</v>
      </c>
      <c r="V15" s="67" t="s">
        <v>509</v>
      </c>
      <c r="W15" s="62" t="s">
        <v>509</v>
      </c>
      <c r="X15" s="94" t="s">
        <v>509</v>
      </c>
      <c r="Y15" s="67" t="s">
        <v>509</v>
      </c>
      <c r="Z15" s="20" t="s">
        <v>509</v>
      </c>
      <c r="AA15" s="94" t="s">
        <v>509</v>
      </c>
    </row>
    <row r="16" spans="1:27" x14ac:dyDescent="0.25">
      <c r="A16" s="67" t="s">
        <v>199</v>
      </c>
      <c r="B16" s="62">
        <v>1.03</v>
      </c>
      <c r="C16" s="94">
        <v>13</v>
      </c>
      <c r="D16" s="194" t="s">
        <v>214</v>
      </c>
      <c r="E16" s="139">
        <v>0.11790410947344535</v>
      </c>
      <c r="F16" s="52">
        <v>4</v>
      </c>
      <c r="G16" s="193" t="s">
        <v>180</v>
      </c>
      <c r="H16" s="165">
        <v>0.11425163903692746</v>
      </c>
      <c r="I16" s="94">
        <v>6</v>
      </c>
      <c r="J16" s="193" t="s">
        <v>680</v>
      </c>
      <c r="K16" s="165">
        <v>0.27485958942208644</v>
      </c>
      <c r="L16" s="94">
        <v>9</v>
      </c>
      <c r="M16" s="67" t="s">
        <v>192</v>
      </c>
      <c r="N16" s="62">
        <v>43.68</v>
      </c>
      <c r="O16" s="94">
        <v>8</v>
      </c>
      <c r="P16" s="17" t="s">
        <v>180</v>
      </c>
      <c r="Q16" s="21">
        <v>48</v>
      </c>
      <c r="R16" s="48">
        <v>3</v>
      </c>
      <c r="S16" s="17" t="s">
        <v>704</v>
      </c>
      <c r="T16" s="21">
        <v>63.33</v>
      </c>
      <c r="U16" s="48">
        <v>3</v>
      </c>
      <c r="V16" s="67" t="s">
        <v>509</v>
      </c>
      <c r="W16" s="62" t="s">
        <v>509</v>
      </c>
      <c r="X16" s="94" t="s">
        <v>509</v>
      </c>
      <c r="Y16" s="67" t="s">
        <v>509</v>
      </c>
      <c r="Z16" s="20" t="s">
        <v>509</v>
      </c>
      <c r="AA16" s="94" t="s">
        <v>509</v>
      </c>
    </row>
    <row r="17" spans="1:27" x14ac:dyDescent="0.25">
      <c r="A17" s="67" t="s">
        <v>209</v>
      </c>
      <c r="B17" s="62">
        <v>1.03</v>
      </c>
      <c r="C17" s="94">
        <v>13</v>
      </c>
      <c r="D17" s="194" t="s">
        <v>690</v>
      </c>
      <c r="E17" s="139">
        <v>0.11765062338797116</v>
      </c>
      <c r="F17" s="52">
        <v>4</v>
      </c>
      <c r="G17" s="193" t="s">
        <v>181</v>
      </c>
      <c r="H17" s="165">
        <v>0.11363606005436173</v>
      </c>
      <c r="I17" s="94">
        <v>6</v>
      </c>
      <c r="J17" s="193" t="s">
        <v>215</v>
      </c>
      <c r="K17" s="165">
        <v>0.27388762140743805</v>
      </c>
      <c r="L17" s="94">
        <v>9</v>
      </c>
      <c r="M17" s="67" t="s">
        <v>698</v>
      </c>
      <c r="N17" s="62">
        <v>43.68</v>
      </c>
      <c r="O17" s="94">
        <v>8</v>
      </c>
      <c r="P17" s="17" t="s">
        <v>677</v>
      </c>
      <c r="Q17" s="21">
        <v>48</v>
      </c>
      <c r="R17" s="48">
        <v>3</v>
      </c>
      <c r="S17" s="17" t="s">
        <v>177</v>
      </c>
      <c r="T17" s="21">
        <v>63.33</v>
      </c>
      <c r="U17" s="48">
        <v>3</v>
      </c>
      <c r="V17" s="67" t="s">
        <v>509</v>
      </c>
      <c r="W17" s="62" t="s">
        <v>509</v>
      </c>
      <c r="X17" s="94" t="s">
        <v>509</v>
      </c>
      <c r="Y17" s="67" t="s">
        <v>509</v>
      </c>
      <c r="Z17" s="20" t="s">
        <v>509</v>
      </c>
      <c r="AA17" s="94" t="s">
        <v>509</v>
      </c>
    </row>
    <row r="18" spans="1:27" x14ac:dyDescent="0.25">
      <c r="A18" s="67" t="s">
        <v>202</v>
      </c>
      <c r="B18" s="62">
        <v>1.02</v>
      </c>
      <c r="C18" s="94">
        <v>14</v>
      </c>
      <c r="D18" s="194" t="s">
        <v>194</v>
      </c>
      <c r="E18" s="139">
        <v>0.11743026382563229</v>
      </c>
      <c r="F18" s="52">
        <v>4</v>
      </c>
      <c r="G18" s="193" t="s">
        <v>700</v>
      </c>
      <c r="H18" s="165">
        <v>0.11214436019454242</v>
      </c>
      <c r="I18" s="94">
        <v>6</v>
      </c>
      <c r="J18" s="193" t="s">
        <v>690</v>
      </c>
      <c r="K18" s="165">
        <v>0.27102359796674669</v>
      </c>
      <c r="L18" s="94">
        <v>9</v>
      </c>
      <c r="M18" s="67" t="s">
        <v>248</v>
      </c>
      <c r="N18" s="62">
        <v>43.68</v>
      </c>
      <c r="O18" s="94">
        <v>8</v>
      </c>
      <c r="P18" s="17" t="s">
        <v>695</v>
      </c>
      <c r="Q18" s="21">
        <v>48</v>
      </c>
      <c r="R18" s="48">
        <v>3</v>
      </c>
      <c r="S18" s="17" t="s">
        <v>702</v>
      </c>
      <c r="T18" s="21">
        <v>63.33</v>
      </c>
      <c r="U18" s="48">
        <v>3</v>
      </c>
      <c r="V18" s="67" t="s">
        <v>509</v>
      </c>
      <c r="W18" s="62" t="s">
        <v>509</v>
      </c>
      <c r="X18" s="94" t="s">
        <v>509</v>
      </c>
      <c r="Y18" s="67" t="s">
        <v>509</v>
      </c>
      <c r="Z18" s="20" t="s">
        <v>509</v>
      </c>
      <c r="AA18" s="94" t="s">
        <v>509</v>
      </c>
    </row>
    <row r="19" spans="1:27" x14ac:dyDescent="0.25">
      <c r="A19" s="67" t="s">
        <v>225</v>
      </c>
      <c r="B19" s="62">
        <v>1.01</v>
      </c>
      <c r="C19" s="94">
        <v>15</v>
      </c>
      <c r="D19" s="194" t="s">
        <v>195</v>
      </c>
      <c r="E19" s="139">
        <v>0.11677438330353203</v>
      </c>
      <c r="F19" s="52">
        <v>4</v>
      </c>
      <c r="G19" s="193" t="s">
        <v>203</v>
      </c>
      <c r="H19" s="165">
        <v>0.11036047012312075</v>
      </c>
      <c r="I19" s="94">
        <v>6</v>
      </c>
      <c r="J19" s="193" t="s">
        <v>202</v>
      </c>
      <c r="K19" s="165">
        <v>0.27086811508144926</v>
      </c>
      <c r="L19" s="94">
        <v>9</v>
      </c>
      <c r="M19" s="67" t="s">
        <v>690</v>
      </c>
      <c r="N19" s="62">
        <v>42.53</v>
      </c>
      <c r="O19" s="94">
        <v>9</v>
      </c>
      <c r="P19" s="17" t="s">
        <v>702</v>
      </c>
      <c r="Q19" s="21">
        <v>48</v>
      </c>
      <c r="R19" s="48">
        <v>3</v>
      </c>
      <c r="S19" s="17" t="s">
        <v>252</v>
      </c>
      <c r="T19" s="21">
        <v>63.33</v>
      </c>
      <c r="U19" s="48">
        <v>3</v>
      </c>
      <c r="V19" s="67" t="s">
        <v>509</v>
      </c>
      <c r="W19" s="62" t="s">
        <v>509</v>
      </c>
      <c r="X19" s="94" t="s">
        <v>509</v>
      </c>
      <c r="Y19" s="67" t="s">
        <v>509</v>
      </c>
      <c r="Z19" s="20" t="s">
        <v>509</v>
      </c>
      <c r="AA19" s="94" t="s">
        <v>509</v>
      </c>
    </row>
    <row r="20" spans="1:27" x14ac:dyDescent="0.25">
      <c r="A20" s="67" t="s">
        <v>215</v>
      </c>
      <c r="B20" s="62">
        <v>1.01</v>
      </c>
      <c r="C20" s="94">
        <v>15</v>
      </c>
      <c r="D20" s="194" t="s">
        <v>229</v>
      </c>
      <c r="E20" s="139">
        <v>0.11557207110515247</v>
      </c>
      <c r="F20" s="52">
        <v>4</v>
      </c>
      <c r="G20" s="193" t="s">
        <v>204</v>
      </c>
      <c r="H20" s="165">
        <v>0.10915386319888691</v>
      </c>
      <c r="I20" s="94">
        <v>6</v>
      </c>
      <c r="J20" s="193" t="s">
        <v>183</v>
      </c>
      <c r="K20" s="165">
        <v>0.27053698210817573</v>
      </c>
      <c r="L20" s="94">
        <v>9</v>
      </c>
      <c r="M20" s="67" t="s">
        <v>250</v>
      </c>
      <c r="N20" s="62">
        <v>42.53</v>
      </c>
      <c r="O20" s="94">
        <v>9</v>
      </c>
      <c r="P20" s="17" t="s">
        <v>668</v>
      </c>
      <c r="Q20" s="21">
        <v>48</v>
      </c>
      <c r="R20" s="48">
        <v>3</v>
      </c>
      <c r="S20" s="17" t="s">
        <v>672</v>
      </c>
      <c r="T20" s="21">
        <v>63.33</v>
      </c>
      <c r="U20" s="48">
        <v>3</v>
      </c>
      <c r="V20" s="67" t="s">
        <v>509</v>
      </c>
      <c r="W20" s="62" t="s">
        <v>509</v>
      </c>
      <c r="X20" s="94" t="s">
        <v>509</v>
      </c>
      <c r="Y20" s="67" t="s">
        <v>509</v>
      </c>
      <c r="Z20" s="20" t="s">
        <v>509</v>
      </c>
      <c r="AA20" s="94" t="s">
        <v>509</v>
      </c>
    </row>
    <row r="21" spans="1:27" x14ac:dyDescent="0.25">
      <c r="A21" s="67" t="s">
        <v>201</v>
      </c>
      <c r="B21" s="62">
        <v>1</v>
      </c>
      <c r="C21" s="94">
        <v>16</v>
      </c>
      <c r="D21" s="170" t="s">
        <v>192</v>
      </c>
      <c r="E21" s="139">
        <v>0.11399532706809956</v>
      </c>
      <c r="F21" s="52">
        <v>5</v>
      </c>
      <c r="G21" s="193" t="s">
        <v>184</v>
      </c>
      <c r="H21" s="165">
        <v>0.10723868756740206</v>
      </c>
      <c r="I21" s="94">
        <v>6</v>
      </c>
      <c r="J21" s="193" t="s">
        <v>214</v>
      </c>
      <c r="K21" s="165">
        <v>0.26822209768111488</v>
      </c>
      <c r="L21" s="94">
        <v>9</v>
      </c>
      <c r="M21" s="67" t="s">
        <v>219</v>
      </c>
      <c r="N21" s="62">
        <v>42.53</v>
      </c>
      <c r="O21" s="94">
        <v>9</v>
      </c>
      <c r="P21" s="17" t="s">
        <v>662</v>
      </c>
      <c r="Q21" s="21">
        <v>48</v>
      </c>
      <c r="R21" s="48">
        <v>3</v>
      </c>
      <c r="S21" s="17" t="s">
        <v>206</v>
      </c>
      <c r="T21" s="21">
        <v>60</v>
      </c>
      <c r="U21" s="48">
        <v>4</v>
      </c>
      <c r="V21" s="67" t="s">
        <v>509</v>
      </c>
      <c r="W21" s="62" t="s">
        <v>509</v>
      </c>
      <c r="X21" s="94" t="s">
        <v>509</v>
      </c>
      <c r="Y21" s="67" t="s">
        <v>509</v>
      </c>
      <c r="Z21" s="20" t="s">
        <v>509</v>
      </c>
      <c r="AA21" s="94" t="s">
        <v>509</v>
      </c>
    </row>
    <row r="22" spans="1:27" x14ac:dyDescent="0.25">
      <c r="A22" s="67" t="s">
        <v>227</v>
      </c>
      <c r="B22" s="62">
        <v>1</v>
      </c>
      <c r="C22" s="94">
        <v>16</v>
      </c>
      <c r="D22" s="194" t="s">
        <v>183</v>
      </c>
      <c r="E22" s="139">
        <v>0.11394252778313251</v>
      </c>
      <c r="F22" s="52">
        <v>5</v>
      </c>
      <c r="G22" s="193" t="s">
        <v>185</v>
      </c>
      <c r="H22" s="165">
        <v>0.10591130247260533</v>
      </c>
      <c r="I22" s="94">
        <v>6</v>
      </c>
      <c r="J22" s="193" t="s">
        <v>222</v>
      </c>
      <c r="K22" s="165">
        <v>0.26219030475813077</v>
      </c>
      <c r="L22" s="94">
        <v>10</v>
      </c>
      <c r="M22" s="67" t="s">
        <v>667</v>
      </c>
      <c r="N22" s="62">
        <v>42.53</v>
      </c>
      <c r="O22" s="94">
        <v>9</v>
      </c>
      <c r="P22" s="17" t="s">
        <v>248</v>
      </c>
      <c r="Q22" s="21">
        <v>48</v>
      </c>
      <c r="R22" s="48">
        <v>3</v>
      </c>
      <c r="S22" s="17" t="s">
        <v>205</v>
      </c>
      <c r="T22" s="21">
        <v>60</v>
      </c>
      <c r="U22" s="48">
        <v>4</v>
      </c>
      <c r="V22" s="67" t="s">
        <v>509</v>
      </c>
      <c r="W22" s="62" t="s">
        <v>509</v>
      </c>
      <c r="X22" s="94" t="s">
        <v>509</v>
      </c>
      <c r="Y22" s="67" t="s">
        <v>509</v>
      </c>
      <c r="Z22" s="20" t="s">
        <v>509</v>
      </c>
      <c r="AA22" s="94" t="s">
        <v>509</v>
      </c>
    </row>
    <row r="23" spans="1:27" x14ac:dyDescent="0.25">
      <c r="A23" s="67" t="s">
        <v>222</v>
      </c>
      <c r="B23" s="62">
        <v>1</v>
      </c>
      <c r="C23" s="94">
        <v>16</v>
      </c>
      <c r="D23" s="194" t="s">
        <v>215</v>
      </c>
      <c r="E23" s="139">
        <v>0.11286044757299481</v>
      </c>
      <c r="F23" s="52">
        <v>5</v>
      </c>
      <c r="G23" s="193" t="s">
        <v>223</v>
      </c>
      <c r="H23" s="165">
        <v>0.10566002895138124</v>
      </c>
      <c r="I23" s="94">
        <v>6</v>
      </c>
      <c r="J23" s="167" t="s">
        <v>193</v>
      </c>
      <c r="K23" s="165">
        <v>0.25865495436338554</v>
      </c>
      <c r="L23" s="94">
        <v>10</v>
      </c>
      <c r="M23" s="67" t="s">
        <v>225</v>
      </c>
      <c r="N23" s="62">
        <v>41.38</v>
      </c>
      <c r="O23" s="94">
        <v>10</v>
      </c>
      <c r="P23" s="17" t="s">
        <v>241</v>
      </c>
      <c r="Q23" s="21">
        <v>48</v>
      </c>
      <c r="R23" s="48">
        <v>3</v>
      </c>
      <c r="S23" s="17" t="s">
        <v>230</v>
      </c>
      <c r="T23" s="21">
        <v>60</v>
      </c>
      <c r="U23" s="48">
        <v>4</v>
      </c>
      <c r="V23" s="67" t="s">
        <v>509</v>
      </c>
      <c r="W23" s="62" t="s">
        <v>509</v>
      </c>
      <c r="X23" s="94" t="s">
        <v>509</v>
      </c>
      <c r="Y23" s="67" t="s">
        <v>509</v>
      </c>
      <c r="Z23" s="20" t="s">
        <v>509</v>
      </c>
      <c r="AA23" s="94" t="s">
        <v>509</v>
      </c>
    </row>
    <row r="24" spans="1:27" x14ac:dyDescent="0.25">
      <c r="A24" s="67" t="s">
        <v>228</v>
      </c>
      <c r="B24" s="62">
        <v>0.98</v>
      </c>
      <c r="C24" s="94">
        <v>17</v>
      </c>
      <c r="D24" s="194" t="s">
        <v>204</v>
      </c>
      <c r="E24" s="139">
        <v>0.11239431799873535</v>
      </c>
      <c r="F24" s="52">
        <v>5</v>
      </c>
      <c r="G24" s="193" t="s">
        <v>221</v>
      </c>
      <c r="H24" s="165">
        <v>0.10342795903095162</v>
      </c>
      <c r="I24" s="94">
        <v>7</v>
      </c>
      <c r="J24" s="193" t="s">
        <v>231</v>
      </c>
      <c r="K24" s="165">
        <v>0.25655282563108617</v>
      </c>
      <c r="L24" s="94">
        <v>10</v>
      </c>
      <c r="M24" s="67" t="s">
        <v>204</v>
      </c>
      <c r="N24" s="62">
        <v>41.38</v>
      </c>
      <c r="O24" s="94">
        <v>10</v>
      </c>
      <c r="P24" s="17" t="s">
        <v>210</v>
      </c>
      <c r="Q24" s="21">
        <v>48</v>
      </c>
      <c r="R24" s="48">
        <v>3</v>
      </c>
      <c r="S24" s="17" t="s">
        <v>196</v>
      </c>
      <c r="T24" s="21">
        <v>60</v>
      </c>
      <c r="U24" s="48">
        <v>4</v>
      </c>
      <c r="V24" s="67" t="s">
        <v>509</v>
      </c>
      <c r="W24" s="62" t="s">
        <v>509</v>
      </c>
      <c r="X24" s="94" t="s">
        <v>509</v>
      </c>
      <c r="Y24" s="67" t="s">
        <v>509</v>
      </c>
      <c r="Z24" s="20" t="s">
        <v>509</v>
      </c>
      <c r="AA24" s="94" t="s">
        <v>509</v>
      </c>
    </row>
    <row r="25" spans="1:27" x14ac:dyDescent="0.25">
      <c r="A25" s="67" t="s">
        <v>200</v>
      </c>
      <c r="B25" s="62">
        <v>0.98</v>
      </c>
      <c r="C25" s="94">
        <v>17</v>
      </c>
      <c r="D25" s="194" t="s">
        <v>231</v>
      </c>
      <c r="E25" s="139">
        <v>0.11206683770755486</v>
      </c>
      <c r="F25" s="52">
        <v>5</v>
      </c>
      <c r="G25" s="193" t="s">
        <v>211</v>
      </c>
      <c r="H25" s="165">
        <v>0.10327207228198391</v>
      </c>
      <c r="I25" s="94">
        <v>7</v>
      </c>
      <c r="J25" s="193" t="s">
        <v>224</v>
      </c>
      <c r="K25" s="165">
        <v>0.2564021516422792</v>
      </c>
      <c r="L25" s="94">
        <v>10</v>
      </c>
      <c r="M25" s="67" t="s">
        <v>183</v>
      </c>
      <c r="N25" s="62">
        <v>41.38</v>
      </c>
      <c r="O25" s="94">
        <v>10</v>
      </c>
      <c r="P25" s="17" t="s">
        <v>190</v>
      </c>
      <c r="Q25" s="21">
        <v>44</v>
      </c>
      <c r="R25" s="48">
        <v>4</v>
      </c>
      <c r="S25" s="17" t="s">
        <v>214</v>
      </c>
      <c r="T25" s="21">
        <v>60</v>
      </c>
      <c r="U25" s="48">
        <v>4</v>
      </c>
      <c r="V25" s="67" t="s">
        <v>509</v>
      </c>
      <c r="W25" s="62" t="s">
        <v>509</v>
      </c>
      <c r="X25" s="94" t="s">
        <v>509</v>
      </c>
      <c r="Y25" s="67" t="s">
        <v>509</v>
      </c>
      <c r="Z25" s="20" t="s">
        <v>509</v>
      </c>
      <c r="AA25" s="94" t="s">
        <v>509</v>
      </c>
    </row>
    <row r="26" spans="1:27" x14ac:dyDescent="0.25">
      <c r="A26" s="67" t="s">
        <v>226</v>
      </c>
      <c r="B26" s="62">
        <v>0.97</v>
      </c>
      <c r="C26" s="94">
        <v>18</v>
      </c>
      <c r="D26" s="170" t="s">
        <v>198</v>
      </c>
      <c r="E26" s="139">
        <v>0.11136622110425386</v>
      </c>
      <c r="F26" s="52">
        <v>5</v>
      </c>
      <c r="G26" s="193" t="s">
        <v>5</v>
      </c>
      <c r="H26" s="165">
        <v>0.10287885225849966</v>
      </c>
      <c r="I26" s="94">
        <v>7</v>
      </c>
      <c r="J26" s="193" t="s">
        <v>229</v>
      </c>
      <c r="K26" s="165">
        <v>0.25338255551840067</v>
      </c>
      <c r="L26" s="94">
        <v>11</v>
      </c>
      <c r="M26" s="67" t="s">
        <v>688</v>
      </c>
      <c r="N26" s="62">
        <v>41.38</v>
      </c>
      <c r="O26" s="94">
        <v>10</v>
      </c>
      <c r="P26" s="17" t="s">
        <v>192</v>
      </c>
      <c r="Q26" s="21">
        <v>44</v>
      </c>
      <c r="R26" s="48">
        <v>4</v>
      </c>
      <c r="S26" s="17" t="s">
        <v>680</v>
      </c>
      <c r="T26" s="21">
        <v>60</v>
      </c>
      <c r="U26" s="48">
        <v>4</v>
      </c>
      <c r="V26" s="67" t="s">
        <v>509</v>
      </c>
      <c r="W26" s="62" t="s">
        <v>509</v>
      </c>
      <c r="X26" s="94" t="s">
        <v>509</v>
      </c>
      <c r="Y26" s="67" t="s">
        <v>509</v>
      </c>
      <c r="Z26" s="20" t="s">
        <v>509</v>
      </c>
      <c r="AA26" s="94" t="s">
        <v>509</v>
      </c>
    </row>
    <row r="27" spans="1:27" x14ac:dyDescent="0.25">
      <c r="A27" s="67" t="s">
        <v>229</v>
      </c>
      <c r="B27" s="62">
        <v>0.97</v>
      </c>
      <c r="C27" s="94">
        <v>18</v>
      </c>
      <c r="D27" s="194" t="s">
        <v>230</v>
      </c>
      <c r="E27" s="139">
        <v>0.11099408727156709</v>
      </c>
      <c r="F27" s="52">
        <v>5</v>
      </c>
      <c r="G27" s="167" t="s">
        <v>193</v>
      </c>
      <c r="H27" s="165">
        <v>0.10276550450477626</v>
      </c>
      <c r="I27" s="94">
        <v>7</v>
      </c>
      <c r="J27" s="193" t="s">
        <v>204</v>
      </c>
      <c r="K27" s="165">
        <v>0.24895370623915838</v>
      </c>
      <c r="L27" s="94">
        <v>11</v>
      </c>
      <c r="M27" s="67" t="s">
        <v>689</v>
      </c>
      <c r="N27" s="62">
        <v>41.38</v>
      </c>
      <c r="O27" s="94">
        <v>10</v>
      </c>
      <c r="P27" s="17" t="s">
        <v>193</v>
      </c>
      <c r="Q27" s="21">
        <v>44</v>
      </c>
      <c r="R27" s="48">
        <v>4</v>
      </c>
      <c r="S27" s="17" t="s">
        <v>249</v>
      </c>
      <c r="T27" s="21">
        <v>60</v>
      </c>
      <c r="U27" s="48">
        <v>4</v>
      </c>
      <c r="V27" s="67" t="s">
        <v>509</v>
      </c>
      <c r="W27" s="62" t="s">
        <v>509</v>
      </c>
      <c r="X27" s="94" t="s">
        <v>509</v>
      </c>
      <c r="Y27" s="67" t="s">
        <v>509</v>
      </c>
      <c r="Z27" s="20" t="s">
        <v>509</v>
      </c>
      <c r="AA27" s="94" t="s">
        <v>509</v>
      </c>
    </row>
    <row r="28" spans="1:27" x14ac:dyDescent="0.25">
      <c r="A28" s="67" t="s">
        <v>195</v>
      </c>
      <c r="B28" s="62">
        <v>0.94</v>
      </c>
      <c r="C28" s="94">
        <v>19</v>
      </c>
      <c r="D28" s="194" t="s">
        <v>201</v>
      </c>
      <c r="E28" s="139">
        <v>0.11016202836284146</v>
      </c>
      <c r="F28" s="52">
        <v>5</v>
      </c>
      <c r="G28" s="193" t="s">
        <v>226</v>
      </c>
      <c r="H28" s="165">
        <v>0.10275708067980441</v>
      </c>
      <c r="I28" s="94">
        <v>7</v>
      </c>
      <c r="J28" s="193" t="s">
        <v>199</v>
      </c>
      <c r="K28" s="165">
        <v>0.24763256453260099</v>
      </c>
      <c r="L28" s="94">
        <v>11</v>
      </c>
      <c r="M28" s="67" t="s">
        <v>680</v>
      </c>
      <c r="N28" s="62">
        <v>41.38</v>
      </c>
      <c r="O28" s="94">
        <v>10</v>
      </c>
      <c r="P28" s="17" t="s">
        <v>201</v>
      </c>
      <c r="Q28" s="21">
        <v>44</v>
      </c>
      <c r="R28" s="48">
        <v>4</v>
      </c>
      <c r="S28" s="17" t="s">
        <v>705</v>
      </c>
      <c r="T28" s="21">
        <v>60</v>
      </c>
      <c r="U28" s="48">
        <v>4</v>
      </c>
      <c r="V28" s="67" t="s">
        <v>509</v>
      </c>
      <c r="W28" s="62" t="s">
        <v>509</v>
      </c>
      <c r="X28" s="94" t="s">
        <v>509</v>
      </c>
      <c r="Y28" s="67" t="s">
        <v>509</v>
      </c>
      <c r="Z28" s="20" t="s">
        <v>509</v>
      </c>
      <c r="AA28" s="94" t="s">
        <v>509</v>
      </c>
    </row>
    <row r="29" spans="1:27" x14ac:dyDescent="0.25">
      <c r="A29" s="67" t="s">
        <v>204</v>
      </c>
      <c r="B29" s="62">
        <v>0.92</v>
      </c>
      <c r="C29" s="94">
        <v>20</v>
      </c>
      <c r="D29" s="194" t="s">
        <v>187</v>
      </c>
      <c r="E29" s="139">
        <v>0.10951989437665084</v>
      </c>
      <c r="F29" s="52">
        <v>5</v>
      </c>
      <c r="G29" s="193" t="s">
        <v>201</v>
      </c>
      <c r="H29" s="165">
        <v>0.10045488672886965</v>
      </c>
      <c r="I29" s="94">
        <v>7</v>
      </c>
      <c r="J29" s="167" t="s">
        <v>198</v>
      </c>
      <c r="K29" s="165">
        <v>0.24659749264424372</v>
      </c>
      <c r="L29" s="94">
        <v>11</v>
      </c>
      <c r="M29" s="67" t="s">
        <v>691</v>
      </c>
      <c r="N29" s="62">
        <v>41.38</v>
      </c>
      <c r="O29" s="94">
        <v>10</v>
      </c>
      <c r="P29" s="17" t="s">
        <v>226</v>
      </c>
      <c r="Q29" s="21">
        <v>44</v>
      </c>
      <c r="R29" s="48">
        <v>4</v>
      </c>
      <c r="S29" s="17" t="s">
        <v>219</v>
      </c>
      <c r="T29" s="21">
        <v>60</v>
      </c>
      <c r="U29" s="48">
        <v>4</v>
      </c>
      <c r="V29" s="67" t="s">
        <v>509</v>
      </c>
      <c r="W29" s="62" t="s">
        <v>509</v>
      </c>
      <c r="X29" s="94" t="s">
        <v>509</v>
      </c>
      <c r="Y29" s="67" t="s">
        <v>509</v>
      </c>
      <c r="Z29" s="20" t="s">
        <v>509</v>
      </c>
      <c r="AA29" s="94" t="s">
        <v>509</v>
      </c>
    </row>
    <row r="30" spans="1:27" x14ac:dyDescent="0.25">
      <c r="A30" s="67" t="s">
        <v>223</v>
      </c>
      <c r="B30" s="62">
        <v>0.92</v>
      </c>
      <c r="C30" s="94">
        <v>20</v>
      </c>
      <c r="D30" s="194" t="s">
        <v>228</v>
      </c>
      <c r="E30" s="139">
        <v>0.10888685607989912</v>
      </c>
      <c r="F30" s="52">
        <v>5</v>
      </c>
      <c r="G30" s="193" t="s">
        <v>218</v>
      </c>
      <c r="H30" s="165">
        <v>9.967027881543683E-2</v>
      </c>
      <c r="I30" s="94">
        <v>7</v>
      </c>
      <c r="J30" s="193" t="s">
        <v>201</v>
      </c>
      <c r="K30" s="165">
        <v>0.24249024610328837</v>
      </c>
      <c r="L30" s="94">
        <v>12</v>
      </c>
      <c r="M30" s="67" t="s">
        <v>704</v>
      </c>
      <c r="N30" s="62">
        <v>41.38</v>
      </c>
      <c r="O30" s="94">
        <v>10</v>
      </c>
      <c r="P30" s="17" t="s">
        <v>221</v>
      </c>
      <c r="Q30" s="21">
        <v>44</v>
      </c>
      <c r="R30" s="48">
        <v>4</v>
      </c>
      <c r="S30" s="17" t="s">
        <v>698</v>
      </c>
      <c r="T30" s="21">
        <v>60</v>
      </c>
      <c r="U30" s="48">
        <v>4</v>
      </c>
      <c r="V30" s="67" t="s">
        <v>509</v>
      </c>
      <c r="W30" s="62" t="s">
        <v>509</v>
      </c>
      <c r="X30" s="94" t="s">
        <v>509</v>
      </c>
      <c r="Y30" s="67" t="s">
        <v>509</v>
      </c>
      <c r="Z30" s="20" t="s">
        <v>509</v>
      </c>
      <c r="AA30" s="94" t="s">
        <v>509</v>
      </c>
    </row>
    <row r="31" spans="1:27" x14ac:dyDescent="0.25">
      <c r="A31" s="67" t="s">
        <v>5</v>
      </c>
      <c r="B31" s="62">
        <v>0.91</v>
      </c>
      <c r="C31" s="94">
        <v>21</v>
      </c>
      <c r="D31" s="194" t="s">
        <v>224</v>
      </c>
      <c r="E31" s="139">
        <v>0.10753163499359536</v>
      </c>
      <c r="F31" s="52">
        <v>5</v>
      </c>
      <c r="G31" s="193" t="s">
        <v>178</v>
      </c>
      <c r="H31" s="165">
        <v>9.9659436913799734E-2</v>
      </c>
      <c r="I31" s="94">
        <v>7</v>
      </c>
      <c r="J31" s="193" t="s">
        <v>678</v>
      </c>
      <c r="K31" s="165">
        <v>0.23916818427980949</v>
      </c>
      <c r="L31" s="94">
        <v>12</v>
      </c>
      <c r="M31" s="67" t="s">
        <v>658</v>
      </c>
      <c r="N31" s="62">
        <v>41.38</v>
      </c>
      <c r="O31" s="94">
        <v>10</v>
      </c>
      <c r="P31" s="17" t="s">
        <v>185</v>
      </c>
      <c r="Q31" s="21">
        <v>44</v>
      </c>
      <c r="R31" s="48">
        <v>4</v>
      </c>
      <c r="S31" s="17" t="s">
        <v>701</v>
      </c>
      <c r="T31" s="21">
        <v>60</v>
      </c>
      <c r="U31" s="48">
        <v>4</v>
      </c>
      <c r="V31" s="67" t="s">
        <v>509</v>
      </c>
      <c r="W31" s="62" t="s">
        <v>509</v>
      </c>
      <c r="X31" s="94" t="s">
        <v>509</v>
      </c>
      <c r="Y31" s="67" t="s">
        <v>509</v>
      </c>
      <c r="Z31" s="20" t="s">
        <v>509</v>
      </c>
      <c r="AA31" s="94" t="s">
        <v>509</v>
      </c>
    </row>
    <row r="32" spans="1:27" x14ac:dyDescent="0.25">
      <c r="A32" s="67" t="s">
        <v>231</v>
      </c>
      <c r="B32" s="62">
        <v>0.89</v>
      </c>
      <c r="C32" s="94">
        <v>22</v>
      </c>
      <c r="D32" s="194" t="s">
        <v>5</v>
      </c>
      <c r="E32" s="139">
        <v>0.10661254013344833</v>
      </c>
      <c r="F32" s="52">
        <v>5</v>
      </c>
      <c r="G32" s="193" t="s">
        <v>200</v>
      </c>
      <c r="H32" s="165">
        <v>9.8687618465215815E-2</v>
      </c>
      <c r="I32" s="94">
        <v>7</v>
      </c>
      <c r="J32" s="193" t="s">
        <v>217</v>
      </c>
      <c r="K32" s="165">
        <v>0.23912775808134465</v>
      </c>
      <c r="L32" s="94">
        <v>12</v>
      </c>
      <c r="M32" s="67" t="s">
        <v>190</v>
      </c>
      <c r="N32" s="62">
        <v>40.229999999999997</v>
      </c>
      <c r="O32" s="94">
        <v>11</v>
      </c>
      <c r="P32" s="17" t="s">
        <v>218</v>
      </c>
      <c r="Q32" s="21">
        <v>44</v>
      </c>
      <c r="R32" s="48">
        <v>4</v>
      </c>
      <c r="S32" s="17" t="s">
        <v>198</v>
      </c>
      <c r="T32" s="21">
        <v>56.67</v>
      </c>
      <c r="U32" s="48">
        <v>5</v>
      </c>
      <c r="V32" s="67" t="s">
        <v>509</v>
      </c>
      <c r="W32" s="62" t="s">
        <v>509</v>
      </c>
      <c r="X32" s="94" t="s">
        <v>509</v>
      </c>
      <c r="Y32" s="67" t="s">
        <v>509</v>
      </c>
      <c r="Z32" s="20" t="s">
        <v>509</v>
      </c>
      <c r="AA32" s="94" t="s">
        <v>509</v>
      </c>
    </row>
    <row r="33" spans="1:27" x14ac:dyDescent="0.25">
      <c r="A33" s="67" t="s">
        <v>196</v>
      </c>
      <c r="B33" s="62">
        <v>0.89</v>
      </c>
      <c r="C33" s="94">
        <v>22</v>
      </c>
      <c r="D33" s="194" t="s">
        <v>248</v>
      </c>
      <c r="E33" s="139">
        <v>0.10610935580770765</v>
      </c>
      <c r="F33" s="52">
        <v>5</v>
      </c>
      <c r="G33" s="193" t="s">
        <v>199</v>
      </c>
      <c r="H33" s="165">
        <v>9.7991854518094806E-2</v>
      </c>
      <c r="I33" s="94">
        <v>7</v>
      </c>
      <c r="J33" s="193" t="s">
        <v>220</v>
      </c>
      <c r="K33" s="165">
        <v>0.23570140186910801</v>
      </c>
      <c r="L33" s="94">
        <v>12</v>
      </c>
      <c r="M33" s="67" t="s">
        <v>198</v>
      </c>
      <c r="N33" s="62">
        <v>40.229999999999997</v>
      </c>
      <c r="O33" s="94">
        <v>11</v>
      </c>
      <c r="P33" s="17" t="s">
        <v>250</v>
      </c>
      <c r="Q33" s="21">
        <v>44</v>
      </c>
      <c r="R33" s="48">
        <v>4</v>
      </c>
      <c r="S33" s="17" t="s">
        <v>204</v>
      </c>
      <c r="T33" s="21">
        <v>56.67</v>
      </c>
      <c r="U33" s="48">
        <v>5</v>
      </c>
      <c r="V33" s="67" t="s">
        <v>509</v>
      </c>
      <c r="W33" s="62" t="s">
        <v>509</v>
      </c>
      <c r="X33" s="94" t="s">
        <v>509</v>
      </c>
      <c r="Y33" s="67" t="s">
        <v>509</v>
      </c>
      <c r="Z33" s="20" t="s">
        <v>509</v>
      </c>
      <c r="AA33" s="94" t="s">
        <v>509</v>
      </c>
    </row>
    <row r="34" spans="1:27" x14ac:dyDescent="0.25">
      <c r="A34" s="67" t="s">
        <v>208</v>
      </c>
      <c r="B34" s="62">
        <v>0.88</v>
      </c>
      <c r="C34" s="94">
        <v>23</v>
      </c>
      <c r="D34" s="194" t="s">
        <v>181</v>
      </c>
      <c r="E34" s="139">
        <v>0.10528670382784511</v>
      </c>
      <c r="F34" s="52">
        <v>5</v>
      </c>
      <c r="G34" s="193" t="s">
        <v>225</v>
      </c>
      <c r="H34" s="165">
        <v>9.7748136270943545E-2</v>
      </c>
      <c r="I34" s="94">
        <v>7</v>
      </c>
      <c r="J34" s="193" t="s">
        <v>689</v>
      </c>
      <c r="K34" s="165">
        <v>0.2311805635550058</v>
      </c>
      <c r="L34" s="94">
        <v>13</v>
      </c>
      <c r="M34" s="67" t="s">
        <v>201</v>
      </c>
      <c r="N34" s="62">
        <v>40.229999999999997</v>
      </c>
      <c r="O34" s="94">
        <v>11</v>
      </c>
      <c r="P34" s="17" t="s">
        <v>184</v>
      </c>
      <c r="Q34" s="21">
        <v>44</v>
      </c>
      <c r="R34" s="48">
        <v>4</v>
      </c>
      <c r="S34" s="17" t="s">
        <v>0</v>
      </c>
      <c r="T34" s="21">
        <v>56.67</v>
      </c>
      <c r="U34" s="48">
        <v>5</v>
      </c>
      <c r="V34" s="67" t="s">
        <v>509</v>
      </c>
      <c r="W34" s="62" t="s">
        <v>509</v>
      </c>
      <c r="X34" s="94" t="s">
        <v>509</v>
      </c>
      <c r="Y34" s="67" t="s">
        <v>509</v>
      </c>
      <c r="Z34" s="20" t="s">
        <v>509</v>
      </c>
      <c r="AA34" s="94" t="s">
        <v>509</v>
      </c>
    </row>
    <row r="35" spans="1:27" x14ac:dyDescent="0.25">
      <c r="A35" s="67" t="s">
        <v>214</v>
      </c>
      <c r="B35" s="62">
        <v>0.87</v>
      </c>
      <c r="C35" s="94">
        <v>24</v>
      </c>
      <c r="D35" s="193" t="s">
        <v>222</v>
      </c>
      <c r="E35" s="165">
        <v>0.10363192463798052</v>
      </c>
      <c r="F35" s="55">
        <v>6</v>
      </c>
      <c r="G35" s="193" t="s">
        <v>197</v>
      </c>
      <c r="H35" s="165">
        <v>9.6958741406942051E-2</v>
      </c>
      <c r="I35" s="94">
        <v>7</v>
      </c>
      <c r="J35" s="193" t="s">
        <v>197</v>
      </c>
      <c r="K35" s="165">
        <v>0.23026132888879405</v>
      </c>
      <c r="L35" s="94">
        <v>13</v>
      </c>
      <c r="M35" s="67" t="s">
        <v>228</v>
      </c>
      <c r="N35" s="62">
        <v>40.229999999999997</v>
      </c>
      <c r="O35" s="94">
        <v>11</v>
      </c>
      <c r="P35" s="17" t="s">
        <v>691</v>
      </c>
      <c r="Q35" s="21">
        <v>44</v>
      </c>
      <c r="R35" s="48">
        <v>4</v>
      </c>
      <c r="S35" s="17" t="s">
        <v>239</v>
      </c>
      <c r="T35" s="21">
        <v>56.67</v>
      </c>
      <c r="U35" s="48">
        <v>5</v>
      </c>
      <c r="V35" s="67" t="s">
        <v>509</v>
      </c>
      <c r="W35" s="62" t="s">
        <v>509</v>
      </c>
      <c r="X35" s="94" t="s">
        <v>509</v>
      </c>
      <c r="Y35" s="67" t="s">
        <v>509</v>
      </c>
      <c r="Z35" s="20" t="s">
        <v>509</v>
      </c>
      <c r="AA35" s="94" t="s">
        <v>509</v>
      </c>
    </row>
    <row r="36" spans="1:27" x14ac:dyDescent="0.25">
      <c r="A36" s="67" t="s">
        <v>183</v>
      </c>
      <c r="B36" s="62">
        <v>0.87</v>
      </c>
      <c r="C36" s="94">
        <v>24</v>
      </c>
      <c r="D36" s="167" t="s">
        <v>193</v>
      </c>
      <c r="E36" s="165">
        <v>0.10319247219910123</v>
      </c>
      <c r="F36" s="55">
        <v>6</v>
      </c>
      <c r="G36" s="193" t="s">
        <v>212</v>
      </c>
      <c r="H36" s="165">
        <v>9.5670023990157865E-2</v>
      </c>
      <c r="I36" s="94">
        <v>7</v>
      </c>
      <c r="J36" s="193" t="s">
        <v>701</v>
      </c>
      <c r="K36" s="165">
        <v>0.22948151866430438</v>
      </c>
      <c r="L36" s="94">
        <v>13</v>
      </c>
      <c r="M36" s="67" t="s">
        <v>229</v>
      </c>
      <c r="N36" s="62">
        <v>40.229999999999997</v>
      </c>
      <c r="O36" s="94">
        <v>11</v>
      </c>
      <c r="P36" s="17" t="s">
        <v>705</v>
      </c>
      <c r="Q36" s="21">
        <v>44</v>
      </c>
      <c r="R36" s="48">
        <v>4</v>
      </c>
      <c r="S36" s="17" t="s">
        <v>690</v>
      </c>
      <c r="T36" s="21">
        <v>56.67</v>
      </c>
      <c r="U36" s="48">
        <v>5</v>
      </c>
      <c r="V36" s="67" t="s">
        <v>509</v>
      </c>
      <c r="W36" s="62" t="s">
        <v>509</v>
      </c>
      <c r="X36" s="94" t="s">
        <v>509</v>
      </c>
      <c r="Y36" s="67" t="s">
        <v>509</v>
      </c>
      <c r="Z36" s="20" t="s">
        <v>509</v>
      </c>
      <c r="AA36" s="94" t="s">
        <v>509</v>
      </c>
    </row>
    <row r="37" spans="1:27" x14ac:dyDescent="0.25">
      <c r="A37" s="67" t="s">
        <v>220</v>
      </c>
      <c r="B37" s="62">
        <v>0.87</v>
      </c>
      <c r="C37" s="94">
        <v>24</v>
      </c>
      <c r="D37" s="193" t="s">
        <v>197</v>
      </c>
      <c r="E37" s="165">
        <v>0.10221821034928018</v>
      </c>
      <c r="F37" s="55">
        <v>6</v>
      </c>
      <c r="G37" s="193" t="s">
        <v>667</v>
      </c>
      <c r="H37" s="165">
        <v>9.5668786797320687E-2</v>
      </c>
      <c r="I37" s="94">
        <v>7</v>
      </c>
      <c r="J37" s="193" t="s">
        <v>185</v>
      </c>
      <c r="K37" s="165">
        <v>0.22856696640159943</v>
      </c>
      <c r="L37" s="94">
        <v>13</v>
      </c>
      <c r="M37" s="67" t="s">
        <v>220</v>
      </c>
      <c r="N37" s="62">
        <v>40.229999999999997</v>
      </c>
      <c r="O37" s="94">
        <v>11</v>
      </c>
      <c r="P37" s="17" t="s">
        <v>704</v>
      </c>
      <c r="Q37" s="21">
        <v>44</v>
      </c>
      <c r="R37" s="48">
        <v>4</v>
      </c>
      <c r="S37" s="17" t="s">
        <v>250</v>
      </c>
      <c r="T37" s="21">
        <v>56.67</v>
      </c>
      <c r="U37" s="48">
        <v>5</v>
      </c>
      <c r="V37" s="67" t="s">
        <v>509</v>
      </c>
      <c r="W37" s="62" t="s">
        <v>509</v>
      </c>
      <c r="X37" s="94" t="s">
        <v>509</v>
      </c>
      <c r="Y37" s="67" t="s">
        <v>509</v>
      </c>
      <c r="Z37" s="20" t="s">
        <v>509</v>
      </c>
      <c r="AA37" s="94" t="s">
        <v>509</v>
      </c>
    </row>
    <row r="38" spans="1:27" x14ac:dyDescent="0.25">
      <c r="A38" s="67" t="s">
        <v>203</v>
      </c>
      <c r="B38" s="62">
        <v>0.84</v>
      </c>
      <c r="C38" s="94">
        <v>25</v>
      </c>
      <c r="D38" s="193" t="s">
        <v>688</v>
      </c>
      <c r="E38" s="165">
        <v>0.1021246342442768</v>
      </c>
      <c r="F38" s="55">
        <v>6</v>
      </c>
      <c r="G38" s="193" t="s">
        <v>676</v>
      </c>
      <c r="H38" s="165">
        <v>9.4262081948802215E-2</v>
      </c>
      <c r="I38" s="94">
        <v>8</v>
      </c>
      <c r="J38" s="193" t="s">
        <v>228</v>
      </c>
      <c r="K38" s="165">
        <v>0.2283776899621261</v>
      </c>
      <c r="L38" s="94">
        <v>13</v>
      </c>
      <c r="M38" s="67" t="s">
        <v>218</v>
      </c>
      <c r="N38" s="62">
        <v>40.229999999999997</v>
      </c>
      <c r="O38" s="94">
        <v>11</v>
      </c>
      <c r="P38" s="17" t="s">
        <v>219</v>
      </c>
      <c r="Q38" s="21">
        <v>44</v>
      </c>
      <c r="R38" s="48">
        <v>4</v>
      </c>
      <c r="S38" s="17" t="s">
        <v>678</v>
      </c>
      <c r="T38" s="21">
        <v>56.67</v>
      </c>
      <c r="U38" s="48">
        <v>5</v>
      </c>
      <c r="V38" s="67" t="s">
        <v>509</v>
      </c>
      <c r="W38" s="62" t="s">
        <v>509</v>
      </c>
      <c r="X38" s="94" t="s">
        <v>509</v>
      </c>
      <c r="Y38" s="67" t="s">
        <v>509</v>
      </c>
      <c r="Z38" s="20" t="s">
        <v>509</v>
      </c>
      <c r="AA38" s="94" t="s">
        <v>509</v>
      </c>
    </row>
    <row r="39" spans="1:27" x14ac:dyDescent="0.25">
      <c r="A39" s="67" t="s">
        <v>212</v>
      </c>
      <c r="B39" s="62">
        <v>0.8</v>
      </c>
      <c r="C39" s="94">
        <v>26</v>
      </c>
      <c r="D39" s="193" t="s">
        <v>208</v>
      </c>
      <c r="E39" s="165">
        <v>0.10162935158175403</v>
      </c>
      <c r="F39" s="55">
        <v>6</v>
      </c>
      <c r="G39" s="193" t="s">
        <v>195</v>
      </c>
      <c r="H39" s="165">
        <v>9.3726681095055095E-2</v>
      </c>
      <c r="I39" s="94">
        <v>8</v>
      </c>
      <c r="J39" s="193" t="s">
        <v>5</v>
      </c>
      <c r="K39" s="165">
        <v>0.22624237214532431</v>
      </c>
      <c r="L39" s="94">
        <v>13</v>
      </c>
      <c r="M39" s="67" t="s">
        <v>676</v>
      </c>
      <c r="N39" s="62">
        <v>40.229999999999997</v>
      </c>
      <c r="O39" s="94">
        <v>11</v>
      </c>
      <c r="P39" s="17" t="s">
        <v>178</v>
      </c>
      <c r="Q39" s="21">
        <v>44</v>
      </c>
      <c r="R39" s="48">
        <v>4</v>
      </c>
      <c r="S39" s="17" t="s">
        <v>676</v>
      </c>
      <c r="T39" s="21">
        <v>56.67</v>
      </c>
      <c r="U39" s="48">
        <v>5</v>
      </c>
      <c r="V39" s="67" t="s">
        <v>509</v>
      </c>
      <c r="W39" s="62" t="s">
        <v>509</v>
      </c>
      <c r="X39" s="94" t="s">
        <v>509</v>
      </c>
      <c r="Y39" s="67" t="s">
        <v>509</v>
      </c>
      <c r="Z39" s="20" t="s">
        <v>509</v>
      </c>
      <c r="AA39" s="94" t="s">
        <v>509</v>
      </c>
    </row>
    <row r="40" spans="1:27" x14ac:dyDescent="0.25">
      <c r="A40" s="67" t="s">
        <v>179</v>
      </c>
      <c r="B40" s="62">
        <v>0.77</v>
      </c>
      <c r="C40" s="94">
        <v>27</v>
      </c>
      <c r="D40" s="193" t="s">
        <v>687</v>
      </c>
      <c r="E40" s="165">
        <v>9.9743426104382152E-2</v>
      </c>
      <c r="F40" s="55">
        <v>6</v>
      </c>
      <c r="G40" s="193" t="s">
        <v>248</v>
      </c>
      <c r="H40" s="165">
        <v>9.2119557473739913E-2</v>
      </c>
      <c r="I40" s="94">
        <v>8</v>
      </c>
      <c r="J40" s="193" t="s">
        <v>195</v>
      </c>
      <c r="K40" s="165">
        <v>0.22534483900270394</v>
      </c>
      <c r="L40" s="94">
        <v>13</v>
      </c>
      <c r="M40" s="67" t="s">
        <v>665</v>
      </c>
      <c r="N40" s="62">
        <v>40.229999999999997</v>
      </c>
      <c r="O40" s="94">
        <v>11</v>
      </c>
      <c r="P40" s="17" t="s">
        <v>177</v>
      </c>
      <c r="Q40" s="21">
        <v>44</v>
      </c>
      <c r="R40" s="48">
        <v>4</v>
      </c>
      <c r="S40" s="17" t="s">
        <v>679</v>
      </c>
      <c r="T40" s="21">
        <v>56.67</v>
      </c>
      <c r="U40" s="48">
        <v>5</v>
      </c>
      <c r="V40" s="67" t="s">
        <v>509</v>
      </c>
      <c r="W40" s="62" t="s">
        <v>509</v>
      </c>
      <c r="X40" s="94" t="s">
        <v>509</v>
      </c>
      <c r="Y40" s="67" t="s">
        <v>509</v>
      </c>
      <c r="Z40" s="20" t="s">
        <v>509</v>
      </c>
      <c r="AA40" s="94" t="s">
        <v>509</v>
      </c>
    </row>
    <row r="41" spans="1:27" x14ac:dyDescent="0.25">
      <c r="A41" s="67" t="s">
        <v>213</v>
      </c>
      <c r="B41" s="62">
        <v>0.75</v>
      </c>
      <c r="C41" s="94">
        <v>28</v>
      </c>
      <c r="D41" s="193" t="s">
        <v>701</v>
      </c>
      <c r="E41" s="165">
        <v>9.6796764554150427E-2</v>
      </c>
      <c r="F41" s="55">
        <v>6</v>
      </c>
      <c r="G41" s="193" t="s">
        <v>189</v>
      </c>
      <c r="H41" s="165">
        <v>9.156165363263423E-2</v>
      </c>
      <c r="I41" s="94">
        <v>8</v>
      </c>
      <c r="J41" s="193" t="s">
        <v>688</v>
      </c>
      <c r="K41" s="165">
        <v>0.22476060228249378</v>
      </c>
      <c r="L41" s="94">
        <v>14</v>
      </c>
      <c r="M41" s="67" t="s">
        <v>193</v>
      </c>
      <c r="N41" s="62">
        <v>39.08</v>
      </c>
      <c r="O41" s="94">
        <v>12</v>
      </c>
      <c r="P41" s="17" t="s">
        <v>701</v>
      </c>
      <c r="Q41" s="21">
        <v>44</v>
      </c>
      <c r="R41" s="48">
        <v>4</v>
      </c>
      <c r="S41" s="17" t="s">
        <v>4</v>
      </c>
      <c r="T41" s="21">
        <v>56.67</v>
      </c>
      <c r="U41" s="48">
        <v>5</v>
      </c>
      <c r="V41" s="67" t="s">
        <v>509</v>
      </c>
      <c r="W41" s="62" t="s">
        <v>509</v>
      </c>
      <c r="X41" s="94" t="s">
        <v>509</v>
      </c>
      <c r="Y41" s="67" t="s">
        <v>509</v>
      </c>
      <c r="Z41" s="20" t="s">
        <v>509</v>
      </c>
      <c r="AA41" s="94" t="s">
        <v>509</v>
      </c>
    </row>
    <row r="42" spans="1:27" x14ac:dyDescent="0.25">
      <c r="A42" s="67" t="s">
        <v>217</v>
      </c>
      <c r="B42" s="62">
        <v>0.74</v>
      </c>
      <c r="C42" s="94">
        <v>29</v>
      </c>
      <c r="D42" s="193" t="s">
        <v>216</v>
      </c>
      <c r="E42" s="165">
        <v>9.6717849871336886E-2</v>
      </c>
      <c r="F42" s="55">
        <v>6</v>
      </c>
      <c r="G42" s="193" t="s">
        <v>690</v>
      </c>
      <c r="H42" s="165">
        <v>9.1257554994695983E-2</v>
      </c>
      <c r="I42" s="94">
        <v>8</v>
      </c>
      <c r="J42" s="193" t="s">
        <v>705</v>
      </c>
      <c r="K42" s="165">
        <v>0.2241612528005478</v>
      </c>
      <c r="L42" s="94">
        <v>14</v>
      </c>
      <c r="M42" s="67" t="s">
        <v>206</v>
      </c>
      <c r="N42" s="62">
        <v>39.08</v>
      </c>
      <c r="O42" s="94">
        <v>12</v>
      </c>
      <c r="P42" s="17" t="s">
        <v>700</v>
      </c>
      <c r="Q42" s="21">
        <v>44</v>
      </c>
      <c r="R42" s="48">
        <v>4</v>
      </c>
      <c r="S42" s="17" t="s">
        <v>684</v>
      </c>
      <c r="T42" s="21">
        <v>56.67</v>
      </c>
      <c r="U42" s="48">
        <v>5</v>
      </c>
      <c r="V42" s="67" t="s">
        <v>509</v>
      </c>
      <c r="W42" s="62" t="s">
        <v>509</v>
      </c>
      <c r="X42" s="94" t="s">
        <v>509</v>
      </c>
      <c r="Y42" s="67" t="s">
        <v>509</v>
      </c>
      <c r="Z42" s="20" t="s">
        <v>509</v>
      </c>
      <c r="AA42" s="94" t="s">
        <v>509</v>
      </c>
    </row>
    <row r="43" spans="1:27" x14ac:dyDescent="0.25">
      <c r="A43" s="67" t="s">
        <v>211</v>
      </c>
      <c r="B43" s="62">
        <v>0.73</v>
      </c>
      <c r="C43" s="94">
        <v>30</v>
      </c>
      <c r="D43" s="193" t="s">
        <v>226</v>
      </c>
      <c r="E43" s="165">
        <v>9.650883562891531E-2</v>
      </c>
      <c r="F43" s="55">
        <v>6</v>
      </c>
      <c r="G43" s="193" t="s">
        <v>661</v>
      </c>
      <c r="H43" s="165">
        <v>9.067526841266485E-2</v>
      </c>
      <c r="I43" s="94">
        <v>8</v>
      </c>
      <c r="J43" s="193" t="s">
        <v>208</v>
      </c>
      <c r="K43" s="165">
        <v>0.22229849605432445</v>
      </c>
      <c r="L43" s="94">
        <v>14</v>
      </c>
      <c r="M43" s="67" t="s">
        <v>200</v>
      </c>
      <c r="N43" s="62">
        <v>39.08</v>
      </c>
      <c r="O43" s="94">
        <v>12</v>
      </c>
      <c r="P43" s="17" t="s">
        <v>699</v>
      </c>
      <c r="Q43" s="21">
        <v>44</v>
      </c>
      <c r="R43" s="48">
        <v>4</v>
      </c>
      <c r="S43" s="17" t="s">
        <v>686</v>
      </c>
      <c r="T43" s="21">
        <v>56.67</v>
      </c>
      <c r="U43" s="48">
        <v>5</v>
      </c>
      <c r="V43" s="67" t="s">
        <v>509</v>
      </c>
      <c r="W43" s="62" t="s">
        <v>509</v>
      </c>
      <c r="X43" s="94" t="s">
        <v>509</v>
      </c>
      <c r="Y43" s="67" t="s">
        <v>509</v>
      </c>
      <c r="Z43" s="20" t="s">
        <v>509</v>
      </c>
      <c r="AA43" s="94" t="s">
        <v>509</v>
      </c>
    </row>
    <row r="44" spans="1:27" x14ac:dyDescent="0.25">
      <c r="A44" s="67" t="s">
        <v>0</v>
      </c>
      <c r="B44" s="62">
        <v>0.73</v>
      </c>
      <c r="C44" s="94">
        <v>30</v>
      </c>
      <c r="D44" s="193" t="s">
        <v>660</v>
      </c>
      <c r="E44" s="165">
        <v>9.648564283111799E-2</v>
      </c>
      <c r="F44" s="55">
        <v>6</v>
      </c>
      <c r="G44" s="193" t="s">
        <v>222</v>
      </c>
      <c r="H44" s="165">
        <v>9.0507238076224378E-2</v>
      </c>
      <c r="I44" s="94">
        <v>8</v>
      </c>
      <c r="J44" s="193" t="s">
        <v>0</v>
      </c>
      <c r="K44" s="165">
        <v>0.21933856434759502</v>
      </c>
      <c r="L44" s="94">
        <v>14</v>
      </c>
      <c r="M44" s="67" t="s">
        <v>196</v>
      </c>
      <c r="N44" s="62">
        <v>39.08</v>
      </c>
      <c r="O44" s="94">
        <v>12</v>
      </c>
      <c r="P44" s="17" t="s">
        <v>661</v>
      </c>
      <c r="Q44" s="21">
        <v>44</v>
      </c>
      <c r="R44" s="48">
        <v>4</v>
      </c>
      <c r="S44" s="17" t="s">
        <v>682</v>
      </c>
      <c r="T44" s="21">
        <v>56.67</v>
      </c>
      <c r="U44" s="48">
        <v>5</v>
      </c>
      <c r="V44" s="67" t="s">
        <v>509</v>
      </c>
      <c r="W44" s="62" t="s">
        <v>509</v>
      </c>
      <c r="X44" s="94" t="s">
        <v>509</v>
      </c>
      <c r="Y44" s="67" t="s">
        <v>509</v>
      </c>
      <c r="Z44" s="20" t="s">
        <v>509</v>
      </c>
      <c r="AA44" s="94" t="s">
        <v>509</v>
      </c>
    </row>
    <row r="45" spans="1:27" x14ac:dyDescent="0.25">
      <c r="A45" s="67" t="s">
        <v>221</v>
      </c>
      <c r="B45" s="62">
        <v>0.71</v>
      </c>
      <c r="C45" s="94">
        <v>31</v>
      </c>
      <c r="D45" s="193" t="s">
        <v>677</v>
      </c>
      <c r="E45" s="165">
        <v>9.3987740125597685E-2</v>
      </c>
      <c r="F45" s="55">
        <v>7</v>
      </c>
      <c r="G45" s="193" t="s">
        <v>254</v>
      </c>
      <c r="H45" s="165">
        <v>8.939783746820236E-2</v>
      </c>
      <c r="I45" s="94">
        <v>8</v>
      </c>
      <c r="J45" s="193" t="s">
        <v>684</v>
      </c>
      <c r="K45" s="165">
        <v>0.21817880743519955</v>
      </c>
      <c r="L45" s="94">
        <v>14</v>
      </c>
      <c r="M45" s="67" t="s">
        <v>677</v>
      </c>
      <c r="N45" s="62">
        <v>39.08</v>
      </c>
      <c r="O45" s="94">
        <v>12</v>
      </c>
      <c r="P45" s="17" t="s">
        <v>665</v>
      </c>
      <c r="Q45" s="21">
        <v>44</v>
      </c>
      <c r="R45" s="48">
        <v>4</v>
      </c>
      <c r="S45" s="17" t="s">
        <v>659</v>
      </c>
      <c r="T45" s="21">
        <v>56.67</v>
      </c>
      <c r="U45" s="48">
        <v>5</v>
      </c>
      <c r="V45" s="67" t="s">
        <v>509</v>
      </c>
      <c r="W45" s="62" t="s">
        <v>509</v>
      </c>
      <c r="X45" s="94" t="s">
        <v>509</v>
      </c>
      <c r="Y45" s="67" t="s">
        <v>509</v>
      </c>
      <c r="Z45" s="20" t="s">
        <v>509</v>
      </c>
      <c r="AA45" s="94" t="s">
        <v>509</v>
      </c>
    </row>
    <row r="46" spans="1:27" x14ac:dyDescent="0.25">
      <c r="A46" s="67" t="s">
        <v>216</v>
      </c>
      <c r="B46" s="62">
        <v>0.69</v>
      </c>
      <c r="C46" s="94">
        <v>32</v>
      </c>
      <c r="D46" s="193" t="s">
        <v>199</v>
      </c>
      <c r="E46" s="165">
        <v>9.3865538991283512E-2</v>
      </c>
      <c r="F46" s="55">
        <v>7</v>
      </c>
      <c r="G46" s="193" t="s">
        <v>216</v>
      </c>
      <c r="H46" s="165">
        <v>8.6019815208133746E-2</v>
      </c>
      <c r="I46" s="94">
        <v>8</v>
      </c>
      <c r="J46" s="193" t="s">
        <v>687</v>
      </c>
      <c r="K46" s="165">
        <v>0.21774183240589834</v>
      </c>
      <c r="L46" s="94">
        <v>14</v>
      </c>
      <c r="M46" s="67" t="s">
        <v>705</v>
      </c>
      <c r="N46" s="62">
        <v>39.08</v>
      </c>
      <c r="O46" s="94">
        <v>12</v>
      </c>
      <c r="P46" s="17" t="s">
        <v>188</v>
      </c>
      <c r="Q46" s="21">
        <v>44</v>
      </c>
      <c r="R46" s="48">
        <v>4</v>
      </c>
      <c r="S46" s="17" t="s">
        <v>658</v>
      </c>
      <c r="T46" s="21">
        <v>56.67</v>
      </c>
      <c r="U46" s="48">
        <v>5</v>
      </c>
      <c r="V46" s="67" t="s">
        <v>509</v>
      </c>
      <c r="W46" s="62" t="s">
        <v>509</v>
      </c>
      <c r="X46" s="94" t="s">
        <v>509</v>
      </c>
      <c r="Y46" s="67" t="s">
        <v>509</v>
      </c>
      <c r="Z46" s="20" t="s">
        <v>509</v>
      </c>
      <c r="AA46" s="94" t="s">
        <v>509</v>
      </c>
    </row>
    <row r="47" spans="1:27" x14ac:dyDescent="0.25">
      <c r="A47" s="67" t="s">
        <v>239</v>
      </c>
      <c r="B47" s="62">
        <v>0.69</v>
      </c>
      <c r="C47" s="94">
        <v>32</v>
      </c>
      <c r="D47" s="193" t="s">
        <v>220</v>
      </c>
      <c r="E47" s="165">
        <v>9.3652744497496665E-2</v>
      </c>
      <c r="F47" s="55">
        <v>7</v>
      </c>
      <c r="G47" s="193" t="s">
        <v>682</v>
      </c>
      <c r="H47" s="165">
        <v>8.5888644906756739E-2</v>
      </c>
      <c r="I47" s="94">
        <v>8</v>
      </c>
      <c r="J47" s="193" t="s">
        <v>203</v>
      </c>
      <c r="K47" s="165">
        <v>0.21392671320196593</v>
      </c>
      <c r="L47" s="94">
        <v>15</v>
      </c>
      <c r="M47" s="67" t="s">
        <v>679</v>
      </c>
      <c r="N47" s="62">
        <v>39.08</v>
      </c>
      <c r="O47" s="94">
        <v>12</v>
      </c>
      <c r="P47" s="17" t="s">
        <v>198</v>
      </c>
      <c r="Q47" s="21">
        <v>40</v>
      </c>
      <c r="R47" s="48">
        <v>5</v>
      </c>
      <c r="S47" s="17" t="s">
        <v>665</v>
      </c>
      <c r="T47" s="21">
        <v>56.67</v>
      </c>
      <c r="U47" s="48">
        <v>5</v>
      </c>
      <c r="V47" s="67" t="s">
        <v>509</v>
      </c>
      <c r="W47" s="62" t="s">
        <v>509</v>
      </c>
      <c r="X47" s="94" t="s">
        <v>509</v>
      </c>
      <c r="Y47" s="67" t="s">
        <v>509</v>
      </c>
      <c r="Z47" s="20" t="s">
        <v>509</v>
      </c>
      <c r="AA47" s="94" t="s">
        <v>509</v>
      </c>
    </row>
    <row r="48" spans="1:27" x14ac:dyDescent="0.25">
      <c r="A48" s="67" t="s">
        <v>185</v>
      </c>
      <c r="B48" s="62">
        <v>0.67</v>
      </c>
      <c r="C48" s="94">
        <v>33</v>
      </c>
      <c r="D48" s="193" t="s">
        <v>221</v>
      </c>
      <c r="E48" s="165">
        <v>9.2326917292700067E-2</v>
      </c>
      <c r="F48" s="55">
        <v>7</v>
      </c>
      <c r="G48" s="193" t="s">
        <v>194</v>
      </c>
      <c r="H48" s="165">
        <v>8.5550222088837599E-2</v>
      </c>
      <c r="I48" s="94">
        <v>8</v>
      </c>
      <c r="J48" s="193" t="s">
        <v>216</v>
      </c>
      <c r="K48" s="165">
        <v>0.2128170368743911</v>
      </c>
      <c r="L48" s="94">
        <v>15</v>
      </c>
      <c r="M48" s="67" t="s">
        <v>701</v>
      </c>
      <c r="N48" s="62">
        <v>39.08</v>
      </c>
      <c r="O48" s="94">
        <v>12</v>
      </c>
      <c r="P48" s="17" t="s">
        <v>194</v>
      </c>
      <c r="Q48" s="21">
        <v>40</v>
      </c>
      <c r="R48" s="48">
        <v>5</v>
      </c>
      <c r="S48" s="67" t="s">
        <v>192</v>
      </c>
      <c r="T48" s="62">
        <v>53.33</v>
      </c>
      <c r="U48" s="94">
        <v>6</v>
      </c>
      <c r="V48" s="67" t="s">
        <v>509</v>
      </c>
      <c r="W48" s="62" t="s">
        <v>509</v>
      </c>
      <c r="X48" s="94" t="s">
        <v>509</v>
      </c>
      <c r="Y48" s="67" t="s">
        <v>509</v>
      </c>
      <c r="Z48" s="20" t="s">
        <v>509</v>
      </c>
      <c r="AA48" s="94" t="s">
        <v>509</v>
      </c>
    </row>
    <row r="49" spans="1:27" x14ac:dyDescent="0.25">
      <c r="A49" s="67" t="s">
        <v>182</v>
      </c>
      <c r="B49" s="62">
        <v>0.67</v>
      </c>
      <c r="C49" s="94">
        <v>33</v>
      </c>
      <c r="D49" s="193" t="s">
        <v>184</v>
      </c>
      <c r="E49" s="165">
        <v>9.0832609515668003E-2</v>
      </c>
      <c r="F49" s="55">
        <v>7</v>
      </c>
      <c r="G49" s="193" t="s">
        <v>230</v>
      </c>
      <c r="H49" s="165">
        <v>8.3050118731804901E-2</v>
      </c>
      <c r="I49" s="94">
        <v>9</v>
      </c>
      <c r="J49" s="193" t="s">
        <v>226</v>
      </c>
      <c r="K49" s="165">
        <v>0.2111025367129655</v>
      </c>
      <c r="L49" s="94">
        <v>15</v>
      </c>
      <c r="M49" s="67" t="s">
        <v>695</v>
      </c>
      <c r="N49" s="62">
        <v>39.08</v>
      </c>
      <c r="O49" s="94">
        <v>12</v>
      </c>
      <c r="P49" s="17" t="s">
        <v>189</v>
      </c>
      <c r="Q49" s="21">
        <v>40</v>
      </c>
      <c r="R49" s="48">
        <v>5</v>
      </c>
      <c r="S49" s="67" t="s">
        <v>193</v>
      </c>
      <c r="T49" s="62">
        <v>53.33</v>
      </c>
      <c r="U49" s="94">
        <v>6</v>
      </c>
      <c r="V49" s="67" t="s">
        <v>509</v>
      </c>
      <c r="W49" s="62" t="s">
        <v>509</v>
      </c>
      <c r="X49" s="94" t="s">
        <v>509</v>
      </c>
      <c r="Y49" s="67" t="s">
        <v>509</v>
      </c>
      <c r="Z49" s="20" t="s">
        <v>509</v>
      </c>
      <c r="AA49" s="94" t="s">
        <v>509</v>
      </c>
    </row>
    <row r="50" spans="1:27" x14ac:dyDescent="0.25">
      <c r="A50" s="67" t="s">
        <v>690</v>
      </c>
      <c r="B50" s="62">
        <v>0.66</v>
      </c>
      <c r="C50" s="94">
        <v>34</v>
      </c>
      <c r="D50" s="193" t="s">
        <v>691</v>
      </c>
      <c r="E50" s="165">
        <v>9.0286108741354551E-2</v>
      </c>
      <c r="F50" s="55">
        <v>7</v>
      </c>
      <c r="G50" s="193" t="s">
        <v>677</v>
      </c>
      <c r="H50" s="165">
        <v>8.2356048118092037E-2</v>
      </c>
      <c r="I50" s="94">
        <v>9</v>
      </c>
      <c r="J50" s="193" t="s">
        <v>686</v>
      </c>
      <c r="K50" s="165">
        <v>0.20851253146071141</v>
      </c>
      <c r="L50" s="94">
        <v>15</v>
      </c>
      <c r="M50" s="67" t="s">
        <v>686</v>
      </c>
      <c r="N50" s="62">
        <v>39.08</v>
      </c>
      <c r="O50" s="94">
        <v>12</v>
      </c>
      <c r="P50" s="17" t="s">
        <v>202</v>
      </c>
      <c r="Q50" s="21">
        <v>40</v>
      </c>
      <c r="R50" s="48">
        <v>5</v>
      </c>
      <c r="S50" s="67" t="s">
        <v>224</v>
      </c>
      <c r="T50" s="62">
        <v>53.33</v>
      </c>
      <c r="U50" s="94">
        <v>6</v>
      </c>
      <c r="V50" s="67" t="s">
        <v>509</v>
      </c>
      <c r="W50" s="62" t="s">
        <v>509</v>
      </c>
      <c r="X50" s="94" t="s">
        <v>509</v>
      </c>
      <c r="Y50" s="67" t="s">
        <v>509</v>
      </c>
      <c r="Z50" s="20" t="s">
        <v>509</v>
      </c>
      <c r="AA50" s="94" t="s">
        <v>509</v>
      </c>
    </row>
    <row r="51" spans="1:27" x14ac:dyDescent="0.25">
      <c r="A51" s="67" t="s">
        <v>688</v>
      </c>
      <c r="B51" s="62">
        <v>0.63</v>
      </c>
      <c r="C51" s="94">
        <v>35</v>
      </c>
      <c r="D51" s="193" t="s">
        <v>239</v>
      </c>
      <c r="E51" s="165">
        <v>9.0232352325365486E-2</v>
      </c>
      <c r="F51" s="55">
        <v>7</v>
      </c>
      <c r="G51" s="193" t="s">
        <v>207</v>
      </c>
      <c r="H51" s="165">
        <v>8.0921961640607928E-2</v>
      </c>
      <c r="I51" s="94">
        <v>9</v>
      </c>
      <c r="J51" s="193" t="s">
        <v>660</v>
      </c>
      <c r="K51" s="165">
        <v>0.20836087902416375</v>
      </c>
      <c r="L51" s="94">
        <v>15</v>
      </c>
      <c r="M51" s="67" t="s">
        <v>254</v>
      </c>
      <c r="N51" s="62">
        <v>39.08</v>
      </c>
      <c r="O51" s="94">
        <v>12</v>
      </c>
      <c r="P51" s="17" t="s">
        <v>225</v>
      </c>
      <c r="Q51" s="21">
        <v>40</v>
      </c>
      <c r="R51" s="48">
        <v>5</v>
      </c>
      <c r="S51" s="67" t="s">
        <v>197</v>
      </c>
      <c r="T51" s="62">
        <v>53.33</v>
      </c>
      <c r="U51" s="94">
        <v>6</v>
      </c>
      <c r="V51" s="67" t="s">
        <v>509</v>
      </c>
      <c r="W51" s="62" t="s">
        <v>509</v>
      </c>
      <c r="X51" s="94" t="s">
        <v>509</v>
      </c>
      <c r="Y51" s="67" t="s">
        <v>509</v>
      </c>
      <c r="Z51" s="20" t="s">
        <v>509</v>
      </c>
      <c r="AA51" s="94" t="s">
        <v>509</v>
      </c>
    </row>
    <row r="52" spans="1:27" x14ac:dyDescent="0.25">
      <c r="A52" s="67" t="s">
        <v>218</v>
      </c>
      <c r="B52" s="62">
        <v>0.63</v>
      </c>
      <c r="C52" s="94">
        <v>35</v>
      </c>
      <c r="D52" s="193" t="s">
        <v>678</v>
      </c>
      <c r="E52" s="165">
        <v>8.8493609619996888E-2</v>
      </c>
      <c r="F52" s="55">
        <v>7</v>
      </c>
      <c r="G52" s="193" t="s">
        <v>220</v>
      </c>
      <c r="H52" s="165">
        <v>8.0626676827842192E-2</v>
      </c>
      <c r="I52" s="94">
        <v>9</v>
      </c>
      <c r="J52" s="193" t="s">
        <v>677</v>
      </c>
      <c r="K52" s="165">
        <v>0.20747746085220534</v>
      </c>
      <c r="L52" s="94">
        <v>15</v>
      </c>
      <c r="M52" s="67" t="s">
        <v>669</v>
      </c>
      <c r="N52" s="62">
        <v>39.08</v>
      </c>
      <c r="O52" s="94">
        <v>12</v>
      </c>
      <c r="P52" s="17" t="s">
        <v>222</v>
      </c>
      <c r="Q52" s="21">
        <v>40</v>
      </c>
      <c r="R52" s="48">
        <v>5</v>
      </c>
      <c r="S52" s="67" t="s">
        <v>199</v>
      </c>
      <c r="T52" s="62">
        <v>53.33</v>
      </c>
      <c r="U52" s="94">
        <v>6</v>
      </c>
      <c r="V52" s="67" t="s">
        <v>509</v>
      </c>
      <c r="W52" s="62" t="s">
        <v>509</v>
      </c>
      <c r="X52" s="94" t="s">
        <v>509</v>
      </c>
      <c r="Y52" s="67" t="s">
        <v>509</v>
      </c>
      <c r="Z52" s="20" t="s">
        <v>509</v>
      </c>
      <c r="AA52" s="94" t="s">
        <v>509</v>
      </c>
    </row>
    <row r="53" spans="1:27" x14ac:dyDescent="0.25">
      <c r="A53" s="67" t="s">
        <v>689</v>
      </c>
      <c r="B53" s="62">
        <v>0.63</v>
      </c>
      <c r="C53" s="94">
        <v>35</v>
      </c>
      <c r="D53" s="193" t="s">
        <v>254</v>
      </c>
      <c r="E53" s="165">
        <v>8.8244168362486358E-2</v>
      </c>
      <c r="F53" s="55">
        <v>7</v>
      </c>
      <c r="G53" s="193" t="s">
        <v>209</v>
      </c>
      <c r="H53" s="165">
        <v>7.9548155365140455E-2</v>
      </c>
      <c r="I53" s="94">
        <v>9</v>
      </c>
      <c r="J53" s="193" t="s">
        <v>239</v>
      </c>
      <c r="K53" s="165">
        <v>0.20566192394478142</v>
      </c>
      <c r="L53" s="94">
        <v>15</v>
      </c>
      <c r="M53" s="67" t="s">
        <v>673</v>
      </c>
      <c r="N53" s="62">
        <v>39.08</v>
      </c>
      <c r="O53" s="94">
        <v>12</v>
      </c>
      <c r="P53" s="17" t="s">
        <v>200</v>
      </c>
      <c r="Q53" s="21">
        <v>40</v>
      </c>
      <c r="R53" s="48">
        <v>5</v>
      </c>
      <c r="S53" s="67" t="s">
        <v>209</v>
      </c>
      <c r="T53" s="62">
        <v>53.33</v>
      </c>
      <c r="U53" s="94">
        <v>6</v>
      </c>
      <c r="V53" s="67" t="s">
        <v>509</v>
      </c>
      <c r="W53" s="62" t="s">
        <v>509</v>
      </c>
      <c r="X53" s="94" t="s">
        <v>509</v>
      </c>
      <c r="Y53" s="67" t="s">
        <v>509</v>
      </c>
      <c r="Z53" s="20" t="s">
        <v>509</v>
      </c>
      <c r="AA53" s="94" t="s">
        <v>509</v>
      </c>
    </row>
    <row r="54" spans="1:27" x14ac:dyDescent="0.25">
      <c r="A54" s="67" t="s">
        <v>186</v>
      </c>
      <c r="B54" s="62">
        <v>0.62</v>
      </c>
      <c r="C54" s="94">
        <v>36</v>
      </c>
      <c r="D54" s="193" t="s">
        <v>249</v>
      </c>
      <c r="E54" s="165">
        <v>8.8101584851085546E-2</v>
      </c>
      <c r="F54" s="55">
        <v>7</v>
      </c>
      <c r="G54" s="193" t="s">
        <v>685</v>
      </c>
      <c r="H54" s="165">
        <v>7.8282754938466328E-2</v>
      </c>
      <c r="I54" s="94">
        <v>9</v>
      </c>
      <c r="J54" s="193" t="s">
        <v>249</v>
      </c>
      <c r="K54" s="165">
        <v>0.20475895547317277</v>
      </c>
      <c r="L54" s="94">
        <v>16</v>
      </c>
      <c r="M54" s="67" t="s">
        <v>195</v>
      </c>
      <c r="N54" s="62">
        <v>37.93</v>
      </c>
      <c r="O54" s="94">
        <v>13</v>
      </c>
      <c r="P54" s="17" t="s">
        <v>204</v>
      </c>
      <c r="Q54" s="21">
        <v>40</v>
      </c>
      <c r="R54" s="48">
        <v>5</v>
      </c>
      <c r="S54" s="67" t="s">
        <v>227</v>
      </c>
      <c r="T54" s="62">
        <v>53.33</v>
      </c>
      <c r="U54" s="94">
        <v>6</v>
      </c>
      <c r="V54" s="67" t="s">
        <v>509</v>
      </c>
      <c r="W54" s="62" t="s">
        <v>509</v>
      </c>
      <c r="X54" s="94" t="s">
        <v>509</v>
      </c>
      <c r="Y54" s="67" t="s">
        <v>509</v>
      </c>
      <c r="Z54" s="20" t="s">
        <v>509</v>
      </c>
      <c r="AA54" s="94" t="s">
        <v>509</v>
      </c>
    </row>
    <row r="55" spans="1:27" x14ac:dyDescent="0.25">
      <c r="A55" s="67" t="s">
        <v>240</v>
      </c>
      <c r="B55" s="62">
        <v>0.6</v>
      </c>
      <c r="C55" s="94">
        <v>37</v>
      </c>
      <c r="D55" s="193" t="s">
        <v>212</v>
      </c>
      <c r="E55" s="165">
        <v>8.7195829359005841E-2</v>
      </c>
      <c r="F55" s="55">
        <v>7</v>
      </c>
      <c r="G55" s="193" t="s">
        <v>213</v>
      </c>
      <c r="H55" s="165">
        <v>7.7660619204901471E-2</v>
      </c>
      <c r="I55" s="94">
        <v>9</v>
      </c>
      <c r="J55" s="193" t="s">
        <v>673</v>
      </c>
      <c r="K55" s="165">
        <v>0.20089244963324449</v>
      </c>
      <c r="L55" s="94">
        <v>16</v>
      </c>
      <c r="M55" s="67" t="s">
        <v>223</v>
      </c>
      <c r="N55" s="62">
        <v>37.93</v>
      </c>
      <c r="O55" s="94">
        <v>13</v>
      </c>
      <c r="P55" s="17" t="s">
        <v>220</v>
      </c>
      <c r="Q55" s="21">
        <v>40</v>
      </c>
      <c r="R55" s="48">
        <v>5</v>
      </c>
      <c r="S55" s="67" t="s">
        <v>228</v>
      </c>
      <c r="T55" s="62">
        <v>53.33</v>
      </c>
      <c r="U55" s="94">
        <v>6</v>
      </c>
      <c r="V55" s="67" t="s">
        <v>509</v>
      </c>
      <c r="W55" s="62" t="s">
        <v>509</v>
      </c>
      <c r="X55" s="94" t="s">
        <v>509</v>
      </c>
      <c r="Y55" s="67" t="s">
        <v>509</v>
      </c>
      <c r="Z55" s="20" t="s">
        <v>509</v>
      </c>
      <c r="AA55" s="94" t="s">
        <v>509</v>
      </c>
    </row>
    <row r="56" spans="1:27" x14ac:dyDescent="0.25">
      <c r="A56" s="67" t="s">
        <v>251</v>
      </c>
      <c r="B56" s="62">
        <v>0.57999999999999996</v>
      </c>
      <c r="C56" s="94">
        <v>38</v>
      </c>
      <c r="D56" s="193" t="s">
        <v>213</v>
      </c>
      <c r="E56" s="165">
        <v>8.6708160219238231E-2</v>
      </c>
      <c r="F56" s="55">
        <v>7</v>
      </c>
      <c r="G56" s="193" t="s">
        <v>215</v>
      </c>
      <c r="H56" s="165">
        <v>7.7015945930245883E-2</v>
      </c>
      <c r="I56" s="94">
        <v>9</v>
      </c>
      <c r="J56" s="193" t="s">
        <v>672</v>
      </c>
      <c r="K56" s="165">
        <v>0.20031994414170748</v>
      </c>
      <c r="L56" s="94">
        <v>16</v>
      </c>
      <c r="M56" s="67" t="s">
        <v>208</v>
      </c>
      <c r="N56" s="62">
        <v>37.93</v>
      </c>
      <c r="O56" s="94">
        <v>13</v>
      </c>
      <c r="P56" s="17" t="s">
        <v>179</v>
      </c>
      <c r="Q56" s="21">
        <v>40</v>
      </c>
      <c r="R56" s="48">
        <v>5</v>
      </c>
      <c r="S56" s="67" t="s">
        <v>195</v>
      </c>
      <c r="T56" s="62">
        <v>53.33</v>
      </c>
      <c r="U56" s="94">
        <v>6</v>
      </c>
      <c r="V56" s="67" t="s">
        <v>509</v>
      </c>
      <c r="W56" s="62" t="s">
        <v>509</v>
      </c>
      <c r="X56" s="94" t="s">
        <v>509</v>
      </c>
      <c r="Y56" s="67" t="s">
        <v>509</v>
      </c>
      <c r="Z56" s="20" t="s">
        <v>509</v>
      </c>
      <c r="AA56" s="94" t="s">
        <v>509</v>
      </c>
    </row>
    <row r="57" spans="1:27" x14ac:dyDescent="0.25">
      <c r="A57" s="67" t="s">
        <v>250</v>
      </c>
      <c r="B57" s="62">
        <v>0.56000000000000005</v>
      </c>
      <c r="C57" s="94">
        <v>39</v>
      </c>
      <c r="D57" s="193" t="s">
        <v>667</v>
      </c>
      <c r="E57" s="165">
        <v>8.6672920612950552E-2</v>
      </c>
      <c r="F57" s="55">
        <v>7</v>
      </c>
      <c r="G57" s="193" t="s">
        <v>687</v>
      </c>
      <c r="H57" s="165">
        <v>7.6695479949195539E-2</v>
      </c>
      <c r="I57" s="94">
        <v>9</v>
      </c>
      <c r="J57" s="193" t="s">
        <v>691</v>
      </c>
      <c r="K57" s="165">
        <v>0.19889916462296384</v>
      </c>
      <c r="L57" s="94">
        <v>16</v>
      </c>
      <c r="M57" s="67" t="s">
        <v>216</v>
      </c>
      <c r="N57" s="62">
        <v>37.93</v>
      </c>
      <c r="O57" s="94">
        <v>13</v>
      </c>
      <c r="P57" s="17" t="s">
        <v>211</v>
      </c>
      <c r="Q57" s="21">
        <v>40</v>
      </c>
      <c r="R57" s="48">
        <v>5</v>
      </c>
      <c r="S57" s="67" t="s">
        <v>223</v>
      </c>
      <c r="T57" s="62">
        <v>53.33</v>
      </c>
      <c r="U57" s="94">
        <v>6</v>
      </c>
      <c r="V57" s="67" t="s">
        <v>509</v>
      </c>
      <c r="W57" s="62" t="s">
        <v>509</v>
      </c>
      <c r="X57" s="94" t="s">
        <v>509</v>
      </c>
      <c r="Y57" s="67" t="s">
        <v>509</v>
      </c>
      <c r="Z57" s="20" t="s">
        <v>509</v>
      </c>
      <c r="AA57" s="94" t="s">
        <v>509</v>
      </c>
    </row>
    <row r="58" spans="1:27" x14ac:dyDescent="0.25">
      <c r="A58" s="67" t="s">
        <v>687</v>
      </c>
      <c r="B58" s="62">
        <v>0.55000000000000004</v>
      </c>
      <c r="C58" s="94">
        <v>40</v>
      </c>
      <c r="D58" s="193" t="s">
        <v>240</v>
      </c>
      <c r="E58" s="165">
        <v>8.6648586703876762E-2</v>
      </c>
      <c r="F58" s="55">
        <v>7</v>
      </c>
      <c r="G58" s="193" t="s">
        <v>688</v>
      </c>
      <c r="H58" s="165">
        <v>7.5231524648328385E-2</v>
      </c>
      <c r="I58" s="94">
        <v>9</v>
      </c>
      <c r="J58" s="193" t="s">
        <v>704</v>
      </c>
      <c r="K58" s="165">
        <v>0.19431823182182273</v>
      </c>
      <c r="L58" s="94">
        <v>17</v>
      </c>
      <c r="M58" s="67" t="s">
        <v>674</v>
      </c>
      <c r="N58" s="62">
        <v>37.93</v>
      </c>
      <c r="O58" s="94">
        <v>13</v>
      </c>
      <c r="P58" s="17" t="s">
        <v>182</v>
      </c>
      <c r="Q58" s="21">
        <v>40</v>
      </c>
      <c r="R58" s="48">
        <v>5</v>
      </c>
      <c r="S58" s="67" t="s">
        <v>220</v>
      </c>
      <c r="T58" s="62">
        <v>53.33</v>
      </c>
      <c r="U58" s="94">
        <v>6</v>
      </c>
      <c r="V58" s="67" t="s">
        <v>509</v>
      </c>
      <c r="W58" s="62" t="s">
        <v>509</v>
      </c>
      <c r="X58" s="94" t="s">
        <v>509</v>
      </c>
      <c r="Y58" s="67" t="s">
        <v>509</v>
      </c>
      <c r="Z58" s="20" t="s">
        <v>509</v>
      </c>
      <c r="AA58" s="94" t="s">
        <v>509</v>
      </c>
    </row>
    <row r="59" spans="1:27" x14ac:dyDescent="0.25">
      <c r="A59" s="67" t="s">
        <v>680</v>
      </c>
      <c r="B59" s="62">
        <v>0.55000000000000004</v>
      </c>
      <c r="C59" s="94">
        <v>40</v>
      </c>
      <c r="D59" s="193" t="s">
        <v>705</v>
      </c>
      <c r="E59" s="165">
        <v>8.5663851186787987E-2</v>
      </c>
      <c r="F59" s="55">
        <v>7</v>
      </c>
      <c r="G59" s="167" t="s">
        <v>192</v>
      </c>
      <c r="H59" s="165">
        <v>7.1612038041769285E-2</v>
      </c>
      <c r="I59" s="94">
        <v>10</v>
      </c>
      <c r="J59" s="193" t="s">
        <v>184</v>
      </c>
      <c r="K59" s="165">
        <v>0.19265942548299783</v>
      </c>
      <c r="L59" s="94">
        <v>17</v>
      </c>
      <c r="M59" s="67" t="s">
        <v>700</v>
      </c>
      <c r="N59" s="62">
        <v>37.93</v>
      </c>
      <c r="O59" s="94">
        <v>13</v>
      </c>
      <c r="P59" s="17" t="s">
        <v>690</v>
      </c>
      <c r="Q59" s="21">
        <v>40</v>
      </c>
      <c r="R59" s="48">
        <v>5</v>
      </c>
      <c r="S59" s="67" t="s">
        <v>217</v>
      </c>
      <c r="T59" s="62">
        <v>53.33</v>
      </c>
      <c r="U59" s="94">
        <v>6</v>
      </c>
      <c r="V59" s="67" t="s">
        <v>509</v>
      </c>
      <c r="W59" s="62" t="s">
        <v>509</v>
      </c>
      <c r="X59" s="94" t="s">
        <v>509</v>
      </c>
      <c r="Y59" s="67" t="s">
        <v>509</v>
      </c>
      <c r="Z59" s="20" t="s">
        <v>509</v>
      </c>
      <c r="AA59" s="94" t="s">
        <v>509</v>
      </c>
    </row>
    <row r="60" spans="1:27" x14ac:dyDescent="0.25">
      <c r="A60" s="67" t="s">
        <v>187</v>
      </c>
      <c r="B60" s="62">
        <v>0.52</v>
      </c>
      <c r="C60" s="94">
        <v>41</v>
      </c>
      <c r="D60" s="193" t="s">
        <v>676</v>
      </c>
      <c r="E60" s="165">
        <v>8.5069129678050942E-2</v>
      </c>
      <c r="F60" s="55">
        <v>7</v>
      </c>
      <c r="G60" s="193" t="s">
        <v>691</v>
      </c>
      <c r="H60" s="165">
        <v>7.1138060029168504E-2</v>
      </c>
      <c r="I60" s="94">
        <v>10</v>
      </c>
      <c r="J60" s="193" t="s">
        <v>221</v>
      </c>
      <c r="K60" s="165">
        <v>0.19222991282678684</v>
      </c>
      <c r="L60" s="94">
        <v>17</v>
      </c>
      <c r="M60" s="67" t="s">
        <v>662</v>
      </c>
      <c r="N60" s="62">
        <v>37.93</v>
      </c>
      <c r="O60" s="94">
        <v>13</v>
      </c>
      <c r="P60" s="17" t="s">
        <v>251</v>
      </c>
      <c r="Q60" s="21">
        <v>40</v>
      </c>
      <c r="R60" s="48">
        <v>5</v>
      </c>
      <c r="S60" s="67" t="s">
        <v>211</v>
      </c>
      <c r="T60" s="62">
        <v>53.33</v>
      </c>
      <c r="U60" s="94">
        <v>6</v>
      </c>
      <c r="V60" s="67" t="s">
        <v>509</v>
      </c>
      <c r="W60" s="62" t="s">
        <v>509</v>
      </c>
      <c r="X60" s="94" t="s">
        <v>509</v>
      </c>
      <c r="Y60" s="67" t="s">
        <v>509</v>
      </c>
      <c r="Z60" s="20" t="s">
        <v>509</v>
      </c>
      <c r="AA60" s="94" t="s">
        <v>509</v>
      </c>
    </row>
    <row r="61" spans="1:27" x14ac:dyDescent="0.25">
      <c r="A61" s="67" t="s">
        <v>180</v>
      </c>
      <c r="B61" s="62">
        <v>0.51</v>
      </c>
      <c r="C61" s="94">
        <v>42</v>
      </c>
      <c r="D61" s="193" t="s">
        <v>217</v>
      </c>
      <c r="E61" s="165">
        <v>8.4741548756559093E-2</v>
      </c>
      <c r="F61" s="55">
        <v>8</v>
      </c>
      <c r="G61" s="193" t="s">
        <v>699</v>
      </c>
      <c r="H61" s="165">
        <v>7.0488991996457348E-2</v>
      </c>
      <c r="I61" s="94">
        <v>10</v>
      </c>
      <c r="J61" s="193" t="s">
        <v>213</v>
      </c>
      <c r="K61" s="165">
        <v>0.18941459623251047</v>
      </c>
      <c r="L61" s="94">
        <v>17</v>
      </c>
      <c r="M61" s="67" t="s">
        <v>253</v>
      </c>
      <c r="N61" s="62">
        <v>37.93</v>
      </c>
      <c r="O61" s="94">
        <v>13</v>
      </c>
      <c r="P61" s="17" t="s">
        <v>676</v>
      </c>
      <c r="Q61" s="21">
        <v>40</v>
      </c>
      <c r="R61" s="48">
        <v>5</v>
      </c>
      <c r="S61" s="67" t="s">
        <v>216</v>
      </c>
      <c r="T61" s="62">
        <v>53.33</v>
      </c>
      <c r="U61" s="94">
        <v>6</v>
      </c>
      <c r="V61" s="67" t="s">
        <v>509</v>
      </c>
      <c r="W61" s="62" t="s">
        <v>509</v>
      </c>
      <c r="X61" s="94" t="s">
        <v>509</v>
      </c>
      <c r="Y61" s="67" t="s">
        <v>509</v>
      </c>
      <c r="Z61" s="20" t="s">
        <v>509</v>
      </c>
      <c r="AA61" s="94" t="s">
        <v>509</v>
      </c>
    </row>
    <row r="62" spans="1:27" x14ac:dyDescent="0.25">
      <c r="A62" s="67" t="s">
        <v>692</v>
      </c>
      <c r="B62" s="62">
        <v>0.5</v>
      </c>
      <c r="C62" s="94">
        <v>43</v>
      </c>
      <c r="D62" s="193" t="s">
        <v>686</v>
      </c>
      <c r="E62" s="165">
        <v>8.46643479099944E-2</v>
      </c>
      <c r="F62" s="55">
        <v>8</v>
      </c>
      <c r="G62" s="193" t="s">
        <v>704</v>
      </c>
      <c r="H62" s="165">
        <v>6.8890738711313196E-2</v>
      </c>
      <c r="I62" s="94">
        <v>10</v>
      </c>
      <c r="J62" s="193" t="s">
        <v>181</v>
      </c>
      <c r="K62" s="165">
        <v>0.18515393576020364</v>
      </c>
      <c r="L62" s="94">
        <v>17</v>
      </c>
      <c r="M62" s="67" t="s">
        <v>205</v>
      </c>
      <c r="N62" s="62">
        <v>36.78</v>
      </c>
      <c r="O62" s="94">
        <v>14</v>
      </c>
      <c r="P62" s="17" t="s">
        <v>181</v>
      </c>
      <c r="Q62" s="21">
        <v>40</v>
      </c>
      <c r="R62" s="48">
        <v>5</v>
      </c>
      <c r="S62" s="67" t="s">
        <v>187</v>
      </c>
      <c r="T62" s="62">
        <v>53.33</v>
      </c>
      <c r="U62" s="94">
        <v>6</v>
      </c>
      <c r="V62" s="67" t="s">
        <v>509</v>
      </c>
      <c r="W62" s="62" t="s">
        <v>509</v>
      </c>
      <c r="X62" s="94" t="s">
        <v>509</v>
      </c>
      <c r="Y62" s="67" t="s">
        <v>509</v>
      </c>
      <c r="Z62" s="20" t="s">
        <v>509</v>
      </c>
      <c r="AA62" s="94" t="s">
        <v>509</v>
      </c>
    </row>
    <row r="63" spans="1:27" x14ac:dyDescent="0.25">
      <c r="A63" s="67" t="s">
        <v>677</v>
      </c>
      <c r="B63" s="62">
        <v>0.5</v>
      </c>
      <c r="C63" s="94">
        <v>43</v>
      </c>
      <c r="D63" s="193" t="s">
        <v>671</v>
      </c>
      <c r="E63" s="165">
        <v>8.3856081991437834E-2</v>
      </c>
      <c r="F63" s="55">
        <v>8</v>
      </c>
      <c r="G63" s="193" t="s">
        <v>186</v>
      </c>
      <c r="H63" s="165">
        <v>6.7990601718184482E-2</v>
      </c>
      <c r="I63" s="94">
        <v>10</v>
      </c>
      <c r="J63" s="193" t="s">
        <v>703</v>
      </c>
      <c r="K63" s="165">
        <v>0.18404248694012362</v>
      </c>
      <c r="L63" s="94">
        <v>18</v>
      </c>
      <c r="M63" s="67" t="s">
        <v>194</v>
      </c>
      <c r="N63" s="62">
        <v>36.78</v>
      </c>
      <c r="O63" s="94">
        <v>14</v>
      </c>
      <c r="P63" s="17" t="s">
        <v>242</v>
      </c>
      <c r="Q63" s="21">
        <v>40</v>
      </c>
      <c r="R63" s="48">
        <v>5</v>
      </c>
      <c r="S63" s="67" t="s">
        <v>692</v>
      </c>
      <c r="T63" s="62">
        <v>53.33</v>
      </c>
      <c r="U63" s="94">
        <v>6</v>
      </c>
      <c r="V63" s="67" t="s">
        <v>509</v>
      </c>
      <c r="W63" s="62" t="s">
        <v>509</v>
      </c>
      <c r="X63" s="94" t="s">
        <v>509</v>
      </c>
      <c r="Y63" s="67" t="s">
        <v>509</v>
      </c>
      <c r="Z63" s="20" t="s">
        <v>509</v>
      </c>
      <c r="AA63" s="94" t="s">
        <v>509</v>
      </c>
    </row>
    <row r="64" spans="1:27" x14ac:dyDescent="0.25">
      <c r="A64" s="67" t="s">
        <v>249</v>
      </c>
      <c r="B64" s="62">
        <v>0.5</v>
      </c>
      <c r="C64" s="94">
        <v>43</v>
      </c>
      <c r="D64" s="193" t="s">
        <v>684</v>
      </c>
      <c r="E64" s="165">
        <v>8.3339847132371678E-2</v>
      </c>
      <c r="F64" s="55">
        <v>8</v>
      </c>
      <c r="G64" s="193" t="s">
        <v>224</v>
      </c>
      <c r="H64" s="165">
        <v>6.7812518999799551E-2</v>
      </c>
      <c r="I64" s="94">
        <v>10</v>
      </c>
      <c r="J64" s="193" t="s">
        <v>671</v>
      </c>
      <c r="K64" s="165">
        <v>0.1812956994832442</v>
      </c>
      <c r="L64" s="94">
        <v>18</v>
      </c>
      <c r="M64" s="67" t="s">
        <v>215</v>
      </c>
      <c r="N64" s="62">
        <v>36.78</v>
      </c>
      <c r="O64" s="94">
        <v>14</v>
      </c>
      <c r="P64" s="17" t="s">
        <v>679</v>
      </c>
      <c r="Q64" s="21">
        <v>40</v>
      </c>
      <c r="R64" s="48">
        <v>5</v>
      </c>
      <c r="S64" s="67" t="s">
        <v>677</v>
      </c>
      <c r="T64" s="62">
        <v>53.33</v>
      </c>
      <c r="U64" s="94">
        <v>6</v>
      </c>
      <c r="V64" s="67" t="s">
        <v>509</v>
      </c>
      <c r="W64" s="62" t="s">
        <v>509</v>
      </c>
      <c r="X64" s="94" t="s">
        <v>509</v>
      </c>
      <c r="Y64" s="67" t="s">
        <v>509</v>
      </c>
      <c r="Z64" s="20" t="s">
        <v>509</v>
      </c>
      <c r="AA64" s="94" t="s">
        <v>509</v>
      </c>
    </row>
    <row r="65" spans="1:27" x14ac:dyDescent="0.25">
      <c r="A65" s="67" t="s">
        <v>693</v>
      </c>
      <c r="B65" s="62">
        <v>0.48</v>
      </c>
      <c r="C65" s="94">
        <v>44</v>
      </c>
      <c r="D65" s="193" t="s">
        <v>689</v>
      </c>
      <c r="E65" s="165">
        <v>8.3128013718311647E-2</v>
      </c>
      <c r="F65" s="55">
        <v>8</v>
      </c>
      <c r="G65" s="193" t="s">
        <v>205</v>
      </c>
      <c r="H65" s="165">
        <v>6.6794045519014716E-2</v>
      </c>
      <c r="I65" s="94">
        <v>10</v>
      </c>
      <c r="J65" s="193" t="s">
        <v>682</v>
      </c>
      <c r="K65" s="165">
        <v>0.18115891965735254</v>
      </c>
      <c r="L65" s="94">
        <v>18</v>
      </c>
      <c r="M65" s="67" t="s">
        <v>212</v>
      </c>
      <c r="N65" s="62">
        <v>36.78</v>
      </c>
      <c r="O65" s="94">
        <v>14</v>
      </c>
      <c r="P65" s="17" t="s">
        <v>675</v>
      </c>
      <c r="Q65" s="21">
        <v>40</v>
      </c>
      <c r="R65" s="48">
        <v>5</v>
      </c>
      <c r="S65" s="67" t="s">
        <v>695</v>
      </c>
      <c r="T65" s="62">
        <v>53.33</v>
      </c>
      <c r="U65" s="94">
        <v>6</v>
      </c>
      <c r="V65" s="67" t="s">
        <v>509</v>
      </c>
      <c r="W65" s="62" t="s">
        <v>509</v>
      </c>
      <c r="X65" s="94" t="s">
        <v>509</v>
      </c>
      <c r="Y65" s="67" t="s">
        <v>509</v>
      </c>
      <c r="Z65" s="20" t="s">
        <v>509</v>
      </c>
      <c r="AA65" s="94" t="s">
        <v>509</v>
      </c>
    </row>
    <row r="66" spans="1:27" x14ac:dyDescent="0.25">
      <c r="A66" s="67" t="s">
        <v>184</v>
      </c>
      <c r="B66" s="62">
        <v>0.46</v>
      </c>
      <c r="C66" s="94">
        <v>45</v>
      </c>
      <c r="D66" s="193" t="s">
        <v>672</v>
      </c>
      <c r="E66" s="165">
        <v>8.2970347290668975E-2</v>
      </c>
      <c r="F66" s="55">
        <v>8</v>
      </c>
      <c r="G66" s="193" t="s">
        <v>210</v>
      </c>
      <c r="H66" s="165">
        <v>6.6768278287010818E-2</v>
      </c>
      <c r="I66" s="94">
        <v>10</v>
      </c>
      <c r="J66" s="193" t="s">
        <v>250</v>
      </c>
      <c r="K66" s="165">
        <v>0.18107999709857328</v>
      </c>
      <c r="L66" s="94">
        <v>18</v>
      </c>
      <c r="M66" s="67" t="s">
        <v>179</v>
      </c>
      <c r="N66" s="62">
        <v>36.78</v>
      </c>
      <c r="O66" s="94">
        <v>14</v>
      </c>
      <c r="P66" s="17" t="s">
        <v>685</v>
      </c>
      <c r="Q66" s="21">
        <v>40</v>
      </c>
      <c r="R66" s="48">
        <v>5</v>
      </c>
      <c r="S66" s="67" t="s">
        <v>670</v>
      </c>
      <c r="T66" s="62">
        <v>53.33</v>
      </c>
      <c r="U66" s="94">
        <v>6</v>
      </c>
      <c r="V66" s="67" t="s">
        <v>509</v>
      </c>
      <c r="W66" s="62" t="s">
        <v>509</v>
      </c>
      <c r="X66" s="94" t="s">
        <v>509</v>
      </c>
      <c r="Y66" s="67" t="s">
        <v>509</v>
      </c>
      <c r="Z66" s="20" t="s">
        <v>509</v>
      </c>
      <c r="AA66" s="94" t="s">
        <v>509</v>
      </c>
    </row>
    <row r="67" spans="1:27" x14ac:dyDescent="0.25">
      <c r="A67" s="67" t="s">
        <v>678</v>
      </c>
      <c r="B67" s="62">
        <v>0.45</v>
      </c>
      <c r="C67" s="94">
        <v>46</v>
      </c>
      <c r="D67" s="193" t="s">
        <v>703</v>
      </c>
      <c r="E67" s="165">
        <v>8.2883081543389261E-2</v>
      </c>
      <c r="F67" s="55">
        <v>8</v>
      </c>
      <c r="G67" s="193" t="s">
        <v>183</v>
      </c>
      <c r="H67" s="165">
        <v>6.6572662138848313E-2</v>
      </c>
      <c r="I67" s="94">
        <v>10</v>
      </c>
      <c r="J67" s="193" t="s">
        <v>248</v>
      </c>
      <c r="K67" s="165">
        <v>0.17808157525177218</v>
      </c>
      <c r="L67" s="94">
        <v>18</v>
      </c>
      <c r="M67" s="67" t="s">
        <v>239</v>
      </c>
      <c r="N67" s="62">
        <v>36.78</v>
      </c>
      <c r="O67" s="94">
        <v>14</v>
      </c>
      <c r="P67" s="17" t="s">
        <v>666</v>
      </c>
      <c r="Q67" s="21">
        <v>40</v>
      </c>
      <c r="R67" s="48">
        <v>5</v>
      </c>
      <c r="S67" s="67" t="s">
        <v>254</v>
      </c>
      <c r="T67" s="62">
        <v>53.33</v>
      </c>
      <c r="U67" s="94">
        <v>6</v>
      </c>
      <c r="V67" s="67" t="s">
        <v>509</v>
      </c>
      <c r="W67" s="62" t="s">
        <v>509</v>
      </c>
      <c r="X67" s="94" t="s">
        <v>509</v>
      </c>
      <c r="Y67" s="67" t="s">
        <v>509</v>
      </c>
      <c r="Z67" s="20" t="s">
        <v>509</v>
      </c>
      <c r="AA67" s="94" t="s">
        <v>509</v>
      </c>
    </row>
    <row r="68" spans="1:27" x14ac:dyDescent="0.25">
      <c r="A68" s="67" t="s">
        <v>676</v>
      </c>
      <c r="B68" s="62">
        <v>0.44</v>
      </c>
      <c r="C68" s="94">
        <v>47</v>
      </c>
      <c r="D68" s="193" t="s">
        <v>180</v>
      </c>
      <c r="E68" s="165">
        <v>8.2854270995656801E-2</v>
      </c>
      <c r="F68" s="55">
        <v>8</v>
      </c>
      <c r="G68" s="193" t="s">
        <v>698</v>
      </c>
      <c r="H68" s="165">
        <v>6.6394680957776453E-2</v>
      </c>
      <c r="I68" s="94">
        <v>10</v>
      </c>
      <c r="J68" s="193" t="s">
        <v>676</v>
      </c>
      <c r="K68" s="165">
        <v>0.17470802660007551</v>
      </c>
      <c r="L68" s="94">
        <v>19</v>
      </c>
      <c r="M68" s="67" t="s">
        <v>182</v>
      </c>
      <c r="N68" s="62">
        <v>36.78</v>
      </c>
      <c r="O68" s="94">
        <v>14</v>
      </c>
      <c r="P68" s="17" t="s">
        <v>669</v>
      </c>
      <c r="Q68" s="21">
        <v>40</v>
      </c>
      <c r="R68" s="48">
        <v>5</v>
      </c>
      <c r="S68" s="67" t="s">
        <v>669</v>
      </c>
      <c r="T68" s="62">
        <v>53.33</v>
      </c>
      <c r="U68" s="94">
        <v>6</v>
      </c>
      <c r="V68" s="67" t="s">
        <v>509</v>
      </c>
      <c r="W68" s="62" t="s">
        <v>509</v>
      </c>
      <c r="X68" s="94" t="s">
        <v>509</v>
      </c>
      <c r="Y68" s="67" t="s">
        <v>509</v>
      </c>
      <c r="Z68" s="20" t="s">
        <v>509</v>
      </c>
      <c r="AA68" s="94" t="s">
        <v>509</v>
      </c>
    </row>
    <row r="69" spans="1:27" x14ac:dyDescent="0.25">
      <c r="A69" s="67" t="s">
        <v>691</v>
      </c>
      <c r="B69" s="62">
        <v>0.44</v>
      </c>
      <c r="C69" s="94">
        <v>47</v>
      </c>
      <c r="D69" s="193" t="s">
        <v>177</v>
      </c>
      <c r="E69" s="165">
        <v>8.1827465936189211E-2</v>
      </c>
      <c r="F69" s="55">
        <v>8</v>
      </c>
      <c r="G69" s="193" t="s">
        <v>231</v>
      </c>
      <c r="H69" s="165">
        <v>6.5771543068418523E-2</v>
      </c>
      <c r="I69" s="94">
        <v>10</v>
      </c>
      <c r="J69" s="193" t="s">
        <v>697</v>
      </c>
      <c r="K69" s="165">
        <v>0.17428316903837909</v>
      </c>
      <c r="L69" s="94">
        <v>19</v>
      </c>
      <c r="M69" s="67" t="s">
        <v>180</v>
      </c>
      <c r="N69" s="62">
        <v>36.78</v>
      </c>
      <c r="O69" s="94">
        <v>14</v>
      </c>
      <c r="P69" s="17" t="s">
        <v>658</v>
      </c>
      <c r="Q69" s="21">
        <v>40</v>
      </c>
      <c r="R69" s="48">
        <v>5</v>
      </c>
      <c r="S69" s="67" t="s">
        <v>667</v>
      </c>
      <c r="T69" s="62">
        <v>53.33</v>
      </c>
      <c r="U69" s="94">
        <v>6</v>
      </c>
      <c r="V69" s="67" t="s">
        <v>509</v>
      </c>
      <c r="W69" s="62" t="s">
        <v>509</v>
      </c>
      <c r="X69" s="94" t="s">
        <v>509</v>
      </c>
      <c r="Y69" s="67" t="s">
        <v>509</v>
      </c>
      <c r="Z69" s="20" t="s">
        <v>509</v>
      </c>
      <c r="AA69" s="94" t="s">
        <v>509</v>
      </c>
    </row>
    <row r="70" spans="1:27" x14ac:dyDescent="0.25">
      <c r="A70" s="67" t="s">
        <v>181</v>
      </c>
      <c r="B70" s="62">
        <v>0.44</v>
      </c>
      <c r="C70" s="94">
        <v>47</v>
      </c>
      <c r="D70" s="193" t="s">
        <v>704</v>
      </c>
      <c r="E70" s="165">
        <v>7.8991006686951915E-2</v>
      </c>
      <c r="F70" s="55">
        <v>8</v>
      </c>
      <c r="G70" s="193" t="s">
        <v>681</v>
      </c>
      <c r="H70" s="165">
        <v>6.4457247783804281E-2</v>
      </c>
      <c r="I70" s="94">
        <v>11</v>
      </c>
      <c r="J70" s="193" t="s">
        <v>182</v>
      </c>
      <c r="K70" s="165">
        <v>0.17132469807456671</v>
      </c>
      <c r="L70" s="94">
        <v>19</v>
      </c>
      <c r="M70" s="67" t="s">
        <v>184</v>
      </c>
      <c r="N70" s="62">
        <v>36.78</v>
      </c>
      <c r="O70" s="94">
        <v>14</v>
      </c>
      <c r="P70" s="17" t="s">
        <v>253</v>
      </c>
      <c r="Q70" s="21">
        <v>40</v>
      </c>
      <c r="R70" s="48">
        <v>5</v>
      </c>
      <c r="S70" s="67" t="s">
        <v>660</v>
      </c>
      <c r="T70" s="62">
        <v>53.33</v>
      </c>
      <c r="U70" s="94">
        <v>6</v>
      </c>
      <c r="V70" s="67" t="s">
        <v>509</v>
      </c>
      <c r="W70" s="62" t="s">
        <v>509</v>
      </c>
      <c r="X70" s="94" t="s">
        <v>509</v>
      </c>
      <c r="Y70" s="67" t="s">
        <v>509</v>
      </c>
      <c r="Z70" s="20" t="s">
        <v>509</v>
      </c>
      <c r="AA70" s="94" t="s">
        <v>509</v>
      </c>
    </row>
    <row r="71" spans="1:27" x14ac:dyDescent="0.25">
      <c r="A71" s="67" t="s">
        <v>705</v>
      </c>
      <c r="B71" s="62">
        <v>0.44</v>
      </c>
      <c r="C71" s="94">
        <v>47</v>
      </c>
      <c r="D71" s="193" t="s">
        <v>700</v>
      </c>
      <c r="E71" s="165">
        <v>7.8415934377447413E-2</v>
      </c>
      <c r="F71" s="55">
        <v>8</v>
      </c>
      <c r="G71" s="193" t="s">
        <v>695</v>
      </c>
      <c r="H71" s="165">
        <v>6.3652734337318634E-2</v>
      </c>
      <c r="I71" s="94">
        <v>11</v>
      </c>
      <c r="J71" s="193" t="s">
        <v>679</v>
      </c>
      <c r="K71" s="165">
        <v>0.16826866105604854</v>
      </c>
      <c r="L71" s="94">
        <v>19</v>
      </c>
      <c r="M71" s="67" t="s">
        <v>181</v>
      </c>
      <c r="N71" s="62">
        <v>36.78</v>
      </c>
      <c r="O71" s="94">
        <v>14</v>
      </c>
      <c r="P71" s="17" t="s">
        <v>681</v>
      </c>
      <c r="Q71" s="21">
        <v>40</v>
      </c>
      <c r="R71" s="48">
        <v>5</v>
      </c>
      <c r="S71" s="67" t="s">
        <v>191</v>
      </c>
      <c r="T71" s="62">
        <v>50</v>
      </c>
      <c r="U71" s="94">
        <v>7</v>
      </c>
      <c r="V71" s="67" t="s">
        <v>509</v>
      </c>
      <c r="W71" s="62" t="s">
        <v>509</v>
      </c>
      <c r="X71" s="94" t="s">
        <v>509</v>
      </c>
      <c r="Y71" s="67" t="s">
        <v>509</v>
      </c>
      <c r="Z71" s="20" t="s">
        <v>509</v>
      </c>
      <c r="AA71" s="94" t="s">
        <v>509</v>
      </c>
    </row>
    <row r="72" spans="1:27" x14ac:dyDescent="0.25">
      <c r="A72" s="67" t="s">
        <v>704</v>
      </c>
      <c r="B72" s="62">
        <v>0.44</v>
      </c>
      <c r="C72" s="94">
        <v>47</v>
      </c>
      <c r="D72" s="193" t="s">
        <v>682</v>
      </c>
      <c r="E72" s="165">
        <v>7.796994433558227E-2</v>
      </c>
      <c r="F72" s="55">
        <v>8</v>
      </c>
      <c r="G72" s="193" t="s">
        <v>239</v>
      </c>
      <c r="H72" s="165">
        <v>6.2890131697911966E-2</v>
      </c>
      <c r="I72" s="94">
        <v>11</v>
      </c>
      <c r="J72" s="193" t="s">
        <v>212</v>
      </c>
      <c r="K72" s="165">
        <v>0.16818659481180617</v>
      </c>
      <c r="L72" s="94">
        <v>19</v>
      </c>
      <c r="M72" s="67" t="s">
        <v>4</v>
      </c>
      <c r="N72" s="62">
        <v>36.78</v>
      </c>
      <c r="O72" s="94">
        <v>14</v>
      </c>
      <c r="P72" s="17" t="s">
        <v>672</v>
      </c>
      <c r="Q72" s="21">
        <v>40</v>
      </c>
      <c r="R72" s="48">
        <v>5</v>
      </c>
      <c r="S72" s="67" t="s">
        <v>190</v>
      </c>
      <c r="T72" s="62">
        <v>50</v>
      </c>
      <c r="U72" s="94">
        <v>7</v>
      </c>
      <c r="V72" s="67" t="s">
        <v>509</v>
      </c>
      <c r="W72" s="62" t="s">
        <v>509</v>
      </c>
      <c r="X72" s="94" t="s">
        <v>509</v>
      </c>
      <c r="Y72" s="67" t="s">
        <v>509</v>
      </c>
      <c r="Z72" s="20" t="s">
        <v>509</v>
      </c>
      <c r="AA72" s="94" t="s">
        <v>509</v>
      </c>
    </row>
    <row r="73" spans="1:27" x14ac:dyDescent="0.25">
      <c r="A73" s="67" t="s">
        <v>219</v>
      </c>
      <c r="B73" s="62">
        <v>0.43</v>
      </c>
      <c r="C73" s="94">
        <v>48</v>
      </c>
      <c r="D73" s="193" t="s">
        <v>669</v>
      </c>
      <c r="E73" s="165">
        <v>7.7418221247495062E-2</v>
      </c>
      <c r="F73" s="55">
        <v>8</v>
      </c>
      <c r="G73" s="193" t="s">
        <v>666</v>
      </c>
      <c r="H73" s="165">
        <v>6.2740144240247389E-2</v>
      </c>
      <c r="I73" s="94">
        <v>11</v>
      </c>
      <c r="J73" s="193" t="s">
        <v>663</v>
      </c>
      <c r="K73" s="165">
        <v>0.16419783123236165</v>
      </c>
      <c r="L73" s="94">
        <v>20</v>
      </c>
      <c r="M73" s="67" t="s">
        <v>685</v>
      </c>
      <c r="N73" s="62">
        <v>36.78</v>
      </c>
      <c r="O73" s="94">
        <v>14</v>
      </c>
      <c r="P73" s="67" t="s">
        <v>191</v>
      </c>
      <c r="Q73" s="62">
        <v>36</v>
      </c>
      <c r="R73" s="94">
        <v>6</v>
      </c>
      <c r="S73" s="67" t="s">
        <v>201</v>
      </c>
      <c r="T73" s="62">
        <v>50</v>
      </c>
      <c r="U73" s="94">
        <v>7</v>
      </c>
      <c r="V73" s="67" t="s">
        <v>509</v>
      </c>
      <c r="W73" s="62" t="s">
        <v>509</v>
      </c>
      <c r="X73" s="94" t="s">
        <v>509</v>
      </c>
      <c r="Y73" s="67" t="s">
        <v>509</v>
      </c>
      <c r="Z73" s="20" t="s">
        <v>509</v>
      </c>
      <c r="AA73" s="94" t="s">
        <v>509</v>
      </c>
    </row>
    <row r="74" spans="1:27" x14ac:dyDescent="0.25">
      <c r="A74" s="67" t="s">
        <v>683</v>
      </c>
      <c r="B74" s="62">
        <v>0.43</v>
      </c>
      <c r="C74" s="94">
        <v>48</v>
      </c>
      <c r="D74" s="193" t="s">
        <v>211</v>
      </c>
      <c r="E74" s="165">
        <v>7.6622706207446545E-2</v>
      </c>
      <c r="F74" s="55">
        <v>8</v>
      </c>
      <c r="G74" s="193" t="s">
        <v>240</v>
      </c>
      <c r="H74" s="165">
        <v>6.2538876583125236E-2</v>
      </c>
      <c r="I74" s="94">
        <v>11</v>
      </c>
      <c r="J74" s="193" t="s">
        <v>254</v>
      </c>
      <c r="K74" s="165">
        <v>0.16297138747152087</v>
      </c>
      <c r="L74" s="94">
        <v>20</v>
      </c>
      <c r="M74" s="67" t="s">
        <v>660</v>
      </c>
      <c r="N74" s="62">
        <v>36.78</v>
      </c>
      <c r="O74" s="94">
        <v>14</v>
      </c>
      <c r="P74" s="67" t="s">
        <v>205</v>
      </c>
      <c r="Q74" s="62">
        <v>36</v>
      </c>
      <c r="R74" s="94">
        <v>6</v>
      </c>
      <c r="S74" s="67" t="s">
        <v>222</v>
      </c>
      <c r="T74" s="62">
        <v>50</v>
      </c>
      <c r="U74" s="94">
        <v>7</v>
      </c>
      <c r="V74" s="67" t="s">
        <v>509</v>
      </c>
      <c r="W74" s="62" t="s">
        <v>509</v>
      </c>
      <c r="X74" s="94" t="s">
        <v>509</v>
      </c>
      <c r="Y74" s="67" t="s">
        <v>509</v>
      </c>
      <c r="Z74" s="20" t="s">
        <v>509</v>
      </c>
      <c r="AA74" s="94" t="s">
        <v>509</v>
      </c>
    </row>
    <row r="75" spans="1:27" x14ac:dyDescent="0.25">
      <c r="A75" s="67" t="s">
        <v>178</v>
      </c>
      <c r="B75" s="62">
        <v>0.43</v>
      </c>
      <c r="C75" s="94">
        <v>48</v>
      </c>
      <c r="D75" s="193" t="s">
        <v>179</v>
      </c>
      <c r="E75" s="165">
        <v>7.6171179682716167E-2</v>
      </c>
      <c r="F75" s="55">
        <v>8</v>
      </c>
      <c r="G75" s="193" t="s">
        <v>249</v>
      </c>
      <c r="H75" s="165">
        <v>6.0550818979672752E-2</v>
      </c>
      <c r="I75" s="94">
        <v>11</v>
      </c>
      <c r="J75" s="193" t="s">
        <v>219</v>
      </c>
      <c r="K75" s="165">
        <v>0.16090982607624235</v>
      </c>
      <c r="L75" s="94">
        <v>20</v>
      </c>
      <c r="M75" s="67" t="s">
        <v>224</v>
      </c>
      <c r="N75" s="62">
        <v>35.630000000000003</v>
      </c>
      <c r="O75" s="94">
        <v>15</v>
      </c>
      <c r="P75" s="67" t="s">
        <v>207</v>
      </c>
      <c r="Q75" s="62">
        <v>36</v>
      </c>
      <c r="R75" s="94">
        <v>6</v>
      </c>
      <c r="S75" s="67" t="s">
        <v>229</v>
      </c>
      <c r="T75" s="62">
        <v>50</v>
      </c>
      <c r="U75" s="94">
        <v>7</v>
      </c>
      <c r="V75" s="67" t="s">
        <v>509</v>
      </c>
      <c r="W75" s="62" t="s">
        <v>509</v>
      </c>
      <c r="X75" s="94" t="s">
        <v>509</v>
      </c>
      <c r="Y75" s="67" t="s">
        <v>509</v>
      </c>
      <c r="Z75" s="20" t="s">
        <v>509</v>
      </c>
      <c r="AA75" s="94" t="s">
        <v>509</v>
      </c>
    </row>
    <row r="76" spans="1:27" x14ac:dyDescent="0.25">
      <c r="A76" s="67" t="s">
        <v>698</v>
      </c>
      <c r="B76" s="62">
        <v>0.43</v>
      </c>
      <c r="C76" s="94">
        <v>48</v>
      </c>
      <c r="D76" s="193" t="s">
        <v>203</v>
      </c>
      <c r="E76" s="165">
        <v>7.4182655847327181E-2</v>
      </c>
      <c r="F76" s="55">
        <v>9</v>
      </c>
      <c r="G76" s="193" t="s">
        <v>702</v>
      </c>
      <c r="H76" s="165">
        <v>6.0344302568124536E-2</v>
      </c>
      <c r="I76" s="94">
        <v>11</v>
      </c>
      <c r="J76" s="193" t="s">
        <v>669</v>
      </c>
      <c r="K76" s="165">
        <v>0.15878889651080277</v>
      </c>
      <c r="L76" s="94">
        <v>20</v>
      </c>
      <c r="M76" s="67" t="s">
        <v>230</v>
      </c>
      <c r="N76" s="62">
        <v>35.630000000000003</v>
      </c>
      <c r="O76" s="94">
        <v>15</v>
      </c>
      <c r="P76" s="67" t="s">
        <v>224</v>
      </c>
      <c r="Q76" s="62">
        <v>36</v>
      </c>
      <c r="R76" s="94">
        <v>6</v>
      </c>
      <c r="S76" s="67" t="s">
        <v>212</v>
      </c>
      <c r="T76" s="62">
        <v>50</v>
      </c>
      <c r="U76" s="94">
        <v>7</v>
      </c>
      <c r="V76" s="67" t="s">
        <v>509</v>
      </c>
      <c r="W76" s="62" t="s">
        <v>509</v>
      </c>
      <c r="X76" s="94" t="s">
        <v>509</v>
      </c>
      <c r="Y76" s="67" t="s">
        <v>509</v>
      </c>
      <c r="Z76" s="20" t="s">
        <v>509</v>
      </c>
      <c r="AA76" s="94" t="s">
        <v>509</v>
      </c>
    </row>
    <row r="77" spans="1:27" x14ac:dyDescent="0.25">
      <c r="A77" s="67" t="s">
        <v>242</v>
      </c>
      <c r="B77" s="62">
        <v>0.42</v>
      </c>
      <c r="C77" s="94">
        <v>49</v>
      </c>
      <c r="D77" s="193" t="s">
        <v>250</v>
      </c>
      <c r="E77" s="165">
        <v>7.4028846500476045E-2</v>
      </c>
      <c r="F77" s="55">
        <v>9</v>
      </c>
      <c r="G77" s="193" t="s">
        <v>701</v>
      </c>
      <c r="H77" s="165">
        <v>5.8718998580927585E-2</v>
      </c>
      <c r="I77" s="94">
        <v>11</v>
      </c>
      <c r="J77" s="193" t="s">
        <v>251</v>
      </c>
      <c r="K77" s="165">
        <v>0.15832731012393869</v>
      </c>
      <c r="L77" s="94">
        <v>20</v>
      </c>
      <c r="M77" s="67" t="s">
        <v>214</v>
      </c>
      <c r="N77" s="62">
        <v>35.630000000000003</v>
      </c>
      <c r="O77" s="94">
        <v>15</v>
      </c>
      <c r="P77" s="67" t="s">
        <v>197</v>
      </c>
      <c r="Q77" s="62">
        <v>36</v>
      </c>
      <c r="R77" s="94">
        <v>6</v>
      </c>
      <c r="S77" s="67" t="s">
        <v>179</v>
      </c>
      <c r="T77" s="62">
        <v>50</v>
      </c>
      <c r="U77" s="94">
        <v>7</v>
      </c>
      <c r="V77" s="67" t="s">
        <v>509</v>
      </c>
      <c r="W77" s="62" t="s">
        <v>509</v>
      </c>
      <c r="X77" s="94" t="s">
        <v>509</v>
      </c>
      <c r="Y77" s="67" t="s">
        <v>509</v>
      </c>
      <c r="Z77" s="20" t="s">
        <v>509</v>
      </c>
      <c r="AA77" s="94" t="s">
        <v>509</v>
      </c>
    </row>
    <row r="78" spans="1:27" x14ac:dyDescent="0.25">
      <c r="A78" s="67" t="s">
        <v>177</v>
      </c>
      <c r="B78" s="62">
        <v>0.42</v>
      </c>
      <c r="C78" s="94">
        <v>49</v>
      </c>
      <c r="D78" s="193" t="s">
        <v>182</v>
      </c>
      <c r="E78" s="165">
        <v>7.2846160860740042E-2</v>
      </c>
      <c r="F78" s="55">
        <v>9</v>
      </c>
      <c r="G78" s="193" t="s">
        <v>182</v>
      </c>
      <c r="H78" s="165">
        <v>5.8214027242065453E-2</v>
      </c>
      <c r="I78" s="94">
        <v>11</v>
      </c>
      <c r="J78" s="193" t="s">
        <v>675</v>
      </c>
      <c r="K78" s="165">
        <v>0.15815779368936009</v>
      </c>
      <c r="L78" s="94">
        <v>20</v>
      </c>
      <c r="M78" s="67" t="s">
        <v>203</v>
      </c>
      <c r="N78" s="62">
        <v>35.630000000000003</v>
      </c>
      <c r="O78" s="94">
        <v>15</v>
      </c>
      <c r="P78" s="67" t="s">
        <v>199</v>
      </c>
      <c r="Q78" s="62">
        <v>36</v>
      </c>
      <c r="R78" s="94">
        <v>6</v>
      </c>
      <c r="S78" s="67" t="s">
        <v>221</v>
      </c>
      <c r="T78" s="62">
        <v>50</v>
      </c>
      <c r="U78" s="94">
        <v>7</v>
      </c>
      <c r="V78" s="67" t="s">
        <v>509</v>
      </c>
      <c r="W78" s="62" t="s">
        <v>509</v>
      </c>
      <c r="X78" s="94" t="s">
        <v>509</v>
      </c>
      <c r="Y78" s="67" t="s">
        <v>509</v>
      </c>
      <c r="Z78" s="20" t="s">
        <v>509</v>
      </c>
      <c r="AA78" s="94" t="s">
        <v>509</v>
      </c>
    </row>
    <row r="79" spans="1:27" x14ac:dyDescent="0.25">
      <c r="A79" s="67" t="s">
        <v>679</v>
      </c>
      <c r="B79" s="62">
        <v>0.42</v>
      </c>
      <c r="C79" s="94">
        <v>49</v>
      </c>
      <c r="D79" s="193" t="s">
        <v>178</v>
      </c>
      <c r="E79" s="165">
        <v>7.2601344437691603E-2</v>
      </c>
      <c r="F79" s="55">
        <v>9</v>
      </c>
      <c r="G79" s="193" t="s">
        <v>668</v>
      </c>
      <c r="H79" s="165">
        <v>5.7474615074499441E-2</v>
      </c>
      <c r="I79" s="94">
        <v>11</v>
      </c>
      <c r="J79" s="193" t="s">
        <v>207</v>
      </c>
      <c r="K79" s="165">
        <v>0.15809642802256851</v>
      </c>
      <c r="L79" s="94">
        <v>20</v>
      </c>
      <c r="M79" s="67" t="s">
        <v>213</v>
      </c>
      <c r="N79" s="62">
        <v>35.630000000000003</v>
      </c>
      <c r="O79" s="94">
        <v>15</v>
      </c>
      <c r="P79" s="67" t="s">
        <v>231</v>
      </c>
      <c r="Q79" s="62">
        <v>36</v>
      </c>
      <c r="R79" s="94">
        <v>6</v>
      </c>
      <c r="S79" s="67" t="s">
        <v>182</v>
      </c>
      <c r="T79" s="62">
        <v>50</v>
      </c>
      <c r="U79" s="94">
        <v>7</v>
      </c>
      <c r="V79" s="67" t="s">
        <v>509</v>
      </c>
      <c r="W79" s="62" t="s">
        <v>509</v>
      </c>
      <c r="X79" s="94" t="s">
        <v>509</v>
      </c>
      <c r="Y79" s="67" t="s">
        <v>509</v>
      </c>
      <c r="Z79" s="20" t="s">
        <v>509</v>
      </c>
      <c r="AA79" s="94" t="s">
        <v>509</v>
      </c>
    </row>
    <row r="80" spans="1:27" x14ac:dyDescent="0.25">
      <c r="A80" s="67" t="s">
        <v>4</v>
      </c>
      <c r="B80" s="62">
        <v>0.41</v>
      </c>
      <c r="C80" s="94">
        <v>50</v>
      </c>
      <c r="D80" s="193" t="s">
        <v>0</v>
      </c>
      <c r="E80" s="165">
        <v>7.1845825484548376E-2</v>
      </c>
      <c r="F80" s="55">
        <v>9</v>
      </c>
      <c r="G80" s="193" t="s">
        <v>669</v>
      </c>
      <c r="H80" s="165">
        <v>5.6072439329699575E-2</v>
      </c>
      <c r="I80" s="94">
        <v>11</v>
      </c>
      <c r="J80" s="193" t="s">
        <v>240</v>
      </c>
      <c r="K80" s="165">
        <v>0.15802113786698374</v>
      </c>
      <c r="L80" s="94">
        <v>20</v>
      </c>
      <c r="M80" s="67" t="s">
        <v>221</v>
      </c>
      <c r="N80" s="62">
        <v>35.630000000000003</v>
      </c>
      <c r="O80" s="94">
        <v>15</v>
      </c>
      <c r="P80" s="67" t="s">
        <v>212</v>
      </c>
      <c r="Q80" s="62">
        <v>36</v>
      </c>
      <c r="R80" s="94">
        <v>6</v>
      </c>
      <c r="S80" s="67" t="s">
        <v>218</v>
      </c>
      <c r="T80" s="62">
        <v>50</v>
      </c>
      <c r="U80" s="94">
        <v>7</v>
      </c>
      <c r="V80" s="67" t="s">
        <v>509</v>
      </c>
      <c r="W80" s="62" t="s">
        <v>509</v>
      </c>
      <c r="X80" s="94" t="s">
        <v>509</v>
      </c>
      <c r="Y80" s="67" t="s">
        <v>509</v>
      </c>
      <c r="Z80" s="20" t="s">
        <v>509</v>
      </c>
      <c r="AA80" s="94" t="s">
        <v>509</v>
      </c>
    </row>
    <row r="81" spans="1:27" x14ac:dyDescent="0.25">
      <c r="A81" s="67" t="s">
        <v>684</v>
      </c>
      <c r="B81" s="62">
        <v>0.4</v>
      </c>
      <c r="C81" s="94">
        <v>51</v>
      </c>
      <c r="D81" s="193" t="s">
        <v>679</v>
      </c>
      <c r="E81" s="165">
        <v>7.1764152927475205E-2</v>
      </c>
      <c r="F81" s="55">
        <v>9</v>
      </c>
      <c r="G81" s="193" t="s">
        <v>177</v>
      </c>
      <c r="H81" s="165">
        <v>5.5980213440223039E-2</v>
      </c>
      <c r="I81" s="94">
        <v>11</v>
      </c>
      <c r="J81" s="193" t="s">
        <v>667</v>
      </c>
      <c r="K81" s="165">
        <v>0.15590859827831915</v>
      </c>
      <c r="L81" s="94">
        <v>20</v>
      </c>
      <c r="M81" s="67" t="s">
        <v>692</v>
      </c>
      <c r="N81" s="62">
        <v>35.630000000000003</v>
      </c>
      <c r="O81" s="94">
        <v>15</v>
      </c>
      <c r="P81" s="67" t="s">
        <v>213</v>
      </c>
      <c r="Q81" s="62">
        <v>36</v>
      </c>
      <c r="R81" s="94">
        <v>6</v>
      </c>
      <c r="S81" s="67" t="s">
        <v>184</v>
      </c>
      <c r="T81" s="62">
        <v>50</v>
      </c>
      <c r="U81" s="94">
        <v>7</v>
      </c>
      <c r="V81" s="67" t="s">
        <v>509</v>
      </c>
      <c r="W81" s="62" t="s">
        <v>509</v>
      </c>
      <c r="X81" s="94" t="s">
        <v>509</v>
      </c>
      <c r="Y81" s="67" t="s">
        <v>509</v>
      </c>
      <c r="Z81" s="20" t="s">
        <v>509</v>
      </c>
      <c r="AA81" s="94" t="s">
        <v>509</v>
      </c>
    </row>
    <row r="82" spans="1:27" x14ac:dyDescent="0.25">
      <c r="A82" s="67" t="s">
        <v>675</v>
      </c>
      <c r="B82" s="62">
        <v>0.38</v>
      </c>
      <c r="C82" s="94">
        <v>52</v>
      </c>
      <c r="D82" s="193" t="s">
        <v>697</v>
      </c>
      <c r="E82" s="165">
        <v>7.1024861775328116E-2</v>
      </c>
      <c r="F82" s="55">
        <v>9</v>
      </c>
      <c r="G82" s="193" t="s">
        <v>217</v>
      </c>
      <c r="H82" s="165">
        <v>5.4880762057714971E-2</v>
      </c>
      <c r="I82" s="94">
        <v>12</v>
      </c>
      <c r="J82" s="193" t="s">
        <v>670</v>
      </c>
      <c r="K82" s="165">
        <v>0.15558007841370217</v>
      </c>
      <c r="L82" s="94">
        <v>20</v>
      </c>
      <c r="M82" s="67" t="s">
        <v>678</v>
      </c>
      <c r="N82" s="62">
        <v>35.630000000000003</v>
      </c>
      <c r="O82" s="94">
        <v>15</v>
      </c>
      <c r="P82" s="67" t="s">
        <v>217</v>
      </c>
      <c r="Q82" s="62">
        <v>36</v>
      </c>
      <c r="R82" s="94">
        <v>6</v>
      </c>
      <c r="S82" s="67" t="s">
        <v>181</v>
      </c>
      <c r="T82" s="62">
        <v>50</v>
      </c>
      <c r="U82" s="94">
        <v>7</v>
      </c>
      <c r="V82" s="67" t="s">
        <v>509</v>
      </c>
      <c r="W82" s="62" t="s">
        <v>509</v>
      </c>
      <c r="X82" s="94" t="s">
        <v>509</v>
      </c>
      <c r="Y82" s="67" t="s">
        <v>509</v>
      </c>
      <c r="Z82" s="20" t="s">
        <v>509</v>
      </c>
      <c r="AA82" s="94" t="s">
        <v>509</v>
      </c>
    </row>
    <row r="83" spans="1:27" x14ac:dyDescent="0.25">
      <c r="A83" s="67" t="s">
        <v>701</v>
      </c>
      <c r="B83" s="62">
        <v>0.37</v>
      </c>
      <c r="C83" s="94">
        <v>53</v>
      </c>
      <c r="D83" s="193" t="s">
        <v>218</v>
      </c>
      <c r="E83" s="165">
        <v>7.098635230578032E-2</v>
      </c>
      <c r="F83" s="55">
        <v>9</v>
      </c>
      <c r="G83" s="193" t="s">
        <v>241</v>
      </c>
      <c r="H83" s="165">
        <v>5.3446482418062227E-2</v>
      </c>
      <c r="I83" s="94">
        <v>12</v>
      </c>
      <c r="J83" s="193" t="s">
        <v>218</v>
      </c>
      <c r="K83" s="165">
        <v>0.15371247880459707</v>
      </c>
      <c r="L83" s="94">
        <v>21</v>
      </c>
      <c r="M83" s="67" t="s">
        <v>178</v>
      </c>
      <c r="N83" s="62">
        <v>35.630000000000003</v>
      </c>
      <c r="O83" s="94">
        <v>15</v>
      </c>
      <c r="P83" s="67" t="s">
        <v>688</v>
      </c>
      <c r="Q83" s="62">
        <v>36</v>
      </c>
      <c r="R83" s="94">
        <v>6</v>
      </c>
      <c r="S83" s="67" t="s">
        <v>671</v>
      </c>
      <c r="T83" s="62">
        <v>50</v>
      </c>
      <c r="U83" s="94">
        <v>7</v>
      </c>
      <c r="V83" s="67" t="s">
        <v>509</v>
      </c>
      <c r="W83" s="62" t="s">
        <v>509</v>
      </c>
      <c r="X83" s="94" t="s">
        <v>509</v>
      </c>
      <c r="Y83" s="67" t="s">
        <v>509</v>
      </c>
      <c r="Z83" s="20" t="s">
        <v>509</v>
      </c>
      <c r="AA83" s="94" t="s">
        <v>509</v>
      </c>
    </row>
    <row r="84" spans="1:27" x14ac:dyDescent="0.25">
      <c r="A84" s="67" t="s">
        <v>674</v>
      </c>
      <c r="B84" s="62">
        <v>0.35</v>
      </c>
      <c r="C84" s="94">
        <v>54</v>
      </c>
      <c r="D84" s="193" t="s">
        <v>219</v>
      </c>
      <c r="E84" s="165">
        <v>7.0452826663706961E-2</v>
      </c>
      <c r="F84" s="55">
        <v>9</v>
      </c>
      <c r="G84" s="193" t="s">
        <v>253</v>
      </c>
      <c r="H84" s="165">
        <v>5.2486234963642048E-2</v>
      </c>
      <c r="I84" s="94">
        <v>12</v>
      </c>
      <c r="J84" s="193" t="s">
        <v>702</v>
      </c>
      <c r="K84" s="165">
        <v>0.15130624440151286</v>
      </c>
      <c r="L84" s="94">
        <v>21</v>
      </c>
      <c r="M84" s="67" t="s">
        <v>684</v>
      </c>
      <c r="N84" s="62">
        <v>35.630000000000003</v>
      </c>
      <c r="O84" s="94">
        <v>15</v>
      </c>
      <c r="P84" s="67" t="s">
        <v>186</v>
      </c>
      <c r="Q84" s="62">
        <v>36</v>
      </c>
      <c r="R84" s="94">
        <v>6</v>
      </c>
      <c r="S84" s="67" t="s">
        <v>662</v>
      </c>
      <c r="T84" s="62">
        <v>50</v>
      </c>
      <c r="U84" s="94">
        <v>7</v>
      </c>
      <c r="V84" s="67" t="s">
        <v>509</v>
      </c>
      <c r="W84" s="62" t="s">
        <v>509</v>
      </c>
      <c r="X84" s="94" t="s">
        <v>509</v>
      </c>
      <c r="Y84" s="67" t="s">
        <v>509</v>
      </c>
      <c r="Z84" s="20" t="s">
        <v>509</v>
      </c>
      <c r="AA84" s="94" t="s">
        <v>509</v>
      </c>
    </row>
    <row r="85" spans="1:27" x14ac:dyDescent="0.25">
      <c r="A85" s="67" t="s">
        <v>671</v>
      </c>
      <c r="B85" s="62">
        <v>0.35</v>
      </c>
      <c r="C85" s="94">
        <v>54</v>
      </c>
      <c r="D85" s="193" t="s">
        <v>663</v>
      </c>
      <c r="E85" s="165">
        <v>7.01596027304177E-2</v>
      </c>
      <c r="F85" s="55">
        <v>9</v>
      </c>
      <c r="G85" s="193" t="s">
        <v>693</v>
      </c>
      <c r="H85" s="165">
        <v>5.1393758820060274E-2</v>
      </c>
      <c r="I85" s="94">
        <v>12</v>
      </c>
      <c r="J85" s="193" t="s">
        <v>696</v>
      </c>
      <c r="K85" s="165">
        <v>0.15127421896327534</v>
      </c>
      <c r="L85" s="94">
        <v>21</v>
      </c>
      <c r="M85" s="67" t="s">
        <v>675</v>
      </c>
      <c r="N85" s="62">
        <v>35.630000000000003</v>
      </c>
      <c r="O85" s="94">
        <v>15</v>
      </c>
      <c r="P85" s="67" t="s">
        <v>680</v>
      </c>
      <c r="Q85" s="62">
        <v>36</v>
      </c>
      <c r="R85" s="94">
        <v>6</v>
      </c>
      <c r="S85" s="67" t="s">
        <v>248</v>
      </c>
      <c r="T85" s="62">
        <v>50</v>
      </c>
      <c r="U85" s="94">
        <v>7</v>
      </c>
      <c r="V85" s="67" t="s">
        <v>509</v>
      </c>
      <c r="W85" s="62" t="s">
        <v>509</v>
      </c>
      <c r="X85" s="94" t="s">
        <v>509</v>
      </c>
      <c r="Y85" s="67" t="s">
        <v>509</v>
      </c>
      <c r="Z85" s="20" t="s">
        <v>509</v>
      </c>
      <c r="AA85" s="94" t="s">
        <v>509</v>
      </c>
    </row>
    <row r="86" spans="1:27" x14ac:dyDescent="0.25">
      <c r="A86" s="67" t="s">
        <v>245</v>
      </c>
      <c r="B86" s="62">
        <v>0.35</v>
      </c>
      <c r="C86" s="94">
        <v>54</v>
      </c>
      <c r="D86" s="193" t="s">
        <v>207</v>
      </c>
      <c r="E86" s="165">
        <v>6.941992258140775E-2</v>
      </c>
      <c r="F86" s="55">
        <v>9</v>
      </c>
      <c r="G86" s="193" t="s">
        <v>242</v>
      </c>
      <c r="H86" s="165">
        <v>5.1255445603693453E-2</v>
      </c>
      <c r="I86" s="94">
        <v>12</v>
      </c>
      <c r="J86" s="193" t="s">
        <v>211</v>
      </c>
      <c r="K86" s="165">
        <v>0.14963488400852756</v>
      </c>
      <c r="L86" s="94">
        <v>21</v>
      </c>
      <c r="M86" s="67" t="s">
        <v>670</v>
      </c>
      <c r="N86" s="62">
        <v>35.630000000000003</v>
      </c>
      <c r="O86" s="94">
        <v>15</v>
      </c>
      <c r="P86" s="67" t="s">
        <v>683</v>
      </c>
      <c r="Q86" s="62">
        <v>36</v>
      </c>
      <c r="R86" s="94">
        <v>6</v>
      </c>
      <c r="S86" s="67" t="s">
        <v>696</v>
      </c>
      <c r="T86" s="62">
        <v>50</v>
      </c>
      <c r="U86" s="94">
        <v>7</v>
      </c>
      <c r="V86" s="67" t="s">
        <v>509</v>
      </c>
      <c r="W86" s="62" t="s">
        <v>509</v>
      </c>
      <c r="X86" s="94" t="s">
        <v>509</v>
      </c>
      <c r="Y86" s="67" t="s">
        <v>509</v>
      </c>
      <c r="Z86" s="20" t="s">
        <v>509</v>
      </c>
      <c r="AA86" s="94" t="s">
        <v>509</v>
      </c>
    </row>
    <row r="87" spans="1:27" x14ac:dyDescent="0.25">
      <c r="A87" s="67" t="s">
        <v>700</v>
      </c>
      <c r="B87" s="62">
        <v>0.35</v>
      </c>
      <c r="C87" s="94">
        <v>54</v>
      </c>
      <c r="D87" s="193" t="s">
        <v>702</v>
      </c>
      <c r="E87" s="165">
        <v>6.9141986262651167E-2</v>
      </c>
      <c r="F87" s="55">
        <v>9</v>
      </c>
      <c r="G87" s="193" t="s">
        <v>689</v>
      </c>
      <c r="H87" s="165">
        <v>5.0790974991099802E-2</v>
      </c>
      <c r="I87" s="94">
        <v>12</v>
      </c>
      <c r="J87" s="193" t="s">
        <v>683</v>
      </c>
      <c r="K87" s="165">
        <v>0.14923494344831567</v>
      </c>
      <c r="L87" s="94">
        <v>21</v>
      </c>
      <c r="M87" s="67" t="s">
        <v>666</v>
      </c>
      <c r="N87" s="62">
        <v>35.630000000000003</v>
      </c>
      <c r="O87" s="94">
        <v>15</v>
      </c>
      <c r="P87" s="67" t="s">
        <v>698</v>
      </c>
      <c r="Q87" s="62">
        <v>36</v>
      </c>
      <c r="R87" s="94">
        <v>6</v>
      </c>
      <c r="S87" s="67" t="s">
        <v>207</v>
      </c>
      <c r="T87" s="62">
        <v>46.67</v>
      </c>
      <c r="U87" s="94">
        <v>8</v>
      </c>
      <c r="V87" s="67" t="s">
        <v>509</v>
      </c>
      <c r="W87" s="62" t="s">
        <v>509</v>
      </c>
      <c r="X87" s="94" t="s">
        <v>509</v>
      </c>
      <c r="Y87" s="67" t="s">
        <v>509</v>
      </c>
      <c r="Z87" s="20" t="s">
        <v>509</v>
      </c>
      <c r="AA87" s="94" t="s">
        <v>509</v>
      </c>
    </row>
    <row r="88" spans="1:27" x14ac:dyDescent="0.25">
      <c r="A88" s="67" t="s">
        <v>695</v>
      </c>
      <c r="B88" s="62">
        <v>0.35</v>
      </c>
      <c r="C88" s="94">
        <v>54</v>
      </c>
      <c r="D88" s="193" t="s">
        <v>675</v>
      </c>
      <c r="E88" s="165">
        <v>6.7984514726271303E-2</v>
      </c>
      <c r="F88" s="55">
        <v>9</v>
      </c>
      <c r="G88" s="193" t="s">
        <v>4</v>
      </c>
      <c r="H88" s="165">
        <v>5.0386370573725088E-2</v>
      </c>
      <c r="I88" s="94">
        <v>12</v>
      </c>
      <c r="J88" s="193" t="s">
        <v>695</v>
      </c>
      <c r="K88" s="165">
        <v>0.14827639398541367</v>
      </c>
      <c r="L88" s="94">
        <v>21</v>
      </c>
      <c r="M88" s="67" t="s">
        <v>659</v>
      </c>
      <c r="N88" s="62">
        <v>35.630000000000003</v>
      </c>
      <c r="O88" s="94">
        <v>15</v>
      </c>
      <c r="P88" s="67" t="s">
        <v>674</v>
      </c>
      <c r="Q88" s="62">
        <v>36</v>
      </c>
      <c r="R88" s="94">
        <v>6</v>
      </c>
      <c r="S88" s="67" t="s">
        <v>194</v>
      </c>
      <c r="T88" s="62">
        <v>46.67</v>
      </c>
      <c r="U88" s="94">
        <v>8</v>
      </c>
      <c r="V88" s="67" t="s">
        <v>509</v>
      </c>
      <c r="W88" s="62" t="s">
        <v>509</v>
      </c>
      <c r="X88" s="94" t="s">
        <v>509</v>
      </c>
      <c r="Y88" s="67" t="s">
        <v>509</v>
      </c>
      <c r="Z88" s="20" t="s">
        <v>509</v>
      </c>
      <c r="AA88" s="94" t="s">
        <v>509</v>
      </c>
    </row>
    <row r="89" spans="1:27" x14ac:dyDescent="0.25">
      <c r="A89" s="67" t="s">
        <v>686</v>
      </c>
      <c r="B89" s="62">
        <v>0.34</v>
      </c>
      <c r="C89" s="94">
        <v>55</v>
      </c>
      <c r="D89" s="193" t="s">
        <v>253</v>
      </c>
      <c r="E89" s="165">
        <v>6.7773573007778545E-2</v>
      </c>
      <c r="F89" s="55">
        <v>9</v>
      </c>
      <c r="G89" s="193" t="s">
        <v>662</v>
      </c>
      <c r="H89" s="165">
        <v>4.9945397032988309E-2</v>
      </c>
      <c r="I89" s="94">
        <v>12</v>
      </c>
      <c r="J89" s="193" t="s">
        <v>186</v>
      </c>
      <c r="K89" s="165">
        <v>0.14623995789147876</v>
      </c>
      <c r="L89" s="94">
        <v>21</v>
      </c>
      <c r="M89" s="67" t="s">
        <v>197</v>
      </c>
      <c r="N89" s="62">
        <v>34.479999999999997</v>
      </c>
      <c r="O89" s="94">
        <v>16</v>
      </c>
      <c r="P89" s="67" t="s">
        <v>659</v>
      </c>
      <c r="Q89" s="62">
        <v>36</v>
      </c>
      <c r="R89" s="94">
        <v>6</v>
      </c>
      <c r="S89" s="67" t="s">
        <v>215</v>
      </c>
      <c r="T89" s="62">
        <v>46.67</v>
      </c>
      <c r="U89" s="94">
        <v>8</v>
      </c>
      <c r="V89" s="67" t="s">
        <v>509</v>
      </c>
      <c r="W89" s="62" t="s">
        <v>509</v>
      </c>
      <c r="X89" s="94" t="s">
        <v>509</v>
      </c>
      <c r="Y89" s="67" t="s">
        <v>509</v>
      </c>
      <c r="Z89" s="20" t="s">
        <v>509</v>
      </c>
      <c r="AA89" s="94" t="s">
        <v>509</v>
      </c>
    </row>
    <row r="90" spans="1:27" x14ac:dyDescent="0.25">
      <c r="A90" s="67" t="s">
        <v>702</v>
      </c>
      <c r="B90" s="62">
        <v>0.34</v>
      </c>
      <c r="C90" s="94">
        <v>55</v>
      </c>
      <c r="D90" s="193" t="s">
        <v>673</v>
      </c>
      <c r="E90" s="165">
        <v>6.7159349926580722E-2</v>
      </c>
      <c r="F90" s="55">
        <v>9</v>
      </c>
      <c r="G90" s="193" t="s">
        <v>705</v>
      </c>
      <c r="H90" s="165">
        <v>4.9294517967060435E-2</v>
      </c>
      <c r="I90" s="94">
        <v>12</v>
      </c>
      <c r="J90" s="193" t="s">
        <v>658</v>
      </c>
      <c r="K90" s="165">
        <v>0.14301492158357845</v>
      </c>
      <c r="L90" s="94">
        <v>22</v>
      </c>
      <c r="M90" s="67" t="s">
        <v>227</v>
      </c>
      <c r="N90" s="62">
        <v>34.479999999999997</v>
      </c>
      <c r="O90" s="94">
        <v>16</v>
      </c>
      <c r="P90" s="67" t="s">
        <v>254</v>
      </c>
      <c r="Q90" s="62">
        <v>36</v>
      </c>
      <c r="R90" s="94">
        <v>6</v>
      </c>
      <c r="S90" s="67" t="s">
        <v>200</v>
      </c>
      <c r="T90" s="62">
        <v>46.67</v>
      </c>
      <c r="U90" s="94">
        <v>8</v>
      </c>
      <c r="V90" s="67" t="s">
        <v>509</v>
      </c>
      <c r="W90" s="62" t="s">
        <v>509</v>
      </c>
      <c r="X90" s="94" t="s">
        <v>509</v>
      </c>
      <c r="Y90" s="67" t="s">
        <v>509</v>
      </c>
      <c r="Z90" s="20" t="s">
        <v>509</v>
      </c>
      <c r="AA90" s="94" t="s">
        <v>509</v>
      </c>
    </row>
    <row r="91" spans="1:27" x14ac:dyDescent="0.25">
      <c r="A91" s="67" t="s">
        <v>685</v>
      </c>
      <c r="B91" s="62">
        <v>0.33</v>
      </c>
      <c r="C91" s="94">
        <v>56</v>
      </c>
      <c r="D91" s="193" t="s">
        <v>668</v>
      </c>
      <c r="E91" s="165">
        <v>6.6035561229814549E-2</v>
      </c>
      <c r="F91" s="55">
        <v>9</v>
      </c>
      <c r="G91" s="193" t="s">
        <v>188</v>
      </c>
      <c r="H91" s="165">
        <v>4.7691898548322183E-2</v>
      </c>
      <c r="I91" s="94">
        <v>12</v>
      </c>
      <c r="J91" s="193" t="s">
        <v>698</v>
      </c>
      <c r="K91" s="165">
        <v>0.14260027171306894</v>
      </c>
      <c r="L91" s="94">
        <v>22</v>
      </c>
      <c r="M91" s="67" t="s">
        <v>222</v>
      </c>
      <c r="N91" s="62">
        <v>34.479999999999997</v>
      </c>
      <c r="O91" s="94">
        <v>16</v>
      </c>
      <c r="P91" s="67" t="s">
        <v>663</v>
      </c>
      <c r="Q91" s="62">
        <v>36</v>
      </c>
      <c r="R91" s="94">
        <v>6</v>
      </c>
      <c r="S91" s="67" t="s">
        <v>203</v>
      </c>
      <c r="T91" s="62">
        <v>46.67</v>
      </c>
      <c r="U91" s="94">
        <v>8</v>
      </c>
      <c r="V91" s="67" t="s">
        <v>509</v>
      </c>
      <c r="W91" s="62" t="s">
        <v>509</v>
      </c>
      <c r="X91" s="94" t="s">
        <v>509</v>
      </c>
      <c r="Y91" s="67" t="s">
        <v>509</v>
      </c>
      <c r="Z91" s="20" t="s">
        <v>509</v>
      </c>
      <c r="AA91" s="94" t="s">
        <v>509</v>
      </c>
    </row>
    <row r="92" spans="1:27" x14ac:dyDescent="0.25">
      <c r="A92" s="67" t="s">
        <v>703</v>
      </c>
      <c r="B92" s="62">
        <v>0.32</v>
      </c>
      <c r="C92" s="94">
        <v>57</v>
      </c>
      <c r="D92" s="193" t="s">
        <v>670</v>
      </c>
      <c r="E92" s="165">
        <v>6.4375334009110011E-2</v>
      </c>
      <c r="F92" s="55">
        <v>9</v>
      </c>
      <c r="G92" s="193" t="s">
        <v>251</v>
      </c>
      <c r="H92" s="165">
        <v>4.6186480972764732E-2</v>
      </c>
      <c r="I92" s="94">
        <v>12</v>
      </c>
      <c r="J92" s="193" t="s">
        <v>674</v>
      </c>
      <c r="K92" s="165">
        <v>0.14179699989203934</v>
      </c>
      <c r="L92" s="94">
        <v>22</v>
      </c>
      <c r="M92" s="67" t="s">
        <v>240</v>
      </c>
      <c r="N92" s="62">
        <v>34.479999999999997</v>
      </c>
      <c r="O92" s="94">
        <v>16</v>
      </c>
      <c r="P92" s="67" t="s">
        <v>252</v>
      </c>
      <c r="Q92" s="62">
        <v>36</v>
      </c>
      <c r="R92" s="94">
        <v>6</v>
      </c>
      <c r="S92" s="67" t="s">
        <v>213</v>
      </c>
      <c r="T92" s="62">
        <v>46.67</v>
      </c>
      <c r="U92" s="94">
        <v>8</v>
      </c>
      <c r="V92" s="67" t="s">
        <v>509</v>
      </c>
      <c r="W92" s="62" t="s">
        <v>509</v>
      </c>
      <c r="X92" s="94" t="s">
        <v>509</v>
      </c>
      <c r="Y92" s="67" t="s">
        <v>509</v>
      </c>
      <c r="Z92" s="20" t="s">
        <v>509</v>
      </c>
      <c r="AA92" s="94" t="s">
        <v>509</v>
      </c>
    </row>
    <row r="93" spans="1:27" x14ac:dyDescent="0.25">
      <c r="A93" s="67" t="s">
        <v>668</v>
      </c>
      <c r="B93" s="62">
        <v>0.32</v>
      </c>
      <c r="C93" s="94">
        <v>57</v>
      </c>
      <c r="D93" s="193" t="s">
        <v>242</v>
      </c>
      <c r="E93" s="165">
        <v>6.2749045610724238E-2</v>
      </c>
      <c r="F93" s="55">
        <v>9</v>
      </c>
      <c r="G93" s="193" t="s">
        <v>680</v>
      </c>
      <c r="H93" s="165">
        <v>4.6149919141277647E-2</v>
      </c>
      <c r="I93" s="94">
        <v>12</v>
      </c>
      <c r="J93" s="193" t="s">
        <v>177</v>
      </c>
      <c r="K93" s="165">
        <v>0.13872957271538031</v>
      </c>
      <c r="L93" s="94">
        <v>22</v>
      </c>
      <c r="M93" s="67" t="s">
        <v>251</v>
      </c>
      <c r="N93" s="62">
        <v>34.479999999999997</v>
      </c>
      <c r="O93" s="94">
        <v>16</v>
      </c>
      <c r="P93" s="67" t="s">
        <v>227</v>
      </c>
      <c r="Q93" s="62">
        <v>32</v>
      </c>
      <c r="R93" s="94">
        <v>7</v>
      </c>
      <c r="S93" s="67" t="s">
        <v>186</v>
      </c>
      <c r="T93" s="62">
        <v>46.67</v>
      </c>
      <c r="U93" s="94">
        <v>8</v>
      </c>
      <c r="V93" s="67" t="s">
        <v>509</v>
      </c>
      <c r="W93" s="62" t="s">
        <v>509</v>
      </c>
      <c r="X93" s="94" t="s">
        <v>509</v>
      </c>
      <c r="Y93" s="67" t="s">
        <v>509</v>
      </c>
      <c r="Z93" s="20" t="s">
        <v>509</v>
      </c>
      <c r="AA93" s="94" t="s">
        <v>509</v>
      </c>
    </row>
    <row r="94" spans="1:27" x14ac:dyDescent="0.25">
      <c r="A94" s="67" t="s">
        <v>699</v>
      </c>
      <c r="B94" s="62">
        <v>0.32</v>
      </c>
      <c r="C94" s="94">
        <v>57</v>
      </c>
      <c r="D94" s="193" t="s">
        <v>683</v>
      </c>
      <c r="E94" s="165">
        <v>6.2630634193307749E-2</v>
      </c>
      <c r="F94" s="55">
        <v>10</v>
      </c>
      <c r="G94" s="193" t="s">
        <v>679</v>
      </c>
      <c r="H94" s="165">
        <v>4.569529791161285E-2</v>
      </c>
      <c r="I94" s="94">
        <v>12</v>
      </c>
      <c r="J94" s="193" t="s">
        <v>187</v>
      </c>
      <c r="K94" s="165">
        <v>0.1370358050706352</v>
      </c>
      <c r="L94" s="94">
        <v>22</v>
      </c>
      <c r="M94" s="67" t="s">
        <v>699</v>
      </c>
      <c r="N94" s="62">
        <v>34.479999999999997</v>
      </c>
      <c r="O94" s="94">
        <v>16</v>
      </c>
      <c r="P94" s="67" t="s">
        <v>195</v>
      </c>
      <c r="Q94" s="62">
        <v>32</v>
      </c>
      <c r="R94" s="94">
        <v>7</v>
      </c>
      <c r="S94" s="67" t="s">
        <v>240</v>
      </c>
      <c r="T94" s="62">
        <v>46.67</v>
      </c>
      <c r="U94" s="94">
        <v>8</v>
      </c>
      <c r="V94" s="67" t="s">
        <v>509</v>
      </c>
      <c r="W94" s="62" t="s">
        <v>509</v>
      </c>
      <c r="X94" s="94" t="s">
        <v>509</v>
      </c>
      <c r="Y94" s="67" t="s">
        <v>509</v>
      </c>
      <c r="Z94" s="20" t="s">
        <v>509</v>
      </c>
      <c r="AA94" s="94" t="s">
        <v>509</v>
      </c>
    </row>
    <row r="95" spans="1:27" x14ac:dyDescent="0.25">
      <c r="A95" s="67" t="s">
        <v>682</v>
      </c>
      <c r="B95" s="62">
        <v>0.31</v>
      </c>
      <c r="C95" s="94">
        <v>58</v>
      </c>
      <c r="D95" s="193" t="s">
        <v>685</v>
      </c>
      <c r="E95" s="165">
        <v>6.108243519405316E-2</v>
      </c>
      <c r="F95" s="55">
        <v>10</v>
      </c>
      <c r="G95" s="193" t="s">
        <v>659</v>
      </c>
      <c r="H95" s="165">
        <v>4.543943868672301E-2</v>
      </c>
      <c r="I95" s="94">
        <v>12</v>
      </c>
      <c r="J95" s="193" t="s">
        <v>179</v>
      </c>
      <c r="K95" s="165">
        <v>0.13342024281163647</v>
      </c>
      <c r="L95" s="94">
        <v>23</v>
      </c>
      <c r="M95" s="67" t="s">
        <v>241</v>
      </c>
      <c r="N95" s="62">
        <v>34.479999999999997</v>
      </c>
      <c r="O95" s="94">
        <v>16</v>
      </c>
      <c r="P95" s="67" t="s">
        <v>223</v>
      </c>
      <c r="Q95" s="62">
        <v>32</v>
      </c>
      <c r="R95" s="94">
        <v>7</v>
      </c>
      <c r="S95" s="67" t="s">
        <v>251</v>
      </c>
      <c r="T95" s="62">
        <v>46.67</v>
      </c>
      <c r="U95" s="94">
        <v>8</v>
      </c>
      <c r="V95" s="67" t="s">
        <v>509</v>
      </c>
      <c r="W95" s="62" t="s">
        <v>509</v>
      </c>
      <c r="X95" s="94" t="s">
        <v>509</v>
      </c>
      <c r="Y95" s="67" t="s">
        <v>509</v>
      </c>
      <c r="Z95" s="20" t="s">
        <v>509</v>
      </c>
      <c r="AA95" s="94" t="s">
        <v>509</v>
      </c>
    </row>
    <row r="96" spans="1:27" x14ac:dyDescent="0.25">
      <c r="A96" s="67" t="s">
        <v>661</v>
      </c>
      <c r="B96" s="62">
        <v>0.3</v>
      </c>
      <c r="C96" s="94">
        <v>59</v>
      </c>
      <c r="D96" s="193" t="s">
        <v>665</v>
      </c>
      <c r="E96" s="165">
        <v>6.068390774789275E-2</v>
      </c>
      <c r="F96" s="55">
        <v>10</v>
      </c>
      <c r="G96" s="193" t="s">
        <v>675</v>
      </c>
      <c r="H96" s="165">
        <v>4.4983028122587337E-2</v>
      </c>
      <c r="I96" s="94">
        <v>13</v>
      </c>
      <c r="J96" s="193" t="s">
        <v>699</v>
      </c>
      <c r="K96" s="165">
        <v>0.13009078596299281</v>
      </c>
      <c r="L96" s="94">
        <v>23</v>
      </c>
      <c r="M96" s="67" t="s">
        <v>188</v>
      </c>
      <c r="N96" s="62">
        <v>34.479999999999997</v>
      </c>
      <c r="O96" s="94">
        <v>16</v>
      </c>
      <c r="P96" s="67" t="s">
        <v>196</v>
      </c>
      <c r="Q96" s="62">
        <v>32</v>
      </c>
      <c r="R96" s="94">
        <v>7</v>
      </c>
      <c r="S96" s="67" t="s">
        <v>693</v>
      </c>
      <c r="T96" s="62">
        <v>46.67</v>
      </c>
      <c r="U96" s="94">
        <v>8</v>
      </c>
      <c r="V96" s="67" t="s">
        <v>509</v>
      </c>
      <c r="W96" s="62" t="s">
        <v>509</v>
      </c>
      <c r="X96" s="94" t="s">
        <v>509</v>
      </c>
      <c r="Y96" s="67" t="s">
        <v>509</v>
      </c>
      <c r="Z96" s="20" t="s">
        <v>509</v>
      </c>
      <c r="AA96" s="94" t="s">
        <v>509</v>
      </c>
    </row>
    <row r="97" spans="1:27" x14ac:dyDescent="0.25">
      <c r="A97" s="67" t="s">
        <v>670</v>
      </c>
      <c r="B97" s="62">
        <v>0.28999999999999998</v>
      </c>
      <c r="C97" s="94">
        <v>60</v>
      </c>
      <c r="D97" s="193" t="s">
        <v>251</v>
      </c>
      <c r="E97" s="165">
        <v>5.9967408085252923E-2</v>
      </c>
      <c r="F97" s="55">
        <v>10</v>
      </c>
      <c r="G97" s="193" t="s">
        <v>250</v>
      </c>
      <c r="H97" s="165">
        <v>4.4157142020572034E-2</v>
      </c>
      <c r="I97" s="94">
        <v>13</v>
      </c>
      <c r="J97" s="193" t="s">
        <v>253</v>
      </c>
      <c r="K97" s="165">
        <v>0.12979878767411657</v>
      </c>
      <c r="L97" s="94">
        <v>23</v>
      </c>
      <c r="M97" s="67" t="s">
        <v>207</v>
      </c>
      <c r="N97" s="62">
        <v>33.33</v>
      </c>
      <c r="O97" s="94">
        <v>17</v>
      </c>
      <c r="P97" s="67" t="s">
        <v>239</v>
      </c>
      <c r="Q97" s="62">
        <v>32</v>
      </c>
      <c r="R97" s="94">
        <v>7</v>
      </c>
      <c r="S97" s="67" t="s">
        <v>683</v>
      </c>
      <c r="T97" s="62">
        <v>46.67</v>
      </c>
      <c r="U97" s="94">
        <v>8</v>
      </c>
      <c r="V97" s="67" t="s">
        <v>509</v>
      </c>
      <c r="W97" s="62" t="s">
        <v>509</v>
      </c>
      <c r="X97" s="94" t="s">
        <v>509</v>
      </c>
      <c r="Y97" s="67" t="s">
        <v>509</v>
      </c>
      <c r="Z97" s="20" t="s">
        <v>509</v>
      </c>
      <c r="AA97" s="94" t="s">
        <v>509</v>
      </c>
    </row>
    <row r="98" spans="1:27" x14ac:dyDescent="0.25">
      <c r="A98" s="67" t="s">
        <v>666</v>
      </c>
      <c r="B98" s="62">
        <v>0.28999999999999998</v>
      </c>
      <c r="C98" s="94">
        <v>60</v>
      </c>
      <c r="D98" s="193" t="s">
        <v>698</v>
      </c>
      <c r="E98" s="165">
        <v>5.9850065503158786E-2</v>
      </c>
      <c r="F98" s="55">
        <v>10</v>
      </c>
      <c r="G98" s="193" t="s">
        <v>665</v>
      </c>
      <c r="H98" s="165">
        <v>4.1549914791152442E-2</v>
      </c>
      <c r="I98" s="94">
        <v>13</v>
      </c>
      <c r="J98" s="193" t="s">
        <v>209</v>
      </c>
      <c r="K98" s="165">
        <v>0.12910088244762016</v>
      </c>
      <c r="L98" s="94">
        <v>23</v>
      </c>
      <c r="M98" s="67" t="s">
        <v>217</v>
      </c>
      <c r="N98" s="62">
        <v>33.33</v>
      </c>
      <c r="O98" s="94">
        <v>17</v>
      </c>
      <c r="P98" s="67" t="s">
        <v>240</v>
      </c>
      <c r="Q98" s="62">
        <v>32</v>
      </c>
      <c r="R98" s="94">
        <v>7</v>
      </c>
      <c r="S98" s="67" t="s">
        <v>674</v>
      </c>
      <c r="T98" s="62">
        <v>46.67</v>
      </c>
      <c r="U98" s="94">
        <v>8</v>
      </c>
      <c r="V98" s="67" t="s">
        <v>509</v>
      </c>
      <c r="W98" s="62" t="s">
        <v>509</v>
      </c>
      <c r="X98" s="94" t="s">
        <v>509</v>
      </c>
      <c r="Y98" s="67" t="s">
        <v>509</v>
      </c>
      <c r="Z98" s="20" t="s">
        <v>509</v>
      </c>
      <c r="AA98" s="94" t="s">
        <v>509</v>
      </c>
    </row>
    <row r="99" spans="1:27" x14ac:dyDescent="0.25">
      <c r="A99" s="67" t="s">
        <v>662</v>
      </c>
      <c r="B99" s="62">
        <v>0.28000000000000003</v>
      </c>
      <c r="C99" s="94">
        <v>61</v>
      </c>
      <c r="D99" s="193" t="s">
        <v>661</v>
      </c>
      <c r="E99" s="165">
        <v>5.9407147365065291E-2</v>
      </c>
      <c r="F99" s="55">
        <v>10</v>
      </c>
      <c r="G99" s="193" t="s">
        <v>664</v>
      </c>
      <c r="H99" s="165">
        <v>4.1405031796680654E-2</v>
      </c>
      <c r="I99" s="94">
        <v>13</v>
      </c>
      <c r="J99" s="193" t="s">
        <v>685</v>
      </c>
      <c r="K99" s="165">
        <v>0.12888820677833709</v>
      </c>
      <c r="L99" s="94">
        <v>23</v>
      </c>
      <c r="M99" s="67" t="s">
        <v>211</v>
      </c>
      <c r="N99" s="62">
        <v>33.33</v>
      </c>
      <c r="O99" s="94">
        <v>17</v>
      </c>
      <c r="P99" s="67" t="s">
        <v>692</v>
      </c>
      <c r="Q99" s="62">
        <v>32</v>
      </c>
      <c r="R99" s="94">
        <v>7</v>
      </c>
      <c r="S99" s="67" t="s">
        <v>700</v>
      </c>
      <c r="T99" s="62">
        <v>46.67</v>
      </c>
      <c r="U99" s="94">
        <v>8</v>
      </c>
      <c r="V99" s="67" t="s">
        <v>509</v>
      </c>
      <c r="W99" s="62" t="s">
        <v>509</v>
      </c>
      <c r="X99" s="94" t="s">
        <v>509</v>
      </c>
      <c r="Y99" s="67" t="s">
        <v>509</v>
      </c>
      <c r="Z99" s="20" t="s">
        <v>509</v>
      </c>
      <c r="AA99" s="94" t="s">
        <v>509</v>
      </c>
    </row>
    <row r="100" spans="1:27" x14ac:dyDescent="0.25">
      <c r="A100" s="67" t="s">
        <v>697</v>
      </c>
      <c r="B100" s="62">
        <v>0.28000000000000003</v>
      </c>
      <c r="C100" s="94">
        <v>61</v>
      </c>
      <c r="D100" s="193" t="s">
        <v>658</v>
      </c>
      <c r="E100" s="165">
        <v>5.901111068021634E-2</v>
      </c>
      <c r="F100" s="55">
        <v>10</v>
      </c>
      <c r="G100" s="193" t="s">
        <v>660</v>
      </c>
      <c r="H100" s="165">
        <v>4.0540713858931404E-2</v>
      </c>
      <c r="I100" s="94">
        <v>13</v>
      </c>
      <c r="J100" s="193" t="s">
        <v>668</v>
      </c>
      <c r="K100" s="165">
        <v>0.12683241644059709</v>
      </c>
      <c r="L100" s="94">
        <v>23</v>
      </c>
      <c r="M100" s="67" t="s">
        <v>0</v>
      </c>
      <c r="N100" s="62">
        <v>33.33</v>
      </c>
      <c r="O100" s="94">
        <v>17</v>
      </c>
      <c r="P100" s="67" t="s">
        <v>693</v>
      </c>
      <c r="Q100" s="62">
        <v>32</v>
      </c>
      <c r="R100" s="94">
        <v>7</v>
      </c>
      <c r="S100" s="67" t="s">
        <v>685</v>
      </c>
      <c r="T100" s="62">
        <v>46.67</v>
      </c>
      <c r="U100" s="94">
        <v>8</v>
      </c>
      <c r="V100" s="67" t="s">
        <v>509</v>
      </c>
      <c r="W100" s="62" t="s">
        <v>509</v>
      </c>
      <c r="X100" s="94" t="s">
        <v>509</v>
      </c>
      <c r="Y100" s="67" t="s">
        <v>509</v>
      </c>
      <c r="Z100" s="20" t="s">
        <v>509</v>
      </c>
      <c r="AA100" s="94" t="s">
        <v>509</v>
      </c>
    </row>
    <row r="101" spans="1:27" x14ac:dyDescent="0.25">
      <c r="A101" s="67" t="s">
        <v>659</v>
      </c>
      <c r="B101" s="62">
        <v>0.28000000000000003</v>
      </c>
      <c r="C101" s="94">
        <v>61</v>
      </c>
      <c r="D101" s="193" t="s">
        <v>674</v>
      </c>
      <c r="E101" s="165">
        <v>5.8758401222180366E-2</v>
      </c>
      <c r="F101" s="55">
        <v>10</v>
      </c>
      <c r="G101" s="193" t="s">
        <v>683</v>
      </c>
      <c r="H101" s="165">
        <v>3.9164224574619183E-2</v>
      </c>
      <c r="I101" s="94">
        <v>13</v>
      </c>
      <c r="J101" s="193" t="s">
        <v>692</v>
      </c>
      <c r="K101" s="165">
        <v>0.12643799672412309</v>
      </c>
      <c r="L101" s="94">
        <v>23</v>
      </c>
      <c r="M101" s="67" t="s">
        <v>693</v>
      </c>
      <c r="N101" s="62">
        <v>33.33</v>
      </c>
      <c r="O101" s="94">
        <v>17</v>
      </c>
      <c r="P101" s="67" t="s">
        <v>678</v>
      </c>
      <c r="Q101" s="62">
        <v>32</v>
      </c>
      <c r="R101" s="94">
        <v>7</v>
      </c>
      <c r="S101" s="67" t="s">
        <v>697</v>
      </c>
      <c r="T101" s="62">
        <v>46.67</v>
      </c>
      <c r="U101" s="94">
        <v>8</v>
      </c>
      <c r="V101" s="67" t="s">
        <v>509</v>
      </c>
      <c r="W101" s="62" t="s">
        <v>509</v>
      </c>
      <c r="X101" s="94" t="s">
        <v>509</v>
      </c>
      <c r="Y101" s="67" t="s">
        <v>509</v>
      </c>
      <c r="Z101" s="20" t="s">
        <v>509</v>
      </c>
      <c r="AA101" s="94" t="s">
        <v>509</v>
      </c>
    </row>
    <row r="102" spans="1:27" x14ac:dyDescent="0.25">
      <c r="A102" s="67" t="s">
        <v>248</v>
      </c>
      <c r="B102" s="62">
        <v>0.28000000000000003</v>
      </c>
      <c r="C102" s="94">
        <v>61</v>
      </c>
      <c r="D102" s="193" t="s">
        <v>699</v>
      </c>
      <c r="E102" s="165">
        <v>5.8052854284729241E-2</v>
      </c>
      <c r="F102" s="55">
        <v>10</v>
      </c>
      <c r="G102" s="193" t="s">
        <v>678</v>
      </c>
      <c r="H102" s="165">
        <v>3.8171069087539387E-2</v>
      </c>
      <c r="I102" s="94">
        <v>13</v>
      </c>
      <c r="J102" s="193" t="s">
        <v>665</v>
      </c>
      <c r="K102" s="165">
        <v>0.12051280729454519</v>
      </c>
      <c r="L102" s="94">
        <v>24</v>
      </c>
      <c r="M102" s="67" t="s">
        <v>683</v>
      </c>
      <c r="N102" s="62">
        <v>33.33</v>
      </c>
      <c r="O102" s="94">
        <v>17</v>
      </c>
      <c r="P102" s="67" t="s">
        <v>4</v>
      </c>
      <c r="Q102" s="62">
        <v>32</v>
      </c>
      <c r="R102" s="94">
        <v>7</v>
      </c>
      <c r="S102" s="67" t="s">
        <v>253</v>
      </c>
      <c r="T102" s="62">
        <v>46.67</v>
      </c>
      <c r="U102" s="94">
        <v>8</v>
      </c>
      <c r="V102" s="67" t="s">
        <v>509</v>
      </c>
      <c r="W102" s="62" t="s">
        <v>509</v>
      </c>
      <c r="X102" s="94" t="s">
        <v>509</v>
      </c>
      <c r="Y102" s="67" t="s">
        <v>509</v>
      </c>
      <c r="Z102" s="20" t="s">
        <v>509</v>
      </c>
      <c r="AA102" s="94" t="s">
        <v>509</v>
      </c>
    </row>
    <row r="103" spans="1:27" x14ac:dyDescent="0.25">
      <c r="A103" s="67" t="s">
        <v>254</v>
      </c>
      <c r="B103" s="62">
        <v>0.28000000000000003</v>
      </c>
      <c r="C103" s="94">
        <v>61</v>
      </c>
      <c r="D103" s="193" t="s">
        <v>695</v>
      </c>
      <c r="E103" s="165">
        <v>5.628185986032691E-2</v>
      </c>
      <c r="F103" s="55">
        <v>10</v>
      </c>
      <c r="G103" s="193" t="s">
        <v>674</v>
      </c>
      <c r="H103" s="165">
        <v>3.7013029639131424E-2</v>
      </c>
      <c r="I103" s="94">
        <v>13</v>
      </c>
      <c r="J103" s="193" t="s">
        <v>242</v>
      </c>
      <c r="K103" s="165">
        <v>0.11694893552383524</v>
      </c>
      <c r="L103" s="94">
        <v>24</v>
      </c>
      <c r="M103" s="67" t="s">
        <v>242</v>
      </c>
      <c r="N103" s="62">
        <v>33.33</v>
      </c>
      <c r="O103" s="94">
        <v>17</v>
      </c>
      <c r="P103" s="67" t="s">
        <v>686</v>
      </c>
      <c r="Q103" s="62">
        <v>32</v>
      </c>
      <c r="R103" s="94">
        <v>7</v>
      </c>
      <c r="S103" s="67" t="s">
        <v>663</v>
      </c>
      <c r="T103" s="62">
        <v>46.67</v>
      </c>
      <c r="U103" s="94">
        <v>8</v>
      </c>
      <c r="V103" s="67" t="s">
        <v>509</v>
      </c>
      <c r="W103" s="62" t="s">
        <v>509</v>
      </c>
      <c r="X103" s="94" t="s">
        <v>509</v>
      </c>
      <c r="Y103" s="67" t="s">
        <v>509</v>
      </c>
      <c r="Z103" s="20" t="s">
        <v>509</v>
      </c>
      <c r="AA103" s="94" t="s">
        <v>509</v>
      </c>
    </row>
    <row r="104" spans="1:27" x14ac:dyDescent="0.25">
      <c r="A104" s="67" t="s">
        <v>669</v>
      </c>
      <c r="B104" s="62">
        <v>0.27</v>
      </c>
      <c r="C104" s="94">
        <v>62</v>
      </c>
      <c r="D104" s="193" t="s">
        <v>662</v>
      </c>
      <c r="E104" s="165">
        <v>5.5255708438375462E-2</v>
      </c>
      <c r="F104" s="55">
        <v>10</v>
      </c>
      <c r="G104" s="193" t="s">
        <v>694</v>
      </c>
      <c r="H104" s="165">
        <v>3.658411415013043E-2</v>
      </c>
      <c r="I104" s="94">
        <v>13</v>
      </c>
      <c r="J104" s="193" t="s">
        <v>700</v>
      </c>
      <c r="K104" s="165">
        <v>0.11585598215624326</v>
      </c>
      <c r="L104" s="94">
        <v>24</v>
      </c>
      <c r="M104" s="67" t="s">
        <v>671</v>
      </c>
      <c r="N104" s="62">
        <v>33.33</v>
      </c>
      <c r="O104" s="94">
        <v>17</v>
      </c>
      <c r="P104" s="67" t="s">
        <v>703</v>
      </c>
      <c r="Q104" s="62">
        <v>32</v>
      </c>
      <c r="R104" s="94">
        <v>7</v>
      </c>
      <c r="S104" s="67" t="s">
        <v>202</v>
      </c>
      <c r="T104" s="62">
        <v>43.33</v>
      </c>
      <c r="U104" s="94">
        <v>9</v>
      </c>
      <c r="V104" s="67" t="s">
        <v>509</v>
      </c>
      <c r="W104" s="62" t="s">
        <v>509</v>
      </c>
      <c r="X104" s="94" t="s">
        <v>509</v>
      </c>
      <c r="Y104" s="67" t="s">
        <v>509</v>
      </c>
      <c r="Z104" s="20" t="s">
        <v>509</v>
      </c>
      <c r="AA104" s="94" t="s">
        <v>509</v>
      </c>
    </row>
    <row r="105" spans="1:27" x14ac:dyDescent="0.25">
      <c r="A105" s="67" t="s">
        <v>658</v>
      </c>
      <c r="B105" s="62">
        <v>0.27</v>
      </c>
      <c r="C105" s="94">
        <v>62</v>
      </c>
      <c r="D105" s="193" t="s">
        <v>209</v>
      </c>
      <c r="E105" s="165">
        <v>5.4699070694525405E-2</v>
      </c>
      <c r="F105" s="55">
        <v>11</v>
      </c>
      <c r="G105" s="193" t="s">
        <v>703</v>
      </c>
      <c r="H105" s="165">
        <v>3.3611121867335274E-2</v>
      </c>
      <c r="I105" s="94">
        <v>14</v>
      </c>
      <c r="J105" s="193" t="s">
        <v>662</v>
      </c>
      <c r="K105" s="165">
        <v>0.11361070438580975</v>
      </c>
      <c r="L105" s="94">
        <v>25</v>
      </c>
      <c r="M105" s="67" t="s">
        <v>210</v>
      </c>
      <c r="N105" s="62">
        <v>33.33</v>
      </c>
      <c r="O105" s="94">
        <v>17</v>
      </c>
      <c r="P105" s="67" t="s">
        <v>664</v>
      </c>
      <c r="Q105" s="62">
        <v>32</v>
      </c>
      <c r="R105" s="94">
        <v>7</v>
      </c>
      <c r="S105" s="67" t="s">
        <v>178</v>
      </c>
      <c r="T105" s="62">
        <v>43.33</v>
      </c>
      <c r="U105" s="94">
        <v>9</v>
      </c>
      <c r="V105" s="67" t="s">
        <v>509</v>
      </c>
      <c r="W105" s="62" t="s">
        <v>509</v>
      </c>
      <c r="X105" s="94" t="s">
        <v>509</v>
      </c>
      <c r="Y105" s="67" t="s">
        <v>509</v>
      </c>
      <c r="Z105" s="20" t="s">
        <v>509</v>
      </c>
      <c r="AA105" s="94" t="s">
        <v>509</v>
      </c>
    </row>
    <row r="106" spans="1:27" x14ac:dyDescent="0.25">
      <c r="A106" s="67" t="s">
        <v>253</v>
      </c>
      <c r="B106" s="62">
        <v>0.27</v>
      </c>
      <c r="C106" s="94">
        <v>62</v>
      </c>
      <c r="D106" s="193" t="s">
        <v>186</v>
      </c>
      <c r="E106" s="165">
        <v>5.4064411765510238E-2</v>
      </c>
      <c r="F106" s="55">
        <v>11</v>
      </c>
      <c r="G106" s="193" t="s">
        <v>0</v>
      </c>
      <c r="H106" s="165">
        <v>3.1474690842118867E-2</v>
      </c>
      <c r="I106" s="94">
        <v>14</v>
      </c>
      <c r="J106" s="193" t="s">
        <v>681</v>
      </c>
      <c r="K106" s="165">
        <v>0.1129689559217182</v>
      </c>
      <c r="L106" s="94">
        <v>25</v>
      </c>
      <c r="M106" s="67" t="s">
        <v>681</v>
      </c>
      <c r="N106" s="62">
        <v>33.33</v>
      </c>
      <c r="O106" s="94">
        <v>17</v>
      </c>
      <c r="P106" s="67" t="s">
        <v>694</v>
      </c>
      <c r="Q106" s="62">
        <v>32</v>
      </c>
      <c r="R106" s="94">
        <v>7</v>
      </c>
      <c r="S106" s="67" t="s">
        <v>675</v>
      </c>
      <c r="T106" s="62">
        <v>43.33</v>
      </c>
      <c r="U106" s="94">
        <v>9</v>
      </c>
      <c r="V106" s="67" t="s">
        <v>509</v>
      </c>
      <c r="W106" s="62" t="s">
        <v>509</v>
      </c>
      <c r="X106" s="94" t="s">
        <v>509</v>
      </c>
      <c r="Y106" s="67" t="s">
        <v>509</v>
      </c>
      <c r="Z106" s="20" t="s">
        <v>509</v>
      </c>
      <c r="AA106" s="94" t="s">
        <v>509</v>
      </c>
    </row>
    <row r="107" spans="1:27" x14ac:dyDescent="0.25">
      <c r="A107" s="67" t="s">
        <v>664</v>
      </c>
      <c r="B107" s="62">
        <v>0.26</v>
      </c>
      <c r="C107" s="94">
        <v>63</v>
      </c>
      <c r="D107" s="193" t="s">
        <v>681</v>
      </c>
      <c r="E107" s="165">
        <v>5.3516004936085021E-2</v>
      </c>
      <c r="F107" s="55">
        <v>11</v>
      </c>
      <c r="G107" s="193" t="s">
        <v>671</v>
      </c>
      <c r="H107" s="165">
        <v>2.9040151249870912E-2</v>
      </c>
      <c r="I107" s="94">
        <v>14</v>
      </c>
      <c r="J107" s="193" t="s">
        <v>178</v>
      </c>
      <c r="K107" s="165">
        <v>0.10999291878342517</v>
      </c>
      <c r="L107" s="94">
        <v>25</v>
      </c>
      <c r="M107" s="67" t="s">
        <v>191</v>
      </c>
      <c r="N107" s="62">
        <v>32.18</v>
      </c>
      <c r="O107" s="94">
        <v>18</v>
      </c>
      <c r="P107" s="67" t="s">
        <v>660</v>
      </c>
      <c r="Q107" s="62">
        <v>32</v>
      </c>
      <c r="R107" s="94">
        <v>7</v>
      </c>
      <c r="S107" s="67" t="s">
        <v>245</v>
      </c>
      <c r="T107" s="62">
        <v>43.33</v>
      </c>
      <c r="U107" s="94">
        <v>9</v>
      </c>
      <c r="V107" s="67" t="s">
        <v>509</v>
      </c>
      <c r="W107" s="62" t="s">
        <v>509</v>
      </c>
      <c r="X107" s="94" t="s">
        <v>509</v>
      </c>
      <c r="Y107" s="67" t="s">
        <v>509</v>
      </c>
      <c r="Z107" s="20" t="s">
        <v>509</v>
      </c>
      <c r="AA107" s="94" t="s">
        <v>509</v>
      </c>
    </row>
    <row r="108" spans="1:27" x14ac:dyDescent="0.25">
      <c r="A108" s="67" t="s">
        <v>694</v>
      </c>
      <c r="B108" s="62">
        <v>0.26</v>
      </c>
      <c r="C108" s="94">
        <v>63</v>
      </c>
      <c r="D108" s="193" t="s">
        <v>693</v>
      </c>
      <c r="E108" s="165">
        <v>5.3230636094223939E-2</v>
      </c>
      <c r="F108" s="55">
        <v>11</v>
      </c>
      <c r="G108" s="193" t="s">
        <v>697</v>
      </c>
      <c r="H108" s="165">
        <v>2.5213541599985519E-2</v>
      </c>
      <c r="I108" s="94">
        <v>14</v>
      </c>
      <c r="J108" s="193" t="s">
        <v>693</v>
      </c>
      <c r="K108" s="165">
        <v>0.10612706982016223</v>
      </c>
      <c r="L108" s="94">
        <v>25</v>
      </c>
      <c r="M108" s="67" t="s">
        <v>202</v>
      </c>
      <c r="N108" s="62">
        <v>32.18</v>
      </c>
      <c r="O108" s="94">
        <v>18</v>
      </c>
      <c r="P108" s="67" t="s">
        <v>230</v>
      </c>
      <c r="Q108" s="62">
        <v>28</v>
      </c>
      <c r="R108" s="94">
        <v>8</v>
      </c>
      <c r="S108" s="67" t="s">
        <v>699</v>
      </c>
      <c r="T108" s="62">
        <v>43.33</v>
      </c>
      <c r="U108" s="94">
        <v>9</v>
      </c>
      <c r="V108" s="67" t="s">
        <v>509</v>
      </c>
      <c r="W108" s="62" t="s">
        <v>509</v>
      </c>
      <c r="X108" s="94" t="s">
        <v>509</v>
      </c>
      <c r="Y108" s="67" t="s">
        <v>509</v>
      </c>
      <c r="Z108" s="20" t="s">
        <v>509</v>
      </c>
      <c r="AA108" s="94" t="s">
        <v>509</v>
      </c>
    </row>
    <row r="109" spans="1:27" x14ac:dyDescent="0.25">
      <c r="A109" s="67" t="s">
        <v>663</v>
      </c>
      <c r="B109" s="62">
        <v>0.26</v>
      </c>
      <c r="C109" s="94">
        <v>63</v>
      </c>
      <c r="D109" s="193" t="s">
        <v>666</v>
      </c>
      <c r="E109" s="165">
        <v>5.2173288565596172E-2</v>
      </c>
      <c r="F109" s="55">
        <v>11</v>
      </c>
      <c r="G109" s="193" t="s">
        <v>670</v>
      </c>
      <c r="H109" s="165">
        <v>2.4768517451256411E-2</v>
      </c>
      <c r="I109" s="94">
        <v>15</v>
      </c>
      <c r="J109" s="193" t="s">
        <v>661</v>
      </c>
      <c r="K109" s="165">
        <v>9.7082801125859097E-2</v>
      </c>
      <c r="L109" s="94">
        <v>26</v>
      </c>
      <c r="M109" s="67" t="s">
        <v>226</v>
      </c>
      <c r="N109" s="62">
        <v>32.18</v>
      </c>
      <c r="O109" s="94">
        <v>18</v>
      </c>
      <c r="P109" s="67" t="s">
        <v>209</v>
      </c>
      <c r="Q109" s="62">
        <v>28</v>
      </c>
      <c r="R109" s="94">
        <v>8</v>
      </c>
      <c r="S109" s="67" t="s">
        <v>666</v>
      </c>
      <c r="T109" s="62">
        <v>43.33</v>
      </c>
      <c r="U109" s="94">
        <v>9</v>
      </c>
      <c r="V109" s="67" t="s">
        <v>509</v>
      </c>
      <c r="W109" s="62" t="s">
        <v>509</v>
      </c>
      <c r="X109" s="94" t="s">
        <v>509</v>
      </c>
      <c r="Y109" s="67" t="s">
        <v>509</v>
      </c>
      <c r="Z109" s="20" t="s">
        <v>509</v>
      </c>
      <c r="AA109" s="94" t="s">
        <v>509</v>
      </c>
    </row>
    <row r="110" spans="1:27" x14ac:dyDescent="0.25">
      <c r="A110" s="67" t="s">
        <v>665</v>
      </c>
      <c r="B110" s="62">
        <v>0.24</v>
      </c>
      <c r="C110" s="94">
        <v>64</v>
      </c>
      <c r="D110" s="193" t="s">
        <v>252</v>
      </c>
      <c r="E110" s="165">
        <v>4.9886577019186404E-2</v>
      </c>
      <c r="F110" s="55">
        <v>11</v>
      </c>
      <c r="G110" s="193" t="s">
        <v>219</v>
      </c>
      <c r="H110" s="165">
        <v>2.346246884458645E-2</v>
      </c>
      <c r="I110" s="94">
        <v>15</v>
      </c>
      <c r="J110" s="193" t="s">
        <v>694</v>
      </c>
      <c r="K110" s="165">
        <v>9.3726553681393446E-2</v>
      </c>
      <c r="L110" s="94">
        <v>27</v>
      </c>
      <c r="M110" s="67" t="s">
        <v>231</v>
      </c>
      <c r="N110" s="62">
        <v>32.18</v>
      </c>
      <c r="O110" s="94">
        <v>18</v>
      </c>
      <c r="P110" s="67" t="s">
        <v>214</v>
      </c>
      <c r="Q110" s="62">
        <v>28</v>
      </c>
      <c r="R110" s="94">
        <v>8</v>
      </c>
      <c r="S110" s="67" t="s">
        <v>664</v>
      </c>
      <c r="T110" s="62">
        <v>43.33</v>
      </c>
      <c r="U110" s="94">
        <v>9</v>
      </c>
      <c r="V110" s="67" t="s">
        <v>509</v>
      </c>
      <c r="W110" s="62" t="s">
        <v>509</v>
      </c>
      <c r="X110" s="94" t="s">
        <v>509</v>
      </c>
      <c r="Y110" s="67" t="s">
        <v>509</v>
      </c>
      <c r="Z110" s="20" t="s">
        <v>509</v>
      </c>
      <c r="AA110" s="94" t="s">
        <v>509</v>
      </c>
    </row>
    <row r="111" spans="1:27" x14ac:dyDescent="0.25">
      <c r="A111" s="67" t="s">
        <v>241</v>
      </c>
      <c r="B111" s="62">
        <v>0.24</v>
      </c>
      <c r="C111" s="94">
        <v>64</v>
      </c>
      <c r="D111" s="193" t="s">
        <v>692</v>
      </c>
      <c r="E111" s="165">
        <v>4.6503466245793705E-2</v>
      </c>
      <c r="F111" s="55">
        <v>11</v>
      </c>
      <c r="G111" s="193" t="s">
        <v>252</v>
      </c>
      <c r="H111" s="165">
        <v>2.204070241799632E-2</v>
      </c>
      <c r="I111" s="94">
        <v>15</v>
      </c>
      <c r="J111" s="193" t="s">
        <v>659</v>
      </c>
      <c r="K111" s="165">
        <v>9.2681215631277319E-2</v>
      </c>
      <c r="L111" s="94">
        <v>27</v>
      </c>
      <c r="M111" s="67" t="s">
        <v>245</v>
      </c>
      <c r="N111" s="62">
        <v>32.18</v>
      </c>
      <c r="O111" s="94">
        <v>18</v>
      </c>
      <c r="P111" s="67" t="s">
        <v>183</v>
      </c>
      <c r="Q111" s="62">
        <v>28</v>
      </c>
      <c r="R111" s="94">
        <v>8</v>
      </c>
      <c r="S111" s="67" t="s">
        <v>241</v>
      </c>
      <c r="T111" s="62">
        <v>43.33</v>
      </c>
      <c r="U111" s="94">
        <v>9</v>
      </c>
      <c r="V111" s="67" t="s">
        <v>509</v>
      </c>
      <c r="W111" s="62" t="s">
        <v>509</v>
      </c>
      <c r="X111" s="94" t="s">
        <v>509</v>
      </c>
      <c r="Y111" s="67" t="s">
        <v>509</v>
      </c>
      <c r="Z111" s="20" t="s">
        <v>509</v>
      </c>
      <c r="AA111" s="94" t="s">
        <v>509</v>
      </c>
    </row>
    <row r="112" spans="1:27" x14ac:dyDescent="0.25">
      <c r="A112" s="67" t="s">
        <v>210</v>
      </c>
      <c r="B112" s="62">
        <v>0.24</v>
      </c>
      <c r="C112" s="94">
        <v>64</v>
      </c>
      <c r="D112" s="193" t="s">
        <v>696</v>
      </c>
      <c r="E112" s="165">
        <v>4.4223640636765288E-2</v>
      </c>
      <c r="F112" s="55">
        <v>12</v>
      </c>
      <c r="G112" s="193" t="s">
        <v>663</v>
      </c>
      <c r="H112" s="165">
        <v>1.8754872109213064E-2</v>
      </c>
      <c r="I112" s="94">
        <v>15</v>
      </c>
      <c r="J112" s="193" t="s">
        <v>4</v>
      </c>
      <c r="K112" s="165">
        <v>9.0865050871853231E-2</v>
      </c>
      <c r="L112" s="94">
        <v>27</v>
      </c>
      <c r="M112" s="67" t="s">
        <v>661</v>
      </c>
      <c r="N112" s="62">
        <v>32.18</v>
      </c>
      <c r="O112" s="94">
        <v>18</v>
      </c>
      <c r="P112" s="67" t="s">
        <v>0</v>
      </c>
      <c r="Q112" s="62">
        <v>28</v>
      </c>
      <c r="R112" s="94">
        <v>8</v>
      </c>
      <c r="S112" s="67" t="s">
        <v>657</v>
      </c>
      <c r="T112" s="62">
        <v>43.33</v>
      </c>
      <c r="U112" s="94">
        <v>9</v>
      </c>
      <c r="V112" s="67" t="s">
        <v>509</v>
      </c>
      <c r="W112" s="62" t="s">
        <v>509</v>
      </c>
      <c r="X112" s="94" t="s">
        <v>509</v>
      </c>
      <c r="Y112" s="67" t="s">
        <v>509</v>
      </c>
      <c r="Z112" s="20" t="s">
        <v>509</v>
      </c>
      <c r="AA112" s="94" t="s">
        <v>509</v>
      </c>
    </row>
    <row r="113" spans="1:30" x14ac:dyDescent="0.25">
      <c r="A113" s="67" t="s">
        <v>252</v>
      </c>
      <c r="B113" s="62">
        <v>0.23</v>
      </c>
      <c r="C113" s="94">
        <v>65</v>
      </c>
      <c r="D113" s="193" t="s">
        <v>694</v>
      </c>
      <c r="E113" s="165">
        <v>4.0121281825746362E-2</v>
      </c>
      <c r="F113" s="55">
        <v>12</v>
      </c>
      <c r="G113" s="193" t="s">
        <v>692</v>
      </c>
      <c r="H113" s="165">
        <v>1.8497446070299059E-2</v>
      </c>
      <c r="I113" s="94">
        <v>15</v>
      </c>
      <c r="J113" s="193" t="s">
        <v>252</v>
      </c>
      <c r="K113" s="165">
        <v>8.8139429523041379E-2</v>
      </c>
      <c r="L113" s="94">
        <v>27</v>
      </c>
      <c r="M113" s="67" t="s">
        <v>697</v>
      </c>
      <c r="N113" s="62">
        <v>32.18</v>
      </c>
      <c r="O113" s="94">
        <v>18</v>
      </c>
      <c r="P113" s="67" t="s">
        <v>689</v>
      </c>
      <c r="Q113" s="62">
        <v>28</v>
      </c>
      <c r="R113" s="94">
        <v>8</v>
      </c>
      <c r="S113" s="67" t="s">
        <v>188</v>
      </c>
      <c r="T113" s="62">
        <v>43.33</v>
      </c>
      <c r="U113" s="94">
        <v>9</v>
      </c>
      <c r="V113" s="67" t="s">
        <v>509</v>
      </c>
      <c r="W113" s="62" t="s">
        <v>509</v>
      </c>
      <c r="X113" s="94" t="s">
        <v>509</v>
      </c>
      <c r="Y113" s="67" t="s">
        <v>509</v>
      </c>
      <c r="Z113" s="20" t="s">
        <v>509</v>
      </c>
      <c r="AA113" s="94" t="s">
        <v>509</v>
      </c>
    </row>
    <row r="114" spans="1:30" x14ac:dyDescent="0.25">
      <c r="A114" s="67" t="s">
        <v>657</v>
      </c>
      <c r="B114" s="62">
        <v>0.23</v>
      </c>
      <c r="C114" s="94">
        <v>65</v>
      </c>
      <c r="D114" s="193" t="s">
        <v>241</v>
      </c>
      <c r="E114" s="165">
        <v>3.8846452840247576E-2</v>
      </c>
      <c r="F114" s="55">
        <v>12</v>
      </c>
      <c r="G114" s="193" t="s">
        <v>658</v>
      </c>
      <c r="H114" s="165">
        <v>1.708309870363952E-2</v>
      </c>
      <c r="I114" s="94">
        <v>15</v>
      </c>
      <c r="J114" s="193" t="s">
        <v>180</v>
      </c>
      <c r="K114" s="165">
        <v>8.5020303648023446E-2</v>
      </c>
      <c r="L114" s="94">
        <v>27</v>
      </c>
      <c r="M114" s="67" t="s">
        <v>664</v>
      </c>
      <c r="N114" s="62">
        <v>32.18</v>
      </c>
      <c r="O114" s="94">
        <v>18</v>
      </c>
      <c r="P114" s="67" t="s">
        <v>245</v>
      </c>
      <c r="Q114" s="62">
        <v>28</v>
      </c>
      <c r="R114" s="94">
        <v>8</v>
      </c>
      <c r="S114" s="67" t="s">
        <v>681</v>
      </c>
      <c r="T114" s="62">
        <v>43.33</v>
      </c>
      <c r="U114" s="94">
        <v>9</v>
      </c>
      <c r="V114" s="67" t="s">
        <v>509</v>
      </c>
      <c r="W114" s="62" t="s">
        <v>509</v>
      </c>
      <c r="X114" s="94" t="s">
        <v>509</v>
      </c>
      <c r="Y114" s="67" t="s">
        <v>509</v>
      </c>
      <c r="Z114" s="20" t="s">
        <v>509</v>
      </c>
      <c r="AA114" s="94" t="s">
        <v>509</v>
      </c>
    </row>
    <row r="115" spans="1:30" x14ac:dyDescent="0.25">
      <c r="A115" s="67" t="s">
        <v>188</v>
      </c>
      <c r="B115" s="62">
        <v>0.23</v>
      </c>
      <c r="C115" s="94">
        <v>65</v>
      </c>
      <c r="D115" s="193" t="s">
        <v>210</v>
      </c>
      <c r="E115" s="165">
        <v>3.540094474364875E-2</v>
      </c>
      <c r="F115" s="55">
        <v>12</v>
      </c>
      <c r="G115" s="193" t="s">
        <v>686</v>
      </c>
      <c r="H115" s="165">
        <v>1.4736017626812425E-2</v>
      </c>
      <c r="I115" s="94">
        <v>16</v>
      </c>
      <c r="J115" s="193" t="s">
        <v>241</v>
      </c>
      <c r="K115" s="165">
        <v>8.3245021764207019E-2</v>
      </c>
      <c r="L115" s="94">
        <v>28</v>
      </c>
      <c r="M115" s="67" t="s">
        <v>663</v>
      </c>
      <c r="N115" s="62">
        <v>32.18</v>
      </c>
      <c r="O115" s="94">
        <v>18</v>
      </c>
      <c r="P115" s="67" t="s">
        <v>670</v>
      </c>
      <c r="Q115" s="62">
        <v>28</v>
      </c>
      <c r="R115" s="94">
        <v>8</v>
      </c>
      <c r="S115" s="67" t="s">
        <v>231</v>
      </c>
      <c r="T115" s="62">
        <v>40</v>
      </c>
      <c r="U115" s="94">
        <v>10</v>
      </c>
      <c r="V115" s="67" t="s">
        <v>509</v>
      </c>
      <c r="W115" s="62" t="s">
        <v>509</v>
      </c>
      <c r="X115" s="94" t="s">
        <v>509</v>
      </c>
      <c r="Y115" s="67" t="s">
        <v>509</v>
      </c>
      <c r="Z115" s="20" t="s">
        <v>509</v>
      </c>
      <c r="AA115" s="94" t="s">
        <v>509</v>
      </c>
    </row>
    <row r="116" spans="1:30" x14ac:dyDescent="0.25">
      <c r="A116" s="67" t="s">
        <v>673</v>
      </c>
      <c r="B116" s="62">
        <v>0.22</v>
      </c>
      <c r="C116" s="94">
        <v>66</v>
      </c>
      <c r="D116" s="193" t="s">
        <v>659</v>
      </c>
      <c r="E116" s="165">
        <v>3.3528882113177241E-2</v>
      </c>
      <c r="F116" s="55">
        <v>13</v>
      </c>
      <c r="G116" s="193" t="s">
        <v>684</v>
      </c>
      <c r="H116" s="165">
        <v>9.5717893719277098E-3</v>
      </c>
      <c r="I116" s="94">
        <v>16</v>
      </c>
      <c r="J116" s="193" t="s">
        <v>657</v>
      </c>
      <c r="K116" s="165">
        <v>8.1569392676159799E-2</v>
      </c>
      <c r="L116" s="94">
        <v>28</v>
      </c>
      <c r="M116" s="67" t="s">
        <v>696</v>
      </c>
      <c r="N116" s="62">
        <v>32.18</v>
      </c>
      <c r="O116" s="94">
        <v>18</v>
      </c>
      <c r="P116" s="67" t="s">
        <v>697</v>
      </c>
      <c r="Q116" s="62">
        <v>28</v>
      </c>
      <c r="R116" s="94">
        <v>8</v>
      </c>
      <c r="S116" s="67" t="s">
        <v>226</v>
      </c>
      <c r="T116" s="62">
        <v>36.67</v>
      </c>
      <c r="U116" s="94">
        <v>11</v>
      </c>
      <c r="V116" s="67" t="s">
        <v>509</v>
      </c>
      <c r="W116" s="62" t="s">
        <v>509</v>
      </c>
      <c r="X116" s="94" t="s">
        <v>509</v>
      </c>
      <c r="Y116" s="67" t="s">
        <v>509</v>
      </c>
      <c r="Z116" s="20" t="s">
        <v>509</v>
      </c>
      <c r="AA116" s="94" t="s">
        <v>509</v>
      </c>
    </row>
    <row r="117" spans="1:30" x14ac:dyDescent="0.25">
      <c r="A117" s="67" t="s">
        <v>667</v>
      </c>
      <c r="B117" s="62">
        <v>0.22</v>
      </c>
      <c r="C117" s="94">
        <v>66</v>
      </c>
      <c r="D117" s="193" t="s">
        <v>4</v>
      </c>
      <c r="E117" s="165">
        <v>3.0313597182649057E-2</v>
      </c>
      <c r="F117" s="55">
        <v>13</v>
      </c>
      <c r="G117" s="193" t="s">
        <v>672</v>
      </c>
      <c r="H117" s="165">
        <v>8.1855544388024365E-3</v>
      </c>
      <c r="I117" s="94">
        <v>16</v>
      </c>
      <c r="J117" s="193" t="s">
        <v>666</v>
      </c>
      <c r="K117" s="165">
        <v>7.923488089580967E-2</v>
      </c>
      <c r="L117" s="94">
        <v>28</v>
      </c>
      <c r="M117" s="67" t="s">
        <v>199</v>
      </c>
      <c r="N117" s="62">
        <v>31.03</v>
      </c>
      <c r="O117" s="94">
        <v>19</v>
      </c>
      <c r="P117" s="67" t="s">
        <v>673</v>
      </c>
      <c r="Q117" s="62">
        <v>28</v>
      </c>
      <c r="R117" s="94">
        <v>8</v>
      </c>
      <c r="S117" s="67" t="s">
        <v>242</v>
      </c>
      <c r="T117" s="62">
        <v>36.67</v>
      </c>
      <c r="U117" s="94">
        <v>11</v>
      </c>
      <c r="V117" s="67" t="s">
        <v>509</v>
      </c>
      <c r="W117" s="62" t="s">
        <v>509</v>
      </c>
      <c r="X117" s="94" t="s">
        <v>509</v>
      </c>
      <c r="Y117" s="67" t="s">
        <v>509</v>
      </c>
      <c r="Z117" s="20" t="s">
        <v>509</v>
      </c>
      <c r="AA117" s="94" t="s">
        <v>509</v>
      </c>
    </row>
    <row r="118" spans="1:30" x14ac:dyDescent="0.25">
      <c r="A118" s="67" t="s">
        <v>660</v>
      </c>
      <c r="B118" s="62">
        <v>0.22</v>
      </c>
      <c r="C118" s="94">
        <v>66</v>
      </c>
      <c r="D118" s="193" t="s">
        <v>245</v>
      </c>
      <c r="E118" s="165">
        <v>2.6985470311471284E-2</v>
      </c>
      <c r="F118" s="55">
        <v>13</v>
      </c>
      <c r="G118" s="193" t="s">
        <v>245</v>
      </c>
      <c r="H118" s="165">
        <v>-5.8577045203520245E-4</v>
      </c>
      <c r="I118" s="94">
        <v>17</v>
      </c>
      <c r="J118" s="193" t="s">
        <v>664</v>
      </c>
      <c r="K118" s="165">
        <v>4.2426898804713044E-2</v>
      </c>
      <c r="L118" s="94">
        <v>29</v>
      </c>
      <c r="M118" s="67" t="s">
        <v>186</v>
      </c>
      <c r="N118" s="62">
        <v>31.03</v>
      </c>
      <c r="O118" s="94">
        <v>19</v>
      </c>
      <c r="P118" s="67" t="s">
        <v>671</v>
      </c>
      <c r="Q118" s="62">
        <v>24</v>
      </c>
      <c r="R118" s="94">
        <v>9</v>
      </c>
      <c r="S118" s="67" t="s">
        <v>694</v>
      </c>
      <c r="T118" s="62">
        <v>36.67</v>
      </c>
      <c r="U118" s="94">
        <v>11</v>
      </c>
      <c r="V118" s="67" t="s">
        <v>509</v>
      </c>
      <c r="W118" s="62" t="s">
        <v>509</v>
      </c>
      <c r="X118" s="94" t="s">
        <v>509</v>
      </c>
      <c r="Y118" s="67" t="s">
        <v>509</v>
      </c>
      <c r="Z118" s="20" t="s">
        <v>509</v>
      </c>
      <c r="AA118" s="94" t="s">
        <v>509</v>
      </c>
    </row>
    <row r="119" spans="1:30" x14ac:dyDescent="0.25">
      <c r="A119" s="67" t="s">
        <v>696</v>
      </c>
      <c r="B119" s="62">
        <v>0.22</v>
      </c>
      <c r="C119" s="94">
        <v>66</v>
      </c>
      <c r="D119" s="193" t="s">
        <v>664</v>
      </c>
      <c r="E119" s="165">
        <v>2.4342906732803427E-2</v>
      </c>
      <c r="F119" s="55">
        <v>14</v>
      </c>
      <c r="G119" s="193" t="s">
        <v>657</v>
      </c>
      <c r="H119" s="165">
        <v>-3.8068478715398814E-3</v>
      </c>
      <c r="I119" s="94">
        <v>17</v>
      </c>
      <c r="J119" s="193" t="s">
        <v>245</v>
      </c>
      <c r="K119" s="165">
        <v>4.005501436825569E-2</v>
      </c>
      <c r="L119" s="94">
        <v>29</v>
      </c>
      <c r="M119" s="67" t="s">
        <v>209</v>
      </c>
      <c r="N119" s="62">
        <v>29.89</v>
      </c>
      <c r="O119" s="94">
        <v>20</v>
      </c>
      <c r="P119" s="67" t="s">
        <v>657</v>
      </c>
      <c r="Q119" s="62">
        <v>24</v>
      </c>
      <c r="R119" s="94">
        <v>9</v>
      </c>
      <c r="S119" s="67" t="s">
        <v>210</v>
      </c>
      <c r="T119" s="62">
        <v>36.67</v>
      </c>
      <c r="U119" s="94">
        <v>11</v>
      </c>
      <c r="V119" s="67" t="s">
        <v>509</v>
      </c>
      <c r="W119" s="62" t="s">
        <v>509</v>
      </c>
      <c r="X119" s="94" t="s">
        <v>509</v>
      </c>
      <c r="Y119" s="67" t="s">
        <v>509</v>
      </c>
      <c r="Z119" s="20" t="s">
        <v>509</v>
      </c>
      <c r="AA119" s="94" t="s">
        <v>509</v>
      </c>
    </row>
    <row r="120" spans="1:30" x14ac:dyDescent="0.25">
      <c r="A120" s="67" t="s">
        <v>681</v>
      </c>
      <c r="B120" s="62">
        <v>0.22</v>
      </c>
      <c r="C120" s="94">
        <v>66</v>
      </c>
      <c r="D120" s="193" t="s">
        <v>657</v>
      </c>
      <c r="E120" s="165">
        <v>2.3829530416401092E-2</v>
      </c>
      <c r="F120" s="55">
        <v>14</v>
      </c>
      <c r="G120" s="193" t="s">
        <v>696</v>
      </c>
      <c r="H120" s="165">
        <v>-7.7890177520991968E-3</v>
      </c>
      <c r="I120" s="94">
        <v>18</v>
      </c>
      <c r="J120" s="193" t="s">
        <v>210</v>
      </c>
      <c r="K120" s="165">
        <v>3.3169803998209339E-2</v>
      </c>
      <c r="L120" s="94">
        <v>30</v>
      </c>
      <c r="M120" s="67" t="s">
        <v>657</v>
      </c>
      <c r="N120" s="62">
        <v>29.89</v>
      </c>
      <c r="O120" s="94">
        <v>20</v>
      </c>
      <c r="P120" s="67" t="s">
        <v>696</v>
      </c>
      <c r="Q120" s="62">
        <v>24</v>
      </c>
      <c r="R120" s="94">
        <v>9</v>
      </c>
      <c r="S120" s="67" t="s">
        <v>180</v>
      </c>
      <c r="T120" s="62">
        <v>33.33</v>
      </c>
      <c r="U120" s="94">
        <v>12</v>
      </c>
      <c r="V120" s="67" t="s">
        <v>509</v>
      </c>
      <c r="W120" s="62" t="s">
        <v>509</v>
      </c>
      <c r="X120" s="94" t="s">
        <v>509</v>
      </c>
      <c r="Y120" s="67" t="s">
        <v>509</v>
      </c>
      <c r="Z120" s="20" t="s">
        <v>509</v>
      </c>
      <c r="AA120" s="94" t="s">
        <v>509</v>
      </c>
    </row>
    <row r="121" spans="1:30" x14ac:dyDescent="0.25">
      <c r="A121" s="67" t="s">
        <v>672</v>
      </c>
      <c r="B121" s="62">
        <v>0.2</v>
      </c>
      <c r="C121" s="94">
        <v>67</v>
      </c>
      <c r="D121" s="193" t="s">
        <v>188</v>
      </c>
      <c r="E121" s="165">
        <v>1.5381873509124835E-2</v>
      </c>
      <c r="F121" s="55">
        <v>14</v>
      </c>
      <c r="G121" s="193" t="s">
        <v>673</v>
      </c>
      <c r="H121" s="165">
        <v>-8.870594560058025E-3</v>
      </c>
      <c r="I121" s="94">
        <v>18</v>
      </c>
      <c r="J121" s="193" t="s">
        <v>188</v>
      </c>
      <c r="K121" s="165">
        <v>1.140889537664749E-2</v>
      </c>
      <c r="L121" s="94">
        <v>31</v>
      </c>
      <c r="M121" s="67" t="s">
        <v>694</v>
      </c>
      <c r="N121" s="62">
        <v>26.44</v>
      </c>
      <c r="O121" s="94">
        <v>21</v>
      </c>
      <c r="P121" s="67" t="s">
        <v>684</v>
      </c>
      <c r="Q121" s="62">
        <v>20</v>
      </c>
      <c r="R121" s="94">
        <v>10</v>
      </c>
      <c r="S121" s="67" t="s">
        <v>661</v>
      </c>
      <c r="T121" s="62">
        <v>33.33</v>
      </c>
      <c r="U121" s="94">
        <v>12</v>
      </c>
      <c r="V121" s="67" t="s">
        <v>509</v>
      </c>
      <c r="W121" s="62" t="s">
        <v>509</v>
      </c>
      <c r="X121" s="94" t="s">
        <v>509</v>
      </c>
      <c r="Y121" s="67" t="s">
        <v>509</v>
      </c>
      <c r="Z121" s="20" t="s">
        <v>509</v>
      </c>
      <c r="AA121" s="94" t="s">
        <v>509</v>
      </c>
    </row>
    <row r="122" spans="1:30" x14ac:dyDescent="0.25">
      <c r="A122" s="3"/>
      <c r="B122" s="2"/>
      <c r="C122" s="4"/>
      <c r="D122" s="3"/>
      <c r="E122" s="2"/>
      <c r="F122" s="4"/>
      <c r="G122" s="3"/>
      <c r="H122" s="2"/>
      <c r="I122" s="4"/>
      <c r="J122" s="3"/>
      <c r="K122" s="2"/>
      <c r="L122" s="4"/>
      <c r="M122" s="3"/>
      <c r="N122" s="2"/>
      <c r="O122" s="4"/>
      <c r="P122" s="3"/>
      <c r="Q122" s="2"/>
      <c r="R122" s="4"/>
      <c r="S122" s="3"/>
      <c r="T122" s="2"/>
      <c r="U122" s="4"/>
      <c r="V122" s="3"/>
      <c r="W122" s="2"/>
      <c r="X122" s="4"/>
      <c r="Y122" s="3"/>
      <c r="Z122" s="2"/>
      <c r="AA122" s="4"/>
    </row>
    <row r="123" spans="1:30" ht="15.75" thickBot="1" x14ac:dyDescent="0.3">
      <c r="A123" s="197" t="s">
        <v>20</v>
      </c>
      <c r="B123" s="198"/>
      <c r="C123" s="199"/>
      <c r="D123" s="197" t="s">
        <v>20</v>
      </c>
      <c r="E123" s="198"/>
      <c r="F123" s="199"/>
      <c r="G123" s="197" t="s">
        <v>20</v>
      </c>
      <c r="H123" s="198"/>
      <c r="I123" s="199"/>
      <c r="J123" s="197" t="s">
        <v>20</v>
      </c>
      <c r="K123" s="198"/>
      <c r="L123" s="199"/>
      <c r="M123" s="197" t="s">
        <v>20</v>
      </c>
      <c r="N123" s="198"/>
      <c r="O123" s="199"/>
      <c r="P123" s="197" t="s">
        <v>20</v>
      </c>
      <c r="Q123" s="198"/>
      <c r="R123" s="199"/>
      <c r="S123" s="197" t="s">
        <v>20</v>
      </c>
      <c r="T123" s="198"/>
      <c r="U123" s="199"/>
      <c r="V123" s="197" t="s">
        <v>20</v>
      </c>
      <c r="W123" s="198"/>
      <c r="X123" s="199"/>
      <c r="Y123" s="197" t="s">
        <v>20</v>
      </c>
      <c r="Z123" s="198"/>
      <c r="AA123" s="199"/>
    </row>
    <row r="125" spans="1:30" ht="15.75" thickBot="1" x14ac:dyDescent="0.3"/>
    <row r="126" spans="1:30" ht="15.75" thickBot="1" x14ac:dyDescent="0.3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224" t="s">
        <v>417</v>
      </c>
      <c r="R126" s="225"/>
      <c r="S126" s="61"/>
      <c r="T126" s="61"/>
      <c r="U126" s="61"/>
      <c r="V126" s="61"/>
      <c r="W126" s="61"/>
      <c r="X126" s="61"/>
      <c r="Y126" s="64"/>
      <c r="Z126" s="64"/>
      <c r="AA126" s="64"/>
      <c r="AB126" s="64"/>
      <c r="AC126" s="64"/>
      <c r="AD126" s="64"/>
    </row>
    <row r="127" spans="1:30" x14ac:dyDescent="0.25">
      <c r="A127" s="221" t="s">
        <v>416</v>
      </c>
      <c r="B127" s="222"/>
      <c r="C127" s="222"/>
      <c r="D127" s="222"/>
      <c r="E127" s="222"/>
      <c r="F127" s="222"/>
      <c r="G127" s="222"/>
      <c r="H127" s="222"/>
      <c r="I127" s="222"/>
      <c r="J127" s="222"/>
      <c r="K127" s="222"/>
      <c r="L127" s="223"/>
      <c r="M127" s="228" t="s">
        <v>418</v>
      </c>
      <c r="N127" s="229"/>
      <c r="O127" s="230"/>
      <c r="Q127" s="226"/>
      <c r="R127" s="227"/>
    </row>
    <row r="128" spans="1:30" ht="75" x14ac:dyDescent="0.25">
      <c r="A128" s="5" t="s">
        <v>30</v>
      </c>
      <c r="B128" s="6" t="s">
        <v>29</v>
      </c>
      <c r="C128" s="6" t="s">
        <v>31</v>
      </c>
      <c r="D128" s="6" t="s">
        <v>32</v>
      </c>
      <c r="E128" s="6" t="s">
        <v>33</v>
      </c>
      <c r="F128" s="6" t="s">
        <v>34</v>
      </c>
      <c r="G128" s="6" t="s">
        <v>35</v>
      </c>
      <c r="H128" s="6" t="s">
        <v>36</v>
      </c>
      <c r="I128" s="6" t="s">
        <v>271</v>
      </c>
      <c r="J128" s="6" t="s">
        <v>37</v>
      </c>
      <c r="K128" s="70" t="s">
        <v>38</v>
      </c>
      <c r="L128" s="66" t="s">
        <v>39</v>
      </c>
      <c r="M128" s="5" t="s">
        <v>30</v>
      </c>
      <c r="N128" s="70" t="s">
        <v>419</v>
      </c>
      <c r="O128" s="148" t="s">
        <v>420</v>
      </c>
      <c r="Q128" s="65" t="s">
        <v>21</v>
      </c>
      <c r="R128" s="66" t="s">
        <v>273</v>
      </c>
      <c r="T128" s="63" t="s">
        <v>21</v>
      </c>
      <c r="U128" s="49" t="s">
        <v>407</v>
      </c>
      <c r="V128" s="49" t="s">
        <v>408</v>
      </c>
      <c r="W128" s="49" t="s">
        <v>409</v>
      </c>
      <c r="X128" s="49" t="s">
        <v>410</v>
      </c>
      <c r="Y128" s="49" t="s">
        <v>411</v>
      </c>
      <c r="Z128" s="49" t="s">
        <v>412</v>
      </c>
      <c r="AA128" s="49" t="s">
        <v>413</v>
      </c>
      <c r="AB128" s="49" t="s">
        <v>414</v>
      </c>
      <c r="AC128" s="49" t="s">
        <v>415</v>
      </c>
      <c r="AD128" s="49" t="s">
        <v>406</v>
      </c>
    </row>
    <row r="129" spans="1:30" x14ac:dyDescent="0.25">
      <c r="A129" s="67" t="s">
        <v>190</v>
      </c>
      <c r="B129" s="62">
        <v>2</v>
      </c>
      <c r="C129" s="2">
        <v>2</v>
      </c>
      <c r="D129" s="2">
        <v>4</v>
      </c>
      <c r="E129" s="2">
        <v>1</v>
      </c>
      <c r="F129" s="2">
        <v>11</v>
      </c>
      <c r="G129" s="2">
        <v>4</v>
      </c>
      <c r="H129" s="2">
        <v>7</v>
      </c>
      <c r="I129" s="2" t="s">
        <v>509</v>
      </c>
      <c r="J129" s="2" t="s">
        <v>509</v>
      </c>
      <c r="K129" s="2" t="s">
        <v>509</v>
      </c>
      <c r="L129" s="4" t="s">
        <v>509</v>
      </c>
      <c r="M129" s="195" t="s">
        <v>190</v>
      </c>
      <c r="N129" s="196">
        <f>SUM(B129:H129)</f>
        <v>31</v>
      </c>
      <c r="O129" s="127">
        <v>1</v>
      </c>
      <c r="Q129" s="133" t="s">
        <v>190</v>
      </c>
      <c r="R129" s="116">
        <v>5</v>
      </c>
      <c r="T129" t="s">
        <v>190</v>
      </c>
      <c r="U129">
        <f>COUNTIF(A3:A7,"metacell-124")</f>
        <v>1</v>
      </c>
      <c r="V129">
        <f>COUNTIF(D3:D34,"metacell-124")</f>
        <v>1</v>
      </c>
      <c r="W129">
        <f>COUNTIF(G3:G14,"metacell-124")</f>
        <v>1</v>
      </c>
      <c r="X129">
        <f>COUNTIF(J3:J8,"metacell-124")</f>
        <v>1</v>
      </c>
      <c r="Y129">
        <f>COUNTIF(M3:M8,"metacell-124")</f>
        <v>0</v>
      </c>
      <c r="Z129">
        <f>COUNTIF(P3:P72,"metacell-124")</f>
        <v>1</v>
      </c>
      <c r="AA129">
        <f>COUNTIF(S3:S47,"metacell-124")</f>
        <v>0</v>
      </c>
      <c r="AB129" t="s">
        <v>509</v>
      </c>
      <c r="AC129" t="s">
        <v>509</v>
      </c>
      <c r="AD129">
        <f>SUM(U129:AA129)</f>
        <v>5</v>
      </c>
    </row>
    <row r="130" spans="1:30" x14ac:dyDescent="0.25">
      <c r="A130" s="67" t="s">
        <v>206</v>
      </c>
      <c r="B130" s="62">
        <v>6</v>
      </c>
      <c r="C130" s="2">
        <v>2</v>
      </c>
      <c r="D130" s="2">
        <v>2</v>
      </c>
      <c r="E130" s="2">
        <v>7</v>
      </c>
      <c r="F130" s="2">
        <v>12</v>
      </c>
      <c r="G130" s="2">
        <v>3</v>
      </c>
      <c r="H130" s="2">
        <v>4</v>
      </c>
      <c r="I130" s="2" t="s">
        <v>509</v>
      </c>
      <c r="J130" s="2" t="s">
        <v>509</v>
      </c>
      <c r="K130" s="2" t="s">
        <v>509</v>
      </c>
      <c r="L130" s="4" t="s">
        <v>509</v>
      </c>
      <c r="M130" s="195" t="s">
        <v>206</v>
      </c>
      <c r="N130" s="196">
        <f>SUM(B130:H130)</f>
        <v>36</v>
      </c>
      <c r="O130" s="127">
        <v>2</v>
      </c>
      <c r="Q130" s="133" t="s">
        <v>198</v>
      </c>
      <c r="R130" s="116">
        <v>5</v>
      </c>
      <c r="T130" t="s">
        <v>206</v>
      </c>
      <c r="U130">
        <f>COUNTIF(A3:A7,"metacell-140")</f>
        <v>0</v>
      </c>
      <c r="V130">
        <f>COUNTIF(D3:D34,"metacell-140")</f>
        <v>1</v>
      </c>
      <c r="W130">
        <f>COUNTIF(G3:G14,"metacell-140")</f>
        <v>1</v>
      </c>
      <c r="X130">
        <f>COUNTIF(J3:J8,"metacell-140")</f>
        <v>0</v>
      </c>
      <c r="Y130">
        <f>COUNTIF(M3:M8,"metacell-140")</f>
        <v>0</v>
      </c>
      <c r="Z130">
        <f>COUNTIF(P3:P72,"metacell-140")</f>
        <v>1</v>
      </c>
      <c r="AA130">
        <f>COUNTIF(S3:S47,"metacell-140")</f>
        <v>1</v>
      </c>
      <c r="AB130" t="s">
        <v>509</v>
      </c>
      <c r="AC130" t="s">
        <v>509</v>
      </c>
      <c r="AD130">
        <f t="shared" ref="AD130:AD193" si="0">SUM(U130:AA130)</f>
        <v>4</v>
      </c>
    </row>
    <row r="131" spans="1:30" x14ac:dyDescent="0.25">
      <c r="A131" s="67" t="s">
        <v>189</v>
      </c>
      <c r="B131" s="62">
        <v>13</v>
      </c>
      <c r="C131" s="2">
        <v>3</v>
      </c>
      <c r="D131" s="2">
        <v>8</v>
      </c>
      <c r="E131" s="2">
        <v>6</v>
      </c>
      <c r="F131" s="2">
        <v>7</v>
      </c>
      <c r="G131" s="2">
        <v>5</v>
      </c>
      <c r="H131" s="2">
        <v>1</v>
      </c>
      <c r="I131" s="2" t="s">
        <v>509</v>
      </c>
      <c r="J131" s="2" t="s">
        <v>509</v>
      </c>
      <c r="K131" s="2" t="s">
        <v>509</v>
      </c>
      <c r="L131" s="4" t="s">
        <v>509</v>
      </c>
      <c r="M131" s="195" t="s">
        <v>189</v>
      </c>
      <c r="N131" s="196">
        <f>SUM(B131:H131)</f>
        <v>43</v>
      </c>
      <c r="O131" s="127">
        <v>3</v>
      </c>
      <c r="Q131" s="3" t="s">
        <v>206</v>
      </c>
      <c r="R131" s="4">
        <v>4</v>
      </c>
      <c r="T131" t="s">
        <v>189</v>
      </c>
      <c r="U131">
        <f>COUNTIF(A3:A7,"metacell-123")</f>
        <v>0</v>
      </c>
      <c r="V131">
        <f>COUNTIF(D3:D34,"metacell-123")</f>
        <v>1</v>
      </c>
      <c r="W131">
        <f>COUNTIF(G3:G14,"metacell-123")</f>
        <v>0</v>
      </c>
      <c r="X131">
        <f>COUNTIF(J3:J8,"metacell-123")</f>
        <v>0</v>
      </c>
      <c r="Y131">
        <f>COUNTIF(M3:M8,"metacell-123")</f>
        <v>0</v>
      </c>
      <c r="Z131">
        <f>COUNTIF(P3:P72,"metacell-123")</f>
        <v>1</v>
      </c>
      <c r="AA131">
        <f>COUNTIF(S3:S47,"metacell-123")</f>
        <v>1</v>
      </c>
      <c r="AB131" t="s">
        <v>509</v>
      </c>
      <c r="AC131" t="s">
        <v>509</v>
      </c>
      <c r="AD131">
        <f t="shared" si="0"/>
        <v>3</v>
      </c>
    </row>
    <row r="132" spans="1:30" x14ac:dyDescent="0.25">
      <c r="A132" s="67" t="s">
        <v>191</v>
      </c>
      <c r="B132" s="62">
        <v>1</v>
      </c>
      <c r="C132" s="2">
        <v>2</v>
      </c>
      <c r="D132" s="2">
        <v>5</v>
      </c>
      <c r="E132" s="2">
        <v>4</v>
      </c>
      <c r="F132" s="2">
        <v>18</v>
      </c>
      <c r="G132" s="2">
        <v>6</v>
      </c>
      <c r="H132" s="2">
        <v>7</v>
      </c>
      <c r="I132" s="2" t="s">
        <v>509</v>
      </c>
      <c r="J132" s="2" t="s">
        <v>509</v>
      </c>
      <c r="K132" s="2" t="s">
        <v>509</v>
      </c>
      <c r="L132" s="4" t="s">
        <v>509</v>
      </c>
      <c r="M132" s="195" t="s">
        <v>191</v>
      </c>
      <c r="N132" s="196">
        <f>SUM(B132:H132)</f>
        <v>43</v>
      </c>
      <c r="O132" s="127">
        <v>3</v>
      </c>
      <c r="Q132" s="3" t="s">
        <v>191</v>
      </c>
      <c r="R132" s="4">
        <v>4</v>
      </c>
      <c r="T132" t="s">
        <v>191</v>
      </c>
      <c r="U132">
        <f>COUNTIF(A3:A7,"metacell-125")</f>
        <v>1</v>
      </c>
      <c r="V132">
        <f>COUNTIF(D3:D34,"metacell-125")</f>
        <v>1</v>
      </c>
      <c r="W132">
        <f>COUNTIF(G3:G14,"metacell-125")</f>
        <v>1</v>
      </c>
      <c r="X132">
        <f>COUNTIF(J3:J8,"metacell-125")</f>
        <v>1</v>
      </c>
      <c r="Y132">
        <f>COUNTIF(M3:M8,"metacell-125")</f>
        <v>0</v>
      </c>
      <c r="Z132">
        <f>COUNTIF(P3:P72,"metacell-125")</f>
        <v>0</v>
      </c>
      <c r="AA132">
        <f>COUNTIF(S3:S47,"metacell-125")</f>
        <v>0</v>
      </c>
      <c r="AB132" t="s">
        <v>509</v>
      </c>
      <c r="AC132" t="s">
        <v>509</v>
      </c>
      <c r="AD132">
        <f t="shared" si="0"/>
        <v>4</v>
      </c>
    </row>
    <row r="133" spans="1:30" x14ac:dyDescent="0.25">
      <c r="A133" s="67" t="s">
        <v>225</v>
      </c>
      <c r="B133" s="62">
        <v>15</v>
      </c>
      <c r="C133" s="2">
        <v>2</v>
      </c>
      <c r="D133" s="2">
        <v>7</v>
      </c>
      <c r="E133" s="2">
        <v>2</v>
      </c>
      <c r="F133" s="2">
        <v>10</v>
      </c>
      <c r="G133" s="2">
        <v>5</v>
      </c>
      <c r="H133" s="2">
        <v>2</v>
      </c>
      <c r="I133" s="2" t="s">
        <v>509</v>
      </c>
      <c r="J133" s="2" t="s">
        <v>509</v>
      </c>
      <c r="K133" s="2" t="s">
        <v>509</v>
      </c>
      <c r="L133" s="4" t="s">
        <v>509</v>
      </c>
      <c r="M133" s="195" t="s">
        <v>225</v>
      </c>
      <c r="N133" s="196">
        <f>SUM(B133:H133)</f>
        <v>43</v>
      </c>
      <c r="O133" s="127">
        <v>3</v>
      </c>
      <c r="Q133" s="3" t="s">
        <v>225</v>
      </c>
      <c r="R133" s="4">
        <v>4</v>
      </c>
      <c r="T133" t="s">
        <v>225</v>
      </c>
      <c r="U133">
        <f>COUNTIF(A3:A7,"metacell-159")</f>
        <v>0</v>
      </c>
      <c r="V133">
        <f>COUNTIF(D3:D34,"metacell-159")</f>
        <v>1</v>
      </c>
      <c r="W133">
        <f>COUNTIF(G3:G14,"metacell-159")</f>
        <v>0</v>
      </c>
      <c r="X133">
        <f>COUNTIF(J3:J8,"metacell-159")</f>
        <v>1</v>
      </c>
      <c r="Y133">
        <f>COUNTIF(M3:M8,"metacell-159")</f>
        <v>0</v>
      </c>
      <c r="Z133">
        <f>COUNTIF(P3:P72,"metacell-159")</f>
        <v>1</v>
      </c>
      <c r="AA133">
        <f>COUNTIF(S3:S47,"metacell-159")</f>
        <v>1</v>
      </c>
      <c r="AB133" t="s">
        <v>509</v>
      </c>
      <c r="AC133" t="s">
        <v>509</v>
      </c>
      <c r="AD133">
        <f t="shared" si="0"/>
        <v>4</v>
      </c>
    </row>
    <row r="134" spans="1:30" x14ac:dyDescent="0.25">
      <c r="A134" s="67" t="s">
        <v>198</v>
      </c>
      <c r="B134" s="62">
        <v>3</v>
      </c>
      <c r="C134" s="2">
        <v>5</v>
      </c>
      <c r="D134" s="2">
        <v>4</v>
      </c>
      <c r="E134" s="2">
        <v>11</v>
      </c>
      <c r="F134" s="2">
        <v>11</v>
      </c>
      <c r="G134" s="2">
        <v>5</v>
      </c>
      <c r="H134" s="2">
        <v>5</v>
      </c>
      <c r="I134" s="2" t="s">
        <v>509</v>
      </c>
      <c r="J134" s="2" t="s">
        <v>509</v>
      </c>
      <c r="K134" s="2" t="s">
        <v>509</v>
      </c>
      <c r="L134" s="4" t="s">
        <v>509</v>
      </c>
      <c r="M134" s="195" t="s">
        <v>198</v>
      </c>
      <c r="N134" s="196">
        <f>SUM(B134:H134)</f>
        <v>44</v>
      </c>
      <c r="O134" s="127">
        <v>4</v>
      </c>
      <c r="Q134" s="3" t="s">
        <v>5</v>
      </c>
      <c r="R134" s="4">
        <v>4</v>
      </c>
      <c r="T134" t="s">
        <v>198</v>
      </c>
      <c r="U134">
        <f>COUNTIF(A3:A7,"metacell-132")</f>
        <v>1</v>
      </c>
      <c r="V134">
        <f>COUNTIF(D3:D34,"metacell-132")</f>
        <v>1</v>
      </c>
      <c r="W134">
        <f>COUNTIF(G3:G14,"metacell-132")</f>
        <v>1</v>
      </c>
      <c r="X134">
        <f>COUNTIF(J3:J8,"metacell-132")</f>
        <v>0</v>
      </c>
      <c r="Y134">
        <f>COUNTIF(M3:M8,"metacell-132")</f>
        <v>0</v>
      </c>
      <c r="Z134">
        <f>COUNTIF(P3:P72,"metacell-132")</f>
        <v>1</v>
      </c>
      <c r="AA134">
        <f>COUNTIF(S3:S47,"metacell-132")</f>
        <v>1</v>
      </c>
      <c r="AB134" t="s">
        <v>509</v>
      </c>
      <c r="AC134" t="s">
        <v>509</v>
      </c>
      <c r="AD134">
        <f t="shared" si="0"/>
        <v>5</v>
      </c>
    </row>
    <row r="135" spans="1:30" x14ac:dyDescent="0.25">
      <c r="A135" s="67" t="s">
        <v>192</v>
      </c>
      <c r="B135" s="62">
        <v>4</v>
      </c>
      <c r="C135" s="2">
        <v>5</v>
      </c>
      <c r="D135" s="2">
        <v>10</v>
      </c>
      <c r="E135" s="2">
        <v>8</v>
      </c>
      <c r="F135" s="2">
        <v>8</v>
      </c>
      <c r="G135" s="2">
        <v>4</v>
      </c>
      <c r="H135" s="2">
        <v>6</v>
      </c>
      <c r="I135" s="2" t="s">
        <v>509</v>
      </c>
      <c r="J135" s="2" t="s">
        <v>509</v>
      </c>
      <c r="K135" s="2" t="s">
        <v>509</v>
      </c>
      <c r="L135" s="4" t="s">
        <v>509</v>
      </c>
      <c r="M135" s="195" t="s">
        <v>192</v>
      </c>
      <c r="N135" s="196">
        <f>SUM(B135:H135)</f>
        <v>45</v>
      </c>
      <c r="O135" s="127">
        <v>5</v>
      </c>
      <c r="Q135" s="3" t="s">
        <v>196</v>
      </c>
      <c r="R135" s="4">
        <v>4</v>
      </c>
      <c r="T135" t="s">
        <v>192</v>
      </c>
      <c r="U135">
        <f>COUNTIF(A3:A7,"metacell-126")</f>
        <v>1</v>
      </c>
      <c r="V135">
        <f>COUNTIF(D3:D34,"metacell-126")</f>
        <v>1</v>
      </c>
      <c r="W135">
        <f>COUNTIF(G3:G14,"metacell-126")</f>
        <v>0</v>
      </c>
      <c r="X135">
        <f>COUNTIF(J3:J8,"metacell-126")</f>
        <v>0</v>
      </c>
      <c r="Y135">
        <f>COUNTIF(M3:M8,"metacell-126")</f>
        <v>0</v>
      </c>
      <c r="Z135">
        <f>COUNTIF(P3:P72,"metacell-126")</f>
        <v>1</v>
      </c>
      <c r="AA135">
        <f>COUNTIF(S3:S47,"metacell-126")</f>
        <v>0</v>
      </c>
      <c r="AB135" t="s">
        <v>509</v>
      </c>
      <c r="AC135" t="s">
        <v>509</v>
      </c>
      <c r="AD135">
        <f t="shared" si="0"/>
        <v>3</v>
      </c>
    </row>
    <row r="136" spans="1:30" x14ac:dyDescent="0.25">
      <c r="A136" s="67" t="s">
        <v>205</v>
      </c>
      <c r="B136" s="62">
        <v>7</v>
      </c>
      <c r="C136" s="2">
        <v>3</v>
      </c>
      <c r="D136" s="2">
        <v>10</v>
      </c>
      <c r="E136" s="2">
        <v>3</v>
      </c>
      <c r="F136" s="2">
        <v>14</v>
      </c>
      <c r="G136" s="2">
        <v>6</v>
      </c>
      <c r="H136" s="2">
        <v>4</v>
      </c>
      <c r="I136" s="2" t="s">
        <v>509</v>
      </c>
      <c r="J136" s="2" t="s">
        <v>509</v>
      </c>
      <c r="K136" s="2" t="s">
        <v>509</v>
      </c>
      <c r="L136" s="4" t="s">
        <v>509</v>
      </c>
      <c r="M136" s="3" t="s">
        <v>205</v>
      </c>
      <c r="N136" s="2">
        <f>SUM(B136:H136)</f>
        <v>47</v>
      </c>
      <c r="O136" s="4">
        <v>6</v>
      </c>
      <c r="Q136" s="3" t="s">
        <v>189</v>
      </c>
      <c r="R136" s="4">
        <v>3</v>
      </c>
      <c r="T136" t="s">
        <v>205</v>
      </c>
      <c r="U136">
        <f>COUNTIF(A3:A7,"metacell-139")</f>
        <v>0</v>
      </c>
      <c r="V136">
        <f>COUNTIF(D3:D34,"metacell-139")</f>
        <v>1</v>
      </c>
      <c r="W136">
        <f>COUNTIF(G3:G14,"metacell-139")</f>
        <v>0</v>
      </c>
      <c r="X136">
        <f>COUNTIF(J3:J8,"metacell-139")</f>
        <v>1</v>
      </c>
      <c r="Y136">
        <f>COUNTIF(M3:M8,"metacell-139")</f>
        <v>0</v>
      </c>
      <c r="Z136">
        <f>COUNTIF(P3:P72,"metacell-139")</f>
        <v>0</v>
      </c>
      <c r="AA136">
        <f>COUNTIF(S3:S47,"metacell-139")</f>
        <v>1</v>
      </c>
      <c r="AB136" t="s">
        <v>509</v>
      </c>
      <c r="AC136" t="s">
        <v>509</v>
      </c>
      <c r="AD136">
        <f t="shared" si="0"/>
        <v>3</v>
      </c>
    </row>
    <row r="137" spans="1:30" x14ac:dyDescent="0.25">
      <c r="A137" s="67" t="s">
        <v>193</v>
      </c>
      <c r="B137" s="62">
        <v>5</v>
      </c>
      <c r="C137" s="2">
        <v>6</v>
      </c>
      <c r="D137" s="2">
        <v>7</v>
      </c>
      <c r="E137" s="2">
        <v>10</v>
      </c>
      <c r="F137" s="2">
        <v>12</v>
      </c>
      <c r="G137" s="2">
        <v>4</v>
      </c>
      <c r="H137" s="2">
        <v>6</v>
      </c>
      <c r="I137" s="2" t="s">
        <v>509</v>
      </c>
      <c r="J137" s="2" t="s">
        <v>509</v>
      </c>
      <c r="K137" s="2" t="s">
        <v>509</v>
      </c>
      <c r="L137" s="4" t="s">
        <v>509</v>
      </c>
      <c r="M137" s="3" t="s">
        <v>193</v>
      </c>
      <c r="N137" s="2">
        <f>SUM(B137:H137)</f>
        <v>50</v>
      </c>
      <c r="O137" s="4">
        <v>7</v>
      </c>
      <c r="Q137" s="3" t="s">
        <v>192</v>
      </c>
      <c r="R137" s="4">
        <v>3</v>
      </c>
      <c r="T137" t="s">
        <v>193</v>
      </c>
      <c r="U137">
        <f>COUNTIF(A3:A7,"metacell-127")</f>
        <v>1</v>
      </c>
      <c r="V137">
        <f>COUNTIF(D3:D34,"metacell-127")</f>
        <v>0</v>
      </c>
      <c r="W137">
        <f>COUNTIF(G3:G14,"metacell-127")</f>
        <v>0</v>
      </c>
      <c r="X137">
        <f>COUNTIF(J3:J8,"metacell-127")</f>
        <v>0</v>
      </c>
      <c r="Y137">
        <f>COUNTIF(M3:M8,"metacell-127")</f>
        <v>0</v>
      </c>
      <c r="Z137">
        <f>COUNTIF(P3:P72,"metacell-127")</f>
        <v>1</v>
      </c>
      <c r="AA137">
        <f>COUNTIF(S3:S47,"metacell-127")</f>
        <v>0</v>
      </c>
      <c r="AB137" t="s">
        <v>509</v>
      </c>
      <c r="AC137" t="s">
        <v>509</v>
      </c>
      <c r="AD137">
        <f t="shared" si="0"/>
        <v>2</v>
      </c>
    </row>
    <row r="138" spans="1:30" x14ac:dyDescent="0.25">
      <c r="A138" s="67" t="s">
        <v>5</v>
      </c>
      <c r="B138" s="62">
        <v>21</v>
      </c>
      <c r="C138" s="2">
        <v>5</v>
      </c>
      <c r="D138" s="2">
        <v>7</v>
      </c>
      <c r="E138" s="2">
        <v>13</v>
      </c>
      <c r="F138" s="2">
        <v>4</v>
      </c>
      <c r="G138" s="2">
        <v>1</v>
      </c>
      <c r="H138" s="2">
        <v>3</v>
      </c>
      <c r="I138" s="2" t="s">
        <v>509</v>
      </c>
      <c r="J138" s="2" t="s">
        <v>509</v>
      </c>
      <c r="K138" s="2" t="s">
        <v>509</v>
      </c>
      <c r="L138" s="4" t="s">
        <v>509</v>
      </c>
      <c r="M138" s="3" t="s">
        <v>5</v>
      </c>
      <c r="N138" s="2">
        <f>SUM(B138:H138)</f>
        <v>54</v>
      </c>
      <c r="O138" s="4">
        <v>8</v>
      </c>
      <c r="Q138" s="3" t="s">
        <v>205</v>
      </c>
      <c r="R138" s="4">
        <v>3</v>
      </c>
      <c r="T138" t="s">
        <v>5</v>
      </c>
      <c r="U138">
        <f>COUNTIF(A3:A7,"metacell-189")</f>
        <v>0</v>
      </c>
      <c r="V138">
        <f>COUNTIF(D3:D34,"metacell-189")</f>
        <v>1</v>
      </c>
      <c r="W138">
        <f>COUNTIF(G3:G14,"metacell-189")</f>
        <v>0</v>
      </c>
      <c r="X138">
        <f>COUNTIF(J3:J8,"metacell-189")</f>
        <v>0</v>
      </c>
      <c r="Y138">
        <f>COUNTIF(M3:M8,"metacell-189")</f>
        <v>1</v>
      </c>
      <c r="Z138">
        <f>COUNTIF(P3:P72,"metacell-189")</f>
        <v>1</v>
      </c>
      <c r="AA138">
        <f>COUNTIF(S3:S47,"metacell-189")</f>
        <v>1</v>
      </c>
      <c r="AB138" t="s">
        <v>509</v>
      </c>
      <c r="AC138" t="s">
        <v>509</v>
      </c>
      <c r="AD138">
        <f t="shared" si="0"/>
        <v>4</v>
      </c>
    </row>
    <row r="139" spans="1:30" x14ac:dyDescent="0.25">
      <c r="A139" s="67" t="s">
        <v>196</v>
      </c>
      <c r="B139" s="62">
        <v>22</v>
      </c>
      <c r="C139" s="2">
        <v>1</v>
      </c>
      <c r="D139" s="2">
        <v>4</v>
      </c>
      <c r="E139" s="2">
        <v>5</v>
      </c>
      <c r="F139" s="2">
        <v>12</v>
      </c>
      <c r="G139" s="2">
        <v>7</v>
      </c>
      <c r="H139" s="2">
        <v>4</v>
      </c>
      <c r="I139" s="2" t="s">
        <v>509</v>
      </c>
      <c r="J139" s="2" t="s">
        <v>509</v>
      </c>
      <c r="K139" s="2" t="s">
        <v>509</v>
      </c>
      <c r="L139" s="4" t="s">
        <v>509</v>
      </c>
      <c r="M139" s="3" t="s">
        <v>196</v>
      </c>
      <c r="N139" s="2">
        <f>SUM(B139:H139)</f>
        <v>55</v>
      </c>
      <c r="O139" s="4">
        <v>9</v>
      </c>
      <c r="Q139" s="3" t="s">
        <v>227</v>
      </c>
      <c r="R139" s="4">
        <v>3</v>
      </c>
      <c r="T139" t="s">
        <v>196</v>
      </c>
      <c r="U139">
        <f>COUNTIF(A3:A7,"metacell-130")</f>
        <v>0</v>
      </c>
      <c r="V139">
        <f>COUNTIF(D3:D34,"metacell-130")</f>
        <v>1</v>
      </c>
      <c r="W139">
        <f>COUNTIF(G3:G14,"metacell-130")</f>
        <v>1</v>
      </c>
      <c r="X139">
        <f>COUNTIF(J3:J8,"metacell-130")</f>
        <v>1</v>
      </c>
      <c r="Y139">
        <f>COUNTIF(M3:M8,"metacell-130")</f>
        <v>0</v>
      </c>
      <c r="Z139">
        <f>COUNTIF(P3:P72,"metacell-130")</f>
        <v>0</v>
      </c>
      <c r="AA139">
        <f>COUNTIF(S3:S47,"metacell-130")</f>
        <v>1</v>
      </c>
      <c r="AB139" t="s">
        <v>509</v>
      </c>
      <c r="AC139" t="s">
        <v>509</v>
      </c>
      <c r="AD139">
        <f t="shared" si="0"/>
        <v>4</v>
      </c>
    </row>
    <row r="140" spans="1:30" x14ac:dyDescent="0.25">
      <c r="A140" s="67" t="s">
        <v>194</v>
      </c>
      <c r="B140" s="62">
        <v>9</v>
      </c>
      <c r="C140" s="2">
        <v>4</v>
      </c>
      <c r="D140" s="2">
        <v>8</v>
      </c>
      <c r="E140" s="2">
        <v>8</v>
      </c>
      <c r="F140" s="2">
        <v>14</v>
      </c>
      <c r="G140" s="2">
        <v>5</v>
      </c>
      <c r="H140" s="2">
        <v>8</v>
      </c>
      <c r="I140" s="2" t="s">
        <v>509</v>
      </c>
      <c r="J140" s="2" t="s">
        <v>509</v>
      </c>
      <c r="K140" s="2" t="s">
        <v>509</v>
      </c>
      <c r="L140" s="4" t="s">
        <v>509</v>
      </c>
      <c r="M140" s="3" t="s">
        <v>194</v>
      </c>
      <c r="N140" s="2">
        <f>SUM(B140:H140)</f>
        <v>56</v>
      </c>
      <c r="O140" s="4">
        <v>10</v>
      </c>
      <c r="Q140" s="3" t="s">
        <v>228</v>
      </c>
      <c r="R140" s="4">
        <v>3</v>
      </c>
      <c r="T140" t="s">
        <v>194</v>
      </c>
      <c r="U140">
        <f>COUNTIF(A3:A7,"metacell-128")</f>
        <v>0</v>
      </c>
      <c r="V140">
        <f>COUNTIF(D3:D34,"metacell-128")</f>
        <v>1</v>
      </c>
      <c r="W140">
        <f>COUNTIF(G3:G14,"metacell-128")</f>
        <v>0</v>
      </c>
      <c r="X140">
        <f>COUNTIF(J3:J8,"metacell-128")</f>
        <v>0</v>
      </c>
      <c r="Y140">
        <f>COUNTIF(M3:M8,"metacell-128")</f>
        <v>0</v>
      </c>
      <c r="Z140">
        <f>COUNTIF(P3:P72,"metacell-128")</f>
        <v>1</v>
      </c>
      <c r="AA140">
        <f>COUNTIF(S3:S47,"metacell-128")</f>
        <v>0</v>
      </c>
      <c r="AB140" t="s">
        <v>509</v>
      </c>
      <c r="AC140" t="s">
        <v>509</v>
      </c>
      <c r="AD140">
        <f t="shared" si="0"/>
        <v>2</v>
      </c>
    </row>
    <row r="141" spans="1:30" x14ac:dyDescent="0.25">
      <c r="A141" s="67" t="s">
        <v>227</v>
      </c>
      <c r="B141" s="62">
        <v>16</v>
      </c>
      <c r="C141" s="2">
        <v>2</v>
      </c>
      <c r="D141" s="2">
        <v>5</v>
      </c>
      <c r="E141" s="2">
        <v>5</v>
      </c>
      <c r="F141" s="2">
        <v>16</v>
      </c>
      <c r="G141" s="2">
        <v>7</v>
      </c>
      <c r="H141" s="2">
        <v>6</v>
      </c>
      <c r="I141" s="2" t="s">
        <v>509</v>
      </c>
      <c r="J141" s="2" t="s">
        <v>509</v>
      </c>
      <c r="K141" s="2" t="s">
        <v>509</v>
      </c>
      <c r="L141" s="4" t="s">
        <v>509</v>
      </c>
      <c r="M141" s="3" t="s">
        <v>227</v>
      </c>
      <c r="N141" s="2">
        <f>SUM(B141:H141)</f>
        <v>57</v>
      </c>
      <c r="O141" s="4">
        <v>11</v>
      </c>
      <c r="Q141" s="3" t="s">
        <v>229</v>
      </c>
      <c r="R141" s="4">
        <v>3</v>
      </c>
      <c r="T141" t="s">
        <v>227</v>
      </c>
      <c r="U141">
        <f>COUNTIF(A3:A7,"metacell-161")</f>
        <v>0</v>
      </c>
      <c r="V141">
        <f>COUNTIF(D3:D34,"metacell-161")</f>
        <v>1</v>
      </c>
      <c r="W141">
        <f>COUNTIF(G3:G14,"metacell-161")</f>
        <v>1</v>
      </c>
      <c r="X141">
        <f>COUNTIF(J3:J8,"metacell-161")</f>
        <v>1</v>
      </c>
      <c r="Y141">
        <f>COUNTIF(M3:M8,"metacell-161")</f>
        <v>0</v>
      </c>
      <c r="Z141">
        <f>COUNTIF(P3:P72,"metacell-161")</f>
        <v>0</v>
      </c>
      <c r="AA141">
        <f>COUNTIF(S3:S47,"metacell-161")</f>
        <v>0</v>
      </c>
      <c r="AB141" t="s">
        <v>509</v>
      </c>
      <c r="AC141" t="s">
        <v>509</v>
      </c>
      <c r="AD141">
        <f t="shared" si="0"/>
        <v>3</v>
      </c>
    </row>
    <row r="142" spans="1:30" x14ac:dyDescent="0.25">
      <c r="A142" s="67" t="s">
        <v>228</v>
      </c>
      <c r="B142" s="62">
        <v>17</v>
      </c>
      <c r="C142" s="2">
        <v>5</v>
      </c>
      <c r="D142" s="2">
        <v>4</v>
      </c>
      <c r="E142" s="2">
        <v>13</v>
      </c>
      <c r="F142" s="2">
        <v>11</v>
      </c>
      <c r="G142" s="2">
        <v>2</v>
      </c>
      <c r="H142" s="2">
        <v>6</v>
      </c>
      <c r="I142" s="2" t="s">
        <v>509</v>
      </c>
      <c r="J142" s="2" t="s">
        <v>509</v>
      </c>
      <c r="K142" s="2" t="s">
        <v>509</v>
      </c>
      <c r="L142" s="4" t="s">
        <v>509</v>
      </c>
      <c r="M142" s="3" t="s">
        <v>228</v>
      </c>
      <c r="N142" s="2">
        <f>SUM(B142:H142)</f>
        <v>58</v>
      </c>
      <c r="O142" s="4">
        <v>12</v>
      </c>
      <c r="Q142" s="3" t="s">
        <v>204</v>
      </c>
      <c r="R142" s="4">
        <v>3</v>
      </c>
      <c r="T142" t="s">
        <v>228</v>
      </c>
      <c r="U142">
        <f>COUNTIF(A3:A7,"metacell-162")</f>
        <v>0</v>
      </c>
      <c r="V142">
        <f>COUNTIF(D3:D34,"metacell-162")</f>
        <v>1</v>
      </c>
      <c r="W142">
        <f>COUNTIF(G3:G14,"metacell-162")</f>
        <v>1</v>
      </c>
      <c r="X142">
        <f>COUNTIF(J3:J8,"metacell-162")</f>
        <v>0</v>
      </c>
      <c r="Y142">
        <f>COUNTIF(M3:M8,"metacell-162")</f>
        <v>0</v>
      </c>
      <c r="Z142">
        <f>COUNTIF(P3:P72,"metacell-162")</f>
        <v>1</v>
      </c>
      <c r="AA142">
        <f>COUNTIF(S3:S47,"metacell-162")</f>
        <v>0</v>
      </c>
      <c r="AB142" t="s">
        <v>509</v>
      </c>
      <c r="AC142" t="s">
        <v>509</v>
      </c>
      <c r="AD142">
        <f t="shared" si="0"/>
        <v>3</v>
      </c>
    </row>
    <row r="143" spans="1:30" x14ac:dyDescent="0.25">
      <c r="A143" s="67" t="s">
        <v>229</v>
      </c>
      <c r="B143" s="62">
        <v>18</v>
      </c>
      <c r="C143" s="2">
        <v>4</v>
      </c>
      <c r="D143" s="2">
        <v>5</v>
      </c>
      <c r="E143" s="2">
        <v>11</v>
      </c>
      <c r="F143" s="2">
        <v>11</v>
      </c>
      <c r="G143" s="2">
        <v>2</v>
      </c>
      <c r="H143" s="2">
        <v>7</v>
      </c>
      <c r="I143" s="2" t="s">
        <v>509</v>
      </c>
      <c r="J143" s="2" t="s">
        <v>509</v>
      </c>
      <c r="K143" s="2" t="s">
        <v>509</v>
      </c>
      <c r="L143" s="4" t="s">
        <v>509</v>
      </c>
      <c r="M143" s="3" t="s">
        <v>229</v>
      </c>
      <c r="N143" s="2">
        <f>SUM(B143:H143)</f>
        <v>58</v>
      </c>
      <c r="O143" s="4">
        <v>12</v>
      </c>
      <c r="Q143" s="3" t="s">
        <v>202</v>
      </c>
      <c r="R143" s="4">
        <v>3</v>
      </c>
      <c r="T143" t="s">
        <v>229</v>
      </c>
      <c r="U143">
        <f>COUNTIF(A3:A7,"metacell-163")</f>
        <v>0</v>
      </c>
      <c r="V143">
        <f>COUNTIF(D3:D34,"metacell-163")</f>
        <v>1</v>
      </c>
      <c r="W143">
        <f>COUNTIF(G3:G14,"metacell-163")</f>
        <v>1</v>
      </c>
      <c r="X143">
        <f>COUNTIF(J3:J8,"metacell-163")</f>
        <v>0</v>
      </c>
      <c r="Y143">
        <f>COUNTIF(M3:M8,"metacell-163")</f>
        <v>0</v>
      </c>
      <c r="Z143">
        <f>COUNTIF(P3:P72,"metacell-163")</f>
        <v>1</v>
      </c>
      <c r="AA143">
        <f>COUNTIF(S3:S47,"metacell-163")</f>
        <v>0</v>
      </c>
      <c r="AB143" t="s">
        <v>509</v>
      </c>
      <c r="AC143" t="s">
        <v>509</v>
      </c>
      <c r="AD143">
        <f t="shared" si="0"/>
        <v>3</v>
      </c>
    </row>
    <row r="144" spans="1:30" x14ac:dyDescent="0.25">
      <c r="A144" s="67" t="s">
        <v>200</v>
      </c>
      <c r="B144" s="62">
        <v>17</v>
      </c>
      <c r="C144" s="2">
        <v>2</v>
      </c>
      <c r="D144" s="2">
        <v>7</v>
      </c>
      <c r="E144" s="2">
        <v>8</v>
      </c>
      <c r="F144" s="2">
        <v>12</v>
      </c>
      <c r="G144" s="2">
        <v>5</v>
      </c>
      <c r="H144" s="2">
        <v>8</v>
      </c>
      <c r="I144" s="2" t="s">
        <v>509</v>
      </c>
      <c r="J144" s="2" t="s">
        <v>509</v>
      </c>
      <c r="K144" s="2" t="s">
        <v>509</v>
      </c>
      <c r="L144" s="4" t="s">
        <v>509</v>
      </c>
      <c r="M144" s="3" t="s">
        <v>200</v>
      </c>
      <c r="N144" s="2">
        <f>SUM(B144:H144)</f>
        <v>59</v>
      </c>
      <c r="O144" s="4">
        <v>13</v>
      </c>
      <c r="Q144" s="3" t="s">
        <v>208</v>
      </c>
      <c r="R144" s="4">
        <v>3</v>
      </c>
      <c r="T144" t="s">
        <v>200</v>
      </c>
      <c r="U144">
        <f>COUNTIF(A3:A7,"metacell-134")</f>
        <v>0</v>
      </c>
      <c r="V144">
        <f>COUNTIF(D3:D34,"metacell-134")</f>
        <v>1</v>
      </c>
      <c r="W144">
        <f>COUNTIF(G3:G14,"metacell-134")</f>
        <v>0</v>
      </c>
      <c r="X144">
        <f>COUNTIF(J3:J8,"metacell-134")</f>
        <v>0</v>
      </c>
      <c r="Y144">
        <f>COUNTIF(M3:M8,"metacell-134")</f>
        <v>0</v>
      </c>
      <c r="Z144">
        <f>COUNTIF(P3:P72,"metacell-134")</f>
        <v>1</v>
      </c>
      <c r="AA144">
        <f>COUNTIF(S3:S47,"metacell-134")</f>
        <v>0</v>
      </c>
      <c r="AB144" t="s">
        <v>509</v>
      </c>
      <c r="AC144" t="s">
        <v>509</v>
      </c>
      <c r="AD144">
        <f t="shared" si="0"/>
        <v>2</v>
      </c>
    </row>
    <row r="145" spans="1:30" x14ac:dyDescent="0.25">
      <c r="A145" s="67" t="s">
        <v>223</v>
      </c>
      <c r="B145" s="62">
        <v>20</v>
      </c>
      <c r="C145" s="2">
        <v>2</v>
      </c>
      <c r="D145" s="2">
        <v>6</v>
      </c>
      <c r="E145" s="2">
        <v>6</v>
      </c>
      <c r="F145" s="2">
        <v>13</v>
      </c>
      <c r="G145" s="2">
        <v>7</v>
      </c>
      <c r="H145" s="2">
        <v>6</v>
      </c>
      <c r="I145" s="2" t="s">
        <v>509</v>
      </c>
      <c r="J145" s="2" t="s">
        <v>509</v>
      </c>
      <c r="K145" s="2" t="s">
        <v>509</v>
      </c>
      <c r="L145" s="4" t="s">
        <v>509</v>
      </c>
      <c r="M145" s="3" t="s">
        <v>223</v>
      </c>
      <c r="N145" s="2">
        <f>SUM(B145:H145)</f>
        <v>60</v>
      </c>
      <c r="O145" s="4">
        <v>14</v>
      </c>
      <c r="Q145" s="3" t="s">
        <v>185</v>
      </c>
      <c r="R145" s="4">
        <v>3</v>
      </c>
      <c r="T145" t="s">
        <v>223</v>
      </c>
      <c r="U145">
        <f>COUNTIF(A3:A7,"metacell-157")</f>
        <v>0</v>
      </c>
      <c r="V145">
        <f>COUNTIF(D3:D34,"metacell-157")</f>
        <v>1</v>
      </c>
      <c r="W145">
        <f>COUNTIF(G3:G14,"metacell-157")</f>
        <v>0</v>
      </c>
      <c r="X145">
        <f>COUNTIF(J3:J8,"metacell-157")</f>
        <v>0</v>
      </c>
      <c r="Y145">
        <f>COUNTIF(M3:M8,"metacell-157")</f>
        <v>0</v>
      </c>
      <c r="Z145">
        <f>COUNTIF(P3:P72,"metacell-157")</f>
        <v>0</v>
      </c>
      <c r="AA145">
        <f>COUNTIF(S3:S47,"metacell-157")</f>
        <v>0</v>
      </c>
      <c r="AB145" t="s">
        <v>509</v>
      </c>
      <c r="AC145" t="s">
        <v>509</v>
      </c>
      <c r="AD145">
        <f t="shared" si="0"/>
        <v>1</v>
      </c>
    </row>
    <row r="146" spans="1:30" x14ac:dyDescent="0.25">
      <c r="A146" s="67" t="s">
        <v>230</v>
      </c>
      <c r="B146" s="62">
        <v>12</v>
      </c>
      <c r="C146" s="2">
        <v>5</v>
      </c>
      <c r="D146" s="2">
        <v>9</v>
      </c>
      <c r="E146" s="2">
        <v>8</v>
      </c>
      <c r="F146" s="2">
        <v>15</v>
      </c>
      <c r="G146" s="2">
        <v>8</v>
      </c>
      <c r="H146" s="2">
        <v>4</v>
      </c>
      <c r="I146" s="2" t="s">
        <v>509</v>
      </c>
      <c r="J146" s="2" t="s">
        <v>509</v>
      </c>
      <c r="K146" s="2" t="s">
        <v>509</v>
      </c>
      <c r="L146" s="4" t="s">
        <v>509</v>
      </c>
      <c r="M146" s="3" t="s">
        <v>230</v>
      </c>
      <c r="N146" s="2">
        <f>SUM(B146:H146)</f>
        <v>61</v>
      </c>
      <c r="O146" s="4">
        <v>15</v>
      </c>
      <c r="Q146" s="3" t="s">
        <v>690</v>
      </c>
      <c r="R146" s="4">
        <v>3</v>
      </c>
      <c r="T146" t="s">
        <v>230</v>
      </c>
      <c r="U146">
        <f>COUNTIF(A3:A7,"metacell-164")</f>
        <v>0</v>
      </c>
      <c r="V146">
        <f>COUNTIF(D3:D34,"metacell-164")</f>
        <v>1</v>
      </c>
      <c r="W146">
        <f>COUNTIF(G3:G14,"metacell-164")</f>
        <v>0</v>
      </c>
      <c r="X146">
        <f>COUNTIF(J3:J8,"metacell-164")</f>
        <v>0</v>
      </c>
      <c r="Y146">
        <f>COUNTIF(M3:M8,"metacell-164")</f>
        <v>0</v>
      </c>
      <c r="Z146">
        <f>COUNTIF(P3:P72,"metacell-164")</f>
        <v>0</v>
      </c>
      <c r="AA146">
        <f>COUNTIF(S3:S47,"metacell-164")</f>
        <v>1</v>
      </c>
      <c r="AB146" t="s">
        <v>509</v>
      </c>
      <c r="AC146" t="s">
        <v>509</v>
      </c>
      <c r="AD146">
        <f t="shared" si="0"/>
        <v>2</v>
      </c>
    </row>
    <row r="147" spans="1:30" x14ac:dyDescent="0.25">
      <c r="A147" s="67" t="s">
        <v>201</v>
      </c>
      <c r="B147" s="62">
        <v>16</v>
      </c>
      <c r="C147" s="2">
        <v>5</v>
      </c>
      <c r="D147" s="2">
        <v>7</v>
      </c>
      <c r="E147" s="2">
        <v>12</v>
      </c>
      <c r="F147" s="2">
        <v>11</v>
      </c>
      <c r="G147" s="2">
        <v>4</v>
      </c>
      <c r="H147" s="2">
        <v>7</v>
      </c>
      <c r="I147" s="2" t="s">
        <v>509</v>
      </c>
      <c r="J147" s="2" t="s">
        <v>509</v>
      </c>
      <c r="K147" s="2" t="s">
        <v>509</v>
      </c>
      <c r="L147" s="4" t="s">
        <v>509</v>
      </c>
      <c r="M147" s="3" t="s">
        <v>201</v>
      </c>
      <c r="N147" s="2">
        <f>SUM(B147:H147)</f>
        <v>62</v>
      </c>
      <c r="O147" s="4">
        <v>16</v>
      </c>
      <c r="Q147" s="3" t="s">
        <v>687</v>
      </c>
      <c r="R147" s="4">
        <v>3</v>
      </c>
      <c r="T147" t="s">
        <v>201</v>
      </c>
      <c r="U147">
        <f>COUNTIF(A3:A7,"metacell-135")</f>
        <v>0</v>
      </c>
      <c r="V147">
        <f>COUNTIF(D3:D34,"metacell-135")</f>
        <v>1</v>
      </c>
      <c r="W147">
        <f>COUNTIF(G3:G14,"metacell-135")</f>
        <v>0</v>
      </c>
      <c r="X147">
        <f>COUNTIF(J3:J8,"metacell-135")</f>
        <v>0</v>
      </c>
      <c r="Y147">
        <f>COUNTIF(M3:M8,"metacell-135")</f>
        <v>0</v>
      </c>
      <c r="Z147">
        <f>COUNTIF(P3:P72,"metacell-135")</f>
        <v>1</v>
      </c>
      <c r="AA147">
        <f>COUNTIF(S3:S47,"metacell-135")</f>
        <v>0</v>
      </c>
      <c r="AB147" t="s">
        <v>509</v>
      </c>
      <c r="AC147" t="s">
        <v>509</v>
      </c>
      <c r="AD147">
        <f t="shared" si="0"/>
        <v>2</v>
      </c>
    </row>
    <row r="148" spans="1:30" x14ac:dyDescent="0.25">
      <c r="A148" s="67" t="s">
        <v>204</v>
      </c>
      <c r="B148" s="62">
        <v>20</v>
      </c>
      <c r="C148" s="2">
        <v>5</v>
      </c>
      <c r="D148" s="2">
        <v>6</v>
      </c>
      <c r="E148" s="2">
        <v>11</v>
      </c>
      <c r="F148" s="2">
        <v>10</v>
      </c>
      <c r="G148" s="2">
        <v>5</v>
      </c>
      <c r="H148" s="2">
        <v>5</v>
      </c>
      <c r="I148" s="2" t="s">
        <v>509</v>
      </c>
      <c r="J148" s="2" t="s">
        <v>509</v>
      </c>
      <c r="K148" s="2" t="s">
        <v>509</v>
      </c>
      <c r="L148" s="4" t="s">
        <v>509</v>
      </c>
      <c r="M148" s="3" t="s">
        <v>204</v>
      </c>
      <c r="N148" s="2">
        <f>SUM(B148:H148)</f>
        <v>62</v>
      </c>
      <c r="O148" s="4">
        <v>16</v>
      </c>
      <c r="Q148" s="3" t="s">
        <v>187</v>
      </c>
      <c r="R148" s="4">
        <v>3</v>
      </c>
      <c r="T148" t="s">
        <v>204</v>
      </c>
      <c r="U148">
        <f>COUNTIF(A3:A7,"metacell-138")</f>
        <v>0</v>
      </c>
      <c r="V148">
        <f>COUNTIF(D3:D34,"metacell-138")</f>
        <v>1</v>
      </c>
      <c r="W148">
        <f>COUNTIF(G3:G14,"metacell-138")</f>
        <v>0</v>
      </c>
      <c r="X148">
        <f>COUNTIF(J3:J8,"metacell-138")</f>
        <v>0</v>
      </c>
      <c r="Y148">
        <f>COUNTIF(M3:M8,"metacell-138")</f>
        <v>0</v>
      </c>
      <c r="Z148">
        <f>COUNTIF(P3:P72,"metacell-138")</f>
        <v>1</v>
      </c>
      <c r="AA148">
        <f>COUNTIF(S3:S47,"metacell-138")</f>
        <v>1</v>
      </c>
      <c r="AB148" t="s">
        <v>509</v>
      </c>
      <c r="AC148" t="s">
        <v>509</v>
      </c>
      <c r="AD148">
        <f t="shared" si="0"/>
        <v>3</v>
      </c>
    </row>
    <row r="149" spans="1:30" x14ac:dyDescent="0.25">
      <c r="A149" s="67" t="s">
        <v>224</v>
      </c>
      <c r="B149" s="62">
        <v>10</v>
      </c>
      <c r="C149" s="2">
        <v>5</v>
      </c>
      <c r="D149" s="2">
        <v>10</v>
      </c>
      <c r="E149" s="2">
        <v>10</v>
      </c>
      <c r="F149" s="2">
        <v>15</v>
      </c>
      <c r="G149" s="2">
        <v>6</v>
      </c>
      <c r="H149" s="2">
        <v>6</v>
      </c>
      <c r="I149" s="2" t="s">
        <v>509</v>
      </c>
      <c r="J149" s="2" t="s">
        <v>509</v>
      </c>
      <c r="K149" s="2" t="s">
        <v>509</v>
      </c>
      <c r="L149" s="4" t="s">
        <v>509</v>
      </c>
      <c r="M149" s="3" t="s">
        <v>224</v>
      </c>
      <c r="N149" s="2">
        <f>SUM(B149:H149)</f>
        <v>62</v>
      </c>
      <c r="O149" s="4">
        <v>16</v>
      </c>
      <c r="Q149" s="3" t="s">
        <v>249</v>
      </c>
      <c r="R149" s="4">
        <v>3</v>
      </c>
      <c r="T149" t="s">
        <v>224</v>
      </c>
      <c r="U149">
        <f>COUNTIF(A3:A7,"metacell-158")</f>
        <v>0</v>
      </c>
      <c r="V149">
        <f>COUNTIF(D3:D34,"metacell-158")</f>
        <v>1</v>
      </c>
      <c r="W149">
        <f>COUNTIF(G3:G14,"metacell-158")</f>
        <v>0</v>
      </c>
      <c r="X149">
        <f>COUNTIF(J3:J8,"metacell-158")</f>
        <v>0</v>
      </c>
      <c r="Y149">
        <f>COUNTIF(M3:M8,"metacell-158")</f>
        <v>0</v>
      </c>
      <c r="Z149">
        <f>COUNTIF(P3:P72,"metacell-158")</f>
        <v>0</v>
      </c>
      <c r="AA149">
        <f>COUNTIF(S3:S47,"metacell-158")</f>
        <v>0</v>
      </c>
      <c r="AB149" t="s">
        <v>509</v>
      </c>
      <c r="AC149" t="s">
        <v>509</v>
      </c>
      <c r="AD149">
        <f t="shared" si="0"/>
        <v>1</v>
      </c>
    </row>
    <row r="150" spans="1:30" x14ac:dyDescent="0.25">
      <c r="A150" s="67" t="s">
        <v>202</v>
      </c>
      <c r="B150" s="62">
        <v>14</v>
      </c>
      <c r="C150" s="2">
        <v>3</v>
      </c>
      <c r="D150" s="2">
        <v>5</v>
      </c>
      <c r="E150" s="2">
        <v>9</v>
      </c>
      <c r="F150" s="2">
        <v>18</v>
      </c>
      <c r="G150" s="2">
        <v>5</v>
      </c>
      <c r="H150" s="2">
        <v>9</v>
      </c>
      <c r="I150" s="2" t="s">
        <v>509</v>
      </c>
      <c r="J150" s="2" t="s">
        <v>509</v>
      </c>
      <c r="K150" s="2" t="s">
        <v>509</v>
      </c>
      <c r="L150" s="4" t="s">
        <v>509</v>
      </c>
      <c r="M150" s="3" t="s">
        <v>202</v>
      </c>
      <c r="N150" s="2">
        <f>SUM(B150:H150)</f>
        <v>63</v>
      </c>
      <c r="O150" s="4">
        <v>17</v>
      </c>
      <c r="Q150" s="3" t="s">
        <v>177</v>
      </c>
      <c r="R150" s="4">
        <v>3</v>
      </c>
      <c r="T150" t="s">
        <v>202</v>
      </c>
      <c r="U150">
        <f>COUNTIF(A3:A7,"metacell-136")</f>
        <v>0</v>
      </c>
      <c r="V150">
        <f>COUNTIF(D3:D34,"metacell-136")</f>
        <v>1</v>
      </c>
      <c r="W150">
        <f>COUNTIF(G3:G14,"metacell-136")</f>
        <v>1</v>
      </c>
      <c r="X150">
        <f>COUNTIF(J3:J8,"metacell-136")</f>
        <v>0</v>
      </c>
      <c r="Y150">
        <f>COUNTIF(M3:M8,"metacell-136")</f>
        <v>0</v>
      </c>
      <c r="Z150">
        <f>COUNTIF(P3:P72,"metacell-136")</f>
        <v>1</v>
      </c>
      <c r="AA150">
        <f>COUNTIF(S3:S47,"metacell-136")</f>
        <v>0</v>
      </c>
      <c r="AB150" t="s">
        <v>509</v>
      </c>
      <c r="AC150" t="s">
        <v>509</v>
      </c>
      <c r="AD150">
        <f t="shared" si="0"/>
        <v>3</v>
      </c>
    </row>
    <row r="151" spans="1:30" x14ac:dyDescent="0.25">
      <c r="A151" s="67" t="s">
        <v>215</v>
      </c>
      <c r="B151" s="62">
        <v>15</v>
      </c>
      <c r="C151" s="2">
        <v>5</v>
      </c>
      <c r="D151" s="2">
        <v>9</v>
      </c>
      <c r="E151" s="2">
        <v>9</v>
      </c>
      <c r="F151" s="2">
        <v>14</v>
      </c>
      <c r="G151" s="2">
        <v>3</v>
      </c>
      <c r="H151" s="2">
        <v>8</v>
      </c>
      <c r="I151" s="2" t="s">
        <v>509</v>
      </c>
      <c r="J151" s="2" t="s">
        <v>509</v>
      </c>
      <c r="K151" s="2" t="s">
        <v>509</v>
      </c>
      <c r="L151" s="4" t="s">
        <v>509</v>
      </c>
      <c r="M151" s="3" t="s">
        <v>215</v>
      </c>
      <c r="N151" s="2">
        <f>SUM(B151:H151)</f>
        <v>63</v>
      </c>
      <c r="O151" s="4">
        <v>17</v>
      </c>
      <c r="Q151" s="3" t="s">
        <v>702</v>
      </c>
      <c r="R151" s="4">
        <v>3</v>
      </c>
      <c r="T151" t="s">
        <v>215</v>
      </c>
      <c r="U151">
        <f>COUNTIF(A3:A7,"metacell-149")</f>
        <v>0</v>
      </c>
      <c r="V151">
        <f>COUNTIF(D3:D34,"metacell-149")</f>
        <v>1</v>
      </c>
      <c r="W151">
        <f>COUNTIF(G3:G14,"metacell-149")</f>
        <v>0</v>
      </c>
      <c r="X151">
        <f>COUNTIF(J3:J8,"metacell-149")</f>
        <v>0</v>
      </c>
      <c r="Y151">
        <f>COUNTIF(M3:M8,"metacell-149")</f>
        <v>0</v>
      </c>
      <c r="Z151">
        <f>COUNTIF(P3:P72,"metacell-149")</f>
        <v>1</v>
      </c>
      <c r="AA151">
        <f>COUNTIF(S3:S47,"metacell-149")</f>
        <v>0</v>
      </c>
      <c r="AB151" t="s">
        <v>509</v>
      </c>
      <c r="AC151" t="s">
        <v>509</v>
      </c>
      <c r="AD151">
        <f t="shared" si="0"/>
        <v>2</v>
      </c>
    </row>
    <row r="152" spans="1:30" x14ac:dyDescent="0.25">
      <c r="A152" s="67" t="s">
        <v>197</v>
      </c>
      <c r="B152" s="62">
        <v>11</v>
      </c>
      <c r="C152" s="2">
        <v>6</v>
      </c>
      <c r="D152" s="2">
        <v>7</v>
      </c>
      <c r="E152" s="2">
        <v>13</v>
      </c>
      <c r="F152" s="2">
        <v>16</v>
      </c>
      <c r="G152" s="2">
        <v>6</v>
      </c>
      <c r="H152" s="2">
        <v>6</v>
      </c>
      <c r="I152" s="2" t="s">
        <v>509</v>
      </c>
      <c r="J152" s="2" t="s">
        <v>509</v>
      </c>
      <c r="K152" s="2" t="s">
        <v>509</v>
      </c>
      <c r="L152" s="4" t="s">
        <v>509</v>
      </c>
      <c r="M152" s="3" t="s">
        <v>197</v>
      </c>
      <c r="N152" s="2">
        <f>SUM(B152:H152)</f>
        <v>65</v>
      </c>
      <c r="O152" s="4">
        <v>18</v>
      </c>
      <c r="Q152" s="3" t="s">
        <v>668</v>
      </c>
      <c r="R152" s="4">
        <v>3</v>
      </c>
      <c r="T152" t="s">
        <v>197</v>
      </c>
      <c r="U152">
        <f>COUNTIF(A3:A7,"metacell-131")</f>
        <v>0</v>
      </c>
      <c r="V152">
        <f>COUNTIF(D3:D34,"metacell-131")</f>
        <v>0</v>
      </c>
      <c r="W152">
        <f>COUNTIF(G3:G14,"metacell-131")</f>
        <v>0</v>
      </c>
      <c r="X152">
        <f>COUNTIF(J3:J8,"metacell-131")</f>
        <v>0</v>
      </c>
      <c r="Y152">
        <f>COUNTIF(M3:M8,"metacell-131")</f>
        <v>0</v>
      </c>
      <c r="Z152">
        <f>COUNTIF(P3:P72,"metacell-131")</f>
        <v>0</v>
      </c>
      <c r="AA152">
        <f>COUNTIF(S3:S47,"metacell-131")</f>
        <v>0</v>
      </c>
      <c r="AB152" t="s">
        <v>509</v>
      </c>
      <c r="AC152" t="s">
        <v>509</v>
      </c>
      <c r="AD152">
        <f t="shared" si="0"/>
        <v>0</v>
      </c>
    </row>
    <row r="153" spans="1:30" x14ac:dyDescent="0.25">
      <c r="A153" s="67" t="s">
        <v>208</v>
      </c>
      <c r="B153" s="62">
        <v>23</v>
      </c>
      <c r="C153" s="2">
        <v>6</v>
      </c>
      <c r="D153" s="2">
        <v>3</v>
      </c>
      <c r="E153" s="2">
        <v>14</v>
      </c>
      <c r="F153" s="2">
        <v>13</v>
      </c>
      <c r="G153" s="2">
        <v>3</v>
      </c>
      <c r="H153" s="2">
        <v>3</v>
      </c>
      <c r="I153" s="2" t="s">
        <v>509</v>
      </c>
      <c r="J153" s="2" t="s">
        <v>509</v>
      </c>
      <c r="K153" s="2" t="s">
        <v>509</v>
      </c>
      <c r="L153" s="4" t="s">
        <v>509</v>
      </c>
      <c r="M153" s="3" t="s">
        <v>208</v>
      </c>
      <c r="N153" s="2">
        <f>SUM(B153:H153)</f>
        <v>65</v>
      </c>
      <c r="O153" s="4">
        <v>18</v>
      </c>
      <c r="Q153" s="3" t="s">
        <v>193</v>
      </c>
      <c r="R153" s="4">
        <v>2</v>
      </c>
      <c r="T153" t="s">
        <v>208</v>
      </c>
      <c r="U153">
        <f>COUNTIF(A3:A7,"metacell-142")</f>
        <v>0</v>
      </c>
      <c r="V153">
        <f>COUNTIF(D3:D34,"metacell-142")</f>
        <v>0</v>
      </c>
      <c r="W153">
        <f>COUNTIF(G3:G14,"metacell-142")</f>
        <v>1</v>
      </c>
      <c r="X153">
        <f>COUNTIF(J3:J8,"metacell-142")</f>
        <v>0</v>
      </c>
      <c r="Y153">
        <f>COUNTIF(M3:M8,"metacell-142")</f>
        <v>0</v>
      </c>
      <c r="Z153">
        <f>COUNTIF(P3:P72,"metacell-142")</f>
        <v>1</v>
      </c>
      <c r="AA153">
        <f>COUNTIF(S3:S47,"metacell-142")</f>
        <v>1</v>
      </c>
      <c r="AB153" t="s">
        <v>509</v>
      </c>
      <c r="AC153" t="s">
        <v>509</v>
      </c>
      <c r="AD153">
        <f t="shared" si="0"/>
        <v>3</v>
      </c>
    </row>
    <row r="154" spans="1:30" x14ac:dyDescent="0.25">
      <c r="A154" s="67" t="s">
        <v>183</v>
      </c>
      <c r="B154" s="62">
        <v>24</v>
      </c>
      <c r="C154" s="2">
        <v>5</v>
      </c>
      <c r="D154" s="2">
        <v>10</v>
      </c>
      <c r="E154" s="2">
        <v>9</v>
      </c>
      <c r="F154" s="2">
        <v>10</v>
      </c>
      <c r="G154" s="2">
        <v>8</v>
      </c>
      <c r="H154" s="2">
        <v>2</v>
      </c>
      <c r="I154" s="2" t="s">
        <v>509</v>
      </c>
      <c r="J154" s="2" t="s">
        <v>509</v>
      </c>
      <c r="K154" s="2" t="s">
        <v>509</v>
      </c>
      <c r="L154" s="4" t="s">
        <v>509</v>
      </c>
      <c r="M154" s="3" t="s">
        <v>183</v>
      </c>
      <c r="N154" s="2">
        <f>SUM(B154:H154)</f>
        <v>68</v>
      </c>
      <c r="O154" s="4">
        <v>19</v>
      </c>
      <c r="Q154" s="3" t="s">
        <v>194</v>
      </c>
      <c r="R154" s="4">
        <v>2</v>
      </c>
      <c r="T154" t="s">
        <v>183</v>
      </c>
      <c r="U154">
        <f>COUNTIF(A3:A7,"metacell-117")</f>
        <v>0</v>
      </c>
      <c r="V154">
        <f>COUNTIF(D3:D34,"metacell-117")</f>
        <v>1</v>
      </c>
      <c r="W154">
        <f>COUNTIF(G3:G14,"metacell-117")</f>
        <v>0</v>
      </c>
      <c r="X154">
        <f>COUNTIF(J3:J8,"metacell-117")</f>
        <v>0</v>
      </c>
      <c r="Y154">
        <f>COUNTIF(M3:M8,"metacell-117")</f>
        <v>0</v>
      </c>
      <c r="Z154">
        <f>COUNTIF(P3:P72,"metacell-117")</f>
        <v>0</v>
      </c>
      <c r="AA154">
        <f>COUNTIF(S3:S47,"metacell-117")</f>
        <v>1</v>
      </c>
      <c r="AB154" t="s">
        <v>509</v>
      </c>
      <c r="AC154" t="s">
        <v>509</v>
      </c>
      <c r="AD154">
        <f t="shared" si="0"/>
        <v>2</v>
      </c>
    </row>
    <row r="155" spans="1:30" x14ac:dyDescent="0.25">
      <c r="A155" s="67" t="s">
        <v>222</v>
      </c>
      <c r="B155" s="62">
        <v>16</v>
      </c>
      <c r="C155" s="2">
        <v>6</v>
      </c>
      <c r="D155" s="2">
        <v>8</v>
      </c>
      <c r="E155" s="2">
        <v>10</v>
      </c>
      <c r="F155" s="2">
        <v>16</v>
      </c>
      <c r="G155" s="2">
        <v>5</v>
      </c>
      <c r="H155" s="2">
        <v>7</v>
      </c>
      <c r="I155" s="2" t="s">
        <v>509</v>
      </c>
      <c r="J155" s="2" t="s">
        <v>509</v>
      </c>
      <c r="K155" s="2" t="s">
        <v>509</v>
      </c>
      <c r="L155" s="4" t="s">
        <v>509</v>
      </c>
      <c r="M155" s="3" t="s">
        <v>222</v>
      </c>
      <c r="N155" s="2">
        <f>SUM(B155:H155)</f>
        <v>68</v>
      </c>
      <c r="O155" s="4">
        <v>19</v>
      </c>
      <c r="Q155" s="3" t="s">
        <v>200</v>
      </c>
      <c r="R155" s="4">
        <v>2</v>
      </c>
      <c r="T155" t="s">
        <v>222</v>
      </c>
      <c r="U155">
        <f>COUNTIF(A3:A7,"metacell-156")</f>
        <v>0</v>
      </c>
      <c r="V155">
        <f>COUNTIF(D3:D34,"metacell-156")</f>
        <v>0</v>
      </c>
      <c r="W155">
        <f>COUNTIF(G3:G14,"metacell-156")</f>
        <v>0</v>
      </c>
      <c r="X155">
        <f>COUNTIF(J3:J8,"metacell-156")</f>
        <v>0</v>
      </c>
      <c r="Y155">
        <f>COUNTIF(M3:M8,"metacell-156")</f>
        <v>0</v>
      </c>
      <c r="Z155">
        <f>COUNTIF(P3:P72,"metacell-156")</f>
        <v>1</v>
      </c>
      <c r="AA155">
        <f>COUNTIF(S3:S47,"metacell-156")</f>
        <v>0</v>
      </c>
      <c r="AB155" t="s">
        <v>509</v>
      </c>
      <c r="AC155" t="s">
        <v>509</v>
      </c>
      <c r="AD155">
        <f t="shared" si="0"/>
        <v>1</v>
      </c>
    </row>
    <row r="156" spans="1:30" x14ac:dyDescent="0.25">
      <c r="A156" s="67" t="s">
        <v>185</v>
      </c>
      <c r="B156" s="62">
        <v>33</v>
      </c>
      <c r="C156" s="2">
        <v>4</v>
      </c>
      <c r="D156" s="2">
        <v>6</v>
      </c>
      <c r="E156" s="2">
        <v>13</v>
      </c>
      <c r="F156" s="2">
        <v>7</v>
      </c>
      <c r="G156" s="2">
        <v>4</v>
      </c>
      <c r="H156" s="2">
        <v>2</v>
      </c>
      <c r="I156" s="2" t="s">
        <v>509</v>
      </c>
      <c r="J156" s="2" t="s">
        <v>509</v>
      </c>
      <c r="K156" s="2" t="s">
        <v>509</v>
      </c>
      <c r="L156" s="4" t="s">
        <v>509</v>
      </c>
      <c r="M156" s="3" t="s">
        <v>185</v>
      </c>
      <c r="N156" s="2">
        <f>SUM(B156:H156)</f>
        <v>69</v>
      </c>
      <c r="O156" s="4">
        <v>20</v>
      </c>
      <c r="Q156" s="3" t="s">
        <v>230</v>
      </c>
      <c r="R156" s="4">
        <v>2</v>
      </c>
      <c r="T156" t="s">
        <v>185</v>
      </c>
      <c r="U156">
        <f>COUNTIF(A3:A7,"metacell-119")</f>
        <v>0</v>
      </c>
      <c r="V156">
        <f>COUNTIF(D3:D34,"metacell-119")</f>
        <v>1</v>
      </c>
      <c r="W156">
        <f>COUNTIF(G3:G14,"metacell-119")</f>
        <v>0</v>
      </c>
      <c r="X156">
        <f>COUNTIF(J3:J8,"metacell-119")</f>
        <v>0</v>
      </c>
      <c r="Y156">
        <f>COUNTIF(M3:M8,"metacell-119")</f>
        <v>0</v>
      </c>
      <c r="Z156">
        <f>COUNTIF(P3:P72,"metacell-119")</f>
        <v>1</v>
      </c>
      <c r="AA156">
        <f>COUNTIF(S3:S47,"metacell-119")</f>
        <v>1</v>
      </c>
      <c r="AB156" t="s">
        <v>509</v>
      </c>
      <c r="AC156" t="s">
        <v>509</v>
      </c>
      <c r="AD156">
        <f t="shared" si="0"/>
        <v>3</v>
      </c>
    </row>
    <row r="157" spans="1:30" x14ac:dyDescent="0.25">
      <c r="A157" s="67" t="s">
        <v>199</v>
      </c>
      <c r="B157" s="62">
        <v>13</v>
      </c>
      <c r="C157" s="2">
        <v>7</v>
      </c>
      <c r="D157" s="2">
        <v>7</v>
      </c>
      <c r="E157" s="2">
        <v>11</v>
      </c>
      <c r="F157" s="2">
        <v>19</v>
      </c>
      <c r="G157" s="2">
        <v>6</v>
      </c>
      <c r="H157" s="2">
        <v>6</v>
      </c>
      <c r="I157" s="2" t="s">
        <v>509</v>
      </c>
      <c r="J157" s="2" t="s">
        <v>509</v>
      </c>
      <c r="K157" s="2" t="s">
        <v>509</v>
      </c>
      <c r="L157" s="4" t="s">
        <v>509</v>
      </c>
      <c r="M157" s="3" t="s">
        <v>199</v>
      </c>
      <c r="N157" s="2">
        <f>SUM(B157:H157)</f>
        <v>69</v>
      </c>
      <c r="O157" s="4">
        <v>20</v>
      </c>
      <c r="Q157" s="3" t="s">
        <v>201</v>
      </c>
      <c r="R157" s="4">
        <v>2</v>
      </c>
      <c r="T157" t="s">
        <v>199</v>
      </c>
      <c r="U157">
        <f>COUNTIF(A3:A7,"metacell-133")</f>
        <v>0</v>
      </c>
      <c r="V157">
        <f>COUNTIF(D3:D34,"metacell-133")</f>
        <v>0</v>
      </c>
      <c r="W157">
        <f>COUNTIF(G3:G14,"metacell-133")</f>
        <v>0</v>
      </c>
      <c r="X157">
        <f>COUNTIF(J3:J8,"metacell-133")</f>
        <v>0</v>
      </c>
      <c r="Y157">
        <f>COUNTIF(M3:M8,"metacell-133")</f>
        <v>0</v>
      </c>
      <c r="Z157">
        <f>COUNTIF(P3:P72,"metacell-133")</f>
        <v>0</v>
      </c>
      <c r="AA157">
        <f>COUNTIF(S3:S47,"metacell-133")</f>
        <v>0</v>
      </c>
      <c r="AB157" t="s">
        <v>509</v>
      </c>
      <c r="AC157" t="s">
        <v>509</v>
      </c>
      <c r="AD157">
        <f t="shared" si="0"/>
        <v>0</v>
      </c>
    </row>
    <row r="158" spans="1:30" x14ac:dyDescent="0.25">
      <c r="A158" s="67" t="s">
        <v>195</v>
      </c>
      <c r="B158" s="62">
        <v>19</v>
      </c>
      <c r="C158" s="2">
        <v>4</v>
      </c>
      <c r="D158" s="2">
        <v>8</v>
      </c>
      <c r="E158" s="2">
        <v>13</v>
      </c>
      <c r="F158" s="2">
        <v>13</v>
      </c>
      <c r="G158" s="2">
        <v>7</v>
      </c>
      <c r="H158" s="2">
        <v>6</v>
      </c>
      <c r="I158" s="2" t="s">
        <v>509</v>
      </c>
      <c r="J158" s="2" t="s">
        <v>509</v>
      </c>
      <c r="K158" s="2" t="s">
        <v>509</v>
      </c>
      <c r="L158" s="4" t="s">
        <v>509</v>
      </c>
      <c r="M158" s="3" t="s">
        <v>195</v>
      </c>
      <c r="N158" s="2">
        <f>SUM(B158:H158)</f>
        <v>70</v>
      </c>
      <c r="O158" s="4">
        <v>21</v>
      </c>
      <c r="Q158" s="3" t="s">
        <v>215</v>
      </c>
      <c r="R158" s="4">
        <v>2</v>
      </c>
      <c r="T158" t="s">
        <v>195</v>
      </c>
      <c r="U158">
        <f>COUNTIF(A3:A7,"metacell-129")</f>
        <v>0</v>
      </c>
      <c r="V158">
        <f>COUNTIF(D3:D34,"metacell-129")</f>
        <v>1</v>
      </c>
      <c r="W158">
        <f>COUNTIF(G3:G14,"metacell-129")</f>
        <v>0</v>
      </c>
      <c r="X158">
        <f>COUNTIF(J3:J8,"metacell-129")</f>
        <v>0</v>
      </c>
      <c r="Y158">
        <f>COUNTIF(M3:M8,"metacell-129")</f>
        <v>0</v>
      </c>
      <c r="Z158">
        <f>COUNTIF(P3:P72,"metacell-129")</f>
        <v>0</v>
      </c>
      <c r="AA158">
        <f>COUNTIF(S3:S47,"metacell-129")</f>
        <v>0</v>
      </c>
      <c r="AB158" t="s">
        <v>509</v>
      </c>
      <c r="AC158" t="s">
        <v>509</v>
      </c>
      <c r="AD158">
        <f t="shared" si="0"/>
        <v>1</v>
      </c>
    </row>
    <row r="159" spans="1:30" x14ac:dyDescent="0.25">
      <c r="A159" s="67" t="s">
        <v>214</v>
      </c>
      <c r="B159" s="62">
        <v>24</v>
      </c>
      <c r="C159" s="2">
        <v>4</v>
      </c>
      <c r="D159" s="2">
        <v>6</v>
      </c>
      <c r="E159" s="2">
        <v>9</v>
      </c>
      <c r="F159" s="2">
        <v>15</v>
      </c>
      <c r="G159" s="2">
        <v>8</v>
      </c>
      <c r="H159" s="2">
        <v>4</v>
      </c>
      <c r="I159" s="2" t="s">
        <v>509</v>
      </c>
      <c r="J159" s="2" t="s">
        <v>509</v>
      </c>
      <c r="K159" s="2" t="s">
        <v>509</v>
      </c>
      <c r="L159" s="4" t="s">
        <v>509</v>
      </c>
      <c r="M159" s="3" t="s">
        <v>214</v>
      </c>
      <c r="N159" s="2">
        <f>SUM(B159:H159)</f>
        <v>70</v>
      </c>
      <c r="O159" s="4">
        <v>21</v>
      </c>
      <c r="Q159" s="3" t="s">
        <v>183</v>
      </c>
      <c r="R159" s="4">
        <v>2</v>
      </c>
      <c r="T159" t="s">
        <v>214</v>
      </c>
      <c r="U159">
        <f>COUNTIF(A3:A7,"metacell-148")</f>
        <v>0</v>
      </c>
      <c r="V159">
        <f>COUNTIF(D3:D34,"metacell-148")</f>
        <v>1</v>
      </c>
      <c r="W159">
        <f>COUNTIF(G3:G14,"metacell-148")</f>
        <v>0</v>
      </c>
      <c r="X159">
        <f>COUNTIF(J3:J8,"metacell-148")</f>
        <v>0</v>
      </c>
      <c r="Y159">
        <f>COUNTIF(M3:M8,"metacell-148")</f>
        <v>0</v>
      </c>
      <c r="Z159">
        <f>COUNTIF(P3:P72,"metacell-148")</f>
        <v>0</v>
      </c>
      <c r="AA159">
        <f>COUNTIF(S3:S47,"metacell-148")</f>
        <v>1</v>
      </c>
      <c r="AB159" t="s">
        <v>509</v>
      </c>
      <c r="AC159" t="s">
        <v>509</v>
      </c>
      <c r="AD159">
        <f t="shared" si="0"/>
        <v>2</v>
      </c>
    </row>
    <row r="160" spans="1:30" x14ac:dyDescent="0.25">
      <c r="A160" s="67" t="s">
        <v>220</v>
      </c>
      <c r="B160" s="62">
        <v>24</v>
      </c>
      <c r="C160" s="2">
        <v>7</v>
      </c>
      <c r="D160" s="2">
        <v>9</v>
      </c>
      <c r="E160" s="2">
        <v>12</v>
      </c>
      <c r="F160" s="2">
        <v>11</v>
      </c>
      <c r="G160" s="2">
        <v>5</v>
      </c>
      <c r="H160" s="2">
        <v>6</v>
      </c>
      <c r="I160" s="2" t="s">
        <v>509</v>
      </c>
      <c r="J160" s="2" t="s">
        <v>509</v>
      </c>
      <c r="K160" s="2" t="s">
        <v>509</v>
      </c>
      <c r="L160" s="4" t="s">
        <v>509</v>
      </c>
      <c r="M160" s="3" t="s">
        <v>220</v>
      </c>
      <c r="N160" s="2">
        <f>SUM(B160:H160)</f>
        <v>74</v>
      </c>
      <c r="O160" s="4">
        <v>22</v>
      </c>
      <c r="Q160" s="3" t="s">
        <v>214</v>
      </c>
      <c r="R160" s="4">
        <v>2</v>
      </c>
      <c r="T160" t="s">
        <v>220</v>
      </c>
      <c r="U160">
        <f>COUNTIF(A3:A7,"metacell-154")</f>
        <v>0</v>
      </c>
      <c r="V160">
        <f>COUNTIF(D3:D34,"metacell-154")</f>
        <v>0</v>
      </c>
      <c r="W160">
        <f>COUNTIF(G3:G14,"metacell-154")</f>
        <v>0</v>
      </c>
      <c r="X160">
        <f>COUNTIF(J3:J8,"metacell-154")</f>
        <v>0</v>
      </c>
      <c r="Y160">
        <f>COUNTIF(M3:M8,"metacell-154")</f>
        <v>0</v>
      </c>
      <c r="Z160">
        <f>COUNTIF(P3:P72,"metacell-154")</f>
        <v>1</v>
      </c>
      <c r="AA160">
        <f>COUNTIF(S3:S47,"metacell-154")</f>
        <v>0</v>
      </c>
      <c r="AB160" t="s">
        <v>509</v>
      </c>
      <c r="AC160" t="s">
        <v>509</v>
      </c>
      <c r="AD160">
        <f t="shared" si="0"/>
        <v>1</v>
      </c>
    </row>
    <row r="161" spans="1:30" x14ac:dyDescent="0.25">
      <c r="A161" s="67" t="s">
        <v>690</v>
      </c>
      <c r="B161" s="62">
        <v>34</v>
      </c>
      <c r="C161" s="2">
        <v>4</v>
      </c>
      <c r="D161" s="2">
        <v>8</v>
      </c>
      <c r="E161" s="2">
        <v>9</v>
      </c>
      <c r="F161" s="2">
        <v>9</v>
      </c>
      <c r="G161" s="2">
        <v>5</v>
      </c>
      <c r="H161" s="2">
        <v>5</v>
      </c>
      <c r="I161" s="2" t="s">
        <v>509</v>
      </c>
      <c r="J161" s="2" t="s">
        <v>509</v>
      </c>
      <c r="K161" s="2" t="s">
        <v>509</v>
      </c>
      <c r="L161" s="4" t="s">
        <v>509</v>
      </c>
      <c r="M161" s="3" t="s">
        <v>690</v>
      </c>
      <c r="N161" s="2">
        <f>SUM(B161:H161)</f>
        <v>74</v>
      </c>
      <c r="O161" s="4">
        <v>22</v>
      </c>
      <c r="Q161" s="3" t="s">
        <v>680</v>
      </c>
      <c r="R161" s="4">
        <v>2</v>
      </c>
      <c r="T161" t="s">
        <v>690</v>
      </c>
      <c r="U161">
        <f>COUNTIF(A3:A7,"metacell-379")</f>
        <v>0</v>
      </c>
      <c r="V161">
        <f>COUNTIF(D3:D34,"metacell-379")</f>
        <v>1</v>
      </c>
      <c r="W161">
        <f>COUNTIF(G3:G14,"metacell-379")</f>
        <v>0</v>
      </c>
      <c r="X161">
        <f>COUNTIF(J3:J8,"metacell-379")</f>
        <v>0</v>
      </c>
      <c r="Y161">
        <f>COUNTIF(M3:M8,"metacell-379")</f>
        <v>0</v>
      </c>
      <c r="Z161">
        <f>COUNTIF(P3:P72,"metacell-379")</f>
        <v>1</v>
      </c>
      <c r="AA161">
        <f>COUNTIF(S3:S47,"metacell-379")</f>
        <v>1</v>
      </c>
      <c r="AB161" t="s">
        <v>509</v>
      </c>
      <c r="AC161" t="s">
        <v>509</v>
      </c>
      <c r="AD161">
        <f t="shared" si="0"/>
        <v>3</v>
      </c>
    </row>
    <row r="162" spans="1:30" x14ac:dyDescent="0.25">
      <c r="A162" s="67" t="s">
        <v>207</v>
      </c>
      <c r="B162" s="62">
        <v>8</v>
      </c>
      <c r="C162" s="2">
        <v>9</v>
      </c>
      <c r="D162" s="2">
        <v>9</v>
      </c>
      <c r="E162" s="2">
        <v>20</v>
      </c>
      <c r="F162" s="2">
        <v>17</v>
      </c>
      <c r="G162" s="2">
        <v>6</v>
      </c>
      <c r="H162" s="2">
        <v>8</v>
      </c>
      <c r="I162" s="2" t="s">
        <v>509</v>
      </c>
      <c r="J162" s="2" t="s">
        <v>509</v>
      </c>
      <c r="K162" s="2" t="s">
        <v>509</v>
      </c>
      <c r="L162" s="4" t="s">
        <v>509</v>
      </c>
      <c r="M162" s="3" t="s">
        <v>207</v>
      </c>
      <c r="N162" s="2">
        <f>SUM(B162:H162)</f>
        <v>77</v>
      </c>
      <c r="O162" s="4">
        <v>23</v>
      </c>
      <c r="Q162" s="3" t="s">
        <v>179</v>
      </c>
      <c r="R162" s="4">
        <v>2</v>
      </c>
      <c r="T162" t="s">
        <v>207</v>
      </c>
      <c r="U162">
        <f>COUNTIF(A3:A7,"metacell-141")</f>
        <v>0</v>
      </c>
      <c r="V162">
        <f>COUNTIF(D3:D34,"metacell-141")</f>
        <v>0</v>
      </c>
      <c r="W162">
        <f>COUNTIF(G3:G14,"metacell-141")</f>
        <v>0</v>
      </c>
      <c r="X162">
        <f>COUNTIF(J3:J8,"metacell-141")</f>
        <v>0</v>
      </c>
      <c r="Y162">
        <f>COUNTIF(M3:M8,"metacell-141")</f>
        <v>0</v>
      </c>
      <c r="Z162">
        <f>COUNTIF(P3:P72,"metacell-141")</f>
        <v>0</v>
      </c>
      <c r="AA162">
        <f>COUNTIF(S3:S47,"metacell-141")</f>
        <v>0</v>
      </c>
      <c r="AB162" t="s">
        <v>509</v>
      </c>
      <c r="AC162" t="s">
        <v>509</v>
      </c>
      <c r="AD162">
        <f t="shared" si="0"/>
        <v>0</v>
      </c>
    </row>
    <row r="163" spans="1:30" x14ac:dyDescent="0.25">
      <c r="A163" s="67" t="s">
        <v>687</v>
      </c>
      <c r="B163" s="62">
        <v>40</v>
      </c>
      <c r="C163" s="2">
        <v>6</v>
      </c>
      <c r="D163" s="2">
        <v>9</v>
      </c>
      <c r="E163" s="2">
        <v>14</v>
      </c>
      <c r="F163" s="2">
        <v>3</v>
      </c>
      <c r="G163" s="2">
        <v>3</v>
      </c>
      <c r="H163" s="2">
        <v>3</v>
      </c>
      <c r="I163" s="2" t="s">
        <v>509</v>
      </c>
      <c r="J163" s="2" t="s">
        <v>509</v>
      </c>
      <c r="K163" s="2" t="s">
        <v>509</v>
      </c>
      <c r="L163" s="4" t="s">
        <v>509</v>
      </c>
      <c r="M163" s="3" t="s">
        <v>687</v>
      </c>
      <c r="N163" s="2">
        <f>SUM(B163:H163)</f>
        <v>78</v>
      </c>
      <c r="O163" s="4">
        <v>24</v>
      </c>
      <c r="Q163" s="3" t="s">
        <v>250</v>
      </c>
      <c r="R163" s="4">
        <v>2</v>
      </c>
      <c r="T163" t="s">
        <v>687</v>
      </c>
      <c r="U163">
        <f>COUNTIF(A3:A7,"metacell-376")</f>
        <v>0</v>
      </c>
      <c r="V163">
        <f>COUNTIF(D3:D34,"metacell-376")</f>
        <v>0</v>
      </c>
      <c r="W163">
        <f>COUNTIF(G3:G14,"metacell-376")</f>
        <v>0</v>
      </c>
      <c r="X163">
        <f>COUNTIF(J3:J8,"metacell-376")</f>
        <v>0</v>
      </c>
      <c r="Y163">
        <f>COUNTIF(M3:M8,"metacell-376")</f>
        <v>1</v>
      </c>
      <c r="Z163">
        <f>COUNTIF(P3:P72,"metacell-376")</f>
        <v>1</v>
      </c>
      <c r="AA163">
        <f>COUNTIF(S3:S47,"metacell-376")</f>
        <v>1</v>
      </c>
      <c r="AB163" t="s">
        <v>509</v>
      </c>
      <c r="AC163" t="s">
        <v>509</v>
      </c>
      <c r="AD163">
        <f t="shared" si="0"/>
        <v>3</v>
      </c>
    </row>
    <row r="164" spans="1:30" x14ac:dyDescent="0.25">
      <c r="A164" s="67" t="s">
        <v>226</v>
      </c>
      <c r="B164" s="62">
        <v>18</v>
      </c>
      <c r="C164" s="2">
        <v>6</v>
      </c>
      <c r="D164" s="2">
        <v>7</v>
      </c>
      <c r="E164" s="2">
        <v>15</v>
      </c>
      <c r="F164" s="2">
        <v>18</v>
      </c>
      <c r="G164" s="2">
        <v>4</v>
      </c>
      <c r="H164" s="2">
        <v>11</v>
      </c>
      <c r="I164" s="2" t="s">
        <v>509</v>
      </c>
      <c r="J164" s="2" t="s">
        <v>509</v>
      </c>
      <c r="K164" s="2" t="s">
        <v>509</v>
      </c>
      <c r="L164" s="4" t="s">
        <v>509</v>
      </c>
      <c r="M164" s="3" t="s">
        <v>226</v>
      </c>
      <c r="N164" s="2">
        <f>SUM(B164:H164)</f>
        <v>79</v>
      </c>
      <c r="O164" s="4">
        <v>25</v>
      </c>
      <c r="Q164" s="3" t="s">
        <v>691</v>
      </c>
      <c r="R164" s="4">
        <v>2</v>
      </c>
      <c r="T164" t="s">
        <v>226</v>
      </c>
      <c r="U164">
        <f>COUNTIF(A3:A7,"metacell-160")</f>
        <v>0</v>
      </c>
      <c r="V164">
        <f>COUNTIF(D3:D34,"metacell-160")</f>
        <v>0</v>
      </c>
      <c r="W164">
        <f>COUNTIF(G3:G14,"metacell-160")</f>
        <v>0</v>
      </c>
      <c r="X164">
        <f>COUNTIF(J3:J8,"metacell-160")</f>
        <v>0</v>
      </c>
      <c r="Y164">
        <f>COUNTIF(M3:M8,"metacell-160")</f>
        <v>0</v>
      </c>
      <c r="Z164">
        <f>COUNTIF(P3:P72,"metacell-160")</f>
        <v>1</v>
      </c>
      <c r="AA164">
        <f>COUNTIF(S3:S47,"metacell-160")</f>
        <v>0</v>
      </c>
      <c r="AB164" t="s">
        <v>509</v>
      </c>
      <c r="AC164" t="s">
        <v>509</v>
      </c>
      <c r="AD164">
        <f t="shared" si="0"/>
        <v>1</v>
      </c>
    </row>
    <row r="165" spans="1:30" x14ac:dyDescent="0.25">
      <c r="A165" s="67" t="s">
        <v>203</v>
      </c>
      <c r="B165" s="62">
        <v>25</v>
      </c>
      <c r="C165" s="2">
        <v>9</v>
      </c>
      <c r="D165" s="2">
        <v>6</v>
      </c>
      <c r="E165" s="2">
        <v>15</v>
      </c>
      <c r="F165" s="2">
        <v>15</v>
      </c>
      <c r="G165" s="2">
        <v>2</v>
      </c>
      <c r="H165" s="2">
        <v>8</v>
      </c>
      <c r="I165" s="2" t="s">
        <v>509</v>
      </c>
      <c r="J165" s="2" t="s">
        <v>509</v>
      </c>
      <c r="K165" s="2" t="s">
        <v>509</v>
      </c>
      <c r="L165" s="4" t="s">
        <v>509</v>
      </c>
      <c r="M165" s="3" t="s">
        <v>203</v>
      </c>
      <c r="N165" s="2">
        <f>SUM(B165:H165)</f>
        <v>80</v>
      </c>
      <c r="O165" s="4">
        <v>26</v>
      </c>
      <c r="Q165" s="3" t="s">
        <v>704</v>
      </c>
      <c r="R165" s="4">
        <v>2</v>
      </c>
      <c r="T165" t="s">
        <v>203</v>
      </c>
      <c r="U165">
        <f>COUNTIF(A3:A7,"metacell-137")</f>
        <v>0</v>
      </c>
      <c r="V165">
        <f>COUNTIF(D3:D34,"metacell-137")</f>
        <v>0</v>
      </c>
      <c r="W165">
        <f>COUNTIF(G3:G14,"metacell-137")</f>
        <v>0</v>
      </c>
      <c r="X165">
        <f>COUNTIF(J3:J8,"metacell-137")</f>
        <v>0</v>
      </c>
      <c r="Y165">
        <f>COUNTIF(M3:M8,"metacell-137")</f>
        <v>0</v>
      </c>
      <c r="Z165">
        <f>COUNTIF(P3:P72,"metacell-137")</f>
        <v>1</v>
      </c>
      <c r="AA165">
        <f>COUNTIF(S3:S47,"metacell-137")</f>
        <v>0</v>
      </c>
      <c r="AB165" t="s">
        <v>509</v>
      </c>
      <c r="AC165" t="s">
        <v>509</v>
      </c>
      <c r="AD165">
        <f t="shared" si="0"/>
        <v>1</v>
      </c>
    </row>
    <row r="166" spans="1:30" x14ac:dyDescent="0.25">
      <c r="A166" s="67" t="s">
        <v>231</v>
      </c>
      <c r="B166" s="62">
        <v>22</v>
      </c>
      <c r="C166" s="2">
        <v>5</v>
      </c>
      <c r="D166" s="2">
        <v>10</v>
      </c>
      <c r="E166" s="2">
        <v>10</v>
      </c>
      <c r="F166" s="2">
        <v>18</v>
      </c>
      <c r="G166" s="2">
        <v>6</v>
      </c>
      <c r="H166" s="2">
        <v>10</v>
      </c>
      <c r="I166" s="2" t="s">
        <v>509</v>
      </c>
      <c r="J166" s="2" t="s">
        <v>509</v>
      </c>
      <c r="K166" s="2" t="s">
        <v>509</v>
      </c>
      <c r="L166" s="4" t="s">
        <v>509</v>
      </c>
      <c r="M166" s="3" t="s">
        <v>231</v>
      </c>
      <c r="N166" s="2">
        <f>SUM(B166:H166)</f>
        <v>81</v>
      </c>
      <c r="O166" s="4">
        <v>27</v>
      </c>
      <c r="Q166" s="3" t="s">
        <v>705</v>
      </c>
      <c r="R166" s="4">
        <v>2</v>
      </c>
      <c r="T166" t="s">
        <v>231</v>
      </c>
      <c r="U166">
        <f>COUNTIF(A3:A7,"metacell-165")</f>
        <v>0</v>
      </c>
      <c r="V166">
        <f>COUNTIF(D3:D34,"metacell-165")</f>
        <v>1</v>
      </c>
      <c r="W166">
        <f>COUNTIF(G3:G14,"metacell-165")</f>
        <v>0</v>
      </c>
      <c r="X166">
        <f>COUNTIF(J3:J8,"metacell-165")</f>
        <v>0</v>
      </c>
      <c r="Y166">
        <f>COUNTIF(M3:M8,"metacell-165")</f>
        <v>0</v>
      </c>
      <c r="Z166">
        <f>COUNTIF(P3:P72,"metacell-165")</f>
        <v>0</v>
      </c>
      <c r="AA166">
        <f>COUNTIF(S3:S47,"metacell-165")</f>
        <v>0</v>
      </c>
      <c r="AB166" t="s">
        <v>509</v>
      </c>
      <c r="AC166" t="s">
        <v>509</v>
      </c>
      <c r="AD166">
        <f t="shared" si="0"/>
        <v>1</v>
      </c>
    </row>
    <row r="167" spans="1:30" x14ac:dyDescent="0.25">
      <c r="A167" s="67" t="s">
        <v>187</v>
      </c>
      <c r="B167" s="62">
        <v>41</v>
      </c>
      <c r="C167" s="2">
        <v>5</v>
      </c>
      <c r="D167" s="2">
        <v>1</v>
      </c>
      <c r="E167" s="2">
        <v>22</v>
      </c>
      <c r="F167" s="2">
        <v>7</v>
      </c>
      <c r="G167" s="2">
        <v>1</v>
      </c>
      <c r="H167" s="2">
        <v>6</v>
      </c>
      <c r="I167" s="2" t="s">
        <v>509</v>
      </c>
      <c r="J167" s="2" t="s">
        <v>509</v>
      </c>
      <c r="K167" s="2" t="s">
        <v>509</v>
      </c>
      <c r="L167" s="4" t="s">
        <v>509</v>
      </c>
      <c r="M167" s="3" t="s">
        <v>187</v>
      </c>
      <c r="N167" s="2">
        <f>SUM(B167:H167)</f>
        <v>83</v>
      </c>
      <c r="O167" s="4">
        <v>28</v>
      </c>
      <c r="Q167" s="3" t="s">
        <v>181</v>
      </c>
      <c r="R167" s="4">
        <v>2</v>
      </c>
      <c r="T167" t="s">
        <v>187</v>
      </c>
      <c r="U167">
        <f>COUNTIF(A3:A7,"metacell-121")</f>
        <v>0</v>
      </c>
      <c r="V167">
        <f>COUNTIF(D3:D34,"metacell-121")</f>
        <v>1</v>
      </c>
      <c r="W167">
        <f>COUNTIF(G3:G14,"metacell-121")</f>
        <v>1</v>
      </c>
      <c r="X167">
        <f>COUNTIF(J3:J8,"metacell-121")</f>
        <v>0</v>
      </c>
      <c r="Y167">
        <f>COUNTIF(M3:M8,"metacell-121")</f>
        <v>0</v>
      </c>
      <c r="Z167">
        <f>COUNTIF(P3:P72,"metacell-121")</f>
        <v>1</v>
      </c>
      <c r="AA167">
        <f>COUNTIF(S3:S47,"metacell-121")</f>
        <v>0</v>
      </c>
      <c r="AB167" t="s">
        <v>509</v>
      </c>
      <c r="AC167" t="s">
        <v>509</v>
      </c>
      <c r="AD167">
        <f t="shared" si="0"/>
        <v>3</v>
      </c>
    </row>
    <row r="168" spans="1:30" x14ac:dyDescent="0.25">
      <c r="A168" s="67" t="s">
        <v>216</v>
      </c>
      <c r="B168" s="62">
        <v>32</v>
      </c>
      <c r="C168" s="2">
        <v>6</v>
      </c>
      <c r="D168" s="2">
        <v>8</v>
      </c>
      <c r="E168" s="2">
        <v>15</v>
      </c>
      <c r="F168" s="2">
        <v>13</v>
      </c>
      <c r="G168" s="2">
        <v>3</v>
      </c>
      <c r="H168" s="2">
        <v>6</v>
      </c>
      <c r="I168" s="2" t="s">
        <v>509</v>
      </c>
      <c r="J168" s="2" t="s">
        <v>509</v>
      </c>
      <c r="K168" s="2" t="s">
        <v>509</v>
      </c>
      <c r="L168" s="4" t="s">
        <v>509</v>
      </c>
      <c r="M168" s="3" t="s">
        <v>216</v>
      </c>
      <c r="N168" s="2">
        <f>SUM(B168:H168)</f>
        <v>83</v>
      </c>
      <c r="O168" s="4">
        <v>28</v>
      </c>
      <c r="Q168" s="3" t="s">
        <v>676</v>
      </c>
      <c r="R168" s="4">
        <v>2</v>
      </c>
      <c r="T168" t="s">
        <v>216</v>
      </c>
      <c r="U168">
        <f>COUNTIF(A3:A7,"metacell-150")</f>
        <v>0</v>
      </c>
      <c r="V168">
        <f>COUNTIF(D3:D34,"metacell-150")</f>
        <v>0</v>
      </c>
      <c r="W168">
        <f>COUNTIF(G3:G14,"metacell-150")</f>
        <v>0</v>
      </c>
      <c r="X168">
        <f>COUNTIF(J3:J8,"metacell-150")</f>
        <v>0</v>
      </c>
      <c r="Y168">
        <f>COUNTIF(M3:M8,"metacell-150")</f>
        <v>0</v>
      </c>
      <c r="Z168">
        <f>COUNTIF(P3:P72,"metacell-150")</f>
        <v>1</v>
      </c>
      <c r="AA168">
        <f>COUNTIF(S3:S47,"metacell-150")</f>
        <v>0</v>
      </c>
      <c r="AB168" t="s">
        <v>509</v>
      </c>
      <c r="AC168" t="s">
        <v>509</v>
      </c>
      <c r="AD168">
        <f t="shared" si="0"/>
        <v>1</v>
      </c>
    </row>
    <row r="169" spans="1:30" x14ac:dyDescent="0.25">
      <c r="A169" s="67" t="s">
        <v>688</v>
      </c>
      <c r="B169" s="62">
        <v>35</v>
      </c>
      <c r="C169" s="2">
        <v>6</v>
      </c>
      <c r="D169" s="2">
        <v>9</v>
      </c>
      <c r="E169" s="2">
        <v>14</v>
      </c>
      <c r="F169" s="2">
        <v>10</v>
      </c>
      <c r="G169" s="2">
        <v>6</v>
      </c>
      <c r="H169" s="2">
        <v>3</v>
      </c>
      <c r="I169" s="2" t="s">
        <v>509</v>
      </c>
      <c r="J169" s="2" t="s">
        <v>509</v>
      </c>
      <c r="K169" s="2" t="s">
        <v>509</v>
      </c>
      <c r="L169" s="4" t="s">
        <v>509</v>
      </c>
      <c r="M169" s="3" t="s">
        <v>688</v>
      </c>
      <c r="N169" s="2">
        <f>SUM(B169:H169)</f>
        <v>83</v>
      </c>
      <c r="O169" s="4">
        <v>28</v>
      </c>
      <c r="Q169" s="3" t="s">
        <v>701</v>
      </c>
      <c r="R169" s="4">
        <v>2</v>
      </c>
      <c r="T169" t="s">
        <v>688</v>
      </c>
      <c r="U169">
        <f>COUNTIF(A3:A7,"metacell-377")</f>
        <v>0</v>
      </c>
      <c r="V169">
        <f>COUNTIF(D3:D34,"metacell-377")</f>
        <v>0</v>
      </c>
      <c r="W169">
        <f>COUNTIF(G3:G14,"metacell-377")</f>
        <v>0</v>
      </c>
      <c r="X169">
        <f>COUNTIF(J3:J8,"metacell-377")</f>
        <v>0</v>
      </c>
      <c r="Y169">
        <f>COUNTIF(M3:M8,"metacell-377")</f>
        <v>0</v>
      </c>
      <c r="Z169">
        <f>COUNTIF(P3:P72,"metacell-377")</f>
        <v>0</v>
      </c>
      <c r="AA169">
        <f>COUNTIF(S3:S47,"metacell-377")</f>
        <v>1</v>
      </c>
      <c r="AB169" t="s">
        <v>509</v>
      </c>
      <c r="AC169" t="s">
        <v>509</v>
      </c>
      <c r="AD169">
        <f t="shared" si="0"/>
        <v>1</v>
      </c>
    </row>
    <row r="170" spans="1:30" x14ac:dyDescent="0.25">
      <c r="A170" s="67" t="s">
        <v>249</v>
      </c>
      <c r="B170" s="62">
        <v>43</v>
      </c>
      <c r="C170" s="2">
        <v>7</v>
      </c>
      <c r="D170" s="2">
        <v>11</v>
      </c>
      <c r="E170" s="2">
        <v>16</v>
      </c>
      <c r="F170" s="2">
        <v>2</v>
      </c>
      <c r="G170" s="2">
        <v>1</v>
      </c>
      <c r="H170" s="2">
        <v>4</v>
      </c>
      <c r="I170" s="2" t="s">
        <v>509</v>
      </c>
      <c r="J170" s="2" t="s">
        <v>509</v>
      </c>
      <c r="K170" s="2" t="s">
        <v>509</v>
      </c>
      <c r="L170" s="4" t="s">
        <v>509</v>
      </c>
      <c r="M170" s="3" t="s">
        <v>249</v>
      </c>
      <c r="N170" s="2">
        <f>SUM(B170:H170)</f>
        <v>84</v>
      </c>
      <c r="O170" s="4">
        <v>29</v>
      </c>
      <c r="Q170" s="3" t="s">
        <v>682</v>
      </c>
      <c r="R170" s="4">
        <v>2</v>
      </c>
      <c r="T170" t="s">
        <v>249</v>
      </c>
      <c r="U170">
        <f>COUNTIF(A3:A7,"metacell-185")</f>
        <v>0</v>
      </c>
      <c r="V170">
        <f>COUNTIF(D3:D34,"metacell-185")</f>
        <v>0</v>
      </c>
      <c r="W170">
        <f>COUNTIF(G3:G14,"metacell-185")</f>
        <v>0</v>
      </c>
      <c r="X170">
        <f>COUNTIF(J3:J8,"metacell-185")</f>
        <v>0</v>
      </c>
      <c r="Y170">
        <f>COUNTIF(M3:M8,"metacell-185")</f>
        <v>1</v>
      </c>
      <c r="Z170">
        <f>COUNTIF(P3:P72,"metacell-185")</f>
        <v>1</v>
      </c>
      <c r="AA170">
        <f>COUNTIF(S3:S47,"metacell-185")</f>
        <v>1</v>
      </c>
      <c r="AB170" t="s">
        <v>509</v>
      </c>
      <c r="AC170" t="s">
        <v>509</v>
      </c>
      <c r="AD170">
        <f t="shared" si="0"/>
        <v>3</v>
      </c>
    </row>
    <row r="171" spans="1:30" x14ac:dyDescent="0.25">
      <c r="A171" s="67" t="s">
        <v>680</v>
      </c>
      <c r="B171" s="62">
        <v>40</v>
      </c>
      <c r="C171" s="2">
        <v>4</v>
      </c>
      <c r="D171" s="2">
        <v>12</v>
      </c>
      <c r="E171" s="2">
        <v>9</v>
      </c>
      <c r="F171" s="2">
        <v>10</v>
      </c>
      <c r="G171" s="2">
        <v>6</v>
      </c>
      <c r="H171" s="2">
        <v>4</v>
      </c>
      <c r="I171" s="2" t="s">
        <v>509</v>
      </c>
      <c r="J171" s="2" t="s">
        <v>509</v>
      </c>
      <c r="K171" s="2" t="s">
        <v>509</v>
      </c>
      <c r="L171" s="4" t="s">
        <v>509</v>
      </c>
      <c r="M171" s="3" t="s">
        <v>680</v>
      </c>
      <c r="N171" s="2">
        <f>SUM(B171:H171)</f>
        <v>85</v>
      </c>
      <c r="O171" s="4">
        <v>30</v>
      </c>
      <c r="Q171" s="3" t="s">
        <v>219</v>
      </c>
      <c r="R171" s="4">
        <v>2</v>
      </c>
      <c r="T171" t="s">
        <v>680</v>
      </c>
      <c r="U171">
        <f>COUNTIF(A3:A7,"metacell-367")</f>
        <v>0</v>
      </c>
      <c r="V171">
        <f>COUNTIF(D3:D34,"metacell-367")</f>
        <v>1</v>
      </c>
      <c r="W171">
        <f>COUNTIF(G3:G14,"metacell-367")</f>
        <v>0</v>
      </c>
      <c r="X171">
        <f>COUNTIF(J3:J8,"metacell-367")</f>
        <v>0</v>
      </c>
      <c r="Y171">
        <f>COUNTIF(M3:M8,"metacell-367")</f>
        <v>0</v>
      </c>
      <c r="Z171">
        <f>COUNTIF(P3:P72,"metacell-367")</f>
        <v>0</v>
      </c>
      <c r="AA171">
        <f>COUNTIF(S3:S47,"metacell-367")</f>
        <v>1</v>
      </c>
      <c r="AB171" t="s">
        <v>509</v>
      </c>
      <c r="AC171" t="s">
        <v>509</v>
      </c>
      <c r="AD171">
        <f t="shared" si="0"/>
        <v>2</v>
      </c>
    </row>
    <row r="172" spans="1:30" x14ac:dyDescent="0.25">
      <c r="A172" s="67" t="s">
        <v>212</v>
      </c>
      <c r="B172" s="62">
        <v>26</v>
      </c>
      <c r="C172" s="2">
        <v>7</v>
      </c>
      <c r="D172" s="2">
        <v>7</v>
      </c>
      <c r="E172" s="2">
        <v>19</v>
      </c>
      <c r="F172" s="2">
        <v>14</v>
      </c>
      <c r="G172" s="2">
        <v>6</v>
      </c>
      <c r="H172" s="2">
        <v>7</v>
      </c>
      <c r="I172" s="2" t="s">
        <v>509</v>
      </c>
      <c r="J172" s="2" t="s">
        <v>509</v>
      </c>
      <c r="K172" s="2" t="s">
        <v>509</v>
      </c>
      <c r="L172" s="4" t="s">
        <v>509</v>
      </c>
      <c r="M172" s="3" t="s">
        <v>212</v>
      </c>
      <c r="N172" s="2">
        <f>SUM(B172:H172)</f>
        <v>86</v>
      </c>
      <c r="O172" s="4">
        <v>31</v>
      </c>
      <c r="Q172" s="3" t="s">
        <v>248</v>
      </c>
      <c r="R172" s="4">
        <v>2</v>
      </c>
      <c r="T172" t="s">
        <v>212</v>
      </c>
      <c r="U172">
        <f>COUNTIF(A3:A7,"metacell-146")</f>
        <v>0</v>
      </c>
      <c r="V172">
        <f>COUNTIF(D3:D34,"metacell-146")</f>
        <v>0</v>
      </c>
      <c r="W172">
        <f>COUNTIF(G3:G14,"metacell-146")</f>
        <v>0</v>
      </c>
      <c r="X172">
        <f>COUNTIF(J3:J8,"metacell-146")</f>
        <v>0</v>
      </c>
      <c r="Y172">
        <f>COUNTIF(M3:M8,"metacell-146")</f>
        <v>0</v>
      </c>
      <c r="Z172">
        <f>COUNTIF(P3:P72,"metacell-146")</f>
        <v>0</v>
      </c>
      <c r="AA172">
        <f>COUNTIF(S3:S47,"metacell-146")</f>
        <v>0</v>
      </c>
      <c r="AB172" t="s">
        <v>509</v>
      </c>
      <c r="AC172" t="s">
        <v>509</v>
      </c>
      <c r="AD172">
        <f t="shared" si="0"/>
        <v>0</v>
      </c>
    </row>
    <row r="173" spans="1:30" x14ac:dyDescent="0.25">
      <c r="A173" s="67" t="s">
        <v>179</v>
      </c>
      <c r="B173" s="62">
        <v>27</v>
      </c>
      <c r="C173" s="2">
        <v>8</v>
      </c>
      <c r="D173" s="2">
        <v>4</v>
      </c>
      <c r="E173" s="2">
        <v>23</v>
      </c>
      <c r="F173" s="2">
        <v>14</v>
      </c>
      <c r="G173" s="2">
        <v>5</v>
      </c>
      <c r="H173" s="2">
        <v>7</v>
      </c>
      <c r="I173" s="2" t="s">
        <v>509</v>
      </c>
      <c r="J173" s="2" t="s">
        <v>509</v>
      </c>
      <c r="K173" s="2" t="s">
        <v>509</v>
      </c>
      <c r="L173" s="4" t="s">
        <v>509</v>
      </c>
      <c r="M173" s="3" t="s">
        <v>179</v>
      </c>
      <c r="N173" s="2">
        <f>SUM(B173:H173)</f>
        <v>88</v>
      </c>
      <c r="O173" s="4">
        <v>32</v>
      </c>
      <c r="Q173" s="3" t="s">
        <v>679</v>
      </c>
      <c r="R173" s="4">
        <v>2</v>
      </c>
      <c r="T173" t="s">
        <v>179</v>
      </c>
      <c r="U173">
        <f>COUNTIF(A3:A7,"metacell-113")</f>
        <v>0</v>
      </c>
      <c r="V173">
        <f>COUNTIF(D3:D34,"metacell-113")</f>
        <v>0</v>
      </c>
      <c r="W173">
        <f>COUNTIF(G3:G14,"metacell-113")</f>
        <v>1</v>
      </c>
      <c r="X173">
        <f>COUNTIF(J3:J8,"metacell-113")</f>
        <v>0</v>
      </c>
      <c r="Y173">
        <f>COUNTIF(M3:M8,"metacell-113")</f>
        <v>0</v>
      </c>
      <c r="Z173">
        <f>COUNTIF(P3:P72,"metacell-113")</f>
        <v>1</v>
      </c>
      <c r="AA173">
        <f>COUNTIF(S3:S47,"metacell-113")</f>
        <v>0</v>
      </c>
      <c r="AB173" t="s">
        <v>509</v>
      </c>
      <c r="AC173" t="s">
        <v>509</v>
      </c>
      <c r="AD173">
        <f t="shared" si="0"/>
        <v>2</v>
      </c>
    </row>
    <row r="174" spans="1:30" x14ac:dyDescent="0.25">
      <c r="A174" s="67" t="s">
        <v>221</v>
      </c>
      <c r="B174" s="62">
        <v>31</v>
      </c>
      <c r="C174" s="2">
        <v>7</v>
      </c>
      <c r="D174" s="2">
        <v>7</v>
      </c>
      <c r="E174" s="2">
        <v>17</v>
      </c>
      <c r="F174" s="2">
        <v>15</v>
      </c>
      <c r="G174" s="2">
        <v>4</v>
      </c>
      <c r="H174" s="2">
        <v>7</v>
      </c>
      <c r="I174" s="2" t="s">
        <v>509</v>
      </c>
      <c r="J174" s="2" t="s">
        <v>509</v>
      </c>
      <c r="K174" s="2" t="s">
        <v>509</v>
      </c>
      <c r="L174" s="4" t="s">
        <v>509</v>
      </c>
      <c r="M174" s="3" t="s">
        <v>221</v>
      </c>
      <c r="N174" s="2">
        <f>SUM(B174:H174)</f>
        <v>88</v>
      </c>
      <c r="O174" s="4">
        <v>32</v>
      </c>
      <c r="Q174" s="3" t="s">
        <v>672</v>
      </c>
      <c r="R174" s="4">
        <v>2</v>
      </c>
      <c r="T174" t="s">
        <v>221</v>
      </c>
      <c r="U174">
        <f>COUNTIF(A3:A7,"metacell-155")</f>
        <v>0</v>
      </c>
      <c r="V174">
        <f>COUNTIF(D3:D34,"metacell-155")</f>
        <v>0</v>
      </c>
      <c r="W174">
        <f>COUNTIF(G3:G14,"metacell-155")</f>
        <v>0</v>
      </c>
      <c r="X174">
        <f>COUNTIF(J3:J8,"metacell-155")</f>
        <v>0</v>
      </c>
      <c r="Y174">
        <f>COUNTIF(M3:M8,"metacell-155")</f>
        <v>0</v>
      </c>
      <c r="Z174">
        <f>COUNTIF(P3:P72,"metacell-155")</f>
        <v>1</v>
      </c>
      <c r="AA174">
        <f>COUNTIF(S3:S47,"metacell-155")</f>
        <v>0</v>
      </c>
      <c r="AB174" t="s">
        <v>509</v>
      </c>
      <c r="AC174" t="s">
        <v>509</v>
      </c>
      <c r="AD174">
        <f t="shared" si="0"/>
        <v>1</v>
      </c>
    </row>
    <row r="175" spans="1:30" x14ac:dyDescent="0.25">
      <c r="A175" s="67" t="s">
        <v>689</v>
      </c>
      <c r="B175" s="62">
        <v>35</v>
      </c>
      <c r="C175" s="2">
        <v>8</v>
      </c>
      <c r="D175" s="2">
        <v>12</v>
      </c>
      <c r="E175" s="2">
        <v>13</v>
      </c>
      <c r="F175" s="2">
        <v>10</v>
      </c>
      <c r="G175" s="2">
        <v>8</v>
      </c>
      <c r="H175" s="2">
        <v>3</v>
      </c>
      <c r="I175" s="2" t="s">
        <v>509</v>
      </c>
      <c r="J175" s="2" t="s">
        <v>509</v>
      </c>
      <c r="K175" s="2" t="s">
        <v>509</v>
      </c>
      <c r="L175" s="4" t="s">
        <v>509</v>
      </c>
      <c r="M175" s="3" t="s">
        <v>689</v>
      </c>
      <c r="N175" s="2">
        <f>SUM(B175:H175)</f>
        <v>89</v>
      </c>
      <c r="O175" s="4">
        <v>33</v>
      </c>
      <c r="Q175" s="3" t="s">
        <v>658</v>
      </c>
      <c r="R175" s="4">
        <v>2</v>
      </c>
      <c r="T175" t="s">
        <v>689</v>
      </c>
      <c r="U175">
        <f>COUNTIF(A3:A7,"metacell-378")</f>
        <v>0</v>
      </c>
      <c r="V175">
        <f>COUNTIF(D3:D34,"metacell-378")</f>
        <v>0</v>
      </c>
      <c r="W175">
        <f>COUNTIF(G3:G14,"metacell-378")</f>
        <v>0</v>
      </c>
      <c r="X175">
        <f>COUNTIF(J3:J8,"metacell-378")</f>
        <v>0</v>
      </c>
      <c r="Y175">
        <f>COUNTIF(M3:M8,"metacell-378")</f>
        <v>0</v>
      </c>
      <c r="Z175">
        <f>COUNTIF(P3:P72,"metacell-378")</f>
        <v>0</v>
      </c>
      <c r="AA175">
        <f>COUNTIF(S3:S47,"metacell-378")</f>
        <v>1</v>
      </c>
      <c r="AB175" t="s">
        <v>509</v>
      </c>
      <c r="AC175" t="s">
        <v>509</v>
      </c>
      <c r="AD175">
        <f t="shared" si="0"/>
        <v>1</v>
      </c>
    </row>
    <row r="176" spans="1:30" x14ac:dyDescent="0.25">
      <c r="A176" s="67" t="s">
        <v>209</v>
      </c>
      <c r="B176" s="62">
        <v>13</v>
      </c>
      <c r="C176" s="2">
        <v>11</v>
      </c>
      <c r="D176" s="2">
        <v>9</v>
      </c>
      <c r="E176" s="2">
        <v>23</v>
      </c>
      <c r="F176" s="2">
        <v>20</v>
      </c>
      <c r="G176" s="2">
        <v>8</v>
      </c>
      <c r="H176" s="2">
        <v>6</v>
      </c>
      <c r="I176" s="2" t="s">
        <v>509</v>
      </c>
      <c r="J176" s="2" t="s">
        <v>509</v>
      </c>
      <c r="K176" s="2" t="s">
        <v>509</v>
      </c>
      <c r="L176" s="4" t="s">
        <v>509</v>
      </c>
      <c r="M176" s="3" t="s">
        <v>209</v>
      </c>
      <c r="N176" s="2">
        <f>SUM(B176:H176)</f>
        <v>90</v>
      </c>
      <c r="O176" s="4">
        <v>34</v>
      </c>
      <c r="Q176" s="3" t="s">
        <v>665</v>
      </c>
      <c r="R176" s="4">
        <v>2</v>
      </c>
      <c r="T176" t="s">
        <v>209</v>
      </c>
      <c r="U176">
        <f>COUNTIF(A3:A7,"metacell-143")</f>
        <v>0</v>
      </c>
      <c r="V176">
        <f>COUNTIF(D3:D34,"metacell-143")</f>
        <v>0</v>
      </c>
      <c r="W176">
        <f>COUNTIF(G3:G14,"metacell-143")</f>
        <v>0</v>
      </c>
      <c r="X176">
        <f>COUNTIF(J3:J8,"metacell-143")</f>
        <v>0</v>
      </c>
      <c r="Y176">
        <f>COUNTIF(M3:M8,"metacell-143")</f>
        <v>0</v>
      </c>
      <c r="Z176">
        <f>COUNTIF(P3:P72,"metacell-143")</f>
        <v>0</v>
      </c>
      <c r="AA176">
        <f>COUNTIF(S3:S47,"metacell-143")</f>
        <v>0</v>
      </c>
      <c r="AB176" t="s">
        <v>509</v>
      </c>
      <c r="AC176" t="s">
        <v>509</v>
      </c>
      <c r="AD176">
        <f t="shared" si="0"/>
        <v>0</v>
      </c>
    </row>
    <row r="177" spans="1:30" x14ac:dyDescent="0.25">
      <c r="A177" s="67" t="s">
        <v>213</v>
      </c>
      <c r="B177" s="62">
        <v>28</v>
      </c>
      <c r="C177" s="2">
        <v>7</v>
      </c>
      <c r="D177" s="2">
        <v>9</v>
      </c>
      <c r="E177" s="2">
        <v>17</v>
      </c>
      <c r="F177" s="2">
        <v>15</v>
      </c>
      <c r="G177" s="2">
        <v>6</v>
      </c>
      <c r="H177" s="2">
        <v>8</v>
      </c>
      <c r="I177" s="2" t="s">
        <v>509</v>
      </c>
      <c r="J177" s="2" t="s">
        <v>509</v>
      </c>
      <c r="K177" s="2" t="s">
        <v>509</v>
      </c>
      <c r="L177" s="4" t="s">
        <v>509</v>
      </c>
      <c r="M177" s="3" t="s">
        <v>213</v>
      </c>
      <c r="N177" s="2">
        <f>SUM(B177:H177)</f>
        <v>90</v>
      </c>
      <c r="O177" s="4">
        <v>34</v>
      </c>
      <c r="Q177" s="3" t="s">
        <v>223</v>
      </c>
      <c r="R177" s="4">
        <v>1</v>
      </c>
      <c r="T177" t="s">
        <v>213</v>
      </c>
      <c r="U177">
        <f>COUNTIF(A3:A7,"metacell-147")</f>
        <v>0</v>
      </c>
      <c r="V177">
        <f>COUNTIF(D3:D34,"metacell-147")</f>
        <v>0</v>
      </c>
      <c r="W177">
        <f>COUNTIF(G3:G14,"metacell-147")</f>
        <v>0</v>
      </c>
      <c r="X177">
        <f>COUNTIF(J3:J8,"metacell-147")</f>
        <v>0</v>
      </c>
      <c r="Y177">
        <f>COUNTIF(M3:M8,"metacell-147")</f>
        <v>0</v>
      </c>
      <c r="Z177">
        <f>COUNTIF(P3:P72,"metacell-147")</f>
        <v>0</v>
      </c>
      <c r="AA177">
        <f>COUNTIF(S3:S47,"metacell-147")</f>
        <v>0</v>
      </c>
      <c r="AB177" t="s">
        <v>509</v>
      </c>
      <c r="AC177" t="s">
        <v>509</v>
      </c>
      <c r="AD177">
        <f t="shared" si="0"/>
        <v>0</v>
      </c>
    </row>
    <row r="178" spans="1:30" x14ac:dyDescent="0.25">
      <c r="A178" s="67" t="s">
        <v>217</v>
      </c>
      <c r="B178" s="62">
        <v>29</v>
      </c>
      <c r="C178" s="2">
        <v>8</v>
      </c>
      <c r="D178" s="2">
        <v>12</v>
      </c>
      <c r="E178" s="2">
        <v>12</v>
      </c>
      <c r="F178" s="2">
        <v>17</v>
      </c>
      <c r="G178" s="2">
        <v>6</v>
      </c>
      <c r="H178" s="2">
        <v>6</v>
      </c>
      <c r="I178" s="2" t="s">
        <v>509</v>
      </c>
      <c r="J178" s="2" t="s">
        <v>509</v>
      </c>
      <c r="K178" s="2" t="s">
        <v>509</v>
      </c>
      <c r="L178" s="4" t="s">
        <v>509</v>
      </c>
      <c r="M178" s="3" t="s">
        <v>217</v>
      </c>
      <c r="N178" s="2">
        <f>SUM(B178:H178)</f>
        <v>90</v>
      </c>
      <c r="O178" s="4">
        <v>34</v>
      </c>
      <c r="Q178" s="3" t="s">
        <v>224</v>
      </c>
      <c r="R178" s="4">
        <v>1</v>
      </c>
      <c r="T178" t="s">
        <v>217</v>
      </c>
      <c r="U178">
        <f>COUNTIF(A3:A7,"metacell-151")</f>
        <v>0</v>
      </c>
      <c r="V178">
        <f>COUNTIF(D3:D34,"metacell-151")</f>
        <v>0</v>
      </c>
      <c r="W178">
        <f>COUNTIF(G3:G14,"metacell-151")</f>
        <v>0</v>
      </c>
      <c r="X178">
        <f>COUNTIF(J3:J8,"metacell-151")</f>
        <v>0</v>
      </c>
      <c r="Y178">
        <f>COUNTIF(M3:M8,"metacell-151")</f>
        <v>0</v>
      </c>
      <c r="Z178">
        <f>COUNTIF(P3:P72,"metacell-151")</f>
        <v>0</v>
      </c>
      <c r="AA178">
        <f>COUNTIF(S3:S47,"metacell-151")</f>
        <v>0</v>
      </c>
      <c r="AB178" t="s">
        <v>509</v>
      </c>
      <c r="AC178" t="s">
        <v>509</v>
      </c>
      <c r="AD178">
        <f t="shared" si="0"/>
        <v>0</v>
      </c>
    </row>
    <row r="179" spans="1:30" x14ac:dyDescent="0.25">
      <c r="A179" s="67" t="s">
        <v>239</v>
      </c>
      <c r="B179" s="62">
        <v>32</v>
      </c>
      <c r="C179" s="2">
        <v>7</v>
      </c>
      <c r="D179" s="2">
        <v>11</v>
      </c>
      <c r="E179" s="2">
        <v>15</v>
      </c>
      <c r="F179" s="2">
        <v>14</v>
      </c>
      <c r="G179" s="2">
        <v>7</v>
      </c>
      <c r="H179" s="2">
        <v>5</v>
      </c>
      <c r="I179" s="2" t="s">
        <v>509</v>
      </c>
      <c r="J179" s="2" t="s">
        <v>509</v>
      </c>
      <c r="K179" s="2" t="s">
        <v>509</v>
      </c>
      <c r="L179" s="4" t="s">
        <v>509</v>
      </c>
      <c r="M179" s="3" t="s">
        <v>239</v>
      </c>
      <c r="N179" s="2">
        <f>SUM(B179:H179)</f>
        <v>91</v>
      </c>
      <c r="O179" s="4">
        <v>35</v>
      </c>
      <c r="Q179" s="3" t="s">
        <v>222</v>
      </c>
      <c r="R179" s="4">
        <v>1</v>
      </c>
      <c r="T179" t="s">
        <v>239</v>
      </c>
      <c r="U179">
        <f>COUNTIF(A3:A7,"metacell-175")</f>
        <v>0</v>
      </c>
      <c r="V179">
        <f>COUNTIF(D3:D34,"metacell-175")</f>
        <v>0</v>
      </c>
      <c r="W179">
        <f>COUNTIF(G3:G14,"metacell-175")</f>
        <v>0</v>
      </c>
      <c r="X179">
        <f>COUNTIF(J3:J8,"metacell-175")</f>
        <v>0</v>
      </c>
      <c r="Y179">
        <f>COUNTIF(M3:M8,"metacell-175")</f>
        <v>0</v>
      </c>
      <c r="Z179">
        <f>COUNTIF(P3:P72,"metacell-175")</f>
        <v>0</v>
      </c>
      <c r="AA179">
        <f>COUNTIF(S3:S47,"metacell-175")</f>
        <v>1</v>
      </c>
      <c r="AB179" t="s">
        <v>509</v>
      </c>
      <c r="AC179" t="s">
        <v>509</v>
      </c>
      <c r="AD179">
        <f t="shared" si="0"/>
        <v>1</v>
      </c>
    </row>
    <row r="180" spans="1:30" x14ac:dyDescent="0.25">
      <c r="A180" s="67" t="s">
        <v>211</v>
      </c>
      <c r="B180" s="62">
        <v>30</v>
      </c>
      <c r="C180" s="2">
        <v>8</v>
      </c>
      <c r="D180" s="2">
        <v>7</v>
      </c>
      <c r="E180" s="2">
        <v>21</v>
      </c>
      <c r="F180" s="2">
        <v>17</v>
      </c>
      <c r="G180" s="2">
        <v>5</v>
      </c>
      <c r="H180" s="2">
        <v>6</v>
      </c>
      <c r="I180" s="2" t="s">
        <v>509</v>
      </c>
      <c r="J180" s="2" t="s">
        <v>509</v>
      </c>
      <c r="K180" s="2" t="s">
        <v>509</v>
      </c>
      <c r="L180" s="4" t="s">
        <v>509</v>
      </c>
      <c r="M180" s="3" t="s">
        <v>211</v>
      </c>
      <c r="N180" s="2">
        <f>SUM(B180:H180)</f>
        <v>94</v>
      </c>
      <c r="O180" s="4">
        <v>36</v>
      </c>
      <c r="Q180" s="3" t="s">
        <v>195</v>
      </c>
      <c r="R180" s="4">
        <v>1</v>
      </c>
      <c r="T180" t="s">
        <v>211</v>
      </c>
      <c r="U180">
        <f>COUNTIF(A3:A7,"metacell-145")</f>
        <v>0</v>
      </c>
      <c r="V180">
        <f>COUNTIF(D3:D34,"metacell-145")</f>
        <v>0</v>
      </c>
      <c r="W180">
        <f>COUNTIF(G3:G14,"metacell-145")</f>
        <v>0</v>
      </c>
      <c r="X180">
        <f>COUNTIF(J3:J8,"metacell-145")</f>
        <v>0</v>
      </c>
      <c r="Y180">
        <f>COUNTIF(M3:M8,"metacell-145")</f>
        <v>0</v>
      </c>
      <c r="Z180">
        <f>COUNTIF(P3:P72,"metacell-145")</f>
        <v>1</v>
      </c>
      <c r="AA180">
        <f>COUNTIF(S3:S47,"metacell-145")</f>
        <v>0</v>
      </c>
      <c r="AB180" t="s">
        <v>509</v>
      </c>
      <c r="AC180" t="s">
        <v>509</v>
      </c>
      <c r="AD180">
        <f t="shared" si="0"/>
        <v>1</v>
      </c>
    </row>
    <row r="181" spans="1:30" x14ac:dyDescent="0.25">
      <c r="A181" s="67" t="s">
        <v>218</v>
      </c>
      <c r="B181" s="62">
        <v>35</v>
      </c>
      <c r="C181" s="2">
        <v>9</v>
      </c>
      <c r="D181" s="2">
        <v>7</v>
      </c>
      <c r="E181" s="2">
        <v>21</v>
      </c>
      <c r="F181" s="2">
        <v>11</v>
      </c>
      <c r="G181" s="2">
        <v>4</v>
      </c>
      <c r="H181" s="2">
        <v>7</v>
      </c>
      <c r="I181" s="2" t="s">
        <v>509</v>
      </c>
      <c r="J181" s="2" t="s">
        <v>509</v>
      </c>
      <c r="K181" s="2" t="s">
        <v>509</v>
      </c>
      <c r="L181" s="4" t="s">
        <v>509</v>
      </c>
      <c r="M181" s="3" t="s">
        <v>218</v>
      </c>
      <c r="N181" s="2">
        <f>SUM(B181:H181)</f>
        <v>94</v>
      </c>
      <c r="O181" s="4">
        <v>36</v>
      </c>
      <c r="Q181" s="3" t="s">
        <v>220</v>
      </c>
      <c r="R181" s="4">
        <v>1</v>
      </c>
      <c r="T181" t="s">
        <v>218</v>
      </c>
      <c r="U181">
        <f>COUNTIF(A3:A7,"metacell-152")</f>
        <v>0</v>
      </c>
      <c r="V181">
        <f>COUNTIF(D3:D34,"metacell-152")</f>
        <v>0</v>
      </c>
      <c r="W181">
        <f>COUNTIF(G3:G14,"metacell-152")</f>
        <v>0</v>
      </c>
      <c r="X181">
        <f>COUNTIF(J3:J8,"metacell-152")</f>
        <v>0</v>
      </c>
      <c r="Y181">
        <f>COUNTIF(M3:M8,"metacell-152")</f>
        <v>0</v>
      </c>
      <c r="Z181">
        <f>COUNTIF(P3:P72,"metacell-152")</f>
        <v>1</v>
      </c>
      <c r="AA181">
        <f>COUNTIF(S3:S47,"metacell-152")</f>
        <v>0</v>
      </c>
      <c r="AB181" t="s">
        <v>509</v>
      </c>
      <c r="AC181" t="s">
        <v>509</v>
      </c>
      <c r="AD181">
        <f t="shared" si="0"/>
        <v>1</v>
      </c>
    </row>
    <row r="182" spans="1:30" x14ac:dyDescent="0.25">
      <c r="A182" s="67" t="s">
        <v>677</v>
      </c>
      <c r="B182" s="62">
        <v>43</v>
      </c>
      <c r="C182" s="2">
        <v>7</v>
      </c>
      <c r="D182" s="2">
        <v>9</v>
      </c>
      <c r="E182" s="2">
        <v>15</v>
      </c>
      <c r="F182" s="2">
        <v>12</v>
      </c>
      <c r="G182" s="2">
        <v>3</v>
      </c>
      <c r="H182" s="2">
        <v>6</v>
      </c>
      <c r="I182" s="2" t="s">
        <v>509</v>
      </c>
      <c r="J182" s="2" t="s">
        <v>509</v>
      </c>
      <c r="K182" s="2" t="s">
        <v>509</v>
      </c>
      <c r="L182" s="4" t="s">
        <v>509</v>
      </c>
      <c r="M182" s="3" t="s">
        <v>677</v>
      </c>
      <c r="N182" s="2">
        <f>SUM(B182:H182)</f>
        <v>95</v>
      </c>
      <c r="O182" s="4">
        <v>37</v>
      </c>
      <c r="Q182" s="3" t="s">
        <v>226</v>
      </c>
      <c r="R182" s="4">
        <v>1</v>
      </c>
      <c r="T182" t="s">
        <v>677</v>
      </c>
      <c r="U182">
        <f>COUNTIF(A3:A7,"metacell-364")</f>
        <v>0</v>
      </c>
      <c r="V182">
        <f>COUNTIF(D3:D34,"metacell-364")</f>
        <v>0</v>
      </c>
      <c r="W182">
        <f>COUNTIF(G3:G14,"metacell-364")</f>
        <v>0</v>
      </c>
      <c r="X182">
        <f>COUNTIF(J3:J8,"metacell-364")</f>
        <v>0</v>
      </c>
      <c r="Y182">
        <f>COUNTIF(M3:M8,"metacell-364")</f>
        <v>0</v>
      </c>
      <c r="Z182">
        <f>COUNTIF(P3:P72,"metacell-364")</f>
        <v>1</v>
      </c>
      <c r="AA182">
        <f>COUNTIF(S3:S47,"metacell-364")</f>
        <v>0</v>
      </c>
      <c r="AB182" t="s">
        <v>509</v>
      </c>
      <c r="AC182" t="s">
        <v>509</v>
      </c>
      <c r="AD182">
        <f t="shared" si="0"/>
        <v>1</v>
      </c>
    </row>
    <row r="183" spans="1:30" x14ac:dyDescent="0.25">
      <c r="A183" s="67" t="s">
        <v>250</v>
      </c>
      <c r="B183" s="62">
        <v>39</v>
      </c>
      <c r="C183" s="2">
        <v>9</v>
      </c>
      <c r="D183" s="2">
        <v>13</v>
      </c>
      <c r="E183" s="2">
        <v>18</v>
      </c>
      <c r="F183" s="2">
        <v>9</v>
      </c>
      <c r="G183" s="2">
        <v>4</v>
      </c>
      <c r="H183" s="2">
        <v>5</v>
      </c>
      <c r="I183" s="2" t="s">
        <v>509</v>
      </c>
      <c r="J183" s="2" t="s">
        <v>509</v>
      </c>
      <c r="K183" s="2" t="s">
        <v>509</v>
      </c>
      <c r="L183" s="4" t="s">
        <v>509</v>
      </c>
      <c r="M183" s="3" t="s">
        <v>250</v>
      </c>
      <c r="N183" s="2">
        <f>SUM(B183:H183)</f>
        <v>97</v>
      </c>
      <c r="O183" s="4">
        <v>38</v>
      </c>
      <c r="Q183" s="3" t="s">
        <v>203</v>
      </c>
      <c r="R183" s="4">
        <v>1</v>
      </c>
      <c r="T183" t="s">
        <v>250</v>
      </c>
      <c r="U183">
        <f>COUNTIF(A3:A7,"metacell-186")</f>
        <v>0</v>
      </c>
      <c r="V183">
        <f>COUNTIF(D3:D34,"metacell-186")</f>
        <v>0</v>
      </c>
      <c r="W183">
        <f>COUNTIF(G3:G14,"metacell-186")</f>
        <v>0</v>
      </c>
      <c r="X183">
        <f>COUNTIF(J3:J8,"metacell-186")</f>
        <v>0</v>
      </c>
      <c r="Y183">
        <f>COUNTIF(M3:M8,"metacell-186")</f>
        <v>0</v>
      </c>
      <c r="Z183">
        <f>COUNTIF(P3:P72,"metacell-186")</f>
        <v>1</v>
      </c>
      <c r="AA183">
        <f>COUNTIF(S3:S47,"metacell-186")</f>
        <v>1</v>
      </c>
      <c r="AB183" t="s">
        <v>509</v>
      </c>
      <c r="AC183" t="s">
        <v>509</v>
      </c>
      <c r="AD183">
        <f t="shared" si="0"/>
        <v>2</v>
      </c>
    </row>
    <row r="184" spans="1:30" x14ac:dyDescent="0.25">
      <c r="A184" s="67" t="s">
        <v>0</v>
      </c>
      <c r="B184" s="62">
        <v>30</v>
      </c>
      <c r="C184" s="2">
        <v>9</v>
      </c>
      <c r="D184" s="2">
        <v>14</v>
      </c>
      <c r="E184" s="2">
        <v>14</v>
      </c>
      <c r="F184" s="2">
        <v>17</v>
      </c>
      <c r="G184" s="2">
        <v>8</v>
      </c>
      <c r="H184" s="2">
        <v>5</v>
      </c>
      <c r="I184" s="2" t="s">
        <v>509</v>
      </c>
      <c r="J184" s="2" t="s">
        <v>509</v>
      </c>
      <c r="K184" s="2" t="s">
        <v>509</v>
      </c>
      <c r="L184" s="4" t="s">
        <v>509</v>
      </c>
      <c r="M184" s="3" t="s">
        <v>0</v>
      </c>
      <c r="N184" s="2">
        <f>SUM(B184:H184)</f>
        <v>97</v>
      </c>
      <c r="O184" s="4">
        <v>38</v>
      </c>
      <c r="Q184" s="3" t="s">
        <v>231</v>
      </c>
      <c r="R184" s="4">
        <v>1</v>
      </c>
      <c r="T184" t="s">
        <v>0</v>
      </c>
      <c r="U184">
        <f>COUNTIF(A3:A7,"metacell-188")</f>
        <v>0</v>
      </c>
      <c r="V184">
        <f>COUNTIF(D3:D34,"metacell-188")</f>
        <v>0</v>
      </c>
      <c r="W184">
        <f>COUNTIF(G3:G14,"metacell-188")</f>
        <v>0</v>
      </c>
      <c r="X184">
        <f>COUNTIF(J3:J8,"metacell-188")</f>
        <v>0</v>
      </c>
      <c r="Y184">
        <f>COUNTIF(M3:M8,"metacell-188")</f>
        <v>0</v>
      </c>
      <c r="Z184">
        <f>COUNTIF(P3:P72,"metacell-188")</f>
        <v>0</v>
      </c>
      <c r="AA184">
        <f>COUNTIF(S3:S47,"metacell-188")</f>
        <v>1</v>
      </c>
      <c r="AB184" t="s">
        <v>509</v>
      </c>
      <c r="AC184" t="s">
        <v>509</v>
      </c>
      <c r="AD184">
        <f t="shared" si="0"/>
        <v>1</v>
      </c>
    </row>
    <row r="185" spans="1:30" x14ac:dyDescent="0.25">
      <c r="A185" s="67" t="s">
        <v>691</v>
      </c>
      <c r="B185" s="62">
        <v>47</v>
      </c>
      <c r="C185" s="2">
        <v>7</v>
      </c>
      <c r="D185" s="2">
        <v>10</v>
      </c>
      <c r="E185" s="2">
        <v>16</v>
      </c>
      <c r="F185" s="2">
        <v>10</v>
      </c>
      <c r="G185" s="2">
        <v>4</v>
      </c>
      <c r="H185" s="2">
        <v>3</v>
      </c>
      <c r="I185" s="2" t="s">
        <v>509</v>
      </c>
      <c r="J185" s="2" t="s">
        <v>509</v>
      </c>
      <c r="K185" s="2" t="s">
        <v>509</v>
      </c>
      <c r="L185" s="4" t="s">
        <v>509</v>
      </c>
      <c r="M185" s="3" t="s">
        <v>691</v>
      </c>
      <c r="N185" s="2">
        <f>SUM(B185:H185)</f>
        <v>97</v>
      </c>
      <c r="O185" s="4">
        <v>38</v>
      </c>
      <c r="Q185" s="3" t="s">
        <v>216</v>
      </c>
      <c r="R185" s="4">
        <v>1</v>
      </c>
      <c r="T185" t="s">
        <v>691</v>
      </c>
      <c r="U185">
        <f>COUNTIF(A3:A7,"metacell-380")</f>
        <v>0</v>
      </c>
      <c r="V185">
        <f>COUNTIF(D3:D34,"metacell-380")</f>
        <v>0</v>
      </c>
      <c r="W185">
        <f>COUNTIF(G3:G14,"metacell-380")</f>
        <v>0</v>
      </c>
      <c r="X185">
        <f>COUNTIF(J3:J8,"metacell-380")</f>
        <v>0</v>
      </c>
      <c r="Y185">
        <f>COUNTIF(M3:M8,"metacell-380")</f>
        <v>0</v>
      </c>
      <c r="Z185">
        <f>COUNTIF(P3:P72,"metacell-380")</f>
        <v>1</v>
      </c>
      <c r="AA185">
        <f>COUNTIF(S3:S47,"metacell-380")</f>
        <v>1</v>
      </c>
      <c r="AB185" t="s">
        <v>509</v>
      </c>
      <c r="AC185" t="s">
        <v>509</v>
      </c>
      <c r="AD185">
        <f t="shared" si="0"/>
        <v>2</v>
      </c>
    </row>
    <row r="186" spans="1:30" x14ac:dyDescent="0.25">
      <c r="A186" s="67" t="s">
        <v>182</v>
      </c>
      <c r="B186" s="62">
        <v>33</v>
      </c>
      <c r="C186" s="2">
        <v>9</v>
      </c>
      <c r="D186" s="2">
        <v>11</v>
      </c>
      <c r="E186" s="2">
        <v>19</v>
      </c>
      <c r="F186" s="2">
        <v>14</v>
      </c>
      <c r="G186" s="2">
        <v>5</v>
      </c>
      <c r="H186" s="2">
        <v>7</v>
      </c>
      <c r="I186" s="2" t="s">
        <v>509</v>
      </c>
      <c r="J186" s="2" t="s">
        <v>509</v>
      </c>
      <c r="K186" s="2" t="s">
        <v>509</v>
      </c>
      <c r="L186" s="4" t="s">
        <v>509</v>
      </c>
      <c r="M186" s="3" t="s">
        <v>182</v>
      </c>
      <c r="N186" s="2">
        <f>SUM(B186:H186)</f>
        <v>98</v>
      </c>
      <c r="O186" s="4">
        <v>39</v>
      </c>
      <c r="Q186" s="3" t="s">
        <v>688</v>
      </c>
      <c r="R186" s="4">
        <v>1</v>
      </c>
      <c r="T186" t="s">
        <v>182</v>
      </c>
      <c r="U186">
        <f>COUNTIF(A3:A7,"metacell-116")</f>
        <v>0</v>
      </c>
      <c r="V186">
        <f>COUNTIF(D3:D34,"metacell-116")</f>
        <v>0</v>
      </c>
      <c r="W186">
        <f>COUNTIF(G3:G14,"metacell-116")</f>
        <v>0</v>
      </c>
      <c r="X186">
        <f>COUNTIF(J3:J8,"metacell-116")</f>
        <v>0</v>
      </c>
      <c r="Y186">
        <f>COUNTIF(M3:M8,"metacell-116")</f>
        <v>0</v>
      </c>
      <c r="Z186">
        <f>COUNTIF(P3:P72,"metacell-116")</f>
        <v>1</v>
      </c>
      <c r="AA186">
        <f>COUNTIF(S3:S47,"metacell-116")</f>
        <v>0</v>
      </c>
      <c r="AB186" t="s">
        <v>509</v>
      </c>
      <c r="AC186" t="s">
        <v>509</v>
      </c>
      <c r="AD186">
        <f t="shared" si="0"/>
        <v>1</v>
      </c>
    </row>
    <row r="187" spans="1:30" x14ac:dyDescent="0.25">
      <c r="A187" s="67" t="s">
        <v>704</v>
      </c>
      <c r="B187" s="62">
        <v>47</v>
      </c>
      <c r="C187" s="2">
        <v>8</v>
      </c>
      <c r="D187" s="2">
        <v>10</v>
      </c>
      <c r="E187" s="2">
        <v>17</v>
      </c>
      <c r="F187" s="2">
        <v>10</v>
      </c>
      <c r="G187" s="2">
        <v>4</v>
      </c>
      <c r="H187" s="2">
        <v>3</v>
      </c>
      <c r="I187" s="2" t="s">
        <v>509</v>
      </c>
      <c r="J187" s="2" t="s">
        <v>509</v>
      </c>
      <c r="K187" s="2" t="s">
        <v>509</v>
      </c>
      <c r="L187" s="4" t="s">
        <v>509</v>
      </c>
      <c r="M187" s="3" t="s">
        <v>704</v>
      </c>
      <c r="N187" s="2">
        <f>SUM(B187:H187)</f>
        <v>99</v>
      </c>
      <c r="O187" s="4">
        <v>40</v>
      </c>
      <c r="Q187" s="3" t="s">
        <v>221</v>
      </c>
      <c r="R187" s="4">
        <v>1</v>
      </c>
      <c r="T187" t="s">
        <v>704</v>
      </c>
      <c r="U187">
        <f>COUNTIF(A3:A7,"metacell-395")</f>
        <v>0</v>
      </c>
      <c r="V187">
        <f>COUNTIF(D3:D34,"metacell-395")</f>
        <v>0</v>
      </c>
      <c r="W187">
        <f>COUNTIF(G3:G14,"metacell-395")</f>
        <v>0</v>
      </c>
      <c r="X187">
        <f>COUNTIF(J3:J8,"metacell-395")</f>
        <v>0</v>
      </c>
      <c r="Y187">
        <f>COUNTIF(M3:M8,"metacell-395")</f>
        <v>0</v>
      </c>
      <c r="Z187">
        <f>COUNTIF(P3:P72,"metacell-395")</f>
        <v>1</v>
      </c>
      <c r="AA187">
        <f>COUNTIF(S3:S47,"metacell-395")</f>
        <v>1</v>
      </c>
      <c r="AB187" t="s">
        <v>509</v>
      </c>
      <c r="AC187" t="s">
        <v>509</v>
      </c>
      <c r="AD187">
        <f t="shared" si="0"/>
        <v>2</v>
      </c>
    </row>
    <row r="188" spans="1:30" x14ac:dyDescent="0.25">
      <c r="A188" s="67" t="s">
        <v>184</v>
      </c>
      <c r="B188" s="62">
        <v>45</v>
      </c>
      <c r="C188" s="2">
        <v>7</v>
      </c>
      <c r="D188" s="2">
        <v>6</v>
      </c>
      <c r="E188" s="2">
        <v>17</v>
      </c>
      <c r="F188" s="2">
        <v>14</v>
      </c>
      <c r="G188" s="2">
        <v>4</v>
      </c>
      <c r="H188" s="2">
        <v>7</v>
      </c>
      <c r="I188" s="2" t="s">
        <v>509</v>
      </c>
      <c r="J188" s="2" t="s">
        <v>509</v>
      </c>
      <c r="K188" s="2" t="s">
        <v>509</v>
      </c>
      <c r="L188" s="4" t="s">
        <v>509</v>
      </c>
      <c r="M188" s="3" t="s">
        <v>184</v>
      </c>
      <c r="N188" s="2">
        <f>SUM(B188:H188)</f>
        <v>100</v>
      </c>
      <c r="O188" s="4">
        <v>41</v>
      </c>
      <c r="Q188" s="3" t="s">
        <v>689</v>
      </c>
      <c r="R188" s="4">
        <v>1</v>
      </c>
      <c r="T188" t="s">
        <v>184</v>
      </c>
      <c r="U188">
        <f>COUNTIF(A3:A7,"metacell-118")</f>
        <v>0</v>
      </c>
      <c r="V188">
        <f>COUNTIF(D3:D34,"metacell-118")</f>
        <v>0</v>
      </c>
      <c r="W188">
        <f>COUNTIF(G3:G14,"metacell-118")</f>
        <v>0</v>
      </c>
      <c r="X188">
        <f>COUNTIF(J3:J8,"metacell-118")</f>
        <v>0</v>
      </c>
      <c r="Y188">
        <f>COUNTIF(M3:M8,"metacell-118")</f>
        <v>0</v>
      </c>
      <c r="Z188">
        <f>COUNTIF(P3:P72,"metacell-118")</f>
        <v>1</v>
      </c>
      <c r="AA188">
        <f>COUNTIF(S3:S47,"metacell-118")</f>
        <v>0</v>
      </c>
      <c r="AB188" t="s">
        <v>509</v>
      </c>
      <c r="AC188" t="s">
        <v>509</v>
      </c>
      <c r="AD188">
        <f t="shared" si="0"/>
        <v>1</v>
      </c>
    </row>
    <row r="189" spans="1:30" x14ac:dyDescent="0.25">
      <c r="A189" s="67" t="s">
        <v>705</v>
      </c>
      <c r="B189" s="62">
        <v>47</v>
      </c>
      <c r="C189" s="2">
        <v>7</v>
      </c>
      <c r="D189" s="2">
        <v>12</v>
      </c>
      <c r="E189" s="2">
        <v>14</v>
      </c>
      <c r="F189" s="2">
        <v>12</v>
      </c>
      <c r="G189" s="2">
        <v>4</v>
      </c>
      <c r="H189" s="2">
        <v>4</v>
      </c>
      <c r="I189" s="2" t="s">
        <v>509</v>
      </c>
      <c r="J189" s="2" t="s">
        <v>509</v>
      </c>
      <c r="K189" s="2" t="s">
        <v>509</v>
      </c>
      <c r="L189" s="4" t="s">
        <v>509</v>
      </c>
      <c r="M189" s="3" t="s">
        <v>705</v>
      </c>
      <c r="N189" s="2">
        <f>SUM(B189:H189)</f>
        <v>100</v>
      </c>
      <c r="O189" s="4">
        <v>41</v>
      </c>
      <c r="Q189" s="3" t="s">
        <v>239</v>
      </c>
      <c r="R189" s="4">
        <v>1</v>
      </c>
      <c r="T189" t="s">
        <v>705</v>
      </c>
      <c r="U189">
        <f>COUNTIF(A3:A7,"metacell-396")</f>
        <v>0</v>
      </c>
      <c r="V189">
        <f>COUNTIF(D3:D34,"metacell-396")</f>
        <v>0</v>
      </c>
      <c r="W189">
        <f>COUNTIF(G3:G14,"metacell-396")</f>
        <v>0</v>
      </c>
      <c r="X189">
        <f>COUNTIF(J3:J8,"metacell-396")</f>
        <v>0</v>
      </c>
      <c r="Y189">
        <f>COUNTIF(M3:M8,"metacell-396")</f>
        <v>0</v>
      </c>
      <c r="Z189">
        <f>COUNTIF(P3:P72,"metacell-396")</f>
        <v>1</v>
      </c>
      <c r="AA189">
        <f>COUNTIF(S3:S47,"metacell-396")</f>
        <v>1</v>
      </c>
      <c r="AB189" t="s">
        <v>509</v>
      </c>
      <c r="AC189" t="s">
        <v>509</v>
      </c>
      <c r="AD189">
        <f t="shared" si="0"/>
        <v>2</v>
      </c>
    </row>
    <row r="190" spans="1:30" x14ac:dyDescent="0.25">
      <c r="A190" s="67" t="s">
        <v>177</v>
      </c>
      <c r="B190" s="62">
        <v>49</v>
      </c>
      <c r="C190" s="2">
        <v>8</v>
      </c>
      <c r="D190" s="2">
        <v>11</v>
      </c>
      <c r="E190" s="2">
        <v>22</v>
      </c>
      <c r="F190" s="2">
        <v>4</v>
      </c>
      <c r="G190" s="2">
        <v>4</v>
      </c>
      <c r="H190" s="2">
        <v>3</v>
      </c>
      <c r="I190" s="2" t="s">
        <v>509</v>
      </c>
      <c r="J190" s="2" t="s">
        <v>509</v>
      </c>
      <c r="K190" s="2" t="s">
        <v>509</v>
      </c>
      <c r="L190" s="4" t="s">
        <v>509</v>
      </c>
      <c r="M190" s="3" t="s">
        <v>177</v>
      </c>
      <c r="N190" s="2">
        <f>SUM(B190:H190)</f>
        <v>101</v>
      </c>
      <c r="O190" s="4">
        <v>42</v>
      </c>
      <c r="Q190" s="3" t="s">
        <v>211</v>
      </c>
      <c r="R190" s="4">
        <v>1</v>
      </c>
      <c r="T190" t="s">
        <v>177</v>
      </c>
      <c r="U190">
        <f>COUNTIF(A3:A7,"metacell-111")</f>
        <v>0</v>
      </c>
      <c r="V190">
        <f>COUNTIF(D3:D34,"metacell-111")</f>
        <v>0</v>
      </c>
      <c r="W190">
        <f>COUNTIF(G3:G14,"metacell-111")</f>
        <v>0</v>
      </c>
      <c r="X190">
        <f>COUNTIF(J3:J8,"metacell-111")</f>
        <v>0</v>
      </c>
      <c r="Y190">
        <f>COUNTIF(M3:M8,"metacell-111")</f>
        <v>1</v>
      </c>
      <c r="Z190">
        <f>COUNTIF(P3:P72,"metacell-111")</f>
        <v>1</v>
      </c>
      <c r="AA190">
        <f>COUNTIF(S3:S47,"metacell-111")</f>
        <v>1</v>
      </c>
      <c r="AB190" t="s">
        <v>509</v>
      </c>
      <c r="AC190" t="s">
        <v>509</v>
      </c>
      <c r="AD190">
        <f t="shared" si="0"/>
        <v>3</v>
      </c>
    </row>
    <row r="191" spans="1:30" x14ac:dyDescent="0.25">
      <c r="A191" s="67" t="s">
        <v>181</v>
      </c>
      <c r="B191" s="62">
        <v>47</v>
      </c>
      <c r="C191" s="2">
        <v>5</v>
      </c>
      <c r="D191" s="2">
        <v>6</v>
      </c>
      <c r="E191" s="2">
        <v>17</v>
      </c>
      <c r="F191" s="2">
        <v>14</v>
      </c>
      <c r="G191" s="2">
        <v>5</v>
      </c>
      <c r="H191" s="2">
        <v>7</v>
      </c>
      <c r="I191" s="2" t="s">
        <v>509</v>
      </c>
      <c r="J191" s="2" t="s">
        <v>509</v>
      </c>
      <c r="K191" s="2" t="s">
        <v>509</v>
      </c>
      <c r="L191" s="4" t="s">
        <v>509</v>
      </c>
      <c r="M191" s="3" t="s">
        <v>181</v>
      </c>
      <c r="N191" s="2">
        <f>SUM(B191:H191)</f>
        <v>101</v>
      </c>
      <c r="O191" s="4">
        <v>42</v>
      </c>
      <c r="Q191" s="3" t="s">
        <v>218</v>
      </c>
      <c r="R191" s="4">
        <v>1</v>
      </c>
      <c r="T191" t="s">
        <v>181</v>
      </c>
      <c r="U191">
        <f>COUNTIF(A3:A7,"metacell-115")</f>
        <v>0</v>
      </c>
      <c r="V191">
        <f>COUNTIF(D3:D34,"metacell-115")</f>
        <v>1</v>
      </c>
      <c r="W191">
        <f>COUNTIF(G3:G14,"metacell-115")</f>
        <v>0</v>
      </c>
      <c r="X191">
        <f>COUNTIF(J3:J8,"metacell-115")</f>
        <v>0</v>
      </c>
      <c r="Y191">
        <f>COUNTIF(M3:M8,"metacell-115")</f>
        <v>0</v>
      </c>
      <c r="Z191">
        <f>COUNTIF(P3:P72,"metacell-115")</f>
        <v>1</v>
      </c>
      <c r="AA191">
        <f>COUNTIF(S3:S47,"metacell-115")</f>
        <v>0</v>
      </c>
      <c r="AB191" t="s">
        <v>509</v>
      </c>
      <c r="AC191" t="s">
        <v>509</v>
      </c>
      <c r="AD191">
        <f t="shared" si="0"/>
        <v>2</v>
      </c>
    </row>
    <row r="192" spans="1:30" x14ac:dyDescent="0.25">
      <c r="A192" s="67" t="s">
        <v>676</v>
      </c>
      <c r="B192" s="62">
        <v>47</v>
      </c>
      <c r="C192" s="2">
        <v>7</v>
      </c>
      <c r="D192" s="2">
        <v>8</v>
      </c>
      <c r="E192" s="2">
        <v>19</v>
      </c>
      <c r="F192" s="2">
        <v>11</v>
      </c>
      <c r="G192" s="2">
        <v>5</v>
      </c>
      <c r="H192" s="2">
        <v>5</v>
      </c>
      <c r="I192" s="2" t="s">
        <v>509</v>
      </c>
      <c r="J192" s="2" t="s">
        <v>509</v>
      </c>
      <c r="K192" s="2" t="s">
        <v>509</v>
      </c>
      <c r="L192" s="4" t="s">
        <v>509</v>
      </c>
      <c r="M192" s="3" t="s">
        <v>676</v>
      </c>
      <c r="N192" s="2">
        <f>SUM(B192:H192)</f>
        <v>102</v>
      </c>
      <c r="O192" s="4">
        <v>43</v>
      </c>
      <c r="Q192" s="3" t="s">
        <v>677</v>
      </c>
      <c r="R192" s="4">
        <v>1</v>
      </c>
      <c r="T192" t="s">
        <v>676</v>
      </c>
      <c r="U192">
        <f>COUNTIF(A3:A7,"metacell-363")</f>
        <v>0</v>
      </c>
      <c r="V192">
        <f>COUNTIF(D3:D34,"metacell-363")</f>
        <v>0</v>
      </c>
      <c r="W192">
        <f>COUNTIF(G3:G14,"metacell-363")</f>
        <v>0</v>
      </c>
      <c r="X192">
        <f>COUNTIF(J3:J8,"metacell-363")</f>
        <v>0</v>
      </c>
      <c r="Y192">
        <f>COUNTIF(M3:M8,"metacell-363")</f>
        <v>0</v>
      </c>
      <c r="Z192">
        <f>COUNTIF(P3:P72,"metacell-363")</f>
        <v>1</v>
      </c>
      <c r="AA192">
        <f>COUNTIF(S3:S47,"metacell-363")</f>
        <v>1</v>
      </c>
      <c r="AB192" t="s">
        <v>509</v>
      </c>
      <c r="AC192" t="s">
        <v>509</v>
      </c>
      <c r="AD192">
        <f t="shared" si="0"/>
        <v>2</v>
      </c>
    </row>
    <row r="193" spans="1:30" x14ac:dyDescent="0.25">
      <c r="A193" s="67" t="s">
        <v>701</v>
      </c>
      <c r="B193" s="62">
        <v>53</v>
      </c>
      <c r="C193" s="2">
        <v>6</v>
      </c>
      <c r="D193" s="2">
        <v>11</v>
      </c>
      <c r="E193" s="2">
        <v>13</v>
      </c>
      <c r="F193" s="2">
        <v>12</v>
      </c>
      <c r="G193" s="2">
        <v>4</v>
      </c>
      <c r="H193" s="2">
        <v>4</v>
      </c>
      <c r="I193" s="2" t="s">
        <v>509</v>
      </c>
      <c r="J193" s="2" t="s">
        <v>509</v>
      </c>
      <c r="K193" s="2" t="s">
        <v>509</v>
      </c>
      <c r="L193" s="4" t="s">
        <v>509</v>
      </c>
      <c r="M193" s="3" t="s">
        <v>701</v>
      </c>
      <c r="N193" s="2">
        <f>SUM(B193:H193)</f>
        <v>103</v>
      </c>
      <c r="O193" s="4">
        <v>44</v>
      </c>
      <c r="Q193" s="3" t="s">
        <v>0</v>
      </c>
      <c r="R193" s="4">
        <v>1</v>
      </c>
      <c r="T193" t="s">
        <v>701</v>
      </c>
      <c r="U193">
        <f>COUNTIF(A3:A7,"metacell-390")</f>
        <v>0</v>
      </c>
      <c r="V193">
        <f>COUNTIF(D3:D34,"metacell-390")</f>
        <v>0</v>
      </c>
      <c r="W193">
        <f>COUNTIF(G3:G14,"metacell-390")</f>
        <v>0</v>
      </c>
      <c r="X193">
        <f>COUNTIF(J3:J8,"metacell-390")</f>
        <v>0</v>
      </c>
      <c r="Y193">
        <f>COUNTIF(M3:M8,"metacell-390")</f>
        <v>0</v>
      </c>
      <c r="Z193">
        <f>COUNTIF(P3:P72,"metacell-390")</f>
        <v>1</v>
      </c>
      <c r="AA193">
        <f>COUNTIF(S3:S47,"metacell-390")</f>
        <v>1</v>
      </c>
      <c r="AB193" t="s">
        <v>509</v>
      </c>
      <c r="AC193" t="s">
        <v>509</v>
      </c>
      <c r="AD193">
        <f t="shared" si="0"/>
        <v>2</v>
      </c>
    </row>
    <row r="194" spans="1:30" x14ac:dyDescent="0.25">
      <c r="A194" s="67" t="s">
        <v>702</v>
      </c>
      <c r="B194" s="62">
        <v>55</v>
      </c>
      <c r="C194" s="2">
        <v>9</v>
      </c>
      <c r="D194" s="2">
        <v>11</v>
      </c>
      <c r="E194" s="2">
        <v>21</v>
      </c>
      <c r="F194" s="2">
        <v>1</v>
      </c>
      <c r="G194" s="2">
        <v>3</v>
      </c>
      <c r="H194" s="2">
        <v>3</v>
      </c>
      <c r="I194" s="2" t="s">
        <v>509</v>
      </c>
      <c r="J194" s="2" t="s">
        <v>509</v>
      </c>
      <c r="K194" s="2" t="s">
        <v>509</v>
      </c>
      <c r="L194" s="4" t="s">
        <v>509</v>
      </c>
      <c r="M194" s="3" t="s">
        <v>702</v>
      </c>
      <c r="N194" s="2">
        <f>SUM(B194:H194)</f>
        <v>103</v>
      </c>
      <c r="O194" s="4">
        <v>44</v>
      </c>
      <c r="Q194" s="3" t="s">
        <v>182</v>
      </c>
      <c r="R194" s="4">
        <v>1</v>
      </c>
      <c r="T194" t="s">
        <v>702</v>
      </c>
      <c r="U194">
        <f>COUNTIF(A3:A7,"metacell-392")</f>
        <v>0</v>
      </c>
      <c r="V194">
        <f>COUNTIF(D3:D34,"metacell-392")</f>
        <v>0</v>
      </c>
      <c r="W194">
        <f>COUNTIF(G3:G14,"metacell-392")</f>
        <v>0</v>
      </c>
      <c r="X194">
        <f>COUNTIF(J3:J8,"metacell-392")</f>
        <v>0</v>
      </c>
      <c r="Y194">
        <f>COUNTIF(M3:M8,"metacell-392")</f>
        <v>1</v>
      </c>
      <c r="Z194">
        <f>COUNTIF(P3:P72,"metacell-392")</f>
        <v>1</v>
      </c>
      <c r="AA194">
        <f>COUNTIF(S3:S47,"metacell-392")</f>
        <v>1</v>
      </c>
      <c r="AB194" t="s">
        <v>509</v>
      </c>
      <c r="AC194" t="s">
        <v>509</v>
      </c>
      <c r="AD194">
        <f t="shared" ref="AD194:AD247" si="1">SUM(U194:AA194)</f>
        <v>3</v>
      </c>
    </row>
    <row r="195" spans="1:30" x14ac:dyDescent="0.25">
      <c r="A195" s="67" t="s">
        <v>682</v>
      </c>
      <c r="B195" s="62">
        <v>58</v>
      </c>
      <c r="C195" s="2">
        <v>8</v>
      </c>
      <c r="D195" s="2">
        <v>8</v>
      </c>
      <c r="E195" s="2">
        <v>18</v>
      </c>
      <c r="F195" s="2">
        <v>6</v>
      </c>
      <c r="G195" s="2">
        <v>1</v>
      </c>
      <c r="H195" s="2">
        <v>5</v>
      </c>
      <c r="I195" s="2" t="s">
        <v>509</v>
      </c>
      <c r="J195" s="2" t="s">
        <v>509</v>
      </c>
      <c r="K195" s="2" t="s">
        <v>509</v>
      </c>
      <c r="L195" s="4" t="s">
        <v>509</v>
      </c>
      <c r="M195" s="3" t="s">
        <v>682</v>
      </c>
      <c r="N195" s="2">
        <f>SUM(B195:H195)</f>
        <v>104</v>
      </c>
      <c r="O195" s="4">
        <v>45</v>
      </c>
      <c r="Q195" s="3" t="s">
        <v>184</v>
      </c>
      <c r="R195" s="4">
        <v>1</v>
      </c>
      <c r="T195" t="s">
        <v>682</v>
      </c>
      <c r="U195">
        <f>COUNTIF(A3:A7,"metacell-369")</f>
        <v>0</v>
      </c>
      <c r="V195">
        <f>COUNTIF(D3:D34,"metacell-369")</f>
        <v>0</v>
      </c>
      <c r="W195">
        <f>COUNTIF(G3:G14,"metacell-369")</f>
        <v>0</v>
      </c>
      <c r="X195">
        <f>COUNTIF(J3:J8,"metacell-369")</f>
        <v>0</v>
      </c>
      <c r="Y195">
        <f>COUNTIF(M3:M8,"metacell-369")</f>
        <v>0</v>
      </c>
      <c r="Z195">
        <f>COUNTIF(P3:P72,"metacell-369")</f>
        <v>1</v>
      </c>
      <c r="AA195">
        <f>COUNTIF(S3:S47,"metacell-369")</f>
        <v>1</v>
      </c>
      <c r="AB195" t="s">
        <v>509</v>
      </c>
      <c r="AC195" t="s">
        <v>509</v>
      </c>
      <c r="AD195">
        <f t="shared" si="1"/>
        <v>2</v>
      </c>
    </row>
    <row r="196" spans="1:30" x14ac:dyDescent="0.25">
      <c r="A196" s="67" t="s">
        <v>678</v>
      </c>
      <c r="B196" s="62">
        <v>46</v>
      </c>
      <c r="C196" s="2">
        <v>7</v>
      </c>
      <c r="D196" s="2">
        <v>13</v>
      </c>
      <c r="E196" s="2">
        <v>12</v>
      </c>
      <c r="F196" s="2">
        <v>15</v>
      </c>
      <c r="G196" s="2">
        <v>7</v>
      </c>
      <c r="H196" s="2">
        <v>5</v>
      </c>
      <c r="I196" s="2" t="s">
        <v>509</v>
      </c>
      <c r="J196" s="2" t="s">
        <v>509</v>
      </c>
      <c r="K196" s="2" t="s">
        <v>509</v>
      </c>
      <c r="L196" s="4" t="s">
        <v>509</v>
      </c>
      <c r="M196" s="3" t="s">
        <v>678</v>
      </c>
      <c r="N196" s="2">
        <f>SUM(B196:H196)</f>
        <v>105</v>
      </c>
      <c r="O196" s="4">
        <v>46</v>
      </c>
      <c r="Q196" s="3" t="s">
        <v>678</v>
      </c>
      <c r="R196" s="4">
        <v>1</v>
      </c>
      <c r="T196" t="s">
        <v>678</v>
      </c>
      <c r="U196">
        <f>COUNTIF(A3:A7,"metacell-365")</f>
        <v>0</v>
      </c>
      <c r="V196">
        <f>COUNTIF(D3:D34,"metacell-365")</f>
        <v>0</v>
      </c>
      <c r="W196">
        <f>COUNTIF(G3:G14,"metacell-365")</f>
        <v>0</v>
      </c>
      <c r="X196">
        <f>COUNTIF(J3:J8,"metacell-365")</f>
        <v>0</v>
      </c>
      <c r="Y196">
        <f>COUNTIF(M3:M8,"metacell-365")</f>
        <v>0</v>
      </c>
      <c r="Z196">
        <f>COUNTIF(P3:P72,"metacell-365")</f>
        <v>0</v>
      </c>
      <c r="AA196">
        <f>COUNTIF(S3:S47,"metacell-365")</f>
        <v>1</v>
      </c>
      <c r="AB196" t="s">
        <v>509</v>
      </c>
      <c r="AC196" t="s">
        <v>509</v>
      </c>
      <c r="AD196">
        <f t="shared" si="1"/>
        <v>1</v>
      </c>
    </row>
    <row r="197" spans="1:30" x14ac:dyDescent="0.25">
      <c r="A197" s="67" t="s">
        <v>240</v>
      </c>
      <c r="B197" s="62">
        <v>37</v>
      </c>
      <c r="C197" s="2">
        <v>7</v>
      </c>
      <c r="D197" s="2">
        <v>11</v>
      </c>
      <c r="E197" s="2">
        <v>20</v>
      </c>
      <c r="F197" s="2">
        <v>16</v>
      </c>
      <c r="G197" s="2">
        <v>7</v>
      </c>
      <c r="H197" s="2">
        <v>8</v>
      </c>
      <c r="I197" s="2" t="s">
        <v>509</v>
      </c>
      <c r="J197" s="2" t="s">
        <v>509</v>
      </c>
      <c r="K197" s="2" t="s">
        <v>509</v>
      </c>
      <c r="L197" s="4" t="s">
        <v>509</v>
      </c>
      <c r="M197" s="3" t="s">
        <v>240</v>
      </c>
      <c r="N197" s="2">
        <f>SUM(B197:H197)</f>
        <v>106</v>
      </c>
      <c r="O197" s="4">
        <v>47</v>
      </c>
      <c r="Q197" s="3" t="s">
        <v>698</v>
      </c>
      <c r="R197" s="4">
        <v>1</v>
      </c>
      <c r="T197" t="s">
        <v>240</v>
      </c>
      <c r="U197">
        <f>COUNTIF(A3:A7,"metacell-176")</f>
        <v>0</v>
      </c>
      <c r="V197">
        <f>COUNTIF(D3:D34,"metacell-176")</f>
        <v>0</v>
      </c>
      <c r="W197">
        <f>COUNTIF(G3:G14,"metacell-176")</f>
        <v>0</v>
      </c>
      <c r="X197">
        <f>COUNTIF(J3:J8,"metacell-176")</f>
        <v>0</v>
      </c>
      <c r="Y197">
        <f>COUNTIF(M3:M8,"metacell-176")</f>
        <v>0</v>
      </c>
      <c r="Z197">
        <f>COUNTIF(P3:P72,"metacell-176")</f>
        <v>0</v>
      </c>
      <c r="AA197">
        <f>COUNTIF(S3:S47,"metacell-176")</f>
        <v>0</v>
      </c>
      <c r="AB197" t="s">
        <v>509</v>
      </c>
      <c r="AC197" t="s">
        <v>509</v>
      </c>
      <c r="AD197">
        <f t="shared" si="1"/>
        <v>0</v>
      </c>
    </row>
    <row r="198" spans="1:30" x14ac:dyDescent="0.25">
      <c r="A198" s="67" t="s">
        <v>698</v>
      </c>
      <c r="B198" s="62">
        <v>48</v>
      </c>
      <c r="C198" s="2">
        <v>10</v>
      </c>
      <c r="D198" s="2">
        <v>10</v>
      </c>
      <c r="E198" s="2">
        <v>22</v>
      </c>
      <c r="F198" s="2">
        <v>8</v>
      </c>
      <c r="G198" s="2">
        <v>6</v>
      </c>
      <c r="H198" s="2">
        <v>4</v>
      </c>
      <c r="I198" s="2" t="s">
        <v>509</v>
      </c>
      <c r="J198" s="2" t="s">
        <v>509</v>
      </c>
      <c r="K198" s="2" t="s">
        <v>509</v>
      </c>
      <c r="L198" s="4" t="s">
        <v>509</v>
      </c>
      <c r="M198" s="3" t="s">
        <v>698</v>
      </c>
      <c r="N198" s="2">
        <f>SUM(B198:H198)</f>
        <v>108</v>
      </c>
      <c r="O198" s="4">
        <v>48</v>
      </c>
      <c r="Q198" s="3" t="s">
        <v>251</v>
      </c>
      <c r="R198" s="4">
        <v>1</v>
      </c>
      <c r="T198" t="s">
        <v>698</v>
      </c>
      <c r="U198">
        <f>COUNTIF(A3:A7,"metacell-387")</f>
        <v>0</v>
      </c>
      <c r="V198">
        <f>COUNTIF(D3:D34,"metacell-387")</f>
        <v>0</v>
      </c>
      <c r="W198">
        <f>COUNTIF(G3:G14,"metacell-387")</f>
        <v>0</v>
      </c>
      <c r="X198">
        <f>COUNTIF(J3:J8,"metacell-387")</f>
        <v>0</v>
      </c>
      <c r="Y198">
        <f>COUNTIF(M3:M8,"metacell-387")</f>
        <v>0</v>
      </c>
      <c r="Z198">
        <f>COUNTIF(P3:P72,"metacell-387")</f>
        <v>0</v>
      </c>
      <c r="AA198">
        <f>COUNTIF(S3:S47,"metacell-387")</f>
        <v>1</v>
      </c>
      <c r="AB198" t="s">
        <v>509</v>
      </c>
      <c r="AC198" t="s">
        <v>509</v>
      </c>
      <c r="AD198">
        <f t="shared" si="1"/>
        <v>1</v>
      </c>
    </row>
    <row r="199" spans="1:30" x14ac:dyDescent="0.25">
      <c r="A199" s="67" t="s">
        <v>219</v>
      </c>
      <c r="B199" s="62">
        <v>48</v>
      </c>
      <c r="C199" s="2">
        <v>9</v>
      </c>
      <c r="D199" s="2">
        <v>15</v>
      </c>
      <c r="E199" s="2">
        <v>20</v>
      </c>
      <c r="F199" s="2">
        <v>9</v>
      </c>
      <c r="G199" s="2">
        <v>4</v>
      </c>
      <c r="H199" s="2">
        <v>4</v>
      </c>
      <c r="I199" s="2" t="s">
        <v>509</v>
      </c>
      <c r="J199" s="2" t="s">
        <v>509</v>
      </c>
      <c r="K199" s="2" t="s">
        <v>509</v>
      </c>
      <c r="L199" s="4" t="s">
        <v>509</v>
      </c>
      <c r="M199" s="3" t="s">
        <v>219</v>
      </c>
      <c r="N199" s="2">
        <f>SUM(B199:H199)</f>
        <v>109</v>
      </c>
      <c r="O199" s="4">
        <v>49</v>
      </c>
      <c r="Q199" s="3" t="s">
        <v>180</v>
      </c>
      <c r="R199" s="4">
        <v>1</v>
      </c>
      <c r="T199" t="s">
        <v>219</v>
      </c>
      <c r="U199">
        <f>COUNTIF(A3:A7,"metacell-153")</f>
        <v>0</v>
      </c>
      <c r="V199">
        <f>COUNTIF(D3:D34,"metacell-153")</f>
        <v>0</v>
      </c>
      <c r="W199">
        <f>COUNTIF(G3:G14,"metacell-153")</f>
        <v>0</v>
      </c>
      <c r="X199">
        <f>COUNTIF(J3:J8,"metacell-153")</f>
        <v>0</v>
      </c>
      <c r="Y199">
        <f>COUNTIF(M3:M8,"metacell-153")</f>
        <v>0</v>
      </c>
      <c r="Z199">
        <f>COUNTIF(P3:P72,"metacell-153")</f>
        <v>1</v>
      </c>
      <c r="AA199">
        <f>COUNTIF(S3:S47,"metacell-153")</f>
        <v>1</v>
      </c>
      <c r="AB199" t="s">
        <v>509</v>
      </c>
      <c r="AC199" t="s">
        <v>509</v>
      </c>
      <c r="AD199">
        <f t="shared" si="1"/>
        <v>2</v>
      </c>
    </row>
    <row r="200" spans="1:30" x14ac:dyDescent="0.25">
      <c r="A200" s="67" t="s">
        <v>251</v>
      </c>
      <c r="B200" s="62">
        <v>38</v>
      </c>
      <c r="C200" s="2">
        <v>10</v>
      </c>
      <c r="D200" s="2">
        <v>12</v>
      </c>
      <c r="E200" s="2">
        <v>20</v>
      </c>
      <c r="F200" s="2">
        <v>16</v>
      </c>
      <c r="G200" s="2">
        <v>5</v>
      </c>
      <c r="H200" s="2">
        <v>8</v>
      </c>
      <c r="I200" s="2" t="s">
        <v>509</v>
      </c>
      <c r="J200" s="2" t="s">
        <v>509</v>
      </c>
      <c r="K200" s="2" t="s">
        <v>509</v>
      </c>
      <c r="L200" s="4" t="s">
        <v>509</v>
      </c>
      <c r="M200" s="3" t="s">
        <v>251</v>
      </c>
      <c r="N200" s="2">
        <f>SUM(B200:H200)</f>
        <v>109</v>
      </c>
      <c r="O200" s="4">
        <v>49</v>
      </c>
      <c r="Q200" s="3" t="s">
        <v>703</v>
      </c>
      <c r="R200" s="4">
        <v>1</v>
      </c>
      <c r="T200" t="s">
        <v>251</v>
      </c>
      <c r="U200">
        <f>COUNTIF(A3:A7,"metacell-187")</f>
        <v>0</v>
      </c>
      <c r="V200">
        <f>COUNTIF(D3:D34,"metacell-187")</f>
        <v>0</v>
      </c>
      <c r="W200">
        <f>COUNTIF(G3:G14,"metacell-187")</f>
        <v>0</v>
      </c>
      <c r="X200">
        <f>COUNTIF(J3:J8,"metacell-187")</f>
        <v>0</v>
      </c>
      <c r="Y200">
        <f>COUNTIF(M3:M8,"metacell-187")</f>
        <v>0</v>
      </c>
      <c r="Z200">
        <f>COUNTIF(P3:P72,"metacell-187")</f>
        <v>1</v>
      </c>
      <c r="AA200">
        <f>COUNTIF(S3:S47,"metacell-187")</f>
        <v>0</v>
      </c>
      <c r="AB200" t="s">
        <v>509</v>
      </c>
      <c r="AC200" t="s">
        <v>509</v>
      </c>
      <c r="AD200">
        <f t="shared" si="1"/>
        <v>1</v>
      </c>
    </row>
    <row r="201" spans="1:30" x14ac:dyDescent="0.25">
      <c r="A201" s="67" t="s">
        <v>248</v>
      </c>
      <c r="B201" s="62">
        <v>61</v>
      </c>
      <c r="C201" s="2">
        <v>5</v>
      </c>
      <c r="D201" s="2">
        <v>8</v>
      </c>
      <c r="E201" s="2">
        <v>18</v>
      </c>
      <c r="F201" s="2">
        <v>8</v>
      </c>
      <c r="G201" s="2">
        <v>3</v>
      </c>
      <c r="H201" s="2">
        <v>7</v>
      </c>
      <c r="I201" s="2" t="s">
        <v>509</v>
      </c>
      <c r="J201" s="2" t="s">
        <v>509</v>
      </c>
      <c r="K201" s="2" t="s">
        <v>509</v>
      </c>
      <c r="L201" s="4" t="s">
        <v>509</v>
      </c>
      <c r="M201" s="3" t="s">
        <v>248</v>
      </c>
      <c r="N201" s="2">
        <f>SUM(B201:H201)</f>
        <v>110</v>
      </c>
      <c r="O201" s="4">
        <v>50</v>
      </c>
      <c r="Q201" s="3" t="s">
        <v>667</v>
      </c>
      <c r="R201" s="4">
        <v>1</v>
      </c>
      <c r="T201" t="s">
        <v>248</v>
      </c>
      <c r="U201">
        <f>COUNTIF(A3:A7,"metacell-184")</f>
        <v>0</v>
      </c>
      <c r="V201">
        <f>COUNTIF(D3:D34,"metacell-184")</f>
        <v>1</v>
      </c>
      <c r="W201">
        <f>COUNTIF(G3:G14,"metacell-184")</f>
        <v>0</v>
      </c>
      <c r="X201">
        <f>COUNTIF(J3:J8,"metacell-184")</f>
        <v>0</v>
      </c>
      <c r="Y201">
        <f>COUNTIF(M3:M8,"metacell-184")</f>
        <v>0</v>
      </c>
      <c r="Z201">
        <f>COUNTIF(P3:P72,"metacell-184")</f>
        <v>1</v>
      </c>
      <c r="AA201">
        <f>COUNTIF(S3:S47,"metacell-184")</f>
        <v>0</v>
      </c>
      <c r="AB201" t="s">
        <v>509</v>
      </c>
      <c r="AC201" t="s">
        <v>509</v>
      </c>
      <c r="AD201">
        <f t="shared" si="1"/>
        <v>2</v>
      </c>
    </row>
    <row r="202" spans="1:30" x14ac:dyDescent="0.25">
      <c r="A202" s="67" t="s">
        <v>668</v>
      </c>
      <c r="B202" s="62">
        <v>57</v>
      </c>
      <c r="C202" s="2">
        <v>9</v>
      </c>
      <c r="D202" s="2">
        <v>11</v>
      </c>
      <c r="E202" s="2">
        <v>23</v>
      </c>
      <c r="F202" s="2">
        <v>5</v>
      </c>
      <c r="G202" s="2">
        <v>3</v>
      </c>
      <c r="H202" s="2">
        <v>2</v>
      </c>
      <c r="I202" s="2" t="s">
        <v>509</v>
      </c>
      <c r="J202" s="2" t="s">
        <v>509</v>
      </c>
      <c r="K202" s="2" t="s">
        <v>509</v>
      </c>
      <c r="L202" s="4" t="s">
        <v>509</v>
      </c>
      <c r="M202" s="3" t="s">
        <v>668</v>
      </c>
      <c r="N202" s="2">
        <f>SUM(B202:H202)</f>
        <v>110</v>
      </c>
      <c r="O202" s="4">
        <v>50</v>
      </c>
      <c r="Q202" s="3" t="s">
        <v>178</v>
      </c>
      <c r="R202" s="4">
        <v>1</v>
      </c>
      <c r="T202" t="s">
        <v>668</v>
      </c>
      <c r="U202">
        <f>COUNTIF(A3:A7,"metacell-352")</f>
        <v>0</v>
      </c>
      <c r="V202">
        <f>COUNTIF(D3:D34,"metacell-352")</f>
        <v>0</v>
      </c>
      <c r="W202">
        <f>COUNTIF(G3:G14,"metacell-352")</f>
        <v>0</v>
      </c>
      <c r="X202">
        <f>COUNTIF(J3:J8,"metacell-352")</f>
        <v>0</v>
      </c>
      <c r="Y202">
        <f>COUNTIF(M3:M8,"metacell-352")</f>
        <v>1</v>
      </c>
      <c r="Z202">
        <f>COUNTIF(P3:P72,"metacell-352")</f>
        <v>1</v>
      </c>
      <c r="AA202">
        <f>COUNTIF(S3:S47,"metacell-352")</f>
        <v>1</v>
      </c>
      <c r="AB202" t="s">
        <v>509</v>
      </c>
      <c r="AC202" t="s">
        <v>509</v>
      </c>
      <c r="AD202">
        <f t="shared" si="1"/>
        <v>3</v>
      </c>
    </row>
    <row r="203" spans="1:30" x14ac:dyDescent="0.25">
      <c r="A203" s="67" t="s">
        <v>186</v>
      </c>
      <c r="B203" s="62">
        <v>36</v>
      </c>
      <c r="C203" s="2">
        <v>11</v>
      </c>
      <c r="D203" s="2">
        <v>10</v>
      </c>
      <c r="E203" s="2">
        <v>21</v>
      </c>
      <c r="F203" s="2">
        <v>19</v>
      </c>
      <c r="G203" s="2">
        <v>6</v>
      </c>
      <c r="H203" s="2">
        <v>8</v>
      </c>
      <c r="I203" s="2" t="s">
        <v>509</v>
      </c>
      <c r="J203" s="2" t="s">
        <v>509</v>
      </c>
      <c r="K203" s="2" t="s">
        <v>509</v>
      </c>
      <c r="L203" s="4" t="s">
        <v>509</v>
      </c>
      <c r="M203" s="3" t="s">
        <v>186</v>
      </c>
      <c r="N203" s="2">
        <f>SUM(B203:H203)</f>
        <v>111</v>
      </c>
      <c r="O203" s="4">
        <v>51</v>
      </c>
      <c r="Q203" s="3" t="s">
        <v>695</v>
      </c>
      <c r="R203" s="4">
        <v>1</v>
      </c>
      <c r="T203" t="s">
        <v>186</v>
      </c>
      <c r="U203">
        <f>COUNTIF(A3:A7,"metacell-120")</f>
        <v>0</v>
      </c>
      <c r="V203">
        <f>COUNTIF(D3:D34,"metacell-120")</f>
        <v>0</v>
      </c>
      <c r="W203">
        <f>COUNTIF(G3:G14,"metacell-120")</f>
        <v>0</v>
      </c>
      <c r="X203">
        <f>COUNTIF(J3:J8,"metacell-120")</f>
        <v>0</v>
      </c>
      <c r="Y203">
        <f>COUNTIF(M3:M8,"metacell-120")</f>
        <v>0</v>
      </c>
      <c r="Z203">
        <f>COUNTIF(P3:P72,"metacell-120")</f>
        <v>0</v>
      </c>
      <c r="AA203">
        <f>COUNTIF(S3:S47,"metacell-120")</f>
        <v>0</v>
      </c>
      <c r="AB203" t="s">
        <v>509</v>
      </c>
      <c r="AC203" t="s">
        <v>509</v>
      </c>
      <c r="AD203">
        <f t="shared" si="1"/>
        <v>0</v>
      </c>
    </row>
    <row r="204" spans="1:30" x14ac:dyDescent="0.25">
      <c r="A204" s="67" t="s">
        <v>679</v>
      </c>
      <c r="B204" s="62">
        <v>49</v>
      </c>
      <c r="C204" s="2">
        <v>9</v>
      </c>
      <c r="D204" s="2">
        <v>12</v>
      </c>
      <c r="E204" s="2">
        <v>19</v>
      </c>
      <c r="F204" s="2">
        <v>12</v>
      </c>
      <c r="G204" s="2">
        <v>5</v>
      </c>
      <c r="H204" s="2">
        <v>5</v>
      </c>
      <c r="I204" s="2" t="s">
        <v>509</v>
      </c>
      <c r="J204" s="2" t="s">
        <v>509</v>
      </c>
      <c r="K204" s="2" t="s">
        <v>509</v>
      </c>
      <c r="L204" s="4" t="s">
        <v>509</v>
      </c>
      <c r="M204" s="3" t="s">
        <v>679</v>
      </c>
      <c r="N204" s="2">
        <f>SUM(B204:H204)</f>
        <v>111</v>
      </c>
      <c r="O204" s="4">
        <v>51</v>
      </c>
      <c r="Q204" s="3" t="s">
        <v>700</v>
      </c>
      <c r="R204" s="4">
        <v>1</v>
      </c>
      <c r="T204" t="s">
        <v>679</v>
      </c>
      <c r="U204">
        <f>COUNTIF(A3:A7,"metacell-366")</f>
        <v>0</v>
      </c>
      <c r="V204">
        <f>COUNTIF(D3:D34,"metacell-366")</f>
        <v>0</v>
      </c>
      <c r="W204">
        <f>COUNTIF(G3:G14,"metacell-366")</f>
        <v>0</v>
      </c>
      <c r="X204">
        <f>COUNTIF(J3:J8,"metacell-366")</f>
        <v>0</v>
      </c>
      <c r="Y204">
        <f>COUNTIF(M3:M8,"metacell-366")</f>
        <v>0</v>
      </c>
      <c r="Z204">
        <f>COUNTIF(P3:P72,"metacell-366")</f>
        <v>1</v>
      </c>
      <c r="AA204">
        <f>COUNTIF(S3:S47,"metacell-366")</f>
        <v>1</v>
      </c>
      <c r="AB204" t="s">
        <v>509</v>
      </c>
      <c r="AC204" t="s">
        <v>509</v>
      </c>
      <c r="AD204">
        <f t="shared" si="1"/>
        <v>2</v>
      </c>
    </row>
    <row r="205" spans="1:30" x14ac:dyDescent="0.25">
      <c r="A205" s="67" t="s">
        <v>180</v>
      </c>
      <c r="B205" s="62">
        <v>42</v>
      </c>
      <c r="C205" s="2">
        <v>8</v>
      </c>
      <c r="D205" s="2">
        <v>6</v>
      </c>
      <c r="E205" s="2">
        <v>27</v>
      </c>
      <c r="F205" s="2">
        <v>14</v>
      </c>
      <c r="G205" s="2">
        <v>3</v>
      </c>
      <c r="H205" s="2">
        <v>12</v>
      </c>
      <c r="I205" s="2" t="s">
        <v>509</v>
      </c>
      <c r="J205" s="2" t="s">
        <v>509</v>
      </c>
      <c r="K205" s="2" t="s">
        <v>509</v>
      </c>
      <c r="L205" s="4" t="s">
        <v>509</v>
      </c>
      <c r="M205" s="3" t="s">
        <v>180</v>
      </c>
      <c r="N205" s="2">
        <f>SUM(B205:H205)</f>
        <v>112</v>
      </c>
      <c r="O205" s="4">
        <v>52</v>
      </c>
      <c r="Q205" s="3" t="s">
        <v>686</v>
      </c>
      <c r="R205" s="4">
        <v>1</v>
      </c>
      <c r="T205" t="s">
        <v>180</v>
      </c>
      <c r="U205">
        <f>COUNTIF(A3:A7,"metacell-114")</f>
        <v>0</v>
      </c>
      <c r="V205">
        <f>COUNTIF(D3:D34,"metacell-114")</f>
        <v>0</v>
      </c>
      <c r="W205">
        <f>COUNTIF(G3:G14,"metacell-114")</f>
        <v>0</v>
      </c>
      <c r="X205">
        <f>COUNTIF(J3:J8,"metacell-114")</f>
        <v>0</v>
      </c>
      <c r="Y205">
        <f>COUNTIF(M3:M8,"metacell-114")</f>
        <v>0</v>
      </c>
      <c r="Z205">
        <f>COUNTIF(P3:P72,"metacell-114")</f>
        <v>1</v>
      </c>
      <c r="AA205">
        <f>COUNTIF(S3:S47,"metacell-114")</f>
        <v>0</v>
      </c>
      <c r="AB205" t="s">
        <v>509</v>
      </c>
      <c r="AC205" t="s">
        <v>509</v>
      </c>
      <c r="AD205">
        <f t="shared" si="1"/>
        <v>1</v>
      </c>
    </row>
    <row r="206" spans="1:30" x14ac:dyDescent="0.25">
      <c r="A206" s="67" t="s">
        <v>703</v>
      </c>
      <c r="B206" s="62">
        <v>57</v>
      </c>
      <c r="C206" s="2">
        <v>8</v>
      </c>
      <c r="D206" s="2">
        <v>14</v>
      </c>
      <c r="E206" s="2">
        <v>18</v>
      </c>
      <c r="F206" s="2">
        <v>6</v>
      </c>
      <c r="G206" s="2">
        <v>7</v>
      </c>
      <c r="H206" s="2">
        <v>2</v>
      </c>
      <c r="I206" s="2" t="s">
        <v>509</v>
      </c>
      <c r="J206" s="2" t="s">
        <v>509</v>
      </c>
      <c r="K206" s="2" t="s">
        <v>509</v>
      </c>
      <c r="L206" s="4" t="s">
        <v>509</v>
      </c>
      <c r="M206" s="3" t="s">
        <v>703</v>
      </c>
      <c r="N206" s="2">
        <f>SUM(B206:H206)</f>
        <v>112</v>
      </c>
      <c r="O206" s="4">
        <v>52</v>
      </c>
      <c r="Q206" s="3" t="s">
        <v>684</v>
      </c>
      <c r="R206" s="4">
        <v>1</v>
      </c>
      <c r="T206" t="s">
        <v>703</v>
      </c>
      <c r="U206">
        <f>COUNTIF(A3:A7,"metacell-393")</f>
        <v>0</v>
      </c>
      <c r="V206">
        <f>COUNTIF(D3:D34,"metacell-393")</f>
        <v>0</v>
      </c>
      <c r="W206">
        <f>COUNTIF(G3:G14,"metacell-393")</f>
        <v>0</v>
      </c>
      <c r="X206">
        <f>COUNTIF(J3:J8,"metacell-393")</f>
        <v>0</v>
      </c>
      <c r="Y206">
        <f>COUNTIF(M3:M8,"metacell-393")</f>
        <v>0</v>
      </c>
      <c r="Z206">
        <f>COUNTIF(P3:P72,"metacell-393")</f>
        <v>0</v>
      </c>
      <c r="AA206">
        <f>COUNTIF(S3:S47,"metacell-393")</f>
        <v>1</v>
      </c>
      <c r="AB206" t="s">
        <v>509</v>
      </c>
      <c r="AC206" t="s">
        <v>509</v>
      </c>
      <c r="AD206">
        <f t="shared" si="1"/>
        <v>1</v>
      </c>
    </row>
    <row r="207" spans="1:30" x14ac:dyDescent="0.25">
      <c r="A207" s="67" t="s">
        <v>667</v>
      </c>
      <c r="B207" s="62">
        <v>66</v>
      </c>
      <c r="C207" s="2">
        <v>7</v>
      </c>
      <c r="D207" s="2">
        <v>7</v>
      </c>
      <c r="E207" s="2">
        <v>20</v>
      </c>
      <c r="F207" s="2">
        <v>9</v>
      </c>
      <c r="G207" s="2">
        <v>1</v>
      </c>
      <c r="H207" s="2">
        <v>6</v>
      </c>
      <c r="I207" s="2" t="s">
        <v>509</v>
      </c>
      <c r="J207" s="2" t="s">
        <v>509</v>
      </c>
      <c r="K207" s="2" t="s">
        <v>509</v>
      </c>
      <c r="L207" s="4" t="s">
        <v>509</v>
      </c>
      <c r="M207" s="3" t="s">
        <v>667</v>
      </c>
      <c r="N207" s="2">
        <f>SUM(B207:H207)</f>
        <v>116</v>
      </c>
      <c r="O207" s="4">
        <v>53</v>
      </c>
      <c r="Q207" s="3" t="s">
        <v>675</v>
      </c>
      <c r="R207" s="4">
        <v>1</v>
      </c>
      <c r="T207" t="s">
        <v>667</v>
      </c>
      <c r="U207">
        <f>COUNTIF(A3:A7,"metacell-350")</f>
        <v>0</v>
      </c>
      <c r="V207">
        <f>COUNTIF(D3:D34,"metacell-350")</f>
        <v>0</v>
      </c>
      <c r="W207">
        <f>COUNTIF(G3:G14,"metacell-350")</f>
        <v>0</v>
      </c>
      <c r="X207">
        <f>COUNTIF(J3:J8,"metacell-350")</f>
        <v>0</v>
      </c>
      <c r="Y207">
        <f>COUNTIF(M3:M8,"metacell-350")</f>
        <v>0</v>
      </c>
      <c r="Z207">
        <f>COUNTIF(P3:P72,"metacell-350")</f>
        <v>1</v>
      </c>
      <c r="AA207">
        <f>COUNTIF(S3:S47,"metacell-350")</f>
        <v>0</v>
      </c>
      <c r="AB207" t="s">
        <v>509</v>
      </c>
      <c r="AC207" t="s">
        <v>509</v>
      </c>
      <c r="AD207">
        <f t="shared" si="1"/>
        <v>1</v>
      </c>
    </row>
    <row r="208" spans="1:30" x14ac:dyDescent="0.25">
      <c r="A208" s="67" t="s">
        <v>178</v>
      </c>
      <c r="B208" s="62">
        <v>48</v>
      </c>
      <c r="C208" s="2">
        <v>9</v>
      </c>
      <c r="D208" s="2">
        <v>7</v>
      </c>
      <c r="E208" s="2">
        <v>25</v>
      </c>
      <c r="F208" s="2">
        <v>15</v>
      </c>
      <c r="G208" s="2">
        <v>4</v>
      </c>
      <c r="H208" s="2">
        <v>9</v>
      </c>
      <c r="I208" s="2" t="s">
        <v>509</v>
      </c>
      <c r="J208" s="2" t="s">
        <v>509</v>
      </c>
      <c r="K208" s="2" t="s">
        <v>509</v>
      </c>
      <c r="L208" s="4" t="s">
        <v>509</v>
      </c>
      <c r="M208" s="3" t="s">
        <v>178</v>
      </c>
      <c r="N208" s="2">
        <f>SUM(B208:H208)</f>
        <v>117</v>
      </c>
      <c r="O208" s="4">
        <v>54</v>
      </c>
      <c r="Q208" s="3" t="s">
        <v>669</v>
      </c>
      <c r="R208" s="4">
        <v>1</v>
      </c>
      <c r="T208" t="s">
        <v>178</v>
      </c>
      <c r="U208">
        <f>COUNTIF(A3:A7,"metacell-112")</f>
        <v>0</v>
      </c>
      <c r="V208">
        <f>COUNTIF(D3:D34,"metacell-112")</f>
        <v>0</v>
      </c>
      <c r="W208">
        <f>COUNTIF(G3:G14,"metacell-112")</f>
        <v>0</v>
      </c>
      <c r="X208">
        <f>COUNTIF(J3:J8,"metacell-112")</f>
        <v>0</v>
      </c>
      <c r="Y208">
        <f>COUNTIF(M3:M8,"metacell-112")</f>
        <v>0</v>
      </c>
      <c r="Z208">
        <f>COUNTIF(P3:P72,"metacell-112")</f>
        <v>1</v>
      </c>
      <c r="AA208">
        <f>COUNTIF(S3:S47,"metacell-112")</f>
        <v>0</v>
      </c>
      <c r="AB208" t="s">
        <v>509</v>
      </c>
      <c r="AC208" t="s">
        <v>509</v>
      </c>
      <c r="AD208">
        <f t="shared" si="1"/>
        <v>1</v>
      </c>
    </row>
    <row r="209" spans="1:30" x14ac:dyDescent="0.25">
      <c r="A209" s="67" t="s">
        <v>695</v>
      </c>
      <c r="B209" s="62">
        <v>54</v>
      </c>
      <c r="C209" s="2">
        <v>10</v>
      </c>
      <c r="D209" s="2">
        <v>11</v>
      </c>
      <c r="E209" s="2">
        <v>21</v>
      </c>
      <c r="F209" s="2">
        <v>12</v>
      </c>
      <c r="G209" s="2">
        <v>3</v>
      </c>
      <c r="H209" s="2">
        <v>6</v>
      </c>
      <c r="I209" s="2" t="s">
        <v>509</v>
      </c>
      <c r="J209" s="2" t="s">
        <v>509</v>
      </c>
      <c r="K209" s="2" t="s">
        <v>509</v>
      </c>
      <c r="L209" s="4" t="s">
        <v>509</v>
      </c>
      <c r="M209" s="3" t="s">
        <v>695</v>
      </c>
      <c r="N209" s="2">
        <f>SUM(B209:H209)</f>
        <v>117</v>
      </c>
      <c r="O209" s="4">
        <v>54</v>
      </c>
      <c r="Q209" s="3" t="s">
        <v>685</v>
      </c>
      <c r="R209" s="4">
        <v>1</v>
      </c>
      <c r="T209" t="s">
        <v>695</v>
      </c>
      <c r="U209">
        <f>COUNTIF(A3:A7,"metacell-384")</f>
        <v>0</v>
      </c>
      <c r="V209">
        <f>COUNTIF(D3:D34,"metacell-384")</f>
        <v>0</v>
      </c>
      <c r="W209">
        <f>COUNTIF(G3:G14,"metacell-384")</f>
        <v>0</v>
      </c>
      <c r="X209">
        <f>COUNTIF(J3:J8,"metacell-384")</f>
        <v>0</v>
      </c>
      <c r="Y209">
        <f>COUNTIF(M3:M8,"metacell-384")</f>
        <v>0</v>
      </c>
      <c r="Z209">
        <f>COUNTIF(P3:P72,"metacell-384")</f>
        <v>1</v>
      </c>
      <c r="AA209">
        <f>COUNTIF(S3:S47,"metacell-384")</f>
        <v>0</v>
      </c>
      <c r="AB209" t="s">
        <v>509</v>
      </c>
      <c r="AC209" t="s">
        <v>509</v>
      </c>
      <c r="AD209">
        <f t="shared" si="1"/>
        <v>1</v>
      </c>
    </row>
    <row r="210" spans="1:30" x14ac:dyDescent="0.25">
      <c r="A210" s="67" t="s">
        <v>700</v>
      </c>
      <c r="B210" s="62">
        <v>54</v>
      </c>
      <c r="C210" s="2">
        <v>8</v>
      </c>
      <c r="D210" s="2">
        <v>6</v>
      </c>
      <c r="E210" s="2">
        <v>24</v>
      </c>
      <c r="F210" s="2">
        <v>13</v>
      </c>
      <c r="G210" s="2">
        <v>4</v>
      </c>
      <c r="H210" s="2">
        <v>8</v>
      </c>
      <c r="I210" s="2" t="s">
        <v>509</v>
      </c>
      <c r="J210" s="2" t="s">
        <v>509</v>
      </c>
      <c r="K210" s="2" t="s">
        <v>509</v>
      </c>
      <c r="L210" s="4" t="s">
        <v>509</v>
      </c>
      <c r="M210" s="3" t="s">
        <v>700</v>
      </c>
      <c r="N210" s="2">
        <f>SUM(B210:H210)</f>
        <v>117</v>
      </c>
      <c r="O210" s="4">
        <v>54</v>
      </c>
      <c r="Q210" s="3" t="s">
        <v>242</v>
      </c>
      <c r="R210" s="4">
        <v>1</v>
      </c>
      <c r="T210" t="s">
        <v>700</v>
      </c>
      <c r="U210">
        <f>COUNTIF(A3:A7,"metacell-389")</f>
        <v>0</v>
      </c>
      <c r="V210">
        <f>COUNTIF(D3:D34,"metacell-389")</f>
        <v>0</v>
      </c>
      <c r="W210">
        <f>COUNTIF(G3:G14,"metacell-389")</f>
        <v>0</v>
      </c>
      <c r="X210">
        <f>COUNTIF(J3:J8,"metacell-389")</f>
        <v>0</v>
      </c>
      <c r="Y210">
        <f>COUNTIF(M3:M8,"metacell-389")</f>
        <v>0</v>
      </c>
      <c r="Z210">
        <f>COUNTIF(P3:P72,"metacell-389")</f>
        <v>1</v>
      </c>
      <c r="AA210">
        <f>COUNTIF(S3:S47,"metacell-389")</f>
        <v>0</v>
      </c>
      <c r="AB210" t="s">
        <v>509</v>
      </c>
      <c r="AC210" t="s">
        <v>509</v>
      </c>
      <c r="AD210">
        <f t="shared" si="1"/>
        <v>1</v>
      </c>
    </row>
    <row r="211" spans="1:30" x14ac:dyDescent="0.25">
      <c r="A211" s="67" t="s">
        <v>686</v>
      </c>
      <c r="B211" s="62">
        <v>55</v>
      </c>
      <c r="C211" s="2">
        <v>8</v>
      </c>
      <c r="D211" s="2">
        <v>16</v>
      </c>
      <c r="E211" s="2">
        <v>15</v>
      </c>
      <c r="F211" s="2">
        <v>12</v>
      </c>
      <c r="G211" s="2">
        <v>7</v>
      </c>
      <c r="H211" s="2">
        <v>5</v>
      </c>
      <c r="I211" s="2" t="s">
        <v>509</v>
      </c>
      <c r="J211" s="2" t="s">
        <v>509</v>
      </c>
      <c r="K211" s="2" t="s">
        <v>509</v>
      </c>
      <c r="L211" s="4" t="s">
        <v>509</v>
      </c>
      <c r="M211" s="3" t="s">
        <v>686</v>
      </c>
      <c r="N211" s="2">
        <f>SUM(B211:H211)</f>
        <v>118</v>
      </c>
      <c r="O211" s="4">
        <v>55</v>
      </c>
      <c r="Q211" s="3" t="s">
        <v>4</v>
      </c>
      <c r="R211" s="4">
        <v>1</v>
      </c>
      <c r="T211" t="s">
        <v>686</v>
      </c>
      <c r="U211">
        <f>COUNTIF(A3:A7,"metacell-375")</f>
        <v>0</v>
      </c>
      <c r="V211">
        <f>COUNTIF(D3:D34,"metacell-375")</f>
        <v>0</v>
      </c>
      <c r="W211">
        <f>COUNTIF(G3:G14,"metacell-375")</f>
        <v>0</v>
      </c>
      <c r="X211">
        <f>COUNTIF(J3:J8,"metacell-375")</f>
        <v>0</v>
      </c>
      <c r="Y211">
        <f>COUNTIF(M3:M8,"metacell-375")</f>
        <v>0</v>
      </c>
      <c r="Z211">
        <f>COUNTIF(P3:P72,"metacell-375")</f>
        <v>0</v>
      </c>
      <c r="AA211">
        <f>COUNTIF(S3:S47,"metacell-375")</f>
        <v>1</v>
      </c>
      <c r="AB211" t="s">
        <v>509</v>
      </c>
      <c r="AC211" t="s">
        <v>509</v>
      </c>
      <c r="AD211">
        <f t="shared" si="1"/>
        <v>1</v>
      </c>
    </row>
    <row r="212" spans="1:30" x14ac:dyDescent="0.25">
      <c r="A212" s="67" t="s">
        <v>684</v>
      </c>
      <c r="B212" s="62">
        <v>51</v>
      </c>
      <c r="C212" s="2">
        <v>8</v>
      </c>
      <c r="D212" s="2">
        <v>16</v>
      </c>
      <c r="E212" s="2">
        <v>14</v>
      </c>
      <c r="F212" s="2">
        <v>15</v>
      </c>
      <c r="G212" s="2">
        <v>10</v>
      </c>
      <c r="H212" s="2">
        <v>5</v>
      </c>
      <c r="I212" s="2" t="s">
        <v>509</v>
      </c>
      <c r="J212" s="2" t="s">
        <v>509</v>
      </c>
      <c r="K212" s="2" t="s">
        <v>509</v>
      </c>
      <c r="L212" s="4" t="s">
        <v>509</v>
      </c>
      <c r="M212" s="3" t="s">
        <v>684</v>
      </c>
      <c r="N212" s="2">
        <f>SUM(B212:H212)</f>
        <v>119</v>
      </c>
      <c r="O212" s="4">
        <v>56</v>
      </c>
      <c r="Q212" s="3" t="s">
        <v>699</v>
      </c>
      <c r="R212" s="4">
        <v>1</v>
      </c>
      <c r="T212" t="s">
        <v>684</v>
      </c>
      <c r="U212">
        <f>COUNTIF(A3:A7,"metacell-371")</f>
        <v>0</v>
      </c>
      <c r="V212">
        <f>COUNTIF(D3:D34,"metacell-371")</f>
        <v>0</v>
      </c>
      <c r="W212">
        <f>COUNTIF(G3:G14,"metacell-371")</f>
        <v>0</v>
      </c>
      <c r="X212">
        <f>COUNTIF(J3:J8,"metacell-371")</f>
        <v>0</v>
      </c>
      <c r="Y212">
        <f>COUNTIF(M3:M8,"metacell-371")</f>
        <v>0</v>
      </c>
      <c r="Z212">
        <f>COUNTIF(P3:P72,"metacell-371")</f>
        <v>0</v>
      </c>
      <c r="AA212">
        <f>COUNTIF(S3:S47,"metacell-371")</f>
        <v>1</v>
      </c>
      <c r="AB212" t="s">
        <v>509</v>
      </c>
      <c r="AC212" t="s">
        <v>509</v>
      </c>
      <c r="AD212">
        <f t="shared" si="1"/>
        <v>1</v>
      </c>
    </row>
    <row r="213" spans="1:30" x14ac:dyDescent="0.25">
      <c r="A213" s="67" t="s">
        <v>254</v>
      </c>
      <c r="B213" s="62">
        <v>61</v>
      </c>
      <c r="C213" s="2">
        <v>7</v>
      </c>
      <c r="D213" s="2">
        <v>8</v>
      </c>
      <c r="E213" s="2">
        <v>20</v>
      </c>
      <c r="F213" s="2">
        <v>12</v>
      </c>
      <c r="G213" s="2">
        <v>6</v>
      </c>
      <c r="H213" s="2">
        <v>6</v>
      </c>
      <c r="I213" s="2" t="s">
        <v>509</v>
      </c>
      <c r="J213" s="2" t="s">
        <v>509</v>
      </c>
      <c r="K213" s="2" t="s">
        <v>509</v>
      </c>
      <c r="L213" s="4" t="s">
        <v>509</v>
      </c>
      <c r="M213" s="3" t="s">
        <v>254</v>
      </c>
      <c r="N213" s="2">
        <f>SUM(B213:H213)</f>
        <v>120</v>
      </c>
      <c r="O213" s="4">
        <v>57</v>
      </c>
      <c r="Q213" s="3" t="s">
        <v>662</v>
      </c>
      <c r="R213" s="4">
        <v>1</v>
      </c>
      <c r="T213" t="s">
        <v>254</v>
      </c>
      <c r="U213">
        <f>COUNTIF(A3:A7,"metacell-192")</f>
        <v>0</v>
      </c>
      <c r="V213">
        <f>COUNTIF(D3:D34,"metacell-192")</f>
        <v>0</v>
      </c>
      <c r="W213">
        <f>COUNTIF(G3:G14,"metacell-192")</f>
        <v>0</v>
      </c>
      <c r="X213">
        <f>COUNTIF(J3:J8,"metacell-192")</f>
        <v>0</v>
      </c>
      <c r="Y213">
        <f>COUNTIF(M3:M8,"metacell-192")</f>
        <v>0</v>
      </c>
      <c r="Z213">
        <f>COUNTIF(P3:P72,"metacell-192")</f>
        <v>0</v>
      </c>
      <c r="AA213">
        <f>COUNTIF(S3:S47,"metacell-192")</f>
        <v>0</v>
      </c>
      <c r="AB213" t="s">
        <v>509</v>
      </c>
      <c r="AC213" t="s">
        <v>509</v>
      </c>
      <c r="AD213">
        <f t="shared" si="1"/>
        <v>0</v>
      </c>
    </row>
    <row r="214" spans="1:30" x14ac:dyDescent="0.25">
      <c r="A214" s="67" t="s">
        <v>692</v>
      </c>
      <c r="B214" s="62">
        <v>43</v>
      </c>
      <c r="C214" s="2">
        <v>11</v>
      </c>
      <c r="D214" s="2">
        <v>15</v>
      </c>
      <c r="E214" s="2">
        <v>23</v>
      </c>
      <c r="F214" s="2">
        <v>15</v>
      </c>
      <c r="G214" s="2">
        <v>7</v>
      </c>
      <c r="H214" s="2">
        <v>6</v>
      </c>
      <c r="I214" s="2" t="s">
        <v>509</v>
      </c>
      <c r="J214" s="2" t="s">
        <v>509</v>
      </c>
      <c r="K214" s="2" t="s">
        <v>509</v>
      </c>
      <c r="L214" s="4" t="s">
        <v>509</v>
      </c>
      <c r="M214" s="3" t="s">
        <v>692</v>
      </c>
      <c r="N214" s="2">
        <f>SUM(B214:H214)</f>
        <v>120</v>
      </c>
      <c r="O214" s="4">
        <v>57</v>
      </c>
      <c r="Q214" s="3" t="s">
        <v>673</v>
      </c>
      <c r="R214" s="4">
        <v>1</v>
      </c>
      <c r="T214" t="s">
        <v>692</v>
      </c>
      <c r="U214">
        <f>COUNTIF(A3:A7,"metacell-381")</f>
        <v>0</v>
      </c>
      <c r="V214">
        <f>COUNTIF(D3:D34,"metacell-381")</f>
        <v>0</v>
      </c>
      <c r="W214">
        <f>COUNTIF(G3:G14,"metacell-381")</f>
        <v>0</v>
      </c>
      <c r="X214">
        <f>COUNTIF(J3:J8,"metacell-381")</f>
        <v>0</v>
      </c>
      <c r="Y214">
        <f>COUNTIF(M3:M8,"metacell-381")</f>
        <v>0</v>
      </c>
      <c r="Z214">
        <f>COUNTIF(P3:P72,"metacell-381")</f>
        <v>0</v>
      </c>
      <c r="AA214">
        <f>COUNTIF(S3:S47,"metacell-381")</f>
        <v>0</v>
      </c>
      <c r="AB214" t="s">
        <v>509</v>
      </c>
      <c r="AC214" t="s">
        <v>509</v>
      </c>
      <c r="AD214">
        <f t="shared" si="1"/>
        <v>0</v>
      </c>
    </row>
    <row r="215" spans="1:30" x14ac:dyDescent="0.25">
      <c r="A215" s="67" t="s">
        <v>672</v>
      </c>
      <c r="B215" s="62">
        <v>67</v>
      </c>
      <c r="C215" s="2">
        <v>8</v>
      </c>
      <c r="D215" s="2">
        <v>16</v>
      </c>
      <c r="E215" s="2">
        <v>16</v>
      </c>
      <c r="F215" s="2">
        <v>7</v>
      </c>
      <c r="G215" s="2">
        <v>5</v>
      </c>
      <c r="H215" s="2">
        <v>3</v>
      </c>
      <c r="I215" s="2" t="s">
        <v>509</v>
      </c>
      <c r="J215" s="2" t="s">
        <v>509</v>
      </c>
      <c r="K215" s="2" t="s">
        <v>509</v>
      </c>
      <c r="L215" s="4" t="s">
        <v>509</v>
      </c>
      <c r="M215" s="3" t="s">
        <v>672</v>
      </c>
      <c r="N215" s="2">
        <f>SUM(B215:H215)</f>
        <v>122</v>
      </c>
      <c r="O215" s="4">
        <v>58</v>
      </c>
      <c r="Q215" s="3" t="s">
        <v>253</v>
      </c>
      <c r="R215" s="4">
        <v>1</v>
      </c>
      <c r="T215" t="s">
        <v>672</v>
      </c>
      <c r="U215">
        <f>COUNTIF(A3:A7,"metacell-359")</f>
        <v>0</v>
      </c>
      <c r="V215">
        <f>COUNTIF(D3:D34,"metacell-359")</f>
        <v>0</v>
      </c>
      <c r="W215">
        <f>COUNTIF(G3:G14,"metacell-359")</f>
        <v>0</v>
      </c>
      <c r="X215">
        <f>COUNTIF(J3:J8,"metacell-359")</f>
        <v>0</v>
      </c>
      <c r="Y215">
        <f>COUNTIF(M3:M8,"metacell-359")</f>
        <v>0</v>
      </c>
      <c r="Z215">
        <f>COUNTIF(P3:P72,"metacell-359")</f>
        <v>1</v>
      </c>
      <c r="AA215">
        <f>COUNTIF(S3:S47,"metacell-359")</f>
        <v>1</v>
      </c>
      <c r="AB215" t="s">
        <v>509</v>
      </c>
      <c r="AC215" t="s">
        <v>509</v>
      </c>
      <c r="AD215">
        <f t="shared" si="1"/>
        <v>2</v>
      </c>
    </row>
    <row r="216" spans="1:30" x14ac:dyDescent="0.25">
      <c r="A216" s="67" t="s">
        <v>675</v>
      </c>
      <c r="B216" s="62">
        <v>52</v>
      </c>
      <c r="C216" s="2">
        <v>9</v>
      </c>
      <c r="D216" s="2">
        <v>13</v>
      </c>
      <c r="E216" s="2">
        <v>20</v>
      </c>
      <c r="F216" s="2">
        <v>15</v>
      </c>
      <c r="G216" s="2">
        <v>5</v>
      </c>
      <c r="H216" s="2">
        <v>9</v>
      </c>
      <c r="I216" s="2" t="s">
        <v>509</v>
      </c>
      <c r="J216" s="2" t="s">
        <v>509</v>
      </c>
      <c r="K216" s="2" t="s">
        <v>509</v>
      </c>
      <c r="L216" s="4" t="s">
        <v>509</v>
      </c>
      <c r="M216" s="3" t="s">
        <v>675</v>
      </c>
      <c r="N216" s="2">
        <f>SUM(B216:H216)</f>
        <v>123</v>
      </c>
      <c r="O216" s="4">
        <v>59</v>
      </c>
      <c r="Q216" s="3" t="s">
        <v>252</v>
      </c>
      <c r="R216" s="4">
        <v>1</v>
      </c>
      <c r="T216" t="s">
        <v>675</v>
      </c>
      <c r="U216">
        <f>COUNTIF(A3:A7,"metacell-362")</f>
        <v>0</v>
      </c>
      <c r="V216">
        <f>COUNTIF(D3:D34,"metacell-362")</f>
        <v>0</v>
      </c>
      <c r="W216">
        <f>COUNTIF(G3:G14,"metacell-362")</f>
        <v>0</v>
      </c>
      <c r="X216">
        <f>COUNTIF(J3:J8,"metacell-362")</f>
        <v>0</v>
      </c>
      <c r="Y216">
        <f>COUNTIF(M3:M8,"metacell-362")</f>
        <v>0</v>
      </c>
      <c r="Z216">
        <f>COUNTIF(P3:P72,"metacell-362")</f>
        <v>1</v>
      </c>
      <c r="AA216">
        <f>COUNTIF(S3:S47,"metacell-362")</f>
        <v>0</v>
      </c>
      <c r="AB216" t="s">
        <v>509</v>
      </c>
      <c r="AC216" t="s">
        <v>509</v>
      </c>
      <c r="AD216">
        <f t="shared" si="1"/>
        <v>1</v>
      </c>
    </row>
    <row r="217" spans="1:30" x14ac:dyDescent="0.25">
      <c r="A217" s="67" t="s">
        <v>683</v>
      </c>
      <c r="B217" s="62">
        <v>48</v>
      </c>
      <c r="C217" s="2">
        <v>10</v>
      </c>
      <c r="D217" s="2">
        <v>13</v>
      </c>
      <c r="E217" s="2">
        <v>21</v>
      </c>
      <c r="F217" s="2">
        <v>17</v>
      </c>
      <c r="G217" s="2">
        <v>6</v>
      </c>
      <c r="H217" s="2">
        <v>8</v>
      </c>
      <c r="I217" s="2" t="s">
        <v>509</v>
      </c>
      <c r="J217" s="2" t="s">
        <v>509</v>
      </c>
      <c r="K217" s="2" t="s">
        <v>509</v>
      </c>
      <c r="L217" s="4" t="s">
        <v>509</v>
      </c>
      <c r="M217" s="3" t="s">
        <v>683</v>
      </c>
      <c r="N217" s="2">
        <f>SUM(B217:H217)</f>
        <v>123</v>
      </c>
      <c r="O217" s="4">
        <v>59</v>
      </c>
      <c r="Q217" s="3" t="s">
        <v>661</v>
      </c>
      <c r="R217" s="4">
        <v>1</v>
      </c>
      <c r="T217" t="s">
        <v>683</v>
      </c>
      <c r="U217">
        <f>COUNTIF(A3:A7,"metacell-370")</f>
        <v>0</v>
      </c>
      <c r="V217">
        <f>COUNTIF(D3:D34,"metacell-370")</f>
        <v>0</v>
      </c>
      <c r="W217">
        <f>COUNTIF(G3:G14,"metacell-370")</f>
        <v>0</v>
      </c>
      <c r="X217">
        <f>COUNTIF(J3:J8,"metacell-370")</f>
        <v>0</v>
      </c>
      <c r="Y217">
        <f>COUNTIF(M3:M8,"metacell-370")</f>
        <v>0</v>
      </c>
      <c r="Z217">
        <f>COUNTIF(P3:P72,"metacell-370")</f>
        <v>0</v>
      </c>
      <c r="AA217">
        <f>COUNTIF(S3:S47,"metacell-370")</f>
        <v>0</v>
      </c>
      <c r="AB217" t="s">
        <v>509</v>
      </c>
      <c r="AC217" t="s">
        <v>509</v>
      </c>
      <c r="AD217">
        <f t="shared" si="1"/>
        <v>0</v>
      </c>
    </row>
    <row r="218" spans="1:30" x14ac:dyDescent="0.25">
      <c r="A218" s="67" t="s">
        <v>669</v>
      </c>
      <c r="B218" s="62">
        <v>62</v>
      </c>
      <c r="C218" s="2">
        <v>8</v>
      </c>
      <c r="D218" s="2">
        <v>11</v>
      </c>
      <c r="E218" s="2">
        <v>20</v>
      </c>
      <c r="F218" s="2">
        <v>12</v>
      </c>
      <c r="G218" s="2">
        <v>5</v>
      </c>
      <c r="H218" s="2">
        <v>6</v>
      </c>
      <c r="I218" s="2" t="s">
        <v>509</v>
      </c>
      <c r="J218" s="2" t="s">
        <v>509</v>
      </c>
      <c r="K218" s="2" t="s">
        <v>509</v>
      </c>
      <c r="L218" s="4" t="s">
        <v>509</v>
      </c>
      <c r="M218" s="3" t="s">
        <v>669</v>
      </c>
      <c r="N218" s="2">
        <f>SUM(B218:H218)</f>
        <v>124</v>
      </c>
      <c r="O218" s="4">
        <v>60</v>
      </c>
      <c r="Q218" s="3" t="s">
        <v>659</v>
      </c>
      <c r="R218" s="4">
        <v>1</v>
      </c>
      <c r="T218" t="s">
        <v>669</v>
      </c>
      <c r="U218">
        <f>COUNTIF(A3:A7,"metacell-353")</f>
        <v>0</v>
      </c>
      <c r="V218">
        <f>COUNTIF(D3:D34,"metacell-353")</f>
        <v>0</v>
      </c>
      <c r="W218">
        <f>COUNTIF(G3:G14,"metacell-353")</f>
        <v>0</v>
      </c>
      <c r="X218">
        <f>COUNTIF(J3:J8,"metacell-353")</f>
        <v>0</v>
      </c>
      <c r="Y218">
        <f>COUNTIF(M3:M8,"metacell-353")</f>
        <v>0</v>
      </c>
      <c r="Z218">
        <f>COUNTIF(P3:P72,"metacell-353")</f>
        <v>1</v>
      </c>
      <c r="AA218">
        <f>COUNTIF(S3:S47,"metacell-353")</f>
        <v>0</v>
      </c>
      <c r="AB218" t="s">
        <v>509</v>
      </c>
      <c r="AC218" t="s">
        <v>509</v>
      </c>
      <c r="AD218">
        <f t="shared" si="1"/>
        <v>1</v>
      </c>
    </row>
    <row r="219" spans="1:30" x14ac:dyDescent="0.25">
      <c r="A219" s="67" t="s">
        <v>693</v>
      </c>
      <c r="B219" s="62">
        <v>44</v>
      </c>
      <c r="C219" s="2">
        <v>11</v>
      </c>
      <c r="D219" s="2">
        <v>12</v>
      </c>
      <c r="E219" s="2">
        <v>25</v>
      </c>
      <c r="F219" s="2">
        <v>17</v>
      </c>
      <c r="G219" s="2">
        <v>7</v>
      </c>
      <c r="H219" s="2">
        <v>8</v>
      </c>
      <c r="I219" s="2" t="s">
        <v>509</v>
      </c>
      <c r="J219" s="2" t="s">
        <v>509</v>
      </c>
      <c r="K219" s="2" t="s">
        <v>509</v>
      </c>
      <c r="L219" s="4" t="s">
        <v>509</v>
      </c>
      <c r="M219" s="3" t="s">
        <v>693</v>
      </c>
      <c r="N219" s="2">
        <f>SUM(B219:H219)</f>
        <v>124</v>
      </c>
      <c r="O219" s="4">
        <v>60</v>
      </c>
      <c r="Q219" s="3" t="s">
        <v>666</v>
      </c>
      <c r="R219" s="4">
        <v>1</v>
      </c>
      <c r="T219" t="s">
        <v>693</v>
      </c>
      <c r="U219">
        <f>COUNTIF(A3:A7,"metacell-382")</f>
        <v>0</v>
      </c>
      <c r="V219">
        <f>COUNTIF(D3:D34,"metacell-382")</f>
        <v>0</v>
      </c>
      <c r="W219">
        <f>COUNTIF(G3:G14,"metacell-382")</f>
        <v>0</v>
      </c>
      <c r="X219">
        <f>COUNTIF(J3:J8,"metacell-382")</f>
        <v>0</v>
      </c>
      <c r="Y219">
        <f>COUNTIF(M3:M8,"metacell-382")</f>
        <v>0</v>
      </c>
      <c r="Z219">
        <f>COUNTIF(P3:P72,"metacell-382")</f>
        <v>0</v>
      </c>
      <c r="AA219">
        <f>COUNTIF(S3:S47,"metacell-382")</f>
        <v>0</v>
      </c>
      <c r="AB219" t="s">
        <v>509</v>
      </c>
      <c r="AC219" t="s">
        <v>509</v>
      </c>
      <c r="AD219">
        <f t="shared" si="1"/>
        <v>0</v>
      </c>
    </row>
    <row r="220" spans="1:30" x14ac:dyDescent="0.25">
      <c r="A220" s="67" t="s">
        <v>685</v>
      </c>
      <c r="B220" s="62">
        <v>56</v>
      </c>
      <c r="C220" s="2">
        <v>10</v>
      </c>
      <c r="D220" s="2">
        <v>9</v>
      </c>
      <c r="E220" s="2">
        <v>23</v>
      </c>
      <c r="F220" s="2">
        <v>14</v>
      </c>
      <c r="G220" s="2">
        <v>5</v>
      </c>
      <c r="H220" s="2">
        <v>8</v>
      </c>
      <c r="I220" s="2" t="s">
        <v>509</v>
      </c>
      <c r="J220" s="2" t="s">
        <v>509</v>
      </c>
      <c r="K220" s="2" t="s">
        <v>509</v>
      </c>
      <c r="L220" s="4" t="s">
        <v>509</v>
      </c>
      <c r="M220" s="3" t="s">
        <v>685</v>
      </c>
      <c r="N220" s="2">
        <f>SUM(B220:H220)</f>
        <v>125</v>
      </c>
      <c r="O220" s="4">
        <v>61</v>
      </c>
      <c r="Q220" s="3" t="s">
        <v>241</v>
      </c>
      <c r="R220" s="4">
        <v>1</v>
      </c>
      <c r="T220" t="s">
        <v>685</v>
      </c>
      <c r="U220">
        <f>COUNTIF(A3:A7,"metacell-372")</f>
        <v>0</v>
      </c>
      <c r="V220">
        <f>COUNTIF(D3:D34,"metacell-372")</f>
        <v>0</v>
      </c>
      <c r="W220">
        <f>COUNTIF(G3:G14,"metacell-372")</f>
        <v>0</v>
      </c>
      <c r="X220">
        <f>COUNTIF(J3:J8,"metacell-372")</f>
        <v>0</v>
      </c>
      <c r="Y220">
        <f>COUNTIF(M3:M8,"metacell-372")</f>
        <v>0</v>
      </c>
      <c r="Z220">
        <f>COUNTIF(P3:P72,"metacell-372")</f>
        <v>1</v>
      </c>
      <c r="AA220">
        <f>COUNTIF(S3:S47,"metacell-372")</f>
        <v>0</v>
      </c>
      <c r="AB220" t="s">
        <v>509</v>
      </c>
      <c r="AC220" t="s">
        <v>509</v>
      </c>
      <c r="AD220">
        <f t="shared" si="1"/>
        <v>1</v>
      </c>
    </row>
    <row r="221" spans="1:30" x14ac:dyDescent="0.25">
      <c r="A221" s="67" t="s">
        <v>674</v>
      </c>
      <c r="B221" s="62">
        <v>54</v>
      </c>
      <c r="C221" s="2">
        <v>10</v>
      </c>
      <c r="D221" s="2">
        <v>13</v>
      </c>
      <c r="E221" s="2">
        <v>22</v>
      </c>
      <c r="F221" s="2">
        <v>13</v>
      </c>
      <c r="G221" s="2">
        <v>6</v>
      </c>
      <c r="H221" s="2">
        <v>8</v>
      </c>
      <c r="I221" s="2" t="s">
        <v>509</v>
      </c>
      <c r="J221" s="2" t="s">
        <v>509</v>
      </c>
      <c r="K221" s="2" t="s">
        <v>509</v>
      </c>
      <c r="L221" s="4" t="s">
        <v>509</v>
      </c>
      <c r="M221" s="3" t="s">
        <v>674</v>
      </c>
      <c r="N221" s="2">
        <f>SUM(B221:H221)</f>
        <v>126</v>
      </c>
      <c r="O221" s="4">
        <v>62</v>
      </c>
      <c r="Q221" s="3" t="s">
        <v>681</v>
      </c>
      <c r="R221" s="4">
        <v>1</v>
      </c>
      <c r="T221" t="s">
        <v>674</v>
      </c>
      <c r="U221">
        <f>COUNTIF(A3:A7,"metacell-361")</f>
        <v>0</v>
      </c>
      <c r="V221">
        <f>COUNTIF(D3:D34,"metacell-361")</f>
        <v>0</v>
      </c>
      <c r="W221">
        <f>COUNTIF(G3:G14,"metacell-361")</f>
        <v>0</v>
      </c>
      <c r="X221">
        <f>COUNTIF(J3:J8,"metacell-361")</f>
        <v>0</v>
      </c>
      <c r="Y221">
        <f>COUNTIF(M3:M8,"metacell-361")</f>
        <v>0</v>
      </c>
      <c r="Z221">
        <f>COUNTIF(P3:P72,"metacell-361")</f>
        <v>0</v>
      </c>
      <c r="AA221">
        <f>COUNTIF(S3:S47,"metacell-361")</f>
        <v>0</v>
      </c>
      <c r="AB221" t="s">
        <v>509</v>
      </c>
      <c r="AC221" t="s">
        <v>509</v>
      </c>
      <c r="AD221">
        <f t="shared" si="1"/>
        <v>0</v>
      </c>
    </row>
    <row r="222" spans="1:30" x14ac:dyDescent="0.25">
      <c r="A222" s="67" t="s">
        <v>242</v>
      </c>
      <c r="B222" s="62">
        <v>49</v>
      </c>
      <c r="C222" s="2">
        <v>9</v>
      </c>
      <c r="D222" s="2">
        <v>12</v>
      </c>
      <c r="E222" s="2">
        <v>24</v>
      </c>
      <c r="F222" s="2">
        <v>17</v>
      </c>
      <c r="G222" s="2">
        <v>5</v>
      </c>
      <c r="H222" s="2">
        <v>11</v>
      </c>
      <c r="I222" s="2" t="s">
        <v>509</v>
      </c>
      <c r="J222" s="2" t="s">
        <v>509</v>
      </c>
      <c r="K222" s="2" t="s">
        <v>509</v>
      </c>
      <c r="L222" s="4" t="s">
        <v>509</v>
      </c>
      <c r="M222" s="3" t="s">
        <v>242</v>
      </c>
      <c r="N222" s="2">
        <f>SUM(B222:H222)</f>
        <v>127</v>
      </c>
      <c r="O222" s="4">
        <v>63</v>
      </c>
      <c r="Q222" s="3" t="s">
        <v>210</v>
      </c>
      <c r="R222" s="4">
        <v>1</v>
      </c>
      <c r="T222" t="s">
        <v>242</v>
      </c>
      <c r="U222">
        <f>COUNTIF(A3:A7,"metacell-178")</f>
        <v>0</v>
      </c>
      <c r="V222">
        <f>COUNTIF(D3:D34,"metacell-178")</f>
        <v>0</v>
      </c>
      <c r="W222">
        <f>COUNTIF(G3:G14,"metacell-178")</f>
        <v>0</v>
      </c>
      <c r="X222">
        <f>COUNTIF(J3:J8,"metacell-178")</f>
        <v>0</v>
      </c>
      <c r="Y222">
        <f>COUNTIF(M3:M8,"metacell-178")</f>
        <v>0</v>
      </c>
      <c r="Z222">
        <f>COUNTIF(P3:P72,"metacell-178")</f>
        <v>1</v>
      </c>
      <c r="AA222">
        <f>COUNTIF(S3:S47,"metacell-178")</f>
        <v>0</v>
      </c>
      <c r="AB222" t="s">
        <v>509</v>
      </c>
      <c r="AC222" t="s">
        <v>509</v>
      </c>
      <c r="AD222">
        <f t="shared" si="1"/>
        <v>1</v>
      </c>
    </row>
    <row r="223" spans="1:30" x14ac:dyDescent="0.25">
      <c r="A223" s="67" t="s">
        <v>660</v>
      </c>
      <c r="B223" s="62">
        <v>66</v>
      </c>
      <c r="C223" s="2">
        <v>6</v>
      </c>
      <c r="D223" s="2">
        <v>13</v>
      </c>
      <c r="E223" s="2">
        <v>15</v>
      </c>
      <c r="F223" s="2">
        <v>14</v>
      </c>
      <c r="G223" s="2">
        <v>7</v>
      </c>
      <c r="H223" s="2">
        <v>6</v>
      </c>
      <c r="I223" s="2" t="s">
        <v>509</v>
      </c>
      <c r="J223" s="2" t="s">
        <v>509</v>
      </c>
      <c r="K223" s="2" t="s">
        <v>509</v>
      </c>
      <c r="L223" s="4" t="s">
        <v>509</v>
      </c>
      <c r="M223" s="3" t="s">
        <v>660</v>
      </c>
      <c r="N223" s="2">
        <f>SUM(B223:H223)</f>
        <v>127</v>
      </c>
      <c r="O223" s="4">
        <v>63</v>
      </c>
      <c r="Q223" s="3" t="s">
        <v>188</v>
      </c>
      <c r="R223" s="4">
        <v>1</v>
      </c>
      <c r="T223" t="s">
        <v>660</v>
      </c>
      <c r="U223">
        <f>COUNTIF(A3:A7,"metacell-324")</f>
        <v>0</v>
      </c>
      <c r="V223">
        <f>COUNTIF(D3:D34,"metacell-324")</f>
        <v>0</v>
      </c>
      <c r="W223">
        <f>COUNTIF(G3:G14,"metacell-324")</f>
        <v>0</v>
      </c>
      <c r="X223">
        <f>COUNTIF(J3:J8,"metacell-324")</f>
        <v>0</v>
      </c>
      <c r="Y223">
        <f>COUNTIF(M3:M8,"metacell-324")</f>
        <v>0</v>
      </c>
      <c r="Z223">
        <f>COUNTIF(P3:P72,"metacell-324")</f>
        <v>0</v>
      </c>
      <c r="AA223">
        <f>COUNTIF(S3:S47,"metacell-324")</f>
        <v>0</v>
      </c>
      <c r="AB223" t="s">
        <v>509</v>
      </c>
      <c r="AC223" t="s">
        <v>509</v>
      </c>
      <c r="AD223">
        <f t="shared" si="1"/>
        <v>0</v>
      </c>
    </row>
    <row r="224" spans="1:30" x14ac:dyDescent="0.25">
      <c r="A224" s="67" t="s">
        <v>671</v>
      </c>
      <c r="B224" s="62">
        <v>54</v>
      </c>
      <c r="C224" s="2">
        <v>8</v>
      </c>
      <c r="D224" s="2">
        <v>14</v>
      </c>
      <c r="E224" s="2">
        <v>18</v>
      </c>
      <c r="F224" s="2">
        <v>17</v>
      </c>
      <c r="G224" s="2">
        <v>9</v>
      </c>
      <c r="H224" s="2">
        <v>7</v>
      </c>
      <c r="I224" s="2" t="s">
        <v>509</v>
      </c>
      <c r="J224" s="2" t="s">
        <v>509</v>
      </c>
      <c r="K224" s="2" t="s">
        <v>509</v>
      </c>
      <c r="L224" s="4" t="s">
        <v>509</v>
      </c>
      <c r="M224" s="3" t="s">
        <v>671</v>
      </c>
      <c r="N224" s="2">
        <f>SUM(B224:H224)</f>
        <v>127</v>
      </c>
      <c r="O224" s="4">
        <v>63</v>
      </c>
      <c r="Q224" s="3" t="s">
        <v>197</v>
      </c>
      <c r="R224" s="4">
        <v>0</v>
      </c>
      <c r="T224" t="s">
        <v>671</v>
      </c>
      <c r="U224">
        <f>COUNTIF(A3:A7,"metacell-358")</f>
        <v>0</v>
      </c>
      <c r="V224">
        <f>COUNTIF(D3:D34,"metacell-358")</f>
        <v>0</v>
      </c>
      <c r="W224">
        <f>COUNTIF(G3:G14,"metacell-358")</f>
        <v>0</v>
      </c>
      <c r="X224">
        <f>COUNTIF(J3:J8,"metacell-358")</f>
        <v>0</v>
      </c>
      <c r="Y224">
        <f>COUNTIF(M3:M8,"metacell-358")</f>
        <v>0</v>
      </c>
      <c r="Z224">
        <f>COUNTIF(P3:P72,"metacell-358")</f>
        <v>0</v>
      </c>
      <c r="AA224">
        <f>COUNTIF(S3:S47,"metacell-358")</f>
        <v>0</v>
      </c>
      <c r="AB224" t="s">
        <v>509</v>
      </c>
      <c r="AC224" t="s">
        <v>509</v>
      </c>
      <c r="AD224">
        <f t="shared" si="1"/>
        <v>0</v>
      </c>
    </row>
    <row r="225" spans="1:30" x14ac:dyDescent="0.25">
      <c r="A225" s="67" t="s">
        <v>4</v>
      </c>
      <c r="B225" s="62">
        <v>50</v>
      </c>
      <c r="C225" s="2">
        <v>13</v>
      </c>
      <c r="D225" s="2">
        <v>12</v>
      </c>
      <c r="E225" s="2">
        <v>27</v>
      </c>
      <c r="F225" s="2">
        <v>14</v>
      </c>
      <c r="G225" s="2">
        <v>7</v>
      </c>
      <c r="H225" s="2">
        <v>5</v>
      </c>
      <c r="I225" s="2" t="s">
        <v>509</v>
      </c>
      <c r="J225" s="2" t="s">
        <v>509</v>
      </c>
      <c r="K225" s="2" t="s">
        <v>509</v>
      </c>
      <c r="L225" s="4" t="s">
        <v>509</v>
      </c>
      <c r="M225" s="3" t="s">
        <v>4</v>
      </c>
      <c r="N225" s="2">
        <f>SUM(B225:H225)</f>
        <v>128</v>
      </c>
      <c r="O225" s="4">
        <v>64</v>
      </c>
      <c r="Q225" s="3" t="s">
        <v>199</v>
      </c>
      <c r="R225" s="4">
        <v>0</v>
      </c>
      <c r="T225" t="s">
        <v>4</v>
      </c>
      <c r="U225">
        <f>COUNTIF(A3:A7,"metacell-196")</f>
        <v>0</v>
      </c>
      <c r="V225">
        <f>COUNTIF(D3:D34,"metacell-196")</f>
        <v>0</v>
      </c>
      <c r="W225">
        <f>COUNTIF(G3:G14,"metacell-196")</f>
        <v>0</v>
      </c>
      <c r="X225">
        <f>COUNTIF(J3:J8,"metacell-196")</f>
        <v>0</v>
      </c>
      <c r="Y225">
        <f>COUNTIF(M3:M8,"metacell-196")</f>
        <v>0</v>
      </c>
      <c r="Z225">
        <f>COUNTIF(P3:P72,"metacell-196")</f>
        <v>0</v>
      </c>
      <c r="AA225">
        <f>COUNTIF(S3:S47,"metacell-196")</f>
        <v>1</v>
      </c>
      <c r="AB225" t="s">
        <v>509</v>
      </c>
      <c r="AC225" t="s">
        <v>509</v>
      </c>
      <c r="AD225">
        <f t="shared" si="1"/>
        <v>1</v>
      </c>
    </row>
    <row r="226" spans="1:30" x14ac:dyDescent="0.25">
      <c r="A226" s="67" t="s">
        <v>658</v>
      </c>
      <c r="B226" s="62">
        <v>62</v>
      </c>
      <c r="C226" s="2">
        <v>10</v>
      </c>
      <c r="D226" s="2">
        <v>15</v>
      </c>
      <c r="E226" s="2">
        <v>22</v>
      </c>
      <c r="F226" s="2">
        <v>10</v>
      </c>
      <c r="G226" s="2">
        <v>5</v>
      </c>
      <c r="H226" s="2">
        <v>5</v>
      </c>
      <c r="I226" s="2" t="s">
        <v>509</v>
      </c>
      <c r="J226" s="2" t="s">
        <v>509</v>
      </c>
      <c r="K226" s="2" t="s">
        <v>509</v>
      </c>
      <c r="L226" s="4" t="s">
        <v>509</v>
      </c>
      <c r="M226" s="3" t="s">
        <v>658</v>
      </c>
      <c r="N226" s="2">
        <f>SUM(B226:H226)</f>
        <v>129</v>
      </c>
      <c r="O226" s="4">
        <v>65</v>
      </c>
      <c r="Q226" s="3" t="s">
        <v>207</v>
      </c>
      <c r="R226" s="4">
        <v>0</v>
      </c>
      <c r="T226" t="s">
        <v>658</v>
      </c>
      <c r="U226">
        <f>COUNTIF(A3:A7,"metacell-296")</f>
        <v>0</v>
      </c>
      <c r="V226">
        <f>COUNTIF(D3:D34,"metacell-296")</f>
        <v>0</v>
      </c>
      <c r="W226">
        <f>COUNTIF(G3:G14,"metacell-296")</f>
        <v>0</v>
      </c>
      <c r="X226">
        <f>COUNTIF(J3:J8,"metacell-296")</f>
        <v>0</v>
      </c>
      <c r="Y226">
        <f>COUNTIF(M3:M8,"metacell-296")</f>
        <v>0</v>
      </c>
      <c r="Z226">
        <f>COUNTIF(P3:P72,"metacell-296")</f>
        <v>1</v>
      </c>
      <c r="AA226">
        <f>COUNTIF(S3:S47,"metacell-296")</f>
        <v>1</v>
      </c>
      <c r="AB226" t="s">
        <v>509</v>
      </c>
      <c r="AC226" t="s">
        <v>509</v>
      </c>
      <c r="AD226">
        <f t="shared" si="1"/>
        <v>2</v>
      </c>
    </row>
    <row r="227" spans="1:30" x14ac:dyDescent="0.25">
      <c r="A227" s="67" t="s">
        <v>699</v>
      </c>
      <c r="B227" s="62">
        <v>57</v>
      </c>
      <c r="C227" s="2">
        <v>10</v>
      </c>
      <c r="D227" s="2">
        <v>10</v>
      </c>
      <c r="E227" s="2">
        <v>23</v>
      </c>
      <c r="F227" s="2">
        <v>16</v>
      </c>
      <c r="G227" s="2">
        <v>4</v>
      </c>
      <c r="H227" s="2">
        <v>9</v>
      </c>
      <c r="I227" s="2" t="s">
        <v>509</v>
      </c>
      <c r="J227" s="2" t="s">
        <v>509</v>
      </c>
      <c r="K227" s="2" t="s">
        <v>509</v>
      </c>
      <c r="L227" s="4" t="s">
        <v>509</v>
      </c>
      <c r="M227" s="3" t="s">
        <v>699</v>
      </c>
      <c r="N227" s="2">
        <f>SUM(B227:H227)</f>
        <v>129</v>
      </c>
      <c r="O227" s="4">
        <v>65</v>
      </c>
      <c r="Q227" s="3" t="s">
        <v>212</v>
      </c>
      <c r="R227" s="4">
        <v>0</v>
      </c>
      <c r="T227" t="s">
        <v>699</v>
      </c>
      <c r="U227">
        <f>COUNTIF(A3:A7,"metacell-388")</f>
        <v>0</v>
      </c>
      <c r="V227">
        <f>COUNTIF(D3:D34,"metacell-388")</f>
        <v>0</v>
      </c>
      <c r="W227">
        <f>COUNTIF(G3:G14,"metacell-388")</f>
        <v>0</v>
      </c>
      <c r="X227">
        <f>COUNTIF(J3:J8,"metacell-388")</f>
        <v>0</v>
      </c>
      <c r="Y227">
        <f>COUNTIF(M3:M8,"metacell-388")</f>
        <v>0</v>
      </c>
      <c r="Z227">
        <f>COUNTIF(P3:P72,"metacell-388")</f>
        <v>1</v>
      </c>
      <c r="AA227">
        <f>COUNTIF(S3:S47,"metacell-388")</f>
        <v>0</v>
      </c>
      <c r="AB227" t="s">
        <v>509</v>
      </c>
      <c r="AC227" t="s">
        <v>509</v>
      </c>
      <c r="AD227">
        <f t="shared" si="1"/>
        <v>1</v>
      </c>
    </row>
    <row r="228" spans="1:30" x14ac:dyDescent="0.25">
      <c r="A228" s="67" t="s">
        <v>662</v>
      </c>
      <c r="B228" s="62">
        <v>61</v>
      </c>
      <c r="C228" s="2">
        <v>10</v>
      </c>
      <c r="D228" s="2">
        <v>12</v>
      </c>
      <c r="E228" s="2">
        <v>25</v>
      </c>
      <c r="F228" s="2">
        <v>13</v>
      </c>
      <c r="G228" s="2">
        <v>3</v>
      </c>
      <c r="H228" s="2">
        <v>7</v>
      </c>
      <c r="I228" s="2" t="s">
        <v>509</v>
      </c>
      <c r="J228" s="2" t="s">
        <v>509</v>
      </c>
      <c r="K228" s="2" t="s">
        <v>509</v>
      </c>
      <c r="L228" s="4" t="s">
        <v>509</v>
      </c>
      <c r="M228" s="3" t="s">
        <v>662</v>
      </c>
      <c r="N228" s="2">
        <f>SUM(B228:H228)</f>
        <v>131</v>
      </c>
      <c r="O228" s="4">
        <v>66</v>
      </c>
      <c r="Q228" s="3" t="s">
        <v>209</v>
      </c>
      <c r="R228" s="4">
        <v>0</v>
      </c>
      <c r="T228" t="s">
        <v>662</v>
      </c>
      <c r="U228">
        <f>COUNTIF(A3:A7,"metacell-328")</f>
        <v>0</v>
      </c>
      <c r="V228">
        <f>COUNTIF(D3:D34,"metacell-328")</f>
        <v>0</v>
      </c>
      <c r="W228">
        <f>COUNTIF(G3:G14,"metacell-328")</f>
        <v>0</v>
      </c>
      <c r="X228">
        <f>COUNTIF(J3:J8,"metacell-328")</f>
        <v>0</v>
      </c>
      <c r="Y228">
        <f>COUNTIF(M3:M8,"metacell-328")</f>
        <v>0</v>
      </c>
      <c r="Z228">
        <f>COUNTIF(P3:P72,"metacell-328")</f>
        <v>1</v>
      </c>
      <c r="AA228">
        <f>COUNTIF(S3:S47,"metacell-328")</f>
        <v>0</v>
      </c>
      <c r="AB228" t="s">
        <v>509</v>
      </c>
      <c r="AC228" t="s">
        <v>509</v>
      </c>
      <c r="AD228">
        <f t="shared" si="1"/>
        <v>1</v>
      </c>
    </row>
    <row r="229" spans="1:30" x14ac:dyDescent="0.25">
      <c r="A229" s="67" t="s">
        <v>665</v>
      </c>
      <c r="B229" s="62">
        <v>64</v>
      </c>
      <c r="C229" s="2">
        <v>10</v>
      </c>
      <c r="D229" s="2">
        <v>13</v>
      </c>
      <c r="E229" s="2">
        <v>24</v>
      </c>
      <c r="F229" s="2">
        <v>11</v>
      </c>
      <c r="G229" s="2">
        <v>4</v>
      </c>
      <c r="H229" s="2">
        <v>5</v>
      </c>
      <c r="I229" s="2" t="s">
        <v>509</v>
      </c>
      <c r="J229" s="2" t="s">
        <v>509</v>
      </c>
      <c r="K229" s="2" t="s">
        <v>509</v>
      </c>
      <c r="L229" s="4" t="s">
        <v>509</v>
      </c>
      <c r="M229" s="3" t="s">
        <v>665</v>
      </c>
      <c r="N229" s="2">
        <f>SUM(B229:H229)</f>
        <v>131</v>
      </c>
      <c r="O229" s="4">
        <v>66</v>
      </c>
      <c r="Q229" s="3" t="s">
        <v>213</v>
      </c>
      <c r="R229" s="4">
        <v>0</v>
      </c>
      <c r="T229" t="s">
        <v>665</v>
      </c>
      <c r="U229">
        <f>COUNTIF(A3:A7,"metacell-343")</f>
        <v>0</v>
      </c>
      <c r="V229">
        <f>COUNTIF(D3:D34,"metacell-343")</f>
        <v>0</v>
      </c>
      <c r="W229">
        <f>COUNTIF(G3:G14,"metacell-343")</f>
        <v>0</v>
      </c>
      <c r="X229">
        <f>COUNTIF(J3:J8,"metacell-343")</f>
        <v>0</v>
      </c>
      <c r="Y229">
        <f>COUNTIF(M3:M8,"metacell-343")</f>
        <v>0</v>
      </c>
      <c r="Z229">
        <f>COUNTIF(P3:P72,"metacell-343")</f>
        <v>1</v>
      </c>
      <c r="AA229">
        <f>COUNTIF(S3:S47,"metacell-343")</f>
        <v>1</v>
      </c>
      <c r="AB229" t="s">
        <v>509</v>
      </c>
      <c r="AC229" t="s">
        <v>509</v>
      </c>
      <c r="AD229">
        <f t="shared" si="1"/>
        <v>2</v>
      </c>
    </row>
    <row r="230" spans="1:30" x14ac:dyDescent="0.25">
      <c r="A230" s="67" t="s">
        <v>673</v>
      </c>
      <c r="B230" s="62">
        <v>66</v>
      </c>
      <c r="C230" s="2">
        <v>9</v>
      </c>
      <c r="D230" s="2">
        <v>18</v>
      </c>
      <c r="E230" s="2">
        <v>16</v>
      </c>
      <c r="F230" s="2">
        <v>12</v>
      </c>
      <c r="G230" s="2">
        <v>8</v>
      </c>
      <c r="H230" s="2">
        <v>2</v>
      </c>
      <c r="I230" s="2" t="s">
        <v>509</v>
      </c>
      <c r="J230" s="2" t="s">
        <v>509</v>
      </c>
      <c r="K230" s="2" t="s">
        <v>509</v>
      </c>
      <c r="L230" s="4" t="s">
        <v>509</v>
      </c>
      <c r="M230" s="3" t="s">
        <v>673</v>
      </c>
      <c r="N230" s="2">
        <f>SUM(B230:H230)</f>
        <v>131</v>
      </c>
      <c r="O230" s="4">
        <v>66</v>
      </c>
      <c r="Q230" s="3" t="s">
        <v>217</v>
      </c>
      <c r="R230" s="4">
        <v>0</v>
      </c>
      <c r="T230" t="s">
        <v>673</v>
      </c>
      <c r="U230">
        <f>COUNTIF(A3:A7,"metacell-360")</f>
        <v>0</v>
      </c>
      <c r="V230">
        <f>COUNTIF(D3:D34,"metacell-360")</f>
        <v>0</v>
      </c>
      <c r="W230">
        <f>COUNTIF(G3:G14,"metacell-360")</f>
        <v>0</v>
      </c>
      <c r="X230">
        <f>COUNTIF(J3:J8,"metacell-360")</f>
        <v>0</v>
      </c>
      <c r="Y230">
        <f>COUNTIF(M3:M8,"metacell-360")</f>
        <v>0</v>
      </c>
      <c r="Z230">
        <f>COUNTIF(P3:P72,"metacell-360")</f>
        <v>0</v>
      </c>
      <c r="AA230">
        <f>COUNTIF(S3:S47,"metacell-360")</f>
        <v>1</v>
      </c>
      <c r="AB230" t="s">
        <v>509</v>
      </c>
      <c r="AC230" t="s">
        <v>509</v>
      </c>
      <c r="AD230">
        <f t="shared" si="1"/>
        <v>1</v>
      </c>
    </row>
    <row r="231" spans="1:30" x14ac:dyDescent="0.25">
      <c r="A231" s="67" t="s">
        <v>253</v>
      </c>
      <c r="B231" s="62">
        <v>62</v>
      </c>
      <c r="C231" s="2">
        <v>9</v>
      </c>
      <c r="D231" s="2">
        <v>12</v>
      </c>
      <c r="E231" s="2">
        <v>23</v>
      </c>
      <c r="F231" s="2">
        <v>13</v>
      </c>
      <c r="G231" s="2">
        <v>5</v>
      </c>
      <c r="H231" s="2">
        <v>8</v>
      </c>
      <c r="I231" s="2" t="s">
        <v>509</v>
      </c>
      <c r="J231" s="2" t="s">
        <v>509</v>
      </c>
      <c r="K231" s="2" t="s">
        <v>509</v>
      </c>
      <c r="L231" s="4" t="s">
        <v>509</v>
      </c>
      <c r="M231" s="3" t="s">
        <v>253</v>
      </c>
      <c r="N231" s="2">
        <f>SUM(B231:H231)</f>
        <v>132</v>
      </c>
      <c r="O231" s="4">
        <v>67</v>
      </c>
      <c r="Q231" s="3" t="s">
        <v>240</v>
      </c>
      <c r="R231" s="4">
        <v>0</v>
      </c>
      <c r="T231" t="s">
        <v>253</v>
      </c>
      <c r="U231">
        <f>COUNTIF(A3:A7,"metacell-191")</f>
        <v>0</v>
      </c>
      <c r="V231">
        <f>COUNTIF(D3:D34,"metacell-191")</f>
        <v>0</v>
      </c>
      <c r="W231">
        <f>COUNTIF(G3:G14,"metacell-191")</f>
        <v>0</v>
      </c>
      <c r="X231">
        <f>COUNTIF(J3:J8,"metacell-191")</f>
        <v>0</v>
      </c>
      <c r="Y231">
        <f>COUNTIF(M3:M8,"metacell-191")</f>
        <v>0</v>
      </c>
      <c r="Z231">
        <f>COUNTIF(P3:P72,"metacell-191")</f>
        <v>1</v>
      </c>
      <c r="AA231">
        <f>COUNTIF(S3:S47,"metacell-191")</f>
        <v>0</v>
      </c>
      <c r="AB231" t="s">
        <v>509</v>
      </c>
      <c r="AC231" t="s">
        <v>509</v>
      </c>
      <c r="AD231">
        <f t="shared" si="1"/>
        <v>1</v>
      </c>
    </row>
    <row r="232" spans="1:30" x14ac:dyDescent="0.25">
      <c r="A232" s="67" t="s">
        <v>252</v>
      </c>
      <c r="B232" s="62">
        <v>65</v>
      </c>
      <c r="C232" s="2">
        <v>11</v>
      </c>
      <c r="D232" s="2">
        <v>15</v>
      </c>
      <c r="E232" s="2">
        <v>27</v>
      </c>
      <c r="F232" s="2">
        <v>6</v>
      </c>
      <c r="G232" s="2">
        <v>6</v>
      </c>
      <c r="H232" s="2">
        <v>3</v>
      </c>
      <c r="I232" s="2" t="s">
        <v>509</v>
      </c>
      <c r="J232" s="2" t="s">
        <v>509</v>
      </c>
      <c r="K232" s="2" t="s">
        <v>509</v>
      </c>
      <c r="L232" s="4" t="s">
        <v>509</v>
      </c>
      <c r="M232" s="3" t="s">
        <v>252</v>
      </c>
      <c r="N232" s="2">
        <f>SUM(B232:H232)</f>
        <v>133</v>
      </c>
      <c r="O232" s="4">
        <v>68</v>
      </c>
      <c r="Q232" s="3" t="s">
        <v>186</v>
      </c>
      <c r="R232" s="4">
        <v>0</v>
      </c>
      <c r="T232" t="s">
        <v>252</v>
      </c>
      <c r="U232">
        <f>COUNTIF(A3:A7,"metacell-190")</f>
        <v>0</v>
      </c>
      <c r="V232">
        <f>COUNTIF(D3:D34,"metacell-190")</f>
        <v>0</v>
      </c>
      <c r="W232">
        <f>COUNTIF(G3:G14,"metacell-190")</f>
        <v>0</v>
      </c>
      <c r="X232">
        <f>COUNTIF(J3:J8,"metacell-190")</f>
        <v>0</v>
      </c>
      <c r="Y232">
        <f>COUNTIF(M3:M8,"metacell-190")</f>
        <v>0</v>
      </c>
      <c r="Z232">
        <f>COUNTIF(P3:P72,"metacell-190")</f>
        <v>0</v>
      </c>
      <c r="AA232">
        <f>COUNTIF(S3:S47,"metacell-190")</f>
        <v>1</v>
      </c>
      <c r="AB232" t="s">
        <v>509</v>
      </c>
      <c r="AC232" t="s">
        <v>509</v>
      </c>
      <c r="AD232">
        <f t="shared" si="1"/>
        <v>1</v>
      </c>
    </row>
    <row r="233" spans="1:30" x14ac:dyDescent="0.25">
      <c r="A233" s="67" t="s">
        <v>670</v>
      </c>
      <c r="B233" s="62">
        <v>60</v>
      </c>
      <c r="C233" s="2">
        <v>9</v>
      </c>
      <c r="D233" s="2">
        <v>15</v>
      </c>
      <c r="E233" s="2">
        <v>20</v>
      </c>
      <c r="F233" s="2">
        <v>15</v>
      </c>
      <c r="G233" s="2">
        <v>8</v>
      </c>
      <c r="H233" s="2">
        <v>6</v>
      </c>
      <c r="I233" s="2" t="s">
        <v>509</v>
      </c>
      <c r="J233" s="2" t="s">
        <v>509</v>
      </c>
      <c r="K233" s="2" t="s">
        <v>509</v>
      </c>
      <c r="L233" s="4" t="s">
        <v>509</v>
      </c>
      <c r="M233" s="3" t="s">
        <v>670</v>
      </c>
      <c r="N233" s="2">
        <f>SUM(B233:H233)</f>
        <v>133</v>
      </c>
      <c r="O233" s="4">
        <v>68</v>
      </c>
      <c r="Q233" s="3" t="s">
        <v>254</v>
      </c>
      <c r="R233" s="4">
        <v>0</v>
      </c>
      <c r="T233" t="s">
        <v>670</v>
      </c>
      <c r="U233">
        <f>COUNTIF(A3:A7,"metacell-357")</f>
        <v>0</v>
      </c>
      <c r="V233">
        <f>COUNTIF(D3:D34,"metacell-357")</f>
        <v>0</v>
      </c>
      <c r="W233">
        <f>COUNTIF(G3:G14,"metacell-357")</f>
        <v>0</v>
      </c>
      <c r="X233">
        <f>COUNTIF(J3:J8,"metacell-357")</f>
        <v>0</v>
      </c>
      <c r="Y233">
        <f>COUNTIF(M3:M8,"metacell-357")</f>
        <v>0</v>
      </c>
      <c r="Z233">
        <f>COUNTIF(P3:P72,"metacell-357")</f>
        <v>0</v>
      </c>
      <c r="AA233">
        <f>COUNTIF(S3:S47,"metacell-357")</f>
        <v>0</v>
      </c>
      <c r="AB233" t="s">
        <v>509</v>
      </c>
      <c r="AC233" t="s">
        <v>509</v>
      </c>
      <c r="AD233">
        <f t="shared" si="1"/>
        <v>0</v>
      </c>
    </row>
    <row r="234" spans="1:30" x14ac:dyDescent="0.25">
      <c r="A234" s="67" t="s">
        <v>661</v>
      </c>
      <c r="B234" s="62">
        <v>59</v>
      </c>
      <c r="C234" s="2">
        <v>10</v>
      </c>
      <c r="D234" s="2">
        <v>8</v>
      </c>
      <c r="E234" s="2">
        <v>26</v>
      </c>
      <c r="F234" s="2">
        <v>18</v>
      </c>
      <c r="G234" s="2">
        <v>4</v>
      </c>
      <c r="H234" s="2">
        <v>12</v>
      </c>
      <c r="I234" s="2" t="s">
        <v>509</v>
      </c>
      <c r="J234" s="2" t="s">
        <v>509</v>
      </c>
      <c r="K234" s="2" t="s">
        <v>509</v>
      </c>
      <c r="L234" s="4" t="s">
        <v>509</v>
      </c>
      <c r="M234" s="3" t="s">
        <v>661</v>
      </c>
      <c r="N234" s="2">
        <f>SUM(B234:H234)</f>
        <v>137</v>
      </c>
      <c r="O234" s="4">
        <v>69</v>
      </c>
      <c r="Q234" s="3" t="s">
        <v>692</v>
      </c>
      <c r="R234" s="4">
        <v>0</v>
      </c>
      <c r="T234" t="s">
        <v>661</v>
      </c>
      <c r="U234">
        <f>COUNTIF(A3:A7,"metacell-326")</f>
        <v>0</v>
      </c>
      <c r="V234">
        <f>COUNTIF(D3:D34,"metacell-326")</f>
        <v>0</v>
      </c>
      <c r="W234">
        <f>COUNTIF(G3:G14,"metacell-326")</f>
        <v>0</v>
      </c>
      <c r="X234">
        <f>COUNTIF(J3:J8,"metacell-326")</f>
        <v>0</v>
      </c>
      <c r="Y234">
        <f>COUNTIF(M3:M8,"metacell-326")</f>
        <v>0</v>
      </c>
      <c r="Z234">
        <f>COUNTIF(P3:P72,"metacell-326")</f>
        <v>1</v>
      </c>
      <c r="AA234">
        <f>COUNTIF(S3:S47,"metacell-326")</f>
        <v>0</v>
      </c>
      <c r="AB234" t="s">
        <v>509</v>
      </c>
      <c r="AC234" t="s">
        <v>509</v>
      </c>
      <c r="AD234">
        <f t="shared" si="1"/>
        <v>1</v>
      </c>
    </row>
    <row r="235" spans="1:30" x14ac:dyDescent="0.25">
      <c r="A235" s="67" t="s">
        <v>697</v>
      </c>
      <c r="B235" s="62">
        <v>61</v>
      </c>
      <c r="C235" s="2">
        <v>9</v>
      </c>
      <c r="D235" s="2">
        <v>14</v>
      </c>
      <c r="E235" s="2">
        <v>19</v>
      </c>
      <c r="F235" s="2">
        <v>18</v>
      </c>
      <c r="G235" s="2">
        <v>8</v>
      </c>
      <c r="H235" s="2">
        <v>8</v>
      </c>
      <c r="I235" s="2" t="s">
        <v>509</v>
      </c>
      <c r="J235" s="2" t="s">
        <v>509</v>
      </c>
      <c r="K235" s="2" t="s">
        <v>509</v>
      </c>
      <c r="L235" s="4" t="s">
        <v>509</v>
      </c>
      <c r="M235" s="3" t="s">
        <v>697</v>
      </c>
      <c r="N235" s="2">
        <f>SUM(B235:H235)</f>
        <v>137</v>
      </c>
      <c r="O235" s="4">
        <v>69</v>
      </c>
      <c r="Q235" s="3" t="s">
        <v>683</v>
      </c>
      <c r="R235" s="4">
        <v>0</v>
      </c>
      <c r="T235" t="s">
        <v>697</v>
      </c>
      <c r="U235">
        <f>COUNTIF(A3:A7,"metacell-386")</f>
        <v>0</v>
      </c>
      <c r="V235">
        <f>COUNTIF(D3:D34,"metacell-386")</f>
        <v>0</v>
      </c>
      <c r="W235">
        <f>COUNTIF(G3:G14,"metacell-386")</f>
        <v>0</v>
      </c>
      <c r="X235">
        <f>COUNTIF(J3:J8,"metacell-386")</f>
        <v>0</v>
      </c>
      <c r="Y235">
        <f>COUNTIF(M3:M8,"metacell-386")</f>
        <v>0</v>
      </c>
      <c r="Z235">
        <f>COUNTIF(P3:P72,"metacell-386")</f>
        <v>0</v>
      </c>
      <c r="AA235">
        <f>COUNTIF(S3:S47,"metacell-386")</f>
        <v>0</v>
      </c>
      <c r="AB235" t="s">
        <v>509</v>
      </c>
      <c r="AC235" t="s">
        <v>509</v>
      </c>
      <c r="AD235">
        <f t="shared" si="1"/>
        <v>0</v>
      </c>
    </row>
    <row r="236" spans="1:30" x14ac:dyDescent="0.25">
      <c r="A236" s="67" t="s">
        <v>659</v>
      </c>
      <c r="B236" s="62">
        <v>61</v>
      </c>
      <c r="C236" s="2">
        <v>13</v>
      </c>
      <c r="D236" s="2">
        <v>12</v>
      </c>
      <c r="E236" s="2">
        <v>27</v>
      </c>
      <c r="F236" s="2">
        <v>15</v>
      </c>
      <c r="G236" s="2">
        <v>6</v>
      </c>
      <c r="H236" s="2">
        <v>5</v>
      </c>
      <c r="I236" s="2" t="s">
        <v>509</v>
      </c>
      <c r="J236" s="2" t="s">
        <v>509</v>
      </c>
      <c r="K236" s="2" t="s">
        <v>509</v>
      </c>
      <c r="L236" s="4" t="s">
        <v>509</v>
      </c>
      <c r="M236" s="3" t="s">
        <v>659</v>
      </c>
      <c r="N236" s="2">
        <f>SUM(B236:H236)</f>
        <v>139</v>
      </c>
      <c r="O236" s="4">
        <v>70</v>
      </c>
      <c r="Q236" s="3" t="s">
        <v>693</v>
      </c>
      <c r="R236" s="4">
        <v>0</v>
      </c>
      <c r="T236" t="s">
        <v>659</v>
      </c>
      <c r="U236">
        <f>COUNTIF(A3:A7,"metacell-322")</f>
        <v>0</v>
      </c>
      <c r="V236">
        <f>COUNTIF(D3:D34,"metacell-322")</f>
        <v>0</v>
      </c>
      <c r="W236">
        <f>COUNTIF(G3:G14,"metacell-322")</f>
        <v>0</v>
      </c>
      <c r="X236">
        <f>COUNTIF(J3:J8,"metacell-322")</f>
        <v>0</v>
      </c>
      <c r="Y236">
        <f>COUNTIF(M3:M8,"metacell-322")</f>
        <v>0</v>
      </c>
      <c r="Z236">
        <f>COUNTIF(P3:P72,"metacell-322")</f>
        <v>0</v>
      </c>
      <c r="AA236">
        <f>COUNTIF(S3:S47,"metacell-322")</f>
        <v>1</v>
      </c>
      <c r="AB236" t="s">
        <v>509</v>
      </c>
      <c r="AC236" t="s">
        <v>509</v>
      </c>
      <c r="AD236">
        <f t="shared" si="1"/>
        <v>1</v>
      </c>
    </row>
    <row r="237" spans="1:30" x14ac:dyDescent="0.25">
      <c r="A237" s="67" t="s">
        <v>663</v>
      </c>
      <c r="B237" s="62">
        <v>63</v>
      </c>
      <c r="C237" s="2">
        <v>9</v>
      </c>
      <c r="D237" s="2">
        <v>15</v>
      </c>
      <c r="E237" s="2">
        <v>20</v>
      </c>
      <c r="F237" s="2">
        <v>18</v>
      </c>
      <c r="G237" s="2">
        <v>6</v>
      </c>
      <c r="H237" s="2">
        <v>8</v>
      </c>
      <c r="I237" s="2" t="s">
        <v>509</v>
      </c>
      <c r="J237" s="2" t="s">
        <v>509</v>
      </c>
      <c r="K237" s="2" t="s">
        <v>509</v>
      </c>
      <c r="L237" s="4" t="s">
        <v>509</v>
      </c>
      <c r="M237" s="3" t="s">
        <v>663</v>
      </c>
      <c r="N237" s="2">
        <f>SUM(B237:H237)</f>
        <v>139</v>
      </c>
      <c r="O237" s="4">
        <v>70</v>
      </c>
      <c r="Q237" s="3" t="s">
        <v>674</v>
      </c>
      <c r="R237" s="4">
        <v>0</v>
      </c>
      <c r="T237" t="s">
        <v>663</v>
      </c>
      <c r="U237">
        <f>COUNTIF(A3:A7,"metacell-332")</f>
        <v>0</v>
      </c>
      <c r="V237">
        <f>COUNTIF(D3:D34,"metacell-332")</f>
        <v>0</v>
      </c>
      <c r="W237">
        <f>COUNTIF(G3:G14,"metacell-332")</f>
        <v>0</v>
      </c>
      <c r="X237">
        <f>COUNTIF(J3:J8,"metacell-332")</f>
        <v>0</v>
      </c>
      <c r="Y237">
        <f>COUNTIF(M3:M8,"metacell-332")</f>
        <v>0</v>
      </c>
      <c r="Z237">
        <f>COUNTIF(P3:P72,"metacell-332")</f>
        <v>0</v>
      </c>
      <c r="AA237">
        <f>COUNTIF(S3:S47,"metacell-332")</f>
        <v>0</v>
      </c>
      <c r="AB237" t="s">
        <v>509</v>
      </c>
      <c r="AC237" t="s">
        <v>509</v>
      </c>
      <c r="AD237">
        <f t="shared" si="1"/>
        <v>0</v>
      </c>
    </row>
    <row r="238" spans="1:30" x14ac:dyDescent="0.25">
      <c r="A238" s="67" t="s">
        <v>666</v>
      </c>
      <c r="B238" s="62">
        <v>60</v>
      </c>
      <c r="C238" s="2">
        <v>11</v>
      </c>
      <c r="D238" s="2">
        <v>11</v>
      </c>
      <c r="E238" s="2">
        <v>28</v>
      </c>
      <c r="F238" s="2">
        <v>15</v>
      </c>
      <c r="G238" s="2">
        <v>5</v>
      </c>
      <c r="H238" s="2">
        <v>9</v>
      </c>
      <c r="I238" s="2" t="s">
        <v>509</v>
      </c>
      <c r="J238" s="2" t="s">
        <v>509</v>
      </c>
      <c r="K238" s="2" t="s">
        <v>509</v>
      </c>
      <c r="L238" s="4" t="s">
        <v>509</v>
      </c>
      <c r="M238" s="3" t="s">
        <v>666</v>
      </c>
      <c r="N238" s="2">
        <f>SUM(B238:H238)</f>
        <v>139</v>
      </c>
      <c r="O238" s="4">
        <v>70</v>
      </c>
      <c r="Q238" s="3" t="s">
        <v>660</v>
      </c>
      <c r="R238" s="4">
        <v>0</v>
      </c>
      <c r="T238" t="s">
        <v>666</v>
      </c>
      <c r="U238">
        <f>COUNTIF(A3:A7,"metacell-345")</f>
        <v>0</v>
      </c>
      <c r="V238">
        <f>COUNTIF(D3:D34,"metacell-345")</f>
        <v>0</v>
      </c>
      <c r="W238">
        <f>COUNTIF(G3:G14,"metacell-345")</f>
        <v>0</v>
      </c>
      <c r="X238">
        <f>COUNTIF(J3:J8,"metacell-345")</f>
        <v>0</v>
      </c>
      <c r="Y238">
        <f>COUNTIF(M3:M8,"metacell-345")</f>
        <v>0</v>
      </c>
      <c r="Z238">
        <f>COUNTIF(P3:P72,"metacell-345")</f>
        <v>1</v>
      </c>
      <c r="AA238">
        <f>COUNTIF(S3:S47,"metacell-345")</f>
        <v>0</v>
      </c>
      <c r="AB238" t="s">
        <v>509</v>
      </c>
      <c r="AC238" t="s">
        <v>509</v>
      </c>
      <c r="AD238">
        <f t="shared" si="1"/>
        <v>1</v>
      </c>
    </row>
    <row r="239" spans="1:30" x14ac:dyDescent="0.25">
      <c r="A239" s="67" t="s">
        <v>241</v>
      </c>
      <c r="B239" s="62">
        <v>64</v>
      </c>
      <c r="C239" s="2">
        <v>12</v>
      </c>
      <c r="D239" s="2">
        <v>12</v>
      </c>
      <c r="E239" s="2">
        <v>28</v>
      </c>
      <c r="F239" s="2">
        <v>16</v>
      </c>
      <c r="G239" s="2">
        <v>3</v>
      </c>
      <c r="H239" s="2">
        <v>9</v>
      </c>
      <c r="I239" s="2" t="s">
        <v>509</v>
      </c>
      <c r="J239" s="2" t="s">
        <v>509</v>
      </c>
      <c r="K239" s="2" t="s">
        <v>509</v>
      </c>
      <c r="L239" s="4" t="s">
        <v>509</v>
      </c>
      <c r="M239" s="3" t="s">
        <v>241</v>
      </c>
      <c r="N239" s="2">
        <f>SUM(B239:H239)</f>
        <v>144</v>
      </c>
      <c r="O239" s="4">
        <v>71</v>
      </c>
      <c r="Q239" s="3" t="s">
        <v>671</v>
      </c>
      <c r="R239" s="4">
        <v>0</v>
      </c>
      <c r="T239" t="s">
        <v>241</v>
      </c>
      <c r="U239">
        <f>COUNTIF(A3:A7,"metacell-177")</f>
        <v>0</v>
      </c>
      <c r="V239">
        <f>COUNTIF(D3:D34,"metacell-177")</f>
        <v>0</v>
      </c>
      <c r="W239">
        <f>COUNTIF(G3:G14,"metacell-177")</f>
        <v>0</v>
      </c>
      <c r="X239">
        <f>COUNTIF(J3:J8,"metacell-177")</f>
        <v>0</v>
      </c>
      <c r="Y239">
        <f>COUNTIF(M3:M8,"metacell-177")</f>
        <v>0</v>
      </c>
      <c r="Z239">
        <f>COUNTIF(P3:P72,"metacell-177")</f>
        <v>1</v>
      </c>
      <c r="AA239">
        <f>COUNTIF(S3:S47,"metacell-177")</f>
        <v>0</v>
      </c>
      <c r="AB239" t="s">
        <v>509</v>
      </c>
      <c r="AC239" t="s">
        <v>509</v>
      </c>
      <c r="AD239">
        <f t="shared" si="1"/>
        <v>1</v>
      </c>
    </row>
    <row r="240" spans="1:30" x14ac:dyDescent="0.25">
      <c r="A240" s="67" t="s">
        <v>681</v>
      </c>
      <c r="B240" s="62">
        <v>66</v>
      </c>
      <c r="C240" s="2">
        <v>11</v>
      </c>
      <c r="D240" s="2">
        <v>11</v>
      </c>
      <c r="E240" s="2">
        <v>25</v>
      </c>
      <c r="F240" s="2">
        <v>17</v>
      </c>
      <c r="G240" s="2">
        <v>5</v>
      </c>
      <c r="H240" s="2">
        <v>9</v>
      </c>
      <c r="I240" s="2" t="s">
        <v>509</v>
      </c>
      <c r="J240" s="2" t="s">
        <v>509</v>
      </c>
      <c r="K240" s="2" t="s">
        <v>509</v>
      </c>
      <c r="L240" s="4" t="s">
        <v>509</v>
      </c>
      <c r="M240" s="3" t="s">
        <v>681</v>
      </c>
      <c r="N240" s="2">
        <f>SUM(B240:H240)</f>
        <v>144</v>
      </c>
      <c r="O240" s="4">
        <v>71</v>
      </c>
      <c r="Q240" s="3" t="s">
        <v>670</v>
      </c>
      <c r="R240" s="4">
        <v>0</v>
      </c>
      <c r="T240" t="s">
        <v>681</v>
      </c>
      <c r="U240">
        <f>COUNTIF(A3:A7,"metacell-368")</f>
        <v>0</v>
      </c>
      <c r="V240">
        <f>COUNTIF(D3:D34,"metacell-368")</f>
        <v>0</v>
      </c>
      <c r="W240">
        <f>COUNTIF(G3:G14,"metacell-368")</f>
        <v>0</v>
      </c>
      <c r="X240">
        <f>COUNTIF(J3:J8,"metacell-368")</f>
        <v>0</v>
      </c>
      <c r="Y240">
        <f>COUNTIF(M3:M8,"metacell-368")</f>
        <v>0</v>
      </c>
      <c r="Z240">
        <f>COUNTIF(P3:P72,"metacell-368")</f>
        <v>1</v>
      </c>
      <c r="AA240">
        <f>COUNTIF(S3:S47,"metacell-368")</f>
        <v>0</v>
      </c>
      <c r="AB240" t="s">
        <v>509</v>
      </c>
      <c r="AC240" t="s">
        <v>509</v>
      </c>
      <c r="AD240">
        <f t="shared" si="1"/>
        <v>1</v>
      </c>
    </row>
    <row r="241" spans="1:30" x14ac:dyDescent="0.25">
      <c r="A241" s="67" t="s">
        <v>210</v>
      </c>
      <c r="B241" s="62">
        <v>64</v>
      </c>
      <c r="C241" s="2">
        <v>12</v>
      </c>
      <c r="D241" s="2">
        <v>10</v>
      </c>
      <c r="E241" s="2">
        <v>30</v>
      </c>
      <c r="F241" s="2">
        <v>17</v>
      </c>
      <c r="G241" s="2">
        <v>3</v>
      </c>
      <c r="H241" s="2">
        <v>11</v>
      </c>
      <c r="I241" s="2" t="s">
        <v>509</v>
      </c>
      <c r="J241" s="2" t="s">
        <v>509</v>
      </c>
      <c r="K241" s="2" t="s">
        <v>509</v>
      </c>
      <c r="L241" s="4" t="s">
        <v>509</v>
      </c>
      <c r="M241" s="3" t="s">
        <v>210</v>
      </c>
      <c r="N241" s="2">
        <f>SUM(B241:H241)</f>
        <v>147</v>
      </c>
      <c r="O241" s="4">
        <v>72</v>
      </c>
      <c r="Q241" s="3" t="s">
        <v>697</v>
      </c>
      <c r="R241" s="4">
        <v>0</v>
      </c>
      <c r="T241" t="s">
        <v>210</v>
      </c>
      <c r="U241">
        <f>COUNTIF(A3:A7,"metacell-144")</f>
        <v>0</v>
      </c>
      <c r="V241">
        <f>COUNTIF(D3:D34,"metacell-144")</f>
        <v>0</v>
      </c>
      <c r="W241">
        <f>COUNTIF(G3:G14,"metacell-144")</f>
        <v>0</v>
      </c>
      <c r="X241">
        <f>COUNTIF(J3:J8,"metacell-144")</f>
        <v>0</v>
      </c>
      <c r="Y241">
        <f>COUNTIF(M3:M8,"metacell-144")</f>
        <v>0</v>
      </c>
      <c r="Z241">
        <f>COUNTIF(P3:P72,"metacell-144")</f>
        <v>1</v>
      </c>
      <c r="AA241">
        <f>COUNTIF(S3:S47,"metacell-144")</f>
        <v>0</v>
      </c>
      <c r="AB241" t="s">
        <v>509</v>
      </c>
      <c r="AC241" t="s">
        <v>509</v>
      </c>
      <c r="AD241">
        <f t="shared" si="1"/>
        <v>1</v>
      </c>
    </row>
    <row r="242" spans="1:30" x14ac:dyDescent="0.25">
      <c r="A242" s="67" t="s">
        <v>245</v>
      </c>
      <c r="B242" s="62">
        <v>54</v>
      </c>
      <c r="C242" s="2">
        <v>13</v>
      </c>
      <c r="D242" s="2">
        <v>17</v>
      </c>
      <c r="E242" s="2">
        <v>29</v>
      </c>
      <c r="F242" s="2">
        <v>18</v>
      </c>
      <c r="G242" s="2">
        <v>8</v>
      </c>
      <c r="H242" s="2">
        <v>9</v>
      </c>
      <c r="I242" s="2" t="s">
        <v>509</v>
      </c>
      <c r="J242" s="2" t="s">
        <v>509</v>
      </c>
      <c r="K242" s="2" t="s">
        <v>509</v>
      </c>
      <c r="L242" s="4" t="s">
        <v>509</v>
      </c>
      <c r="M242" s="3" t="s">
        <v>245</v>
      </c>
      <c r="N242" s="2">
        <f>SUM(B242:H242)</f>
        <v>148</v>
      </c>
      <c r="O242" s="4">
        <v>73</v>
      </c>
      <c r="Q242" s="3" t="s">
        <v>663</v>
      </c>
      <c r="R242" s="4">
        <v>0</v>
      </c>
      <c r="T242" t="s">
        <v>245</v>
      </c>
      <c r="U242">
        <f>COUNTIF(A3:A7,"metacell-181")</f>
        <v>0</v>
      </c>
      <c r="V242">
        <f>COUNTIF(D3:D34,"metacell-181")</f>
        <v>0</v>
      </c>
      <c r="W242">
        <f>COUNTIF(G3:G14,"metacell-181")</f>
        <v>0</v>
      </c>
      <c r="X242">
        <f>COUNTIF(J3:J8,"metacell-181")</f>
        <v>0</v>
      </c>
      <c r="Y242">
        <f>COUNTIF(M3:M8,"metacell-181")</f>
        <v>0</v>
      </c>
      <c r="Z242">
        <f>COUNTIF(P3:P72,"metacell-181")</f>
        <v>0</v>
      </c>
      <c r="AA242">
        <f>COUNTIF(S3:S47,"metacell-181")</f>
        <v>0</v>
      </c>
      <c r="AB242" t="s">
        <v>509</v>
      </c>
      <c r="AC242" t="s">
        <v>509</v>
      </c>
      <c r="AD242">
        <f t="shared" si="1"/>
        <v>0</v>
      </c>
    </row>
    <row r="243" spans="1:30" x14ac:dyDescent="0.25">
      <c r="A243" s="67" t="s">
        <v>188</v>
      </c>
      <c r="B243" s="62">
        <v>65</v>
      </c>
      <c r="C243" s="2">
        <v>14</v>
      </c>
      <c r="D243" s="2">
        <v>12</v>
      </c>
      <c r="E243" s="2">
        <v>31</v>
      </c>
      <c r="F243" s="2">
        <v>16</v>
      </c>
      <c r="G243" s="2">
        <v>4</v>
      </c>
      <c r="H243" s="2">
        <v>9</v>
      </c>
      <c r="I243" s="2" t="s">
        <v>509</v>
      </c>
      <c r="J243" s="2" t="s">
        <v>509</v>
      </c>
      <c r="K243" s="2" t="s">
        <v>509</v>
      </c>
      <c r="L243" s="4" t="s">
        <v>509</v>
      </c>
      <c r="M243" s="3" t="s">
        <v>188</v>
      </c>
      <c r="N243" s="2">
        <f>SUM(B243:H243)</f>
        <v>151</v>
      </c>
      <c r="O243" s="4">
        <v>74</v>
      </c>
      <c r="Q243" s="3" t="s">
        <v>245</v>
      </c>
      <c r="R243" s="4">
        <v>0</v>
      </c>
      <c r="T243" t="s">
        <v>188</v>
      </c>
      <c r="U243">
        <f>COUNTIF(A3:A7,"metacell-122")</f>
        <v>0</v>
      </c>
      <c r="V243">
        <f>COUNTIF(D3:D34,"metacell-122")</f>
        <v>0</v>
      </c>
      <c r="W243">
        <f>COUNTIF(G3:G14,"metacell-122")</f>
        <v>0</v>
      </c>
      <c r="X243">
        <f>COUNTIF(J3:J8,"metacell-122")</f>
        <v>0</v>
      </c>
      <c r="Y243">
        <f>COUNTIF(M3:M8,"metacell-122")</f>
        <v>0</v>
      </c>
      <c r="Z243">
        <f>COUNTIF(P3:P72,"metacell-122")</f>
        <v>1</v>
      </c>
      <c r="AA243">
        <f>COUNTIF(S3:S47,"metacell-122")</f>
        <v>0</v>
      </c>
      <c r="AB243" t="s">
        <v>509</v>
      </c>
      <c r="AC243" t="s">
        <v>509</v>
      </c>
      <c r="AD243">
        <f t="shared" si="1"/>
        <v>1</v>
      </c>
    </row>
    <row r="244" spans="1:30" x14ac:dyDescent="0.25">
      <c r="A244" s="67" t="s">
        <v>696</v>
      </c>
      <c r="B244" s="62">
        <v>66</v>
      </c>
      <c r="C244" s="2">
        <v>12</v>
      </c>
      <c r="D244" s="2">
        <v>18</v>
      </c>
      <c r="E244" s="2">
        <v>21</v>
      </c>
      <c r="F244" s="2">
        <v>18</v>
      </c>
      <c r="G244" s="2">
        <v>9</v>
      </c>
      <c r="H244" s="2">
        <v>7</v>
      </c>
      <c r="I244" s="2" t="s">
        <v>509</v>
      </c>
      <c r="J244" s="2" t="s">
        <v>509</v>
      </c>
      <c r="K244" s="2" t="s">
        <v>509</v>
      </c>
      <c r="L244" s="4" t="s">
        <v>509</v>
      </c>
      <c r="M244" s="3" t="s">
        <v>696</v>
      </c>
      <c r="N244" s="2">
        <f>SUM(B244:H244)</f>
        <v>151</v>
      </c>
      <c r="O244" s="4">
        <v>74</v>
      </c>
      <c r="Q244" s="3" t="s">
        <v>696</v>
      </c>
      <c r="R244" s="4">
        <v>0</v>
      </c>
      <c r="T244" t="s">
        <v>696</v>
      </c>
      <c r="U244">
        <f>COUNTIF(A3:A7,"metacell-385")</f>
        <v>0</v>
      </c>
      <c r="V244">
        <f>COUNTIF(D3:D34,"metacell-385")</f>
        <v>0</v>
      </c>
      <c r="W244">
        <f>COUNTIF(G3:G14,"metacell-385")</f>
        <v>0</v>
      </c>
      <c r="X244">
        <f>COUNTIF(J3:J8,"metacell-385")</f>
        <v>0</v>
      </c>
      <c r="Y244">
        <f>COUNTIF(M3:M8,"metacell-385")</f>
        <v>0</v>
      </c>
      <c r="Z244">
        <f>COUNTIF(P3:P72,"metacell-385")</f>
        <v>0</v>
      </c>
      <c r="AA244">
        <f>COUNTIF(S3:S47,"metacell-385")</f>
        <v>0</v>
      </c>
      <c r="AB244" t="s">
        <v>509</v>
      </c>
      <c r="AC244" t="s">
        <v>509</v>
      </c>
      <c r="AD244">
        <f t="shared" si="1"/>
        <v>0</v>
      </c>
    </row>
    <row r="245" spans="1:30" x14ac:dyDescent="0.25">
      <c r="A245" s="67" t="s">
        <v>664</v>
      </c>
      <c r="B245" s="62">
        <v>63</v>
      </c>
      <c r="C245" s="2">
        <v>14</v>
      </c>
      <c r="D245" s="2">
        <v>13</v>
      </c>
      <c r="E245" s="2">
        <v>29</v>
      </c>
      <c r="F245" s="2">
        <v>18</v>
      </c>
      <c r="G245" s="2">
        <v>7</v>
      </c>
      <c r="H245" s="2">
        <v>9</v>
      </c>
      <c r="I245" s="2" t="s">
        <v>509</v>
      </c>
      <c r="J245" s="2" t="s">
        <v>509</v>
      </c>
      <c r="K245" s="2" t="s">
        <v>509</v>
      </c>
      <c r="L245" s="4" t="s">
        <v>509</v>
      </c>
      <c r="M245" s="3" t="s">
        <v>664</v>
      </c>
      <c r="N245" s="2">
        <f>SUM(B245:H245)</f>
        <v>153</v>
      </c>
      <c r="O245" s="4">
        <v>75</v>
      </c>
      <c r="Q245" s="3" t="s">
        <v>664</v>
      </c>
      <c r="R245" s="4">
        <v>0</v>
      </c>
      <c r="T245" t="s">
        <v>664</v>
      </c>
      <c r="U245">
        <f>COUNTIF(A3:A7,"metacell-342")</f>
        <v>0</v>
      </c>
      <c r="V245">
        <f>COUNTIF(D3:D34,"metacell-342")</f>
        <v>0</v>
      </c>
      <c r="W245">
        <f>COUNTIF(G3:G14,"metacell-342")</f>
        <v>0</v>
      </c>
      <c r="X245">
        <f>COUNTIF(J3:J8,"metacell-342")</f>
        <v>0</v>
      </c>
      <c r="Y245">
        <f>COUNTIF(M3:M8,"metacell-342")</f>
        <v>0</v>
      </c>
      <c r="Z245">
        <f>COUNTIF(P3:P72,"metacell-342")</f>
        <v>0</v>
      </c>
      <c r="AA245">
        <f>COUNTIF(S3:S47,"metacell-342")</f>
        <v>0</v>
      </c>
      <c r="AB245" t="s">
        <v>509</v>
      </c>
      <c r="AC245" t="s">
        <v>509</v>
      </c>
      <c r="AD245">
        <f t="shared" si="1"/>
        <v>0</v>
      </c>
    </row>
    <row r="246" spans="1:30" x14ac:dyDescent="0.25">
      <c r="A246" s="67" t="s">
        <v>694</v>
      </c>
      <c r="B246" s="62">
        <v>63</v>
      </c>
      <c r="C246" s="2">
        <v>12</v>
      </c>
      <c r="D246" s="2">
        <v>13</v>
      </c>
      <c r="E246" s="2">
        <v>27</v>
      </c>
      <c r="F246" s="2">
        <v>21</v>
      </c>
      <c r="G246" s="2">
        <v>7</v>
      </c>
      <c r="H246" s="2">
        <v>11</v>
      </c>
      <c r="I246" s="2" t="s">
        <v>509</v>
      </c>
      <c r="J246" s="2" t="s">
        <v>509</v>
      </c>
      <c r="K246" s="2" t="s">
        <v>509</v>
      </c>
      <c r="L246" s="4" t="s">
        <v>509</v>
      </c>
      <c r="M246" s="3" t="s">
        <v>694</v>
      </c>
      <c r="N246" s="2">
        <f>SUM(B246:H246)</f>
        <v>154</v>
      </c>
      <c r="O246" s="4">
        <v>76</v>
      </c>
      <c r="Q246" s="3" t="s">
        <v>694</v>
      </c>
      <c r="R246" s="4">
        <v>0</v>
      </c>
      <c r="T246" t="s">
        <v>694</v>
      </c>
      <c r="U246">
        <f>COUNTIF(A3:A7,"metacell-383")</f>
        <v>0</v>
      </c>
      <c r="V246">
        <f>COUNTIF(D3:D34,"metacell-383")</f>
        <v>0</v>
      </c>
      <c r="W246">
        <f>COUNTIF(G3:G14,"metacell-383")</f>
        <v>0</v>
      </c>
      <c r="X246">
        <f>COUNTIF(J3:J8,"metacell-383")</f>
        <v>0</v>
      </c>
      <c r="Y246">
        <f>COUNTIF(M3:M8,"metacell-383")</f>
        <v>0</v>
      </c>
      <c r="Z246">
        <f>COUNTIF(P3:P72,"metacell-383")</f>
        <v>0</v>
      </c>
      <c r="AA246">
        <f>COUNTIF(S3:S47,"metacell-383")</f>
        <v>0</v>
      </c>
      <c r="AB246" t="s">
        <v>509</v>
      </c>
      <c r="AC246" t="s">
        <v>509</v>
      </c>
      <c r="AD246">
        <f t="shared" si="1"/>
        <v>0</v>
      </c>
    </row>
    <row r="247" spans="1:30" ht="15.75" thickBot="1" x14ac:dyDescent="0.3">
      <c r="A247" s="68" t="s">
        <v>657</v>
      </c>
      <c r="B247" s="147">
        <v>65</v>
      </c>
      <c r="C247" s="11">
        <v>14</v>
      </c>
      <c r="D247" s="11">
        <v>17</v>
      </c>
      <c r="E247" s="11">
        <v>28</v>
      </c>
      <c r="F247" s="11">
        <v>20</v>
      </c>
      <c r="G247" s="11">
        <v>9</v>
      </c>
      <c r="H247" s="11">
        <v>9</v>
      </c>
      <c r="I247" s="11" t="s">
        <v>509</v>
      </c>
      <c r="J247" s="11" t="s">
        <v>509</v>
      </c>
      <c r="K247" s="11" t="s">
        <v>509</v>
      </c>
      <c r="L247" s="69" t="s">
        <v>509</v>
      </c>
      <c r="M247" s="76" t="s">
        <v>657</v>
      </c>
      <c r="N247" s="11">
        <f>SUM(B247:H247)</f>
        <v>162</v>
      </c>
      <c r="O247" s="69">
        <v>77</v>
      </c>
      <c r="Q247" s="76" t="s">
        <v>657</v>
      </c>
      <c r="R247" s="69">
        <v>0</v>
      </c>
      <c r="T247" t="s">
        <v>657</v>
      </c>
      <c r="U247">
        <f>COUNTIF(A3:A7,"metacell-211")</f>
        <v>0</v>
      </c>
      <c r="V247">
        <f>COUNTIF(D3:D34,"metacell-211")</f>
        <v>0</v>
      </c>
      <c r="W247">
        <f>COUNTIF(G3:G14,"metacell-211")</f>
        <v>0</v>
      </c>
      <c r="X247">
        <f>COUNTIF(J3:J8,"metacell-211")</f>
        <v>0</v>
      </c>
      <c r="Y247">
        <f>COUNTIF(M3:M8,"metacell-211")</f>
        <v>0</v>
      </c>
      <c r="Z247">
        <f>COUNTIF(P3:P72,"metacell-211")</f>
        <v>0</v>
      </c>
      <c r="AA247">
        <f>COUNTIF(S3:S47,"metacell-211")</f>
        <v>0</v>
      </c>
      <c r="AB247" t="s">
        <v>509</v>
      </c>
      <c r="AC247" t="s">
        <v>509</v>
      </c>
      <c r="AD247">
        <f t="shared" si="1"/>
        <v>0</v>
      </c>
    </row>
  </sheetData>
  <sortState ref="Q129:R247">
    <sortCondition descending="1" ref="R129:R247"/>
  </sortState>
  <mergeCells count="21">
    <mergeCell ref="V123:X123"/>
    <mergeCell ref="Y123:AA123"/>
    <mergeCell ref="Q126:R127"/>
    <mergeCell ref="A127:L127"/>
    <mergeCell ref="M127:O127"/>
    <mergeCell ref="S1:U1"/>
    <mergeCell ref="V1:X1"/>
    <mergeCell ref="Y1:AA1"/>
    <mergeCell ref="A123:C123"/>
    <mergeCell ref="D123:F123"/>
    <mergeCell ref="G123:I123"/>
    <mergeCell ref="J123:L123"/>
    <mergeCell ref="M123:O123"/>
    <mergeCell ref="P123:R123"/>
    <mergeCell ref="S123:U123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287"/>
  <sheetViews>
    <sheetView workbookViewId="0">
      <pane xSplit="2" ySplit="1" topLeftCell="C146" activePane="bottomRight" state="frozen"/>
      <selection pane="topRight" activeCell="C1" sqref="C1"/>
      <selection pane="bottomLeft" activeCell="A2" sqref="A2"/>
      <selection pane="bottomRight" activeCell="K114" sqref="K114"/>
    </sheetView>
  </sheetViews>
  <sheetFormatPr defaultRowHeight="15" x14ac:dyDescent="0.25"/>
  <cols>
    <col min="1" max="1" width="21" customWidth="1"/>
    <col min="2" max="2" width="22.5703125" customWidth="1"/>
    <col min="3" max="3" width="13.5703125" customWidth="1"/>
    <col min="4" max="4" width="12.7109375" bestFit="1" customWidth="1"/>
    <col min="5" max="6" width="11.42578125" customWidth="1"/>
    <col min="7" max="7" width="12.7109375" bestFit="1" customWidth="1"/>
    <col min="8" max="12" width="11.42578125" customWidth="1"/>
    <col min="13" max="15" width="13.5703125" customWidth="1"/>
    <col min="16" max="105" width="12.42578125" bestFit="1" customWidth="1"/>
    <col min="106" max="106" width="12.7109375" bestFit="1" customWidth="1"/>
    <col min="107" max="115" width="12.42578125" bestFit="1" customWidth="1"/>
    <col min="116" max="116" width="12.7109375" bestFit="1" customWidth="1"/>
    <col min="117" max="201" width="12.42578125" bestFit="1" customWidth="1"/>
    <col min="202" max="203" width="11.42578125" bestFit="1" customWidth="1"/>
    <col min="204" max="204" width="10.42578125" bestFit="1" customWidth="1"/>
    <col min="205" max="205" width="11.42578125" bestFit="1" customWidth="1"/>
    <col min="206" max="206" width="10.42578125" bestFit="1" customWidth="1"/>
  </cols>
  <sheetData>
    <row r="1" spans="1:206" s="56" customFormat="1" x14ac:dyDescent="0.25">
      <c r="B1" s="56" t="s">
        <v>80</v>
      </c>
      <c r="C1" s="183" t="s">
        <v>83</v>
      </c>
      <c r="D1" s="183" t="s">
        <v>86</v>
      </c>
      <c r="E1" s="183" t="s">
        <v>94</v>
      </c>
      <c r="F1" s="183" t="s">
        <v>95</v>
      </c>
      <c r="G1" s="183" t="s">
        <v>97</v>
      </c>
      <c r="H1" s="183" t="s">
        <v>98</v>
      </c>
      <c r="I1" s="156" t="s">
        <v>99</v>
      </c>
      <c r="J1" s="156" t="s">
        <v>100</v>
      </c>
      <c r="K1" s="156" t="s">
        <v>101</v>
      </c>
      <c r="L1" s="183" t="s">
        <v>102</v>
      </c>
      <c r="M1" s="186" t="s">
        <v>116</v>
      </c>
      <c r="N1" s="186" t="s">
        <v>138</v>
      </c>
      <c r="O1" s="183" t="s">
        <v>160</v>
      </c>
      <c r="P1" s="185" t="s">
        <v>177</v>
      </c>
      <c r="Q1" s="185" t="s">
        <v>178</v>
      </c>
      <c r="R1" s="185" t="s">
        <v>179</v>
      </c>
      <c r="S1" s="184" t="s">
        <v>180</v>
      </c>
      <c r="T1" s="184" t="s">
        <v>181</v>
      </c>
      <c r="U1" s="185" t="s">
        <v>182</v>
      </c>
      <c r="V1" s="184" t="s">
        <v>183</v>
      </c>
      <c r="W1" s="184" t="s">
        <v>184</v>
      </c>
      <c r="X1" s="185" t="s">
        <v>185</v>
      </c>
      <c r="Y1" s="185" t="s">
        <v>186</v>
      </c>
      <c r="Z1" s="184" t="s">
        <v>187</v>
      </c>
      <c r="AA1" s="185" t="s">
        <v>188</v>
      </c>
      <c r="AB1" s="185" t="s">
        <v>189</v>
      </c>
      <c r="AC1" s="192" t="s">
        <v>190</v>
      </c>
      <c r="AD1" s="191" t="s">
        <v>191</v>
      </c>
      <c r="AE1" s="192" t="s">
        <v>192</v>
      </c>
      <c r="AF1" s="192" t="s">
        <v>193</v>
      </c>
      <c r="AG1" s="185" t="s">
        <v>194</v>
      </c>
      <c r="AH1" s="184" t="s">
        <v>195</v>
      </c>
      <c r="AI1" s="184" t="s">
        <v>196</v>
      </c>
      <c r="AJ1" s="185" t="s">
        <v>197</v>
      </c>
      <c r="AK1" s="192" t="s">
        <v>198</v>
      </c>
      <c r="AL1" s="185" t="s">
        <v>199</v>
      </c>
      <c r="AM1" s="185" t="s">
        <v>200</v>
      </c>
      <c r="AN1" s="185" t="s">
        <v>201</v>
      </c>
      <c r="AO1" s="185" t="s">
        <v>202</v>
      </c>
      <c r="AP1" s="184" t="s">
        <v>203</v>
      </c>
      <c r="AQ1" s="185" t="s">
        <v>204</v>
      </c>
      <c r="AR1" s="185" t="s">
        <v>205</v>
      </c>
      <c r="AS1" s="184" t="s">
        <v>206</v>
      </c>
      <c r="AT1" s="185" t="s">
        <v>207</v>
      </c>
      <c r="AU1" s="185" t="s">
        <v>208</v>
      </c>
      <c r="AV1" s="185" t="s">
        <v>209</v>
      </c>
      <c r="AW1" s="185" t="s">
        <v>210</v>
      </c>
      <c r="AX1" s="185" t="s">
        <v>211</v>
      </c>
      <c r="AY1" s="185" t="s">
        <v>212</v>
      </c>
      <c r="AZ1" s="185" t="s">
        <v>213</v>
      </c>
      <c r="BA1" s="185" t="s">
        <v>214</v>
      </c>
      <c r="BB1" s="185" t="s">
        <v>215</v>
      </c>
      <c r="BC1" s="184" t="s">
        <v>216</v>
      </c>
      <c r="BD1" s="185" t="s">
        <v>217</v>
      </c>
      <c r="BE1" s="185" t="s">
        <v>218</v>
      </c>
      <c r="BF1" s="185" t="s">
        <v>219</v>
      </c>
      <c r="BG1" s="185" t="s">
        <v>220</v>
      </c>
      <c r="BH1" s="185" t="s">
        <v>221</v>
      </c>
      <c r="BI1" s="184" t="s">
        <v>222</v>
      </c>
      <c r="BJ1" s="184" t="s">
        <v>223</v>
      </c>
      <c r="BK1" s="185" t="s">
        <v>224</v>
      </c>
      <c r="BL1" s="185" t="s">
        <v>225</v>
      </c>
      <c r="BM1" s="184" t="s">
        <v>226</v>
      </c>
      <c r="BN1" s="185" t="s">
        <v>227</v>
      </c>
      <c r="BO1" s="184" t="s">
        <v>228</v>
      </c>
      <c r="BP1" s="185" t="s">
        <v>229</v>
      </c>
      <c r="BQ1" s="185" t="s">
        <v>230</v>
      </c>
      <c r="BR1" s="185" t="s">
        <v>231</v>
      </c>
      <c r="BS1" s="183" t="s">
        <v>232</v>
      </c>
      <c r="BT1" s="183" t="s">
        <v>233</v>
      </c>
      <c r="BU1" s="156" t="s">
        <v>234</v>
      </c>
      <c r="BV1" s="183" t="s">
        <v>1</v>
      </c>
      <c r="BW1" s="183" t="s">
        <v>235</v>
      </c>
      <c r="BX1" s="183" t="s">
        <v>236</v>
      </c>
      <c r="BY1" s="156" t="s">
        <v>11</v>
      </c>
      <c r="BZ1" s="183" t="s">
        <v>237</v>
      </c>
      <c r="CA1" s="183" t="s">
        <v>238</v>
      </c>
      <c r="CB1" s="184" t="s">
        <v>239</v>
      </c>
      <c r="CC1" s="185" t="s">
        <v>240</v>
      </c>
      <c r="CD1" s="185" t="s">
        <v>241</v>
      </c>
      <c r="CE1" s="185" t="s">
        <v>242</v>
      </c>
      <c r="CF1" s="183" t="s">
        <v>243</v>
      </c>
      <c r="CG1" s="185" t="s">
        <v>245</v>
      </c>
      <c r="CH1" s="183" t="s">
        <v>247</v>
      </c>
      <c r="CI1" s="184" t="s">
        <v>248</v>
      </c>
      <c r="CJ1" s="185" t="s">
        <v>249</v>
      </c>
      <c r="CK1" s="184" t="s">
        <v>250</v>
      </c>
      <c r="CL1" s="184" t="s">
        <v>251</v>
      </c>
      <c r="CM1" s="185" t="s">
        <v>0</v>
      </c>
      <c r="CN1" s="185" t="s">
        <v>5</v>
      </c>
      <c r="CO1" s="185" t="s">
        <v>252</v>
      </c>
      <c r="CP1" s="184" t="s">
        <v>253</v>
      </c>
      <c r="CQ1" s="185" t="s">
        <v>254</v>
      </c>
      <c r="CR1" s="183" t="s">
        <v>256</v>
      </c>
      <c r="CS1" s="185" t="s">
        <v>4</v>
      </c>
      <c r="CT1" s="183" t="s">
        <v>258</v>
      </c>
      <c r="CU1" s="183" t="s">
        <v>355</v>
      </c>
      <c r="CV1" s="183" t="s">
        <v>706</v>
      </c>
      <c r="CW1" s="185" t="s">
        <v>657</v>
      </c>
      <c r="CX1" s="183" t="s">
        <v>707</v>
      </c>
      <c r="CY1" s="183" t="s">
        <v>708</v>
      </c>
      <c r="CZ1" s="183" t="s">
        <v>709</v>
      </c>
      <c r="DA1" s="183" t="s">
        <v>710</v>
      </c>
      <c r="DB1" s="183" t="s">
        <v>738</v>
      </c>
      <c r="DC1" s="183" t="s">
        <v>711</v>
      </c>
      <c r="DD1" s="183" t="s">
        <v>712</v>
      </c>
      <c r="DE1" s="183" t="s">
        <v>713</v>
      </c>
      <c r="DF1" s="183" t="s">
        <v>739</v>
      </c>
      <c r="DG1" s="183" t="s">
        <v>714</v>
      </c>
      <c r="DH1" s="183" t="s">
        <v>715</v>
      </c>
      <c r="DI1" s="183" t="s">
        <v>716</v>
      </c>
      <c r="DJ1" s="183" t="s">
        <v>717</v>
      </c>
      <c r="DK1" s="183" t="s">
        <v>740</v>
      </c>
      <c r="DL1" s="183" t="s">
        <v>741</v>
      </c>
      <c r="DM1" s="183" t="s">
        <v>742</v>
      </c>
      <c r="DN1" s="183" t="s">
        <v>718</v>
      </c>
      <c r="DO1" s="183" t="s">
        <v>743</v>
      </c>
      <c r="DP1" s="183" t="s">
        <v>719</v>
      </c>
      <c r="DQ1" s="183" t="s">
        <v>720</v>
      </c>
      <c r="DR1" s="183" t="s">
        <v>744</v>
      </c>
      <c r="DS1" s="183" t="s">
        <v>721</v>
      </c>
      <c r="DT1" s="183" t="s">
        <v>722</v>
      </c>
      <c r="DU1" s="183" t="s">
        <v>723</v>
      </c>
      <c r="DV1" s="183" t="s">
        <v>724</v>
      </c>
      <c r="DW1" s="183" t="s">
        <v>725</v>
      </c>
      <c r="DX1" s="183" t="s">
        <v>745</v>
      </c>
      <c r="DY1" s="183" t="s">
        <v>726</v>
      </c>
      <c r="DZ1" s="183" t="s">
        <v>746</v>
      </c>
      <c r="EA1" s="183" t="s">
        <v>727</v>
      </c>
      <c r="EB1" s="183" t="s">
        <v>728</v>
      </c>
      <c r="EC1" s="183" t="s">
        <v>729</v>
      </c>
      <c r="ED1" s="185" t="s">
        <v>658</v>
      </c>
      <c r="EE1" s="183" t="s">
        <v>730</v>
      </c>
      <c r="EF1" s="183" t="s">
        <v>747</v>
      </c>
      <c r="EG1" s="183" t="s">
        <v>731</v>
      </c>
      <c r="EH1" s="183" t="s">
        <v>748</v>
      </c>
      <c r="EI1" s="183" t="s">
        <v>749</v>
      </c>
      <c r="EJ1" s="185" t="s">
        <v>659</v>
      </c>
      <c r="EK1" s="185" t="s">
        <v>660</v>
      </c>
      <c r="EL1" s="185" t="s">
        <v>661</v>
      </c>
      <c r="EM1" s="184" t="s">
        <v>662</v>
      </c>
      <c r="EN1" s="183" t="s">
        <v>732</v>
      </c>
      <c r="EO1" s="183" t="s">
        <v>733</v>
      </c>
      <c r="EP1" s="185" t="s">
        <v>663</v>
      </c>
      <c r="EQ1" s="183" t="s">
        <v>734</v>
      </c>
      <c r="ER1" s="183" t="s">
        <v>735</v>
      </c>
      <c r="ES1" s="185" t="s">
        <v>664</v>
      </c>
      <c r="ET1" s="185" t="s">
        <v>665</v>
      </c>
      <c r="EU1" s="183" t="s">
        <v>736</v>
      </c>
      <c r="EV1" s="185" t="s">
        <v>666</v>
      </c>
      <c r="EW1" s="185" t="s">
        <v>667</v>
      </c>
      <c r="EX1" s="185" t="s">
        <v>668</v>
      </c>
      <c r="EY1" s="184" t="s">
        <v>669</v>
      </c>
      <c r="EZ1" s="183" t="s">
        <v>750</v>
      </c>
      <c r="FA1" s="183" t="s">
        <v>737</v>
      </c>
      <c r="FB1" s="185" t="s">
        <v>670</v>
      </c>
      <c r="FC1" s="185" t="s">
        <v>671</v>
      </c>
      <c r="FD1" s="185" t="s">
        <v>672</v>
      </c>
      <c r="FE1" s="185" t="s">
        <v>673</v>
      </c>
      <c r="FF1" s="185" t="s">
        <v>674</v>
      </c>
      <c r="FG1" s="185" t="s">
        <v>675</v>
      </c>
      <c r="FH1" s="185" t="s">
        <v>676</v>
      </c>
      <c r="FI1" s="185" t="s">
        <v>677</v>
      </c>
      <c r="FJ1" s="185" t="s">
        <v>678</v>
      </c>
      <c r="FK1" s="185" t="s">
        <v>679</v>
      </c>
      <c r="FL1" s="185" t="s">
        <v>680</v>
      </c>
      <c r="FM1" s="185" t="s">
        <v>681</v>
      </c>
      <c r="FN1" s="184" t="s">
        <v>682</v>
      </c>
      <c r="FO1" s="185" t="s">
        <v>683</v>
      </c>
      <c r="FP1" s="185" t="s">
        <v>684</v>
      </c>
      <c r="FQ1" s="185" t="s">
        <v>685</v>
      </c>
      <c r="FR1" s="185" t="s">
        <v>686</v>
      </c>
      <c r="FS1" s="185" t="s">
        <v>687</v>
      </c>
      <c r="FT1" s="185" t="s">
        <v>688</v>
      </c>
      <c r="FU1" s="185" t="s">
        <v>689</v>
      </c>
      <c r="FV1" s="185" t="s">
        <v>690</v>
      </c>
      <c r="FW1" s="185" t="s">
        <v>691</v>
      </c>
      <c r="FX1" s="185" t="s">
        <v>692</v>
      </c>
      <c r="FY1" s="185" t="s">
        <v>693</v>
      </c>
      <c r="FZ1" s="185" t="s">
        <v>694</v>
      </c>
      <c r="GA1" s="185" t="s">
        <v>695</v>
      </c>
      <c r="GB1" s="185" t="s">
        <v>696</v>
      </c>
      <c r="GC1" s="185" t="s">
        <v>697</v>
      </c>
      <c r="GD1" s="185" t="s">
        <v>698</v>
      </c>
      <c r="GE1" s="185" t="s">
        <v>699</v>
      </c>
      <c r="GF1" s="185" t="s">
        <v>700</v>
      </c>
      <c r="GG1" s="184" t="s">
        <v>701</v>
      </c>
      <c r="GH1" s="185" t="s">
        <v>702</v>
      </c>
      <c r="GI1" s="185" t="s">
        <v>703</v>
      </c>
      <c r="GJ1" s="185" t="s">
        <v>704</v>
      </c>
      <c r="GK1" s="185" t="s">
        <v>705</v>
      </c>
      <c r="GX1"/>
    </row>
    <row r="2" spans="1:206" x14ac:dyDescent="0.25">
      <c r="A2" t="s">
        <v>265</v>
      </c>
      <c r="B2" t="s">
        <v>597</v>
      </c>
      <c r="C2">
        <v>-2.74330464694637</v>
      </c>
      <c r="D2">
        <v>-2.30516867448189</v>
      </c>
      <c r="E2">
        <v>-1.30586643840843</v>
      </c>
      <c r="F2">
        <v>-1.0545504996360699</v>
      </c>
      <c r="G2">
        <v>0.118622430884966</v>
      </c>
      <c r="H2">
        <v>-0.77767505002543003</v>
      </c>
      <c r="I2">
        <v>-2.3159810485662602</v>
      </c>
      <c r="J2">
        <v>-2.6604259282412102</v>
      </c>
      <c r="K2">
        <v>-3.0395225962191401</v>
      </c>
      <c r="L2">
        <v>-0.43275860789579901</v>
      </c>
      <c r="M2">
        <v>-3.6350060573755099</v>
      </c>
      <c r="N2">
        <v>-3.6408071752036002</v>
      </c>
      <c r="O2">
        <v>-2.2539690430987802</v>
      </c>
      <c r="P2">
        <v>0.42758089198281202</v>
      </c>
      <c r="Q2">
        <v>-4.1231998546879298E-2</v>
      </c>
      <c r="R2">
        <v>0.56400116570659298</v>
      </c>
      <c r="S2">
        <v>-0.57613759188851599</v>
      </c>
      <c r="T2">
        <v>0.35418232805285998</v>
      </c>
      <c r="U2">
        <v>0.665255162388383</v>
      </c>
      <c r="V2">
        <v>0.68667776467862096</v>
      </c>
      <c r="W2">
        <v>0.657871967453314</v>
      </c>
      <c r="X2">
        <v>0.34949856389497203</v>
      </c>
      <c r="Y2">
        <v>0.61777176178174598</v>
      </c>
      <c r="Z2">
        <v>0.68293218700889602</v>
      </c>
      <c r="AA2">
        <v>-0.96553507763872903</v>
      </c>
      <c r="AB2">
        <v>0.67534421938584499</v>
      </c>
      <c r="AC2">
        <v>0.87475966836635799</v>
      </c>
      <c r="AD2">
        <v>0.56648693223424795</v>
      </c>
      <c r="AE2">
        <v>0.92209978798473802</v>
      </c>
      <c r="AF2">
        <v>0.96201186808279304</v>
      </c>
      <c r="AG2">
        <v>0.83859441974176696</v>
      </c>
      <c r="AH2">
        <v>-0.15556551145988201</v>
      </c>
      <c r="AI2">
        <v>0.64818457591148904</v>
      </c>
      <c r="AJ2">
        <v>-0.293581314553226</v>
      </c>
      <c r="AK2">
        <v>0.398244846614909</v>
      </c>
      <c r="AL2">
        <v>0.75876715731831301</v>
      </c>
      <c r="AM2">
        <v>0.89487697726612803</v>
      </c>
      <c r="AN2">
        <v>0.98503009555437504</v>
      </c>
      <c r="AO2">
        <v>0.91532726853723401</v>
      </c>
      <c r="AP2">
        <v>9.2136638546791397E-2</v>
      </c>
      <c r="AQ2">
        <v>0.434234515444195</v>
      </c>
      <c r="AR2">
        <v>0.82726802883415995</v>
      </c>
      <c r="AS2">
        <v>0.43435433770514498</v>
      </c>
      <c r="AT2">
        <v>-0.881632173929632</v>
      </c>
      <c r="AU2">
        <v>-0.17833686233291801</v>
      </c>
      <c r="AV2">
        <v>1.1904212451683001</v>
      </c>
      <c r="AW2">
        <v>-0.54980699613200601</v>
      </c>
      <c r="AX2">
        <v>0.46481928008871498</v>
      </c>
      <c r="AY2">
        <v>-0.42030995759723999</v>
      </c>
      <c r="AZ2">
        <v>0.70314642382884895</v>
      </c>
      <c r="BA2">
        <v>-0.31969983115530198</v>
      </c>
      <c r="BB2">
        <v>0.77977305407419395</v>
      </c>
      <c r="BC2">
        <v>0.60989805477578796</v>
      </c>
      <c r="BD2">
        <v>0.40623408143281597</v>
      </c>
      <c r="BE2">
        <v>0.82743352836246598</v>
      </c>
      <c r="BF2">
        <v>9.4488079511857601E-2</v>
      </c>
      <c r="BG2">
        <v>0.56105496821680001</v>
      </c>
      <c r="BH2">
        <v>0.57152297599555901</v>
      </c>
      <c r="BI2">
        <v>0.330295764963629</v>
      </c>
      <c r="BJ2">
        <v>1.0125439385133601</v>
      </c>
      <c r="BK2">
        <v>0.88378533835839002</v>
      </c>
      <c r="BL2">
        <v>0.70984652928682501</v>
      </c>
      <c r="BM2">
        <v>0.57669002628386001</v>
      </c>
      <c r="BN2">
        <v>0.63434840058026998</v>
      </c>
      <c r="BO2">
        <v>-1.3366896040171601</v>
      </c>
      <c r="BP2">
        <v>0.56878791620534397</v>
      </c>
      <c r="BQ2">
        <v>0.94401396172546603</v>
      </c>
      <c r="BR2">
        <v>0.91711651258858196</v>
      </c>
      <c r="BS2">
        <v>6.7530592749008703E-2</v>
      </c>
      <c r="BT2">
        <v>-0.32987014884461902</v>
      </c>
      <c r="BU2">
        <v>-0.93607517789078798</v>
      </c>
      <c r="BV2">
        <v>-0.73608167077188902</v>
      </c>
      <c r="BW2">
        <v>-0.89701648976478499</v>
      </c>
      <c r="BX2">
        <v>-0.872862881691013</v>
      </c>
      <c r="BY2">
        <v>-1.0856109066519399</v>
      </c>
      <c r="BZ2">
        <v>-0.10161518903047</v>
      </c>
      <c r="CA2">
        <v>0.162446950171275</v>
      </c>
      <c r="CB2">
        <v>6.1186324203310001E-2</v>
      </c>
      <c r="CC2">
        <v>0.35737197953656402</v>
      </c>
      <c r="CD2">
        <v>0.125871947537814</v>
      </c>
      <c r="CE2">
        <v>8.3657375142914395E-2</v>
      </c>
      <c r="CF2">
        <v>1.0471685136383799</v>
      </c>
      <c r="CG2">
        <v>0.54222785393642903</v>
      </c>
      <c r="CH2">
        <v>0.13213310572751299</v>
      </c>
      <c r="CI2">
        <v>0.59027472528779901</v>
      </c>
      <c r="CJ2">
        <v>0.49922521662864899</v>
      </c>
      <c r="CK2">
        <v>0.383783473129438</v>
      </c>
      <c r="CL2">
        <v>0.27331652039168602</v>
      </c>
      <c r="CM2">
        <v>-0.12828992260533401</v>
      </c>
      <c r="CN2">
        <v>0.15900826074959201</v>
      </c>
      <c r="CO2">
        <v>0.26583828605974003</v>
      </c>
      <c r="CP2">
        <v>-0.291558771917939</v>
      </c>
      <c r="CQ2">
        <v>0.51774977395115795</v>
      </c>
      <c r="CR2">
        <v>0.42176705082434401</v>
      </c>
      <c r="CS2">
        <v>-0.15996919428634099</v>
      </c>
      <c r="CT2">
        <v>0.29645114718568399</v>
      </c>
      <c r="CU2">
        <v>-6.0838633521616302E-2</v>
      </c>
      <c r="CV2">
        <v>0.19055290568173</v>
      </c>
      <c r="CW2">
        <v>0.180957683562119</v>
      </c>
      <c r="CX2">
        <v>0.108147733564016</v>
      </c>
      <c r="CY2">
        <v>0.37152089444750802</v>
      </c>
      <c r="CZ2">
        <v>6.03920850611043E-2</v>
      </c>
      <c r="DA2">
        <v>-2.13569532635134E-2</v>
      </c>
      <c r="DB2">
        <v>0.23181805931716601</v>
      </c>
      <c r="DC2">
        <v>0.22729940762443401</v>
      </c>
      <c r="DD2">
        <v>0.30071054679220999</v>
      </c>
      <c r="DE2">
        <v>-0.100254447310363</v>
      </c>
      <c r="DF2">
        <v>0.39924967377163401</v>
      </c>
      <c r="DG2">
        <v>-0.34366622685984199</v>
      </c>
      <c r="DH2">
        <v>-0.267153415920791</v>
      </c>
      <c r="DI2">
        <v>-0.29092593188365101</v>
      </c>
      <c r="DJ2">
        <v>1.20287267626714E-2</v>
      </c>
      <c r="DK2">
        <v>-0.59210152166550101</v>
      </c>
      <c r="DL2">
        <v>-0.231382293557514</v>
      </c>
      <c r="DM2">
        <v>-0.38633882861266</v>
      </c>
      <c r="DN2">
        <v>0.36691206535485299</v>
      </c>
      <c r="DO2">
        <v>-0.40128707792338197</v>
      </c>
      <c r="DP2">
        <v>-0.41567542976676503</v>
      </c>
      <c r="DQ2">
        <v>-0.229583408164657</v>
      </c>
      <c r="DR2">
        <v>0.59781508093340696</v>
      </c>
      <c r="DS2">
        <v>7.6535595380371899E-2</v>
      </c>
      <c r="DT2">
        <v>-0.77097323598815104</v>
      </c>
      <c r="DU2">
        <v>0.26345930895261799</v>
      </c>
      <c r="DV2">
        <v>0.12988919189471301</v>
      </c>
      <c r="DW2">
        <v>0.17584172476479901</v>
      </c>
      <c r="DX2">
        <v>-0.44671713971001298</v>
      </c>
      <c r="DY2">
        <v>-0.51140800245810303</v>
      </c>
      <c r="DZ2">
        <v>1.0741644190967699E-3</v>
      </c>
      <c r="EA2">
        <v>0.23272553105262</v>
      </c>
      <c r="EB2">
        <v>-0.30107629568133798</v>
      </c>
      <c r="EC2">
        <v>-0.18147328870061499</v>
      </c>
      <c r="ED2">
        <v>-0.32957167027439799</v>
      </c>
      <c r="EE2">
        <v>0.321743132639986</v>
      </c>
      <c r="EF2">
        <v>8.9176283475692397E-2</v>
      </c>
      <c r="EG2">
        <v>-0.17343996717596599</v>
      </c>
      <c r="EH2">
        <v>0.12287689200555101</v>
      </c>
      <c r="EI2">
        <v>0.27992741886591499</v>
      </c>
      <c r="EJ2">
        <v>7.4933790970651004E-2</v>
      </c>
      <c r="EK2">
        <v>0.220180268659181</v>
      </c>
      <c r="EL2">
        <v>-8.5870640726099998E-3</v>
      </c>
      <c r="EM2">
        <v>0.482873649713778</v>
      </c>
      <c r="EN2">
        <v>0.45552260596871902</v>
      </c>
      <c r="EO2">
        <v>-0.42438633301864598</v>
      </c>
      <c r="EP2">
        <v>0.22310276535749901</v>
      </c>
      <c r="EQ2">
        <v>-5.9016081140737503E-2</v>
      </c>
      <c r="ER2">
        <v>0.45289081965571398</v>
      </c>
      <c r="ES2">
        <v>-0.41943097243945499</v>
      </c>
      <c r="ET2">
        <v>0.14347008580677001</v>
      </c>
      <c r="EU2">
        <v>0.51765586489681803</v>
      </c>
      <c r="EV2">
        <v>-0.58251318638041905</v>
      </c>
      <c r="EW2">
        <v>0.28985664479650097</v>
      </c>
      <c r="EX2">
        <v>0.104400280435842</v>
      </c>
      <c r="EY2">
        <v>1.8774763542204299E-2</v>
      </c>
      <c r="EZ2">
        <v>-0.28414145121384699</v>
      </c>
      <c r="FA2">
        <v>0.25487032803877802</v>
      </c>
      <c r="FB2">
        <v>0.46434970069564602</v>
      </c>
      <c r="FC2">
        <v>0.59760467789564997</v>
      </c>
      <c r="FD2">
        <v>0.35977203603256702</v>
      </c>
      <c r="FE2">
        <v>0.19685526420862301</v>
      </c>
      <c r="FF2">
        <v>0.51929236200437801</v>
      </c>
      <c r="FG2">
        <v>0.75241547994017599</v>
      </c>
      <c r="FH2">
        <v>0.25617476445693699</v>
      </c>
      <c r="FI2">
        <v>0.30513216916662</v>
      </c>
      <c r="FJ2">
        <v>0.29492262308189698</v>
      </c>
      <c r="FK2">
        <v>0.26306868088893498</v>
      </c>
      <c r="FL2">
        <v>0.52063127248304897</v>
      </c>
      <c r="FM2">
        <v>-0.289358016410178</v>
      </c>
      <c r="FN2">
        <v>0.48784130321595198</v>
      </c>
      <c r="FO2">
        <v>-3.8889745540910403E-2</v>
      </c>
      <c r="FP2">
        <v>0.376542183287638</v>
      </c>
      <c r="FQ2">
        <v>0.359681708042142</v>
      </c>
      <c r="FR2">
        <v>0.40043615242707098</v>
      </c>
      <c r="FS2">
        <v>0.568365666005335</v>
      </c>
      <c r="FT2">
        <v>0.70070930716323598</v>
      </c>
      <c r="FU2">
        <v>0.46309441794478601</v>
      </c>
      <c r="FV2">
        <v>0.26596075405005798</v>
      </c>
      <c r="FW2">
        <v>0.58109316439115299</v>
      </c>
      <c r="FX2">
        <v>0.47956044680044702</v>
      </c>
      <c r="FY2">
        <v>7.0367439042222105E-2</v>
      </c>
      <c r="FZ2">
        <v>-2.4658845444830699E-2</v>
      </c>
      <c r="GA2">
        <v>0.26821173231761702</v>
      </c>
      <c r="GB2">
        <v>0.523643066558099</v>
      </c>
      <c r="GC2">
        <v>-1.09030236431905E-2</v>
      </c>
      <c r="GD2">
        <v>0.49780508911298899</v>
      </c>
      <c r="GE2">
        <v>-0.33325274742920402</v>
      </c>
      <c r="GF2">
        <v>0.39782288759856499</v>
      </c>
      <c r="GG2">
        <v>0.30011469138935898</v>
      </c>
      <c r="GH2">
        <v>0.36869148467268498</v>
      </c>
      <c r="GI2">
        <v>0.33175539106825302</v>
      </c>
      <c r="GJ2">
        <v>0.29862018920043998</v>
      </c>
      <c r="GK2">
        <v>0.41454563491770902</v>
      </c>
    </row>
    <row r="3" spans="1:206" x14ac:dyDescent="0.25">
      <c r="A3" s="2" t="s">
        <v>265</v>
      </c>
      <c r="B3" s="2" t="s">
        <v>778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0.108380290839898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6.3430452216666801E-3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</row>
    <row r="4" spans="1:206" x14ac:dyDescent="0.25">
      <c r="A4" t="s">
        <v>265</v>
      </c>
      <c r="B4" t="s">
        <v>585</v>
      </c>
      <c r="C4">
        <v>0</v>
      </c>
      <c r="D4">
        <v>0</v>
      </c>
      <c r="E4">
        <v>0.148785365282602</v>
      </c>
      <c r="F4">
        <v>0.21818100593204101</v>
      </c>
      <c r="G4">
        <v>4.9575455585375301E-2</v>
      </c>
      <c r="H4">
        <v>0</v>
      </c>
      <c r="I4">
        <v>1.3002354199496</v>
      </c>
      <c r="J4">
        <v>0.67406805729193797</v>
      </c>
      <c r="K4">
        <v>0.66717291064950202</v>
      </c>
      <c r="L4">
        <v>5.9002382195531299E-2</v>
      </c>
      <c r="M4">
        <v>0</v>
      </c>
      <c r="N4">
        <v>0</v>
      </c>
      <c r="O4">
        <v>0</v>
      </c>
      <c r="P4">
        <v>0</v>
      </c>
      <c r="Q4">
        <v>0</v>
      </c>
      <c r="R4">
        <v>0.172901993767405</v>
      </c>
      <c r="S4">
        <v>0.23224643469745301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5.2281454364666198E-2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0.126392016834248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0.29906746893145097</v>
      </c>
      <c r="BT4">
        <v>0.41617345500532199</v>
      </c>
      <c r="BU4">
        <v>0.59291210611602096</v>
      </c>
      <c r="BV4">
        <v>0.49149755648659499</v>
      </c>
      <c r="BW4">
        <v>0.41795938582431102</v>
      </c>
      <c r="BX4">
        <v>0.31110244910173102</v>
      </c>
      <c r="BY4">
        <v>0.57370305449502101</v>
      </c>
      <c r="BZ4">
        <v>0.161203456591443</v>
      </c>
      <c r="CA4">
        <v>0.187026273239533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0.121038053471623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0.14744602855705699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0.12577272043276999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9.6134514194398904E-2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1.5541176929860401E-2</v>
      </c>
      <c r="GI4">
        <v>1.7200256286971902E-2</v>
      </c>
      <c r="GJ4">
        <v>0</v>
      </c>
      <c r="GK4">
        <v>0</v>
      </c>
    </row>
    <row r="5" spans="1:206" x14ac:dyDescent="0.25">
      <c r="A5" t="s">
        <v>265</v>
      </c>
      <c r="B5" t="s">
        <v>772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2.12299919763239E-2</v>
      </c>
      <c r="L5">
        <v>0</v>
      </c>
      <c r="M5">
        <v>0</v>
      </c>
      <c r="N5">
        <v>0</v>
      </c>
      <c r="O5">
        <v>0</v>
      </c>
      <c r="P5">
        <v>9.8209962856562194E-2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2.9800476020777001E-2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0.107456739476538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1.10234094327239E-2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1.33877998882381E-2</v>
      </c>
      <c r="BZ5">
        <v>5.13145536178004E-3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1.7200256286971902E-2</v>
      </c>
      <c r="GJ5">
        <v>0</v>
      </c>
      <c r="GK5">
        <v>0</v>
      </c>
    </row>
    <row r="6" spans="1:206" x14ac:dyDescent="0.25">
      <c r="A6" t="s">
        <v>265</v>
      </c>
      <c r="B6" t="s">
        <v>638</v>
      </c>
      <c r="C6">
        <v>-2.1341448044436699</v>
      </c>
      <c r="D6">
        <v>-1.81343509599344</v>
      </c>
      <c r="E6">
        <v>-1.03273495664079</v>
      </c>
      <c r="F6">
        <v>-1.02725042595987</v>
      </c>
      <c r="G6">
        <v>-0.20297869165910601</v>
      </c>
      <c r="H6">
        <v>-0.20738034444259501</v>
      </c>
      <c r="I6">
        <v>-2.29708077639066</v>
      </c>
      <c r="J6">
        <v>-2.1771658157233298</v>
      </c>
      <c r="K6">
        <v>-2.0860272152754198</v>
      </c>
      <c r="L6">
        <v>-0.25538465899753798</v>
      </c>
      <c r="M6">
        <v>-2.5766445749314801</v>
      </c>
      <c r="N6">
        <v>-2.6318614519213801</v>
      </c>
      <c r="O6">
        <v>-1.14973248987232</v>
      </c>
      <c r="P6">
        <v>-0.40247149552274097</v>
      </c>
      <c r="Q6">
        <v>6.74893061246363E-2</v>
      </c>
      <c r="R6">
        <v>-0.235348680833558</v>
      </c>
      <c r="S6">
        <v>-0.325923428284079</v>
      </c>
      <c r="T6">
        <v>0.16647439926355201</v>
      </c>
      <c r="U6">
        <v>1.2037966286394</v>
      </c>
      <c r="V6">
        <v>0.80880358105299499</v>
      </c>
      <c r="W6">
        <v>0.52005847458799204</v>
      </c>
      <c r="X6">
        <v>0.14507386373940201</v>
      </c>
      <c r="Y6">
        <v>0.419602300106937</v>
      </c>
      <c r="Z6">
        <v>1.27698115345765E-2</v>
      </c>
      <c r="AA6">
        <v>-0.41706479050261802</v>
      </c>
      <c r="AB6">
        <v>0.89102046466437301</v>
      </c>
      <c r="AC6">
        <v>1.4842084150763</v>
      </c>
      <c r="AD6">
        <v>0.82378045467512795</v>
      </c>
      <c r="AE6">
        <v>1.40084103585405</v>
      </c>
      <c r="AF6">
        <v>0.93238416208244701</v>
      </c>
      <c r="AG6">
        <v>0.86301998096589805</v>
      </c>
      <c r="AH6">
        <v>0.128800678234824</v>
      </c>
      <c r="AI6">
        <v>1.106079241165</v>
      </c>
      <c r="AJ6">
        <v>1.02254282892333</v>
      </c>
      <c r="AK6">
        <v>0.17947198848785501</v>
      </c>
      <c r="AL6">
        <v>0.39985265906923101</v>
      </c>
      <c r="AM6">
        <v>0.83927019492280197</v>
      </c>
      <c r="AN6">
        <v>0.13065633361749901</v>
      </c>
      <c r="AO6">
        <v>1.5673687672130401</v>
      </c>
      <c r="AP6">
        <v>0.82533450651083495</v>
      </c>
      <c r="AQ6">
        <v>0.467747507826963</v>
      </c>
      <c r="AR6">
        <v>0.74123757773556098</v>
      </c>
      <c r="AS6">
        <v>-0.300698587641545</v>
      </c>
      <c r="AT6">
        <v>0.40718929032897899</v>
      </c>
      <c r="AU6">
        <v>0.46297269315856898</v>
      </c>
      <c r="AV6">
        <v>-0.86089174252661405</v>
      </c>
      <c r="AW6">
        <v>-1.5340506758129299E-2</v>
      </c>
      <c r="AX6">
        <v>0.229057974483629</v>
      </c>
      <c r="AY6">
        <v>0.44137921588203699</v>
      </c>
      <c r="AZ6">
        <v>-0.123131762403917</v>
      </c>
      <c r="BA6">
        <v>1.0173721859059699</v>
      </c>
      <c r="BB6">
        <v>0.37940802444717098</v>
      </c>
      <c r="BC6">
        <v>-0.26190288357449198</v>
      </c>
      <c r="BD6">
        <v>1.4405664475169599</v>
      </c>
      <c r="BE6">
        <v>0.351211051083197</v>
      </c>
      <c r="BF6">
        <v>0.35932630939647903</v>
      </c>
      <c r="BG6">
        <v>0.67293218602439098</v>
      </c>
      <c r="BH6">
        <v>1.0552390919754</v>
      </c>
      <c r="BI6">
        <v>9.7176036343560507E-2</v>
      </c>
      <c r="BJ6">
        <v>0.21912117427049099</v>
      </c>
      <c r="BK6">
        <v>0.37585751904044901</v>
      </c>
      <c r="BL6">
        <v>0.95247933354119396</v>
      </c>
      <c r="BM6">
        <v>4.3224385518525699E-2</v>
      </c>
      <c r="BN6">
        <v>0.47425592109565901</v>
      </c>
      <c r="BO6">
        <v>1.40758690025539</v>
      </c>
      <c r="BP6">
        <v>1.17754868919505</v>
      </c>
      <c r="BQ6">
        <v>1.36735367822499</v>
      </c>
      <c r="BR6">
        <v>0.95902081825799101</v>
      </c>
      <c r="BS6">
        <v>0.36260670454570798</v>
      </c>
      <c r="BT6">
        <v>6.5981108756570706E-2</v>
      </c>
      <c r="BU6">
        <v>-0.80440155528164003</v>
      </c>
      <c r="BV6">
        <v>-0.314870592413174</v>
      </c>
      <c r="BW6">
        <v>-0.52459621497904196</v>
      </c>
      <c r="BX6">
        <v>-0.72858662589513901</v>
      </c>
      <c r="BY6">
        <v>-0.84744953146220603</v>
      </c>
      <c r="BZ6">
        <v>6.8097149911264098E-3</v>
      </c>
      <c r="CA6">
        <v>-3.0390647586265602E-3</v>
      </c>
      <c r="CB6">
        <v>0.170891350686669</v>
      </c>
      <c r="CC6">
        <v>8.0180487501658904E-2</v>
      </c>
      <c r="CD6">
        <v>0.372612981115644</v>
      </c>
      <c r="CE6">
        <v>-0.278311264678823</v>
      </c>
      <c r="CF6">
        <v>-0.37256622708980502</v>
      </c>
      <c r="CG6">
        <v>0.55888991305871005</v>
      </c>
      <c r="CH6">
        <v>-0.19799374060500599</v>
      </c>
      <c r="CI6">
        <v>0.315003863034998</v>
      </c>
      <c r="CJ6">
        <v>0.56680689370229098</v>
      </c>
      <c r="CK6">
        <v>0.29796084849829702</v>
      </c>
      <c r="CL6">
        <v>1.1820286806034299</v>
      </c>
      <c r="CM6">
        <v>0.72451194962478105</v>
      </c>
      <c r="CN6">
        <v>0.94779312085563205</v>
      </c>
      <c r="CO6">
        <v>0.16745468029986499</v>
      </c>
      <c r="CP6">
        <v>0.47565196080740901</v>
      </c>
      <c r="CQ6">
        <v>3.4860697412781298E-2</v>
      </c>
      <c r="CR6">
        <v>0.42728694840590598</v>
      </c>
      <c r="CS6">
        <v>4.2696538023498598E-2</v>
      </c>
      <c r="CT6">
        <v>1.2345646812039499</v>
      </c>
      <c r="CU6">
        <v>0.36852190615272201</v>
      </c>
      <c r="CV6">
        <v>0.98183746223369395</v>
      </c>
      <c r="CW6">
        <v>0.48298161870850298</v>
      </c>
      <c r="CX6">
        <v>0.604287717154674</v>
      </c>
      <c r="CY6">
        <v>0.23568267741628399</v>
      </c>
      <c r="CZ6">
        <v>0.53099324304201401</v>
      </c>
      <c r="DA6">
        <v>1.7322476462958598E-2</v>
      </c>
      <c r="DB6">
        <v>-0.40284098137116098</v>
      </c>
      <c r="DC6">
        <v>-3.9984343928762801E-2</v>
      </c>
      <c r="DD6">
        <v>-0.36993466178012102</v>
      </c>
      <c r="DE6">
        <v>-0.39259596315913298</v>
      </c>
      <c r="DF6">
        <v>0.170594184526592</v>
      </c>
      <c r="DG6">
        <v>-9.1813281182887493E-2</v>
      </c>
      <c r="DH6">
        <v>-0.24779299831535401</v>
      </c>
      <c r="DI6">
        <v>-1.53011034007642E-2</v>
      </c>
      <c r="DJ6">
        <v>-0.115032351136544</v>
      </c>
      <c r="DK6">
        <v>-0.52496777295845398</v>
      </c>
      <c r="DL6">
        <v>-0.20132320267221099</v>
      </c>
      <c r="DM6">
        <v>0.52755317203595298</v>
      </c>
      <c r="DN6">
        <v>-1.08634487238551</v>
      </c>
      <c r="DO6">
        <v>0.99168945154758303</v>
      </c>
      <c r="DP6">
        <v>-0.53341293555142999</v>
      </c>
      <c r="DQ6">
        <v>-3.3548974353070499E-2</v>
      </c>
      <c r="DR6">
        <v>-0.34112521509099297</v>
      </c>
      <c r="DS6">
        <v>-0.101078545113304</v>
      </c>
      <c r="DT6">
        <v>2.0617645955973301E-2</v>
      </c>
      <c r="DU6">
        <v>-0.17609767307662699</v>
      </c>
      <c r="DV6">
        <v>0.34416498931427297</v>
      </c>
      <c r="DW6">
        <v>0.37499657330707498</v>
      </c>
      <c r="DX6">
        <v>0.472077957253765</v>
      </c>
      <c r="DY6">
        <v>-5.4936956282090402E-2</v>
      </c>
      <c r="DZ6">
        <v>0.70460716934310297</v>
      </c>
      <c r="EA6">
        <v>0.10031574323667899</v>
      </c>
      <c r="EB6">
        <v>0.24790296653587901</v>
      </c>
      <c r="EC6">
        <v>0.239818771514891</v>
      </c>
      <c r="ED6">
        <v>1.0057402652168099</v>
      </c>
      <c r="EE6">
        <v>0.38888748813658902</v>
      </c>
      <c r="EF6">
        <v>0.99900713685884701</v>
      </c>
      <c r="EG6">
        <v>0.10907666568256701</v>
      </c>
      <c r="EH6">
        <v>-6.3622582688559998E-2</v>
      </c>
      <c r="EI6">
        <v>0.43266573306191403</v>
      </c>
      <c r="EJ6">
        <v>0.180958743171695</v>
      </c>
      <c r="EK6">
        <v>0.45712035337857299</v>
      </c>
      <c r="EL6">
        <v>-0.54701862690592695</v>
      </c>
      <c r="EM6">
        <v>2.8061174994416099E-2</v>
      </c>
      <c r="EN6">
        <v>9.5141214167077701E-2</v>
      </c>
      <c r="EO6">
        <v>8.0225639816103395E-2</v>
      </c>
      <c r="EP6">
        <v>0.311839022390896</v>
      </c>
      <c r="EQ6">
        <v>0.63456627661598997</v>
      </c>
      <c r="ER6">
        <v>0.31120378850217001</v>
      </c>
      <c r="ES6">
        <v>-0.10910383491992</v>
      </c>
      <c r="ET6">
        <v>5.4394711368160299E-2</v>
      </c>
      <c r="EU6">
        <v>0.80157677087519297</v>
      </c>
      <c r="EV6">
        <v>1.0504419947150501</v>
      </c>
      <c r="EW6">
        <v>4.1333854050331499E-2</v>
      </c>
      <c r="EX6">
        <v>0.14898127171830899</v>
      </c>
      <c r="EY6">
        <v>0.40820434329195299</v>
      </c>
      <c r="EZ6">
        <v>-0.306920644492433</v>
      </c>
      <c r="FA6">
        <v>0.57161858689350498</v>
      </c>
      <c r="FB6">
        <v>0.56451565114860602</v>
      </c>
      <c r="FC6">
        <v>4.5808808926257397E-2</v>
      </c>
      <c r="FD6">
        <v>1.0387516756717401</v>
      </c>
      <c r="FE6">
        <v>-0.16100966020809401</v>
      </c>
      <c r="FF6">
        <v>0.44120069916944099</v>
      </c>
      <c r="FG6">
        <v>0.85694759149020105</v>
      </c>
      <c r="FH6">
        <v>0.85802682146507903</v>
      </c>
      <c r="FI6">
        <v>0.13399526720611399</v>
      </c>
      <c r="FJ6">
        <v>0.38815671898370702</v>
      </c>
      <c r="FK6">
        <v>0.64239909218086899</v>
      </c>
      <c r="FL6">
        <v>-5.2648323067833E-2</v>
      </c>
      <c r="FM6">
        <v>-0.31586891097999298</v>
      </c>
      <c r="FN6">
        <v>-0.14482859611101201</v>
      </c>
      <c r="FO6">
        <v>-0.33259688376378899</v>
      </c>
      <c r="FP6">
        <v>0.61639276597565096</v>
      </c>
      <c r="FQ6">
        <v>-9.6446813398012601E-2</v>
      </c>
      <c r="FR6">
        <v>8.2262441071748404E-2</v>
      </c>
      <c r="FS6">
        <v>0.85377481488302798</v>
      </c>
      <c r="FT6">
        <v>1.0581982456091901</v>
      </c>
      <c r="FU6">
        <v>0.82265656869672599</v>
      </c>
      <c r="FV6">
        <v>1.09731005603974</v>
      </c>
      <c r="FW6">
        <v>0.61269138225269704</v>
      </c>
      <c r="FX6">
        <v>0.89493007259964696</v>
      </c>
      <c r="FY6">
        <v>0.11440193253941899</v>
      </c>
      <c r="FZ6">
        <v>0.48860675978725998</v>
      </c>
      <c r="GA6">
        <v>0.70051072088097699</v>
      </c>
      <c r="GB6">
        <v>0.36631694406988002</v>
      </c>
      <c r="GC6">
        <v>0.66877702727269805</v>
      </c>
      <c r="GD6">
        <v>0.98706588481340296</v>
      </c>
      <c r="GE6">
        <v>0.86166477920680695</v>
      </c>
      <c r="GF6">
        <v>0.36543162120902001</v>
      </c>
      <c r="GG6">
        <v>0.22529606712672601</v>
      </c>
      <c r="GH6">
        <v>0.79814211926417</v>
      </c>
      <c r="GI6">
        <v>0.37183539254548797</v>
      </c>
      <c r="GJ6">
        <v>0.33127936942062702</v>
      </c>
      <c r="GK6">
        <v>0.62980597137803596</v>
      </c>
    </row>
    <row r="7" spans="1:206" x14ac:dyDescent="0.25">
      <c r="A7" t="s">
        <v>265</v>
      </c>
      <c r="B7" t="s">
        <v>617</v>
      </c>
      <c r="C7">
        <v>-2.2415817396101101E-2</v>
      </c>
      <c r="D7">
        <v>0.107983771960911</v>
      </c>
      <c r="E7">
        <v>0.93946832380453105</v>
      </c>
      <c r="F7">
        <v>0.66647249628644201</v>
      </c>
      <c r="G7">
        <v>-2.2415817396101101E-2</v>
      </c>
      <c r="H7">
        <v>-2.2415817396101101E-2</v>
      </c>
      <c r="I7">
        <v>2.08113668412921</v>
      </c>
      <c r="J7">
        <v>2.1668275995367701</v>
      </c>
      <c r="K7">
        <v>2.0763499210968099</v>
      </c>
      <c r="L7">
        <v>8.7714916526746206E-2</v>
      </c>
      <c r="M7">
        <v>0.32406604359317098</v>
      </c>
      <c r="N7">
        <v>-2.2415817396101101E-2</v>
      </c>
      <c r="O7">
        <v>0.33572565520893</v>
      </c>
      <c r="P7">
        <v>7.5794145460461301E-2</v>
      </c>
      <c r="Q7">
        <v>9.3939398574225702E-2</v>
      </c>
      <c r="R7">
        <v>-2.2415817396101101E-2</v>
      </c>
      <c r="S7">
        <v>-2.2415817396101101E-2</v>
      </c>
      <c r="T7">
        <v>0.126158112228653</v>
      </c>
      <c r="U7">
        <v>0.11264114689294</v>
      </c>
      <c r="V7">
        <v>0.12536300021552901</v>
      </c>
      <c r="W7">
        <v>-2.2415817396101101E-2</v>
      </c>
      <c r="X7">
        <v>-2.2415817396101101E-2</v>
      </c>
      <c r="Y7">
        <v>-2.2415817396101101E-2</v>
      </c>
      <c r="Z7">
        <v>-2.2415817396101101E-2</v>
      </c>
      <c r="AA7">
        <v>-2.2415817396101101E-2</v>
      </c>
      <c r="AB7">
        <v>7.3814577912103496E-2</v>
      </c>
      <c r="AC7">
        <v>0.22500298811521599</v>
      </c>
      <c r="AD7">
        <v>-2.2415817396101101E-2</v>
      </c>
      <c r="AE7">
        <v>3.4623594682861303E-2</v>
      </c>
      <c r="AF7">
        <v>-2.2415817396101101E-2</v>
      </c>
      <c r="AG7">
        <v>2.9865636968565201E-2</v>
      </c>
      <c r="AH7">
        <v>-2.2415817396101101E-2</v>
      </c>
      <c r="AI7">
        <v>-2.2415817396101101E-2</v>
      </c>
      <c r="AJ7">
        <v>5.62127589971603E-2</v>
      </c>
      <c r="AK7">
        <v>-2.2415817396101101E-2</v>
      </c>
      <c r="AL7">
        <v>5.6835796133851403E-2</v>
      </c>
      <c r="AM7">
        <v>-2.2415817396101101E-2</v>
      </c>
      <c r="AN7">
        <v>0.20083655545631901</v>
      </c>
      <c r="AO7">
        <v>-2.2415817396101101E-2</v>
      </c>
      <c r="AP7">
        <v>0.119718588651538</v>
      </c>
      <c r="AQ7">
        <v>-2.2415817396101101E-2</v>
      </c>
      <c r="AR7">
        <v>-2.2415817396101101E-2</v>
      </c>
      <c r="AS7">
        <v>9.6888804101688805E-2</v>
      </c>
      <c r="AT7">
        <v>-2.2415817396101101E-2</v>
      </c>
      <c r="AU7">
        <v>8.6056034163724496E-2</v>
      </c>
      <c r="AV7">
        <v>-2.2415817396101101E-2</v>
      </c>
      <c r="AW7">
        <v>0.15380553112828399</v>
      </c>
      <c r="AX7">
        <v>-2.2415817396101101E-2</v>
      </c>
      <c r="AY7">
        <v>-2.2415817396101101E-2</v>
      </c>
      <c r="AZ7">
        <v>-2.2415817396101101E-2</v>
      </c>
      <c r="BA7">
        <v>-2.2415817396101101E-2</v>
      </c>
      <c r="BB7">
        <v>-2.2415817396101101E-2</v>
      </c>
      <c r="BC7">
        <v>0.10107156003601001</v>
      </c>
      <c r="BD7">
        <v>0.114154128422468</v>
      </c>
      <c r="BE7">
        <v>-2.2415817396101101E-2</v>
      </c>
      <c r="BF7">
        <v>0.148458518260701</v>
      </c>
      <c r="BG7">
        <v>2.1258642199583001E-2</v>
      </c>
      <c r="BH7">
        <v>5.8152303099754499E-2</v>
      </c>
      <c r="BI7">
        <v>-2.2415817396101101E-2</v>
      </c>
      <c r="BJ7">
        <v>-2.2415817396101101E-2</v>
      </c>
      <c r="BK7">
        <v>8.2321910289959194E-2</v>
      </c>
      <c r="BL7">
        <v>6.0096440282766499E-2</v>
      </c>
      <c r="BM7">
        <v>-2.2415817396101101E-2</v>
      </c>
      <c r="BN7">
        <v>-2.2415817396101101E-2</v>
      </c>
      <c r="BO7">
        <v>-2.2415817396101101E-2</v>
      </c>
      <c r="BP7">
        <v>-2.2415817396101101E-2</v>
      </c>
      <c r="BQ7">
        <v>-2.2415817396101101E-2</v>
      </c>
      <c r="BR7">
        <v>-2.2415817396101101E-2</v>
      </c>
      <c r="BS7">
        <v>0.92686979282244597</v>
      </c>
      <c r="BT7">
        <v>1.0208213214723401</v>
      </c>
      <c r="BU7">
        <v>1.57526730426201</v>
      </c>
      <c r="BV7">
        <v>1.13385456067959</v>
      </c>
      <c r="BW7">
        <v>1.3760900627808801</v>
      </c>
      <c r="BX7">
        <v>1.4597711451951401</v>
      </c>
      <c r="BY7">
        <v>1.2528572075320501</v>
      </c>
      <c r="BZ7">
        <v>0.86432173782805299</v>
      </c>
      <c r="CA7">
        <v>1.0092564019330901</v>
      </c>
      <c r="CB7">
        <v>-2.2415817396101101E-2</v>
      </c>
      <c r="CC7">
        <v>-2.2415817396101101E-2</v>
      </c>
      <c r="CD7">
        <v>-2.2415817396101101E-2</v>
      </c>
      <c r="CE7">
        <v>-2.2415817396101101E-2</v>
      </c>
      <c r="CF7">
        <v>0.129592191343671</v>
      </c>
      <c r="CG7">
        <v>-2.2415817396101101E-2</v>
      </c>
      <c r="CH7">
        <v>-2.2415817396101101E-2</v>
      </c>
      <c r="CI7">
        <v>-2.2415817396101101E-2</v>
      </c>
      <c r="CJ7">
        <v>2.15879851663454E-2</v>
      </c>
      <c r="CK7">
        <v>7.8494316089193494E-2</v>
      </c>
      <c r="CL7">
        <v>-2.2415817396101101E-2</v>
      </c>
      <c r="CM7">
        <v>0.47431998020056898</v>
      </c>
      <c r="CN7">
        <v>-2.2415817396101101E-2</v>
      </c>
      <c r="CO7">
        <v>-2.2415817396101101E-2</v>
      </c>
      <c r="CP7">
        <v>0.13144257561664499</v>
      </c>
      <c r="CQ7">
        <v>-2.2415817396101101E-2</v>
      </c>
      <c r="CR7">
        <v>0.128490446026506</v>
      </c>
      <c r="CS7">
        <v>-2.2415817396101101E-2</v>
      </c>
      <c r="CT7">
        <v>0.14278065078178201</v>
      </c>
      <c r="CU7">
        <v>0.141321118921339</v>
      </c>
      <c r="CV7">
        <v>-2.2415817396101101E-2</v>
      </c>
      <c r="CW7">
        <v>-2.2415817396101101E-2</v>
      </c>
      <c r="CX7">
        <v>-2.2415817396101101E-2</v>
      </c>
      <c r="CY7">
        <v>0.14940184546865301</v>
      </c>
      <c r="CZ7">
        <v>0.20657792302021799</v>
      </c>
      <c r="DA7">
        <v>9.85177007621479E-2</v>
      </c>
      <c r="DB7">
        <v>-2.2415817396101101E-2</v>
      </c>
      <c r="DC7">
        <v>-2.2415817396101101E-2</v>
      </c>
      <c r="DD7">
        <v>-2.2415817396101101E-2</v>
      </c>
      <c r="DE7">
        <v>-2.2415817396101101E-2</v>
      </c>
      <c r="DF7">
        <v>0.29220524569184497</v>
      </c>
      <c r="DG7">
        <v>-2.2415817396101101E-2</v>
      </c>
      <c r="DH7">
        <v>0.15184643017618199</v>
      </c>
      <c r="DI7">
        <v>-2.2415817396101101E-2</v>
      </c>
      <c r="DJ7">
        <v>-2.2415817396101101E-2</v>
      </c>
      <c r="DK7">
        <v>-2.2415817396101101E-2</v>
      </c>
      <c r="DL7">
        <v>0.330150716614734</v>
      </c>
      <c r="DM7">
        <v>-2.2415817396101101E-2</v>
      </c>
      <c r="DN7">
        <v>0.27934617146560198</v>
      </c>
      <c r="DO7">
        <v>0.14050749354862599</v>
      </c>
      <c r="DP7">
        <v>9.9422112050710804E-2</v>
      </c>
      <c r="DQ7">
        <v>-2.2415817396101101E-2</v>
      </c>
      <c r="DR7">
        <v>-2.2415817396101101E-2</v>
      </c>
      <c r="DS7">
        <v>-2.2415817396101101E-2</v>
      </c>
      <c r="DT7">
        <v>0.125030211160956</v>
      </c>
      <c r="DU7">
        <v>0.190376487061547</v>
      </c>
      <c r="DV7">
        <v>0.106352667766385</v>
      </c>
      <c r="DW7">
        <v>-2.2415817396101101E-2</v>
      </c>
      <c r="DX7">
        <v>-2.2415817396101101E-2</v>
      </c>
      <c r="DY7">
        <v>-2.2415817396101101E-2</v>
      </c>
      <c r="DZ7">
        <v>-2.2415817396101101E-2</v>
      </c>
      <c r="EA7">
        <v>-2.2415817396101101E-2</v>
      </c>
      <c r="EB7">
        <v>-2.2415817396101101E-2</v>
      </c>
      <c r="EC7">
        <v>-2.2415817396101101E-2</v>
      </c>
      <c r="ED7">
        <v>-2.2415817396101101E-2</v>
      </c>
      <c r="EE7">
        <v>7.9907757695869802E-2</v>
      </c>
      <c r="EF7">
        <v>-2.2415817396101101E-2</v>
      </c>
      <c r="EG7">
        <v>6.70995744936356E-2</v>
      </c>
      <c r="EH7">
        <v>0.168165960786061</v>
      </c>
      <c r="EI7">
        <v>9.6970688273364095E-2</v>
      </c>
      <c r="EJ7">
        <v>0.106654001277698</v>
      </c>
      <c r="EK7">
        <v>-2.2415817396101101E-2</v>
      </c>
      <c r="EL7">
        <v>-2.2415817396101101E-2</v>
      </c>
      <c r="EM7">
        <v>-2.2415817396101101E-2</v>
      </c>
      <c r="EN7">
        <v>0.35939003066750902</v>
      </c>
      <c r="EO7">
        <v>0.12183133986101501</v>
      </c>
      <c r="EP7">
        <v>0.45269895233698199</v>
      </c>
      <c r="EQ7">
        <v>0.15669763109962301</v>
      </c>
      <c r="ER7">
        <v>0.12534093818980599</v>
      </c>
      <c r="ES7">
        <v>-2.2415817396101101E-2</v>
      </c>
      <c r="ET7">
        <v>-2.2415817396101101E-2</v>
      </c>
      <c r="EU7">
        <v>-2.2415817396101101E-2</v>
      </c>
      <c r="EV7">
        <v>9.9569271359672001E-2</v>
      </c>
      <c r="EW7">
        <v>8.47752691295241E-2</v>
      </c>
      <c r="EX7">
        <v>-2.2415817396101101E-2</v>
      </c>
      <c r="EY7">
        <v>0.115076701697433</v>
      </c>
      <c r="EZ7">
        <v>0.10365994271040101</v>
      </c>
      <c r="FA7">
        <v>0.114035328830096</v>
      </c>
      <c r="FB7">
        <v>7.8313076043797905E-2</v>
      </c>
      <c r="FC7">
        <v>-2.2415817396101101E-2</v>
      </c>
      <c r="FD7">
        <v>-2.2415817396101101E-2</v>
      </c>
      <c r="FE7">
        <v>9.5053096568153694E-2</v>
      </c>
      <c r="FF7">
        <v>-2.2415817396101101E-2</v>
      </c>
      <c r="FG7">
        <v>7.8499316786527107E-2</v>
      </c>
      <c r="FH7">
        <v>-2.2415817396101101E-2</v>
      </c>
      <c r="FI7">
        <v>-2.2415817396101101E-2</v>
      </c>
      <c r="FJ7">
        <v>-2.2415817396101101E-2</v>
      </c>
      <c r="FK7">
        <v>-2.2415817396101101E-2</v>
      </c>
      <c r="FL7">
        <v>0.119334061953722</v>
      </c>
      <c r="FM7">
        <v>-2.2415817396101101E-2</v>
      </c>
      <c r="FN7">
        <v>-2.2415817396101101E-2</v>
      </c>
      <c r="FO7">
        <v>-2.2415817396101101E-2</v>
      </c>
      <c r="FP7">
        <v>2.7369855477617201E-2</v>
      </c>
      <c r="FQ7">
        <v>0.13429480977486399</v>
      </c>
      <c r="FR7">
        <v>0.22939461785224699</v>
      </c>
      <c r="FS7">
        <v>1.6004339150363599E-2</v>
      </c>
      <c r="FT7">
        <v>-2.2415817396101101E-2</v>
      </c>
      <c r="FU7">
        <v>-2.2415817396101101E-2</v>
      </c>
      <c r="FV7">
        <v>-2.2415817396101101E-2</v>
      </c>
      <c r="FW7">
        <v>-2.2415817396101101E-2</v>
      </c>
      <c r="FX7">
        <v>-2.2415817396101101E-2</v>
      </c>
      <c r="FY7">
        <v>-2.2415817396101101E-2</v>
      </c>
      <c r="FZ7">
        <v>-2.2415817396101101E-2</v>
      </c>
      <c r="GA7">
        <v>-2.2415817396101101E-2</v>
      </c>
      <c r="GB7">
        <v>-2.2415817396101101E-2</v>
      </c>
      <c r="GC7">
        <v>-2.2415817396101101E-2</v>
      </c>
      <c r="GD7">
        <v>9.0094319307714596E-2</v>
      </c>
      <c r="GE7">
        <v>-2.2415817396101101E-2</v>
      </c>
      <c r="GF7">
        <v>-2.2415817396101101E-2</v>
      </c>
      <c r="GG7">
        <v>-2.2415817396101101E-2</v>
      </c>
      <c r="GH7">
        <v>3.26939640201016E-2</v>
      </c>
      <c r="GI7">
        <v>7.8483934500848604E-2</v>
      </c>
      <c r="GJ7">
        <v>4.2581475565830099E-2</v>
      </c>
      <c r="GK7">
        <v>3.0014204070565601E-2</v>
      </c>
    </row>
    <row r="8" spans="1:206" x14ac:dyDescent="0.25">
      <c r="A8" t="s">
        <v>265</v>
      </c>
      <c r="B8" t="s">
        <v>775</v>
      </c>
      <c r="C8">
        <v>2.28533580686612</v>
      </c>
      <c r="D8">
        <v>1.88335742661157</v>
      </c>
      <c r="E8">
        <v>0.125886168004085</v>
      </c>
      <c r="F8">
        <v>0.10068910565830599</v>
      </c>
      <c r="G8">
        <v>-1.68870058802088E-3</v>
      </c>
      <c r="H8">
        <v>0.33080719100629102</v>
      </c>
      <c r="I8">
        <v>-0.146497179674488</v>
      </c>
      <c r="J8">
        <v>-6.2828809224863905E-2</v>
      </c>
      <c r="K8">
        <v>-6.3097340719987599E-2</v>
      </c>
      <c r="L8">
        <v>1.1416619370616401</v>
      </c>
      <c r="M8">
        <v>0.39483112839394402</v>
      </c>
      <c r="N8">
        <v>0.51674575038316894</v>
      </c>
      <c r="O8">
        <v>0.70340500374427894</v>
      </c>
      <c r="P8">
        <v>-4.8287216817925999E-2</v>
      </c>
      <c r="Q8">
        <v>-3.0141963704161698E-2</v>
      </c>
      <c r="R8">
        <v>-0.146497179674488</v>
      </c>
      <c r="S8">
        <v>-2.60098559536424E-2</v>
      </c>
      <c r="T8">
        <v>2.0767499502654298E-3</v>
      </c>
      <c r="U8">
        <v>-0.146497179674488</v>
      </c>
      <c r="V8">
        <v>0.26099302551957199</v>
      </c>
      <c r="W8">
        <v>-0.146497179674488</v>
      </c>
      <c r="X8">
        <v>-0.146497179674488</v>
      </c>
      <c r="Y8">
        <v>3.9196341573719999E-3</v>
      </c>
      <c r="Z8">
        <v>-0.146497179674488</v>
      </c>
      <c r="AA8">
        <v>1.17811748184129E-2</v>
      </c>
      <c r="AB8">
        <v>-0.101988161269314</v>
      </c>
      <c r="AC8">
        <v>-3.3813887879527299E-2</v>
      </c>
      <c r="AD8">
        <v>0.123706226436295</v>
      </c>
      <c r="AE8">
        <v>7.0158935082418494E-2</v>
      </c>
      <c r="AF8">
        <v>3.3526496274618599E-3</v>
      </c>
      <c r="AG8">
        <v>-6.4401438041503695E-2</v>
      </c>
      <c r="AH8">
        <v>-4.37600232470185E-3</v>
      </c>
      <c r="AI8">
        <v>-0.146497179674488</v>
      </c>
      <c r="AJ8">
        <v>-6.7868603281227E-2</v>
      </c>
      <c r="AK8">
        <v>0.135497201830724</v>
      </c>
      <c r="AL8">
        <v>-6.7245566144536098E-2</v>
      </c>
      <c r="AM8">
        <v>-8.6208834657631201E-3</v>
      </c>
      <c r="AN8">
        <v>-0.146497179674488</v>
      </c>
      <c r="AO8">
        <v>-3.8116888834590398E-2</v>
      </c>
      <c r="AP8">
        <v>0.312828267047911</v>
      </c>
      <c r="AQ8">
        <v>-0.146497179674488</v>
      </c>
      <c r="AR8">
        <v>0.117565555169034</v>
      </c>
      <c r="AS8">
        <v>7.2206791728088596E-2</v>
      </c>
      <c r="AT8">
        <v>4.73472243404396E-2</v>
      </c>
      <c r="AU8">
        <v>6.3413143086139406E-2</v>
      </c>
      <c r="AV8">
        <v>-0.146497179674488</v>
      </c>
      <c r="AW8">
        <v>-5.5913875687482198E-2</v>
      </c>
      <c r="AX8">
        <v>-5.4700970641509299E-2</v>
      </c>
      <c r="AY8">
        <v>0.146449664321158</v>
      </c>
      <c r="AZ8">
        <v>2.4945439448089801E-2</v>
      </c>
      <c r="BA8">
        <v>4.6697505795649602E-2</v>
      </c>
      <c r="BB8">
        <v>1.2820925692462499E-2</v>
      </c>
      <c r="BC8">
        <v>-0.146497179674488</v>
      </c>
      <c r="BD8">
        <v>-0.146497179674488</v>
      </c>
      <c r="BE8">
        <v>0.191641804620552</v>
      </c>
      <c r="BF8">
        <v>-0.146497179674488</v>
      </c>
      <c r="BG8">
        <v>-0.102822720078804</v>
      </c>
      <c r="BH8">
        <v>-0.146497179674488</v>
      </c>
      <c r="BI8">
        <v>8.2711192759755303E-2</v>
      </c>
      <c r="BJ8">
        <v>-4.0988127627843998E-2</v>
      </c>
      <c r="BK8">
        <v>-0.146497179674488</v>
      </c>
      <c r="BL8">
        <v>-0.146497179674488</v>
      </c>
      <c r="BM8">
        <v>-4.9712510876758299E-2</v>
      </c>
      <c r="BN8">
        <v>-0.146497179674488</v>
      </c>
      <c r="BO8">
        <v>-4.2829777733826201E-2</v>
      </c>
      <c r="BP8">
        <v>-0.146497179674488</v>
      </c>
      <c r="BQ8">
        <v>0.10415548390874201</v>
      </c>
      <c r="BR8">
        <v>-0.146497179674488</v>
      </c>
      <c r="BS8">
        <v>-5.5035977964459602E-2</v>
      </c>
      <c r="BT8">
        <v>-2.6118934620284501E-2</v>
      </c>
      <c r="BU8">
        <v>4.8354153169227199E-2</v>
      </c>
      <c r="BV8">
        <v>-0.10067416368252501</v>
      </c>
      <c r="BW8">
        <v>2.2469554001520901E-2</v>
      </c>
      <c r="BX8">
        <v>2.4342652648522499E-2</v>
      </c>
      <c r="BY8">
        <v>-0.11979741330167</v>
      </c>
      <c r="BZ8">
        <v>-8.2185591335548799E-2</v>
      </c>
      <c r="CA8">
        <v>-9.4903016409009694E-2</v>
      </c>
      <c r="CB8">
        <v>0.155335668165376</v>
      </c>
      <c r="CC8">
        <v>-2.36868984281619E-2</v>
      </c>
      <c r="CD8">
        <v>-8.0098063857187707E-3</v>
      </c>
      <c r="CE8">
        <v>-1.0169626506451E-2</v>
      </c>
      <c r="CF8">
        <v>0.144091896217241</v>
      </c>
      <c r="CG8">
        <v>-0.146497179674488</v>
      </c>
      <c r="CH8">
        <v>0.14458893806039999</v>
      </c>
      <c r="CI8">
        <v>-0.146497179674488</v>
      </c>
      <c r="CJ8">
        <v>-0.121239408416054</v>
      </c>
      <c r="CK8">
        <v>7.2745155537260603E-3</v>
      </c>
      <c r="CL8">
        <v>0.16871656022886899</v>
      </c>
      <c r="CM8">
        <v>-0.146497179674488</v>
      </c>
      <c r="CN8">
        <v>0.146679065940616</v>
      </c>
      <c r="CO8">
        <v>-0.146497179674488</v>
      </c>
      <c r="CP8">
        <v>7.3612133382571898E-3</v>
      </c>
      <c r="CQ8">
        <v>-1.2788063171786899E-2</v>
      </c>
      <c r="CR8">
        <v>4.4090837481188796E-3</v>
      </c>
      <c r="CS8">
        <v>-0.146497179674488</v>
      </c>
      <c r="CT8">
        <v>-0.146497179674488</v>
      </c>
      <c r="CU8">
        <v>1.7239756642951999E-2</v>
      </c>
      <c r="CV8">
        <v>-0.146497179674488</v>
      </c>
      <c r="CW8">
        <v>-2.9047024607123099E-2</v>
      </c>
      <c r="CX8">
        <v>-0.146497179674488</v>
      </c>
      <c r="CY8">
        <v>-0.146497179674488</v>
      </c>
      <c r="CZ8">
        <v>8.2496560741830594E-2</v>
      </c>
      <c r="DA8">
        <v>-2.55636615162394E-2</v>
      </c>
      <c r="DB8">
        <v>-7.5592631365276998E-3</v>
      </c>
      <c r="DC8">
        <v>-4.7373674879252403E-3</v>
      </c>
      <c r="DD8">
        <v>-0.146497179674488</v>
      </c>
      <c r="DE8">
        <v>5.1368424193630002E-4</v>
      </c>
      <c r="DF8">
        <v>-0.146497179674488</v>
      </c>
      <c r="DG8" s="10">
        <v>-3.1938881102902097E-5</v>
      </c>
      <c r="DH8">
        <v>-0.146497179674488</v>
      </c>
      <c r="DI8">
        <v>-0.146497179674488</v>
      </c>
      <c r="DJ8">
        <v>-0.146497179674488</v>
      </c>
      <c r="DK8">
        <v>-0.146497179674488</v>
      </c>
      <c r="DL8">
        <v>-6.9128050926566095E-4</v>
      </c>
      <c r="DM8">
        <v>-0.146497179674488</v>
      </c>
      <c r="DN8">
        <v>-0.146497179674488</v>
      </c>
      <c r="DO8">
        <v>-0.146497179674488</v>
      </c>
      <c r="DP8">
        <v>4.2467658889025497E-2</v>
      </c>
      <c r="DQ8">
        <v>-0.146497179674488</v>
      </c>
      <c r="DR8">
        <v>0.15458467622920399</v>
      </c>
      <c r="DS8">
        <v>-2.3517250971833301E-2</v>
      </c>
      <c r="DT8">
        <v>8.1214277100513099E-2</v>
      </c>
      <c r="DU8">
        <v>0.187289386074416</v>
      </c>
      <c r="DV8">
        <v>5.3051470152032897E-2</v>
      </c>
      <c r="DW8">
        <v>-0.146497179674488</v>
      </c>
      <c r="DX8">
        <v>2.3758727925503001E-2</v>
      </c>
      <c r="DY8">
        <v>0.170374839991947</v>
      </c>
      <c r="DZ8">
        <v>-2.8555706353945401E-2</v>
      </c>
      <c r="EA8">
        <v>8.6487977210449995E-3</v>
      </c>
      <c r="EB8">
        <v>0.46078901173285503</v>
      </c>
      <c r="EC8">
        <v>-0.146497179674488</v>
      </c>
      <c r="ED8">
        <v>5.2039193098023802E-2</v>
      </c>
      <c r="EE8">
        <v>-0.146497179674488</v>
      </c>
      <c r="EF8">
        <v>-0.146497179674488</v>
      </c>
      <c r="EG8">
        <v>-5.6981787784751797E-2</v>
      </c>
      <c r="EH8">
        <v>9.0446683148409299E-2</v>
      </c>
      <c r="EI8">
        <v>-2.7110674005023198E-2</v>
      </c>
      <c r="EJ8">
        <v>-1.7427361000689E-2</v>
      </c>
      <c r="EK8">
        <v>-0.146497179674488</v>
      </c>
      <c r="EL8">
        <v>2.6998889531739401E-3</v>
      </c>
      <c r="EM8">
        <v>-0.146497179674488</v>
      </c>
      <c r="EN8">
        <v>-8.6547696923000295E-2</v>
      </c>
      <c r="EO8">
        <v>-0.146497179674488</v>
      </c>
      <c r="EP8">
        <v>-4.0004509449907001E-2</v>
      </c>
      <c r="EQ8">
        <v>-0.146497179674488</v>
      </c>
      <c r="ER8">
        <v>-0.146497179674488</v>
      </c>
      <c r="ES8">
        <v>-0.146497179674488</v>
      </c>
      <c r="ET8">
        <v>8.8324982488664494E-2</v>
      </c>
      <c r="EU8">
        <v>-0.146497179674488</v>
      </c>
      <c r="EV8">
        <v>-0.146497179674488</v>
      </c>
      <c r="EW8">
        <v>-0.146497179674488</v>
      </c>
      <c r="EX8">
        <v>6.9004607858762701E-3</v>
      </c>
      <c r="EY8">
        <v>-9.0046605809544194E-3</v>
      </c>
      <c r="EZ8">
        <v>-2.0421419567985901E-2</v>
      </c>
      <c r="FA8">
        <v>-0.146497179674488</v>
      </c>
      <c r="FB8">
        <v>4.9167482328226098E-2</v>
      </c>
      <c r="FC8">
        <v>-1.35272967444506E-2</v>
      </c>
      <c r="FD8">
        <v>9.2619419137480896E-2</v>
      </c>
      <c r="FE8">
        <v>8.0632767912118403E-2</v>
      </c>
      <c r="FF8">
        <v>-0.146497179674488</v>
      </c>
      <c r="FG8">
        <v>-0.146497179674488</v>
      </c>
      <c r="FH8">
        <v>-0.146497179674488</v>
      </c>
      <c r="FI8">
        <v>-5.7280916841255199E-2</v>
      </c>
      <c r="FJ8">
        <v>-5.03626654800894E-2</v>
      </c>
      <c r="FK8">
        <v>-8.1090295608592707E-3</v>
      </c>
      <c r="FL8">
        <v>0.12550644715338999</v>
      </c>
      <c r="FM8">
        <v>-0.146497179674488</v>
      </c>
      <c r="FN8">
        <v>-0.146497179674488</v>
      </c>
      <c r="FO8">
        <v>-0.146497179674488</v>
      </c>
      <c r="FP8">
        <v>-0.146497179674488</v>
      </c>
      <c r="FQ8">
        <v>-4.5939730871265197E-2</v>
      </c>
      <c r="FR8">
        <v>-0.146497179674488</v>
      </c>
      <c r="FS8">
        <v>-0.108077023128024</v>
      </c>
      <c r="FT8">
        <v>-0.146497179674488</v>
      </c>
      <c r="FU8">
        <v>2.03092110361274E-2</v>
      </c>
      <c r="FV8">
        <v>0.103640083247761</v>
      </c>
      <c r="FW8">
        <v>0.25328620238167299</v>
      </c>
      <c r="FX8">
        <v>1.7803298316292002E-2</v>
      </c>
      <c r="FY8">
        <v>-0.146497179674488</v>
      </c>
      <c r="FZ8">
        <v>-2.03647150903958E-2</v>
      </c>
      <c r="GA8">
        <v>-0.146497179674488</v>
      </c>
      <c r="GB8">
        <v>-5.8715195803874999E-2</v>
      </c>
      <c r="GC8">
        <v>-4.4316037602106798E-2</v>
      </c>
      <c r="GD8">
        <v>-3.39870429706726E-2</v>
      </c>
      <c r="GE8">
        <v>0.11877966875517</v>
      </c>
      <c r="GF8">
        <v>-0.146497179674488</v>
      </c>
      <c r="GG8">
        <v>9.7300959186727098E-2</v>
      </c>
      <c r="GH8">
        <v>-0.100266649950215</v>
      </c>
      <c r="GI8">
        <v>-4.5597427777538703E-2</v>
      </c>
      <c r="GJ8">
        <v>-1.8834533445557099E-2</v>
      </c>
      <c r="GK8">
        <v>6.3861820831879797E-3</v>
      </c>
    </row>
    <row r="9" spans="1:206" x14ac:dyDescent="0.25">
      <c r="A9" t="s">
        <v>265</v>
      </c>
      <c r="B9" t="s">
        <v>764</v>
      </c>
      <c r="C9">
        <v>0.18780820420859301</v>
      </c>
      <c r="D9">
        <v>-0.139927647162014</v>
      </c>
      <c r="E9">
        <v>3.2489193500796203E-2</v>
      </c>
      <c r="F9">
        <v>4.0861018095751898E-2</v>
      </c>
      <c r="G9">
        <v>-4.2108654624831703E-2</v>
      </c>
      <c r="H9">
        <v>-0.139927647162014</v>
      </c>
      <c r="I9">
        <v>0.118849973689826</v>
      </c>
      <c r="J9">
        <v>0.119225001769001</v>
      </c>
      <c r="K9">
        <v>-9.7725497654682997E-2</v>
      </c>
      <c r="L9">
        <v>0.145964980981548</v>
      </c>
      <c r="M9">
        <v>4.0345353550875297E-2</v>
      </c>
      <c r="N9">
        <v>0.153414815267777</v>
      </c>
      <c r="O9">
        <v>0.21821382544301701</v>
      </c>
      <c r="P9">
        <v>5.0582197285052199E-2</v>
      </c>
      <c r="Q9">
        <v>-2.3572431191687102E-2</v>
      </c>
      <c r="R9">
        <v>-0.139927647162014</v>
      </c>
      <c r="S9">
        <v>-0.139927647162014</v>
      </c>
      <c r="T9">
        <v>-0.139927647162014</v>
      </c>
      <c r="U9">
        <v>-4.8706828729732999E-3</v>
      </c>
      <c r="V9">
        <v>7.851170449616E-3</v>
      </c>
      <c r="W9">
        <v>-0.139927647162014</v>
      </c>
      <c r="X9">
        <v>2.4889872407905599E-2</v>
      </c>
      <c r="Y9">
        <v>-0.139927647162014</v>
      </c>
      <c r="Z9">
        <v>-0.139927647162014</v>
      </c>
      <c r="AA9">
        <v>-0.139927647162014</v>
      </c>
      <c r="AB9">
        <v>-6.6373139356667402E-2</v>
      </c>
      <c r="AC9">
        <v>-0.139927647162014</v>
      </c>
      <c r="AD9">
        <v>-6.7947802079858996E-2</v>
      </c>
      <c r="AE9">
        <v>8.5302128961170801E-2</v>
      </c>
      <c r="AF9">
        <v>0.119314387771493</v>
      </c>
      <c r="AG9">
        <v>-8.7646192797347602E-2</v>
      </c>
      <c r="AH9">
        <v>-0.139927647162014</v>
      </c>
      <c r="AI9">
        <v>-1.6275504680765399E-2</v>
      </c>
      <c r="AJ9">
        <v>-0.139927647162014</v>
      </c>
      <c r="AK9">
        <v>9.93803868803394E-2</v>
      </c>
      <c r="AL9">
        <v>-1.61189063294776E-2</v>
      </c>
      <c r="AM9">
        <v>-0.139927647162014</v>
      </c>
      <c r="AN9">
        <v>-2.4332084534022001E-2</v>
      </c>
      <c r="AO9">
        <v>-3.1547356322115902E-2</v>
      </c>
      <c r="AP9">
        <v>-0.139927647162014</v>
      </c>
      <c r="AQ9">
        <v>-0.139927647162014</v>
      </c>
      <c r="AR9">
        <v>-0.139927647162014</v>
      </c>
      <c r="AS9">
        <v>-6.3610202934748103E-2</v>
      </c>
      <c r="AT9">
        <v>-0.139927647162014</v>
      </c>
      <c r="AU9">
        <v>6.9982675598614E-2</v>
      </c>
      <c r="AV9">
        <v>-0.139927647162014</v>
      </c>
      <c r="AW9">
        <v>6.2900913628827701E-2</v>
      </c>
      <c r="AX9">
        <v>-4.8131438129034698E-2</v>
      </c>
      <c r="AY9">
        <v>-0.139927647162014</v>
      </c>
      <c r="AZ9">
        <v>-2.9575267881254301E-2</v>
      </c>
      <c r="BA9">
        <v>-0.139927647162014</v>
      </c>
      <c r="BB9">
        <v>0.19981428728601699</v>
      </c>
      <c r="BC9">
        <v>0.22239134674261901</v>
      </c>
      <c r="BD9">
        <v>-0.139927647162014</v>
      </c>
      <c r="BE9">
        <v>-0.139927647162014</v>
      </c>
      <c r="BF9">
        <v>-2.9960469733924001E-2</v>
      </c>
      <c r="BG9">
        <v>-3.70712879676144E-2</v>
      </c>
      <c r="BH9">
        <v>-5.9359526666158402E-2</v>
      </c>
      <c r="BI9">
        <v>-4.72603160295594E-2</v>
      </c>
      <c r="BJ9">
        <v>-3.4418595115369502E-2</v>
      </c>
      <c r="BK9">
        <v>-3.5189919475953797E-2</v>
      </c>
      <c r="BL9">
        <v>-5.7415389483146201E-2</v>
      </c>
      <c r="BM9">
        <v>-4.3142978364283803E-2</v>
      </c>
      <c r="BN9">
        <v>-0.139927647162014</v>
      </c>
      <c r="BO9">
        <v>-3.6260245221351697E-2</v>
      </c>
      <c r="BP9">
        <v>-4.5132936149098697E-2</v>
      </c>
      <c r="BQ9">
        <v>-0.139927647162014</v>
      </c>
      <c r="BR9">
        <v>-3.6275868173618699E-2</v>
      </c>
      <c r="BS9">
        <v>-5.2809986280187597E-3</v>
      </c>
      <c r="BT9">
        <v>4.0019341564004898E-2</v>
      </c>
      <c r="BU9">
        <v>-4.8754498142927802E-2</v>
      </c>
      <c r="BV9">
        <v>1.6135700876976598E-2</v>
      </c>
      <c r="BW9">
        <v>-8.9989696803685307E-2</v>
      </c>
      <c r="BX9">
        <v>-2.2143668603232601E-2</v>
      </c>
      <c r="BY9">
        <v>-1.46136075993583E-2</v>
      </c>
      <c r="BZ9">
        <v>2.5066026508097701E-2</v>
      </c>
      <c r="CA9">
        <v>4.7098626077519003E-2</v>
      </c>
      <c r="CB9">
        <v>0.16190520067785</v>
      </c>
      <c r="CC9">
        <v>9.6885797745181093E-2</v>
      </c>
      <c r="CD9">
        <v>-1.4402738732443199E-3</v>
      </c>
      <c r="CE9">
        <v>-0.139927647162014</v>
      </c>
      <c r="CF9">
        <v>-0.139927647162014</v>
      </c>
      <c r="CG9">
        <v>8.5815614298148699E-2</v>
      </c>
      <c r="CH9">
        <v>-0.139927647162014</v>
      </c>
      <c r="CI9">
        <v>-0.139927647162014</v>
      </c>
      <c r="CJ9">
        <v>-4.3179051413586599E-2</v>
      </c>
      <c r="CK9">
        <v>-4.6528709386543902E-3</v>
      </c>
      <c r="CL9">
        <v>-0.139927647162014</v>
      </c>
      <c r="CM9">
        <v>-0.139927647162014</v>
      </c>
      <c r="CN9">
        <v>-0.139927647162014</v>
      </c>
      <c r="CO9">
        <v>0.156839641435504</v>
      </c>
      <c r="CP9">
        <v>-0.139927647162014</v>
      </c>
      <c r="CQ9">
        <v>-6.2185306593123598E-3</v>
      </c>
      <c r="CR9">
        <v>1.09786162605933E-2</v>
      </c>
      <c r="CS9">
        <v>0.19928402291991701</v>
      </c>
      <c r="CT9">
        <v>0.114488283256529</v>
      </c>
      <c r="CU9">
        <v>2.3809289155426499E-2</v>
      </c>
      <c r="CV9">
        <v>0.18635225047102</v>
      </c>
      <c r="CW9">
        <v>-2.24774920946486E-2</v>
      </c>
      <c r="CX9">
        <v>-1.68956351635343E-2</v>
      </c>
      <c r="CY9">
        <v>-0.139927647162014</v>
      </c>
      <c r="CZ9">
        <v>-0.139927647162014</v>
      </c>
      <c r="DA9">
        <v>9.3292499183190103E-2</v>
      </c>
      <c r="DB9">
        <v>-0.139927647162014</v>
      </c>
      <c r="DC9">
        <v>-0.139927647162014</v>
      </c>
      <c r="DD9">
        <v>0.29644290031946502</v>
      </c>
      <c r="DE9">
        <v>-0.139927647162014</v>
      </c>
      <c r="DF9">
        <v>0.31127823861989801</v>
      </c>
      <c r="DG9">
        <v>6.53759363137159E-3</v>
      </c>
      <c r="DH9">
        <v>0.36882030198650201</v>
      </c>
      <c r="DI9">
        <v>-0.139927647162014</v>
      </c>
      <c r="DJ9">
        <v>2.71280665744562E-3</v>
      </c>
      <c r="DK9">
        <v>-0.139927647162014</v>
      </c>
      <c r="DL9">
        <v>-0.139927647162014</v>
      </c>
      <c r="DM9">
        <v>1.4990467033816599E-2</v>
      </c>
      <c r="DN9">
        <v>0.24020322277956299</v>
      </c>
      <c r="DO9">
        <v>-0.139927647162014</v>
      </c>
      <c r="DP9">
        <v>-1.8089717715202101E-2</v>
      </c>
      <c r="DQ9">
        <v>1.6740958693998699E-2</v>
      </c>
      <c r="DR9">
        <v>0.36469315038167199</v>
      </c>
      <c r="DS9">
        <v>-1.6947718459358802E-2</v>
      </c>
      <c r="DT9">
        <v>0.14236670641582</v>
      </c>
      <c r="DU9">
        <v>-0.139927647162014</v>
      </c>
      <c r="DV9">
        <v>-0.139927647162014</v>
      </c>
      <c r="DW9">
        <v>0.12776092836557901</v>
      </c>
      <c r="DX9">
        <v>0.18407581414511301</v>
      </c>
      <c r="DY9">
        <v>7.8196722697925797E-2</v>
      </c>
      <c r="DZ9">
        <v>8.7775496912295997E-2</v>
      </c>
      <c r="EA9">
        <v>-0.139927647162014</v>
      </c>
      <c r="EB9">
        <v>1.3406031976058099E-2</v>
      </c>
      <c r="EC9">
        <v>-0.139927647162014</v>
      </c>
      <c r="ED9">
        <v>-1.1835818264983301E-2</v>
      </c>
      <c r="EE9">
        <v>-0.139927647162014</v>
      </c>
      <c r="EF9">
        <v>-0.139927647162014</v>
      </c>
      <c r="EG9">
        <v>-5.0412255272277398E-2</v>
      </c>
      <c r="EH9">
        <v>-0.139927647162014</v>
      </c>
      <c r="EI9">
        <v>-0.139927647162014</v>
      </c>
      <c r="EJ9">
        <v>-1.0857828488214601E-2</v>
      </c>
      <c r="EK9">
        <v>0.15787372600466901</v>
      </c>
      <c r="EL9">
        <v>-0.139927647162014</v>
      </c>
      <c r="EM9">
        <v>9.3246774201707107E-3</v>
      </c>
      <c r="EN9">
        <v>3.4009124817810599E-2</v>
      </c>
      <c r="EO9">
        <v>-0.139927647162014</v>
      </c>
      <c r="EP9">
        <v>-3.3434976937432498E-2</v>
      </c>
      <c r="EQ9">
        <v>0.199956078521078</v>
      </c>
      <c r="ER9">
        <v>8.83878455268471E-2</v>
      </c>
      <c r="ES9">
        <v>-0.139927647162014</v>
      </c>
      <c r="ET9">
        <v>-0.139927647162014</v>
      </c>
      <c r="EU9">
        <v>0.14874412972461401</v>
      </c>
      <c r="EV9">
        <v>-1.7942558406240799E-2</v>
      </c>
      <c r="EW9">
        <v>-3.2736560636388599E-2</v>
      </c>
      <c r="EX9">
        <v>1.34699932983507E-2</v>
      </c>
      <c r="EY9">
        <v>0.124173234943904</v>
      </c>
      <c r="EZ9">
        <v>0.10304330100633401</v>
      </c>
      <c r="FA9">
        <v>-0.139927647162014</v>
      </c>
      <c r="FB9">
        <v>0.145551589615248</v>
      </c>
      <c r="FC9">
        <v>-0.139927647162014</v>
      </c>
      <c r="FD9">
        <v>-0.139927647162014</v>
      </c>
      <c r="FE9">
        <v>-0.139927647162014</v>
      </c>
      <c r="FF9">
        <v>0.12747937791853201</v>
      </c>
      <c r="FG9">
        <v>-3.9012512979385697E-2</v>
      </c>
      <c r="FH9">
        <v>-6.06532145449293E-2</v>
      </c>
      <c r="FI9">
        <v>0.114580837565722</v>
      </c>
      <c r="FJ9">
        <v>-0.139927647162014</v>
      </c>
      <c r="FK9">
        <v>-0.139927647162014</v>
      </c>
      <c r="FL9">
        <v>-0.139927647162014</v>
      </c>
      <c r="FM9">
        <v>0.32804250997666001</v>
      </c>
      <c r="FN9">
        <v>7.7747562872065204E-2</v>
      </c>
      <c r="FO9">
        <v>0.158598163624243</v>
      </c>
      <c r="FP9">
        <v>-4.17622069072918E-2</v>
      </c>
      <c r="FQ9">
        <v>-0.139927647162014</v>
      </c>
      <c r="FR9">
        <v>-9.1082685958321207E-3</v>
      </c>
      <c r="FS9">
        <v>-5.6601059685190497E-2</v>
      </c>
      <c r="FT9">
        <v>-0.139927647162014</v>
      </c>
      <c r="FU9">
        <v>0.10440501439524499</v>
      </c>
      <c r="FV9">
        <v>-0.139927647162014</v>
      </c>
      <c r="FW9">
        <v>-0.139927647162014</v>
      </c>
      <c r="FX9">
        <v>2.4372830828766599E-2</v>
      </c>
      <c r="FY9">
        <v>0.120281972466593</v>
      </c>
      <c r="FZ9">
        <v>-1.37951825779214E-2</v>
      </c>
      <c r="GA9">
        <v>-0.139927647162014</v>
      </c>
      <c r="GB9">
        <v>3.1282610515324299E-2</v>
      </c>
      <c r="GC9">
        <v>0.235340872533784</v>
      </c>
      <c r="GD9">
        <v>7.7710834701753703E-2</v>
      </c>
      <c r="GE9">
        <v>0.12534920126764501</v>
      </c>
      <c r="GF9">
        <v>-0.139927647162014</v>
      </c>
      <c r="GG9">
        <v>-0.139927647162014</v>
      </c>
      <c r="GH9">
        <v>-4.8609109275416E-2</v>
      </c>
      <c r="GI9">
        <v>8.7622168401252795E-2</v>
      </c>
      <c r="GJ9">
        <v>8.2707956781968003E-2</v>
      </c>
      <c r="GK9">
        <v>-0.139927647162014</v>
      </c>
    </row>
    <row r="10" spans="1:206" x14ac:dyDescent="0.25">
      <c r="A10" t="s">
        <v>265</v>
      </c>
      <c r="B10" t="s">
        <v>589</v>
      </c>
      <c r="C10">
        <v>-3.3108645509364898</v>
      </c>
      <c r="D10">
        <v>-3.1072256423448201</v>
      </c>
      <c r="E10">
        <v>-1.66518301786447</v>
      </c>
      <c r="F10">
        <v>-1.44940968533034</v>
      </c>
      <c r="G10">
        <v>-0.36349529665496</v>
      </c>
      <c r="H10">
        <v>-0.45180922229912202</v>
      </c>
      <c r="I10">
        <v>-2.9057906229836399</v>
      </c>
      <c r="J10">
        <v>-3.3019864653714102</v>
      </c>
      <c r="K10">
        <v>-3.2965416316682101</v>
      </c>
      <c r="L10">
        <v>-0.33369339920362301</v>
      </c>
      <c r="M10">
        <v>-4.4031295430047601</v>
      </c>
      <c r="N10">
        <v>-4.5933890264166903</v>
      </c>
      <c r="O10">
        <v>-2.4297545861074998</v>
      </c>
      <c r="P10">
        <v>0.46769816572549999</v>
      </c>
      <c r="Q10">
        <v>-6.22603876399353E-2</v>
      </c>
      <c r="R10">
        <v>0.50391008884187805</v>
      </c>
      <c r="S10">
        <v>-1.1464928682491301E-2</v>
      </c>
      <c r="T10">
        <v>0.37097191673908098</v>
      </c>
      <c r="U10">
        <v>0.60946665046272297</v>
      </c>
      <c r="V10">
        <v>0.587908530693937</v>
      </c>
      <c r="W10">
        <v>0.49474207425339201</v>
      </c>
      <c r="X10">
        <v>0.66971958821411504</v>
      </c>
      <c r="Y10">
        <v>0.470591202054436</v>
      </c>
      <c r="Z10">
        <v>0.41015052793173601</v>
      </c>
      <c r="AA10">
        <v>7.3157531007662993E-2</v>
      </c>
      <c r="AB10">
        <v>1.0979986190322899</v>
      </c>
      <c r="AC10">
        <v>1.1725921473797301</v>
      </c>
      <c r="AD10">
        <v>1.23917958157938</v>
      </c>
      <c r="AE10">
        <v>1.1260204063434101</v>
      </c>
      <c r="AF10">
        <v>1.1245065769425</v>
      </c>
      <c r="AG10">
        <v>1.0442340736434299</v>
      </c>
      <c r="AH10">
        <v>0.903413475538971</v>
      </c>
      <c r="AI10">
        <v>0.94557994135827195</v>
      </c>
      <c r="AJ10">
        <v>1.07620372626026</v>
      </c>
      <c r="AK10">
        <v>1.2002759169110899</v>
      </c>
      <c r="AL10">
        <v>1.0747466853832099</v>
      </c>
      <c r="AM10">
        <v>0.94081193659391205</v>
      </c>
      <c r="AN10">
        <v>1.1775153048687399</v>
      </c>
      <c r="AO10">
        <v>1.02605796011075</v>
      </c>
      <c r="AP10">
        <v>0.80836506393429297</v>
      </c>
      <c r="AQ10">
        <v>0.77706494372354495</v>
      </c>
      <c r="AR10">
        <v>1.1248810968132601</v>
      </c>
      <c r="AS10">
        <v>0.92405210732041199</v>
      </c>
      <c r="AT10">
        <v>0.92702508245541404</v>
      </c>
      <c r="AU10">
        <v>0.91715802371932598</v>
      </c>
      <c r="AV10">
        <v>0.91715927210108505</v>
      </c>
      <c r="AW10">
        <v>-0.72359239149482502</v>
      </c>
      <c r="AX10">
        <v>0.48322660655266603</v>
      </c>
      <c r="AY10">
        <v>0.76040369420826603</v>
      </c>
      <c r="AZ10">
        <v>0.69912847016992496</v>
      </c>
      <c r="BA10">
        <v>0.77659193847774999</v>
      </c>
      <c r="BB10">
        <v>0.883541530508825</v>
      </c>
      <c r="BC10">
        <v>0.64418817487189295</v>
      </c>
      <c r="BD10">
        <v>0.633208471087637</v>
      </c>
      <c r="BE10">
        <v>0.47885723684953302</v>
      </c>
      <c r="BF10">
        <v>0.37900687242025899</v>
      </c>
      <c r="BG10">
        <v>0.84959262745562003</v>
      </c>
      <c r="BH10">
        <v>0.63256420862323604</v>
      </c>
      <c r="BI10">
        <v>0.93937408352205698</v>
      </c>
      <c r="BJ10">
        <v>0.86490691111083795</v>
      </c>
      <c r="BK10">
        <v>1.0701479433221699</v>
      </c>
      <c r="BL10">
        <v>1.0554173323079299</v>
      </c>
      <c r="BM10">
        <v>0.91012797361935205</v>
      </c>
      <c r="BN10">
        <v>0.82054973516649599</v>
      </c>
      <c r="BO10">
        <v>0.91695848768385801</v>
      </c>
      <c r="BP10">
        <v>0.75640164234892604</v>
      </c>
      <c r="BQ10">
        <v>1.02050903924811</v>
      </c>
      <c r="BR10">
        <v>0.90978937377645697</v>
      </c>
      <c r="BS10">
        <v>1.91030006705903E-2</v>
      </c>
      <c r="BT10">
        <v>-0.18281760695982899</v>
      </c>
      <c r="BU10">
        <v>-0.96885875860147497</v>
      </c>
      <c r="BV10">
        <v>-0.55839778835033205</v>
      </c>
      <c r="BW10">
        <v>-0.69198474415740796</v>
      </c>
      <c r="BX10">
        <v>-0.981303951389081</v>
      </c>
      <c r="BY10">
        <v>-1.1823051115618499</v>
      </c>
      <c r="BZ10">
        <v>-0.37415011783239699</v>
      </c>
      <c r="CA10">
        <v>-3.3956830157035003E-2</v>
      </c>
      <c r="CB10">
        <v>0.463002187798844</v>
      </c>
      <c r="CC10">
        <v>0.427813758839728</v>
      </c>
      <c r="CD10">
        <v>3.9942585494845903E-2</v>
      </c>
      <c r="CE10">
        <v>0.43330746047196</v>
      </c>
      <c r="CF10">
        <v>0.31576306232248202</v>
      </c>
      <c r="CG10">
        <v>0.27184594151730102</v>
      </c>
      <c r="CH10">
        <v>0.27827611986827999</v>
      </c>
      <c r="CI10">
        <v>0.224992341173442</v>
      </c>
      <c r="CJ10">
        <v>0.56270787162763103</v>
      </c>
      <c r="CK10">
        <v>0.531968802217199</v>
      </c>
      <c r="CL10">
        <v>0.80666124650614202</v>
      </c>
      <c r="CM10">
        <v>0.65371866307932103</v>
      </c>
      <c r="CN10">
        <v>1.0536729608661399</v>
      </c>
      <c r="CO10">
        <v>0.20324117049184101</v>
      </c>
      <c r="CP10">
        <v>0.60204004655315801</v>
      </c>
      <c r="CQ10">
        <v>0.57852896320770997</v>
      </c>
      <c r="CR10">
        <v>0.42679567271125202</v>
      </c>
      <c r="CS10">
        <v>0.38130055680988101</v>
      </c>
      <c r="CT10">
        <v>0.48011622000034898</v>
      </c>
      <c r="CU10">
        <v>0.117494458183035</v>
      </c>
      <c r="CV10">
        <v>2.4731078406788301E-2</v>
      </c>
      <c r="CW10">
        <v>0.43118220538157198</v>
      </c>
      <c r="CX10">
        <v>-0.17923042494931099</v>
      </c>
      <c r="CY10">
        <v>-1.9115401450083402E-2</v>
      </c>
      <c r="CZ10">
        <v>6.2162816537015803E-2</v>
      </c>
      <c r="DA10">
        <v>-0.23679161964491499</v>
      </c>
      <c r="DB10">
        <v>0.26083477359316598</v>
      </c>
      <c r="DC10">
        <v>5.1388382988965198E-2</v>
      </c>
      <c r="DD10">
        <v>-0.26193432740040101</v>
      </c>
      <c r="DE10">
        <v>-0.166789792286133</v>
      </c>
      <c r="DF10">
        <v>-0.14842190576971701</v>
      </c>
      <c r="DG10">
        <v>-0.40087836656345099</v>
      </c>
      <c r="DH10">
        <v>-1.3447746528843001</v>
      </c>
      <c r="DI10">
        <v>-0.33788310698583701</v>
      </c>
      <c r="DJ10">
        <v>-0.33765335209866298</v>
      </c>
      <c r="DK10">
        <v>-0.53949730023141995</v>
      </c>
      <c r="DL10">
        <v>-0.116896582422243</v>
      </c>
      <c r="DM10">
        <v>0.16904593171475299</v>
      </c>
      <c r="DN10">
        <v>-0.28354702208177002</v>
      </c>
      <c r="DO10">
        <v>-0.38835718594470697</v>
      </c>
      <c r="DP10">
        <v>-2.3135767389518998E-2</v>
      </c>
      <c r="DQ10">
        <v>-0.27828580848337697</v>
      </c>
      <c r="DR10">
        <v>0.117284401504579</v>
      </c>
      <c r="DS10">
        <v>-0.62433786425464799</v>
      </c>
      <c r="DT10">
        <v>3.70440115702926E-2</v>
      </c>
      <c r="DU10">
        <v>-1.04469072081283</v>
      </c>
      <c r="DV10">
        <v>-0.26983095463298001</v>
      </c>
      <c r="DW10">
        <v>-0.14861118343973501</v>
      </c>
      <c r="DX10">
        <v>7.9928307424242506E-2</v>
      </c>
      <c r="DY10">
        <v>0.298969283584265</v>
      </c>
      <c r="DZ10">
        <v>0.17018863154073999</v>
      </c>
      <c r="EA10">
        <v>-1.25691239903317E-3</v>
      </c>
      <c r="EB10">
        <v>0.37925513934848998</v>
      </c>
      <c r="EC10">
        <v>-0.17256511406562999</v>
      </c>
      <c r="ED10">
        <v>0.35084162627856502</v>
      </c>
      <c r="EE10">
        <v>0.27883286887170999</v>
      </c>
      <c r="EF10">
        <v>0.501417340121874</v>
      </c>
      <c r="EG10">
        <v>0.20042276977537599</v>
      </c>
      <c r="EH10">
        <v>-3.49074489596349E-2</v>
      </c>
      <c r="EI10">
        <v>6.8152299337807906E-2</v>
      </c>
      <c r="EJ10">
        <v>0.25671254071181299</v>
      </c>
      <c r="EK10">
        <v>0.27999599430566802</v>
      </c>
      <c r="EL10">
        <v>4.41435982357542E-2</v>
      </c>
      <c r="EM10">
        <v>0.231692071930581</v>
      </c>
      <c r="EN10">
        <v>9.6393112493528194E-2</v>
      </c>
      <c r="EO10">
        <v>0.21962301678069099</v>
      </c>
      <c r="EP10">
        <v>0.27214589312361198</v>
      </c>
      <c r="EQ10">
        <v>0.30209954786592902</v>
      </c>
      <c r="ER10">
        <v>0.15731852882681199</v>
      </c>
      <c r="ES10">
        <v>0.21649277325081501</v>
      </c>
      <c r="ET10">
        <v>0.24048119960685099</v>
      </c>
      <c r="EU10">
        <v>0.161924025170364</v>
      </c>
      <c r="EV10">
        <v>0.31955267006774202</v>
      </c>
      <c r="EW10">
        <v>0.19404607480508099</v>
      </c>
      <c r="EX10">
        <v>7.7541675821495307E-2</v>
      </c>
      <c r="EY10">
        <v>0.29201329635842999</v>
      </c>
      <c r="EZ10">
        <v>3.5543923862206603E-2</v>
      </c>
      <c r="FA10">
        <v>-0.12887774317252601</v>
      </c>
      <c r="FB10">
        <v>0.33367617576927</v>
      </c>
      <c r="FC10">
        <v>0.33295856360312498</v>
      </c>
      <c r="FD10">
        <v>0.59275582356842005</v>
      </c>
      <c r="FE10">
        <v>0.33514025436089201</v>
      </c>
      <c r="FF10">
        <v>0.54580474112365396</v>
      </c>
      <c r="FG10">
        <v>0.51548480067481595</v>
      </c>
      <c r="FH10">
        <v>0.371962464416838</v>
      </c>
      <c r="FI10">
        <v>0.41331179505529198</v>
      </c>
      <c r="FJ10">
        <v>0.51561710348196599</v>
      </c>
      <c r="FK10">
        <v>0.66529236186991603</v>
      </c>
      <c r="FL10">
        <v>0.67736557287649202</v>
      </c>
      <c r="FM10">
        <v>0.34096192060464298</v>
      </c>
      <c r="FN10">
        <v>0.52848391298411901</v>
      </c>
      <c r="FO10">
        <v>0.19532082705968701</v>
      </c>
      <c r="FP10">
        <v>0.437954244080769</v>
      </c>
      <c r="FQ10">
        <v>0.29605907456874098</v>
      </c>
      <c r="FR10">
        <v>0.23387373129517799</v>
      </c>
      <c r="FS10">
        <v>0.70005726069101604</v>
      </c>
      <c r="FT10">
        <v>0.64189184240701902</v>
      </c>
      <c r="FU10">
        <v>0.69139258958826499</v>
      </c>
      <c r="FV10">
        <v>0.79431099512101699</v>
      </c>
      <c r="FW10">
        <v>0.69330993725767298</v>
      </c>
      <c r="FX10">
        <v>0.70138904832733595</v>
      </c>
      <c r="FY10">
        <v>0.73021119938917101</v>
      </c>
      <c r="FZ10">
        <v>0.63654321383191803</v>
      </c>
      <c r="GA10">
        <v>0.34053724243219902</v>
      </c>
      <c r="GB10">
        <v>0.42776280014683299</v>
      </c>
      <c r="GC10">
        <v>0.52377347686012399</v>
      </c>
      <c r="GD10">
        <v>0.53912250813014295</v>
      </c>
      <c r="GE10">
        <v>0.558601917022157</v>
      </c>
      <c r="GF10">
        <v>0.30399229920465298</v>
      </c>
      <c r="GG10">
        <v>0.55190836676374999</v>
      </c>
      <c r="GH10">
        <v>0.57358780502243201</v>
      </c>
      <c r="GI10">
        <v>0.32048517962415202</v>
      </c>
      <c r="GJ10">
        <v>0.38547970576525797</v>
      </c>
      <c r="GK10">
        <v>0.50652700279778495</v>
      </c>
    </row>
    <row r="11" spans="1:206" x14ac:dyDescent="0.25">
      <c r="A11" t="s">
        <v>265</v>
      </c>
      <c r="B11" t="s">
        <v>583</v>
      </c>
      <c r="C11">
        <v>-1.6963516655109999E-2</v>
      </c>
      <c r="D11">
        <v>2.5049917135573498E-2</v>
      </c>
      <c r="E11">
        <v>2.3938438011922498</v>
      </c>
      <c r="F11">
        <v>2.2202334752875901</v>
      </c>
      <c r="G11">
        <v>0.18741740873903401</v>
      </c>
      <c r="H11">
        <v>1.11944139462649E-2</v>
      </c>
      <c r="I11">
        <v>4.2011337866156104</v>
      </c>
      <c r="J11">
        <v>4.1312548848312796</v>
      </c>
      <c r="K11">
        <v>4.3369066048111797</v>
      </c>
      <c r="L11">
        <v>0.67688870445771498</v>
      </c>
      <c r="M11">
        <v>-0.105349672221438</v>
      </c>
      <c r="N11">
        <v>-7.9089648839086105E-2</v>
      </c>
      <c r="O11">
        <v>0.54515504928147496</v>
      </c>
      <c r="P11">
        <v>8.5160172225627898E-2</v>
      </c>
      <c r="Q11">
        <v>0.107933465086671</v>
      </c>
      <c r="R11">
        <v>6.7552321545965993E-2</v>
      </c>
      <c r="S11">
        <v>1.5137651499407699E-2</v>
      </c>
      <c r="T11">
        <v>-0.105349672221438</v>
      </c>
      <c r="U11">
        <v>-0.105349672221438</v>
      </c>
      <c r="V11">
        <v>4.24291453901917E-2</v>
      </c>
      <c r="W11">
        <v>-0.105349672221438</v>
      </c>
      <c r="X11">
        <v>5.94678473484812E-2</v>
      </c>
      <c r="Y11">
        <v>0.126771678442058</v>
      </c>
      <c r="Z11">
        <v>0.157378327736515</v>
      </c>
      <c r="AA11">
        <v>5.2928682271463197E-2</v>
      </c>
      <c r="AB11">
        <v>-2.3391502108305502E-2</v>
      </c>
      <c r="AC11">
        <v>-0.105349672221438</v>
      </c>
      <c r="AD11">
        <v>3.54812660717874E-2</v>
      </c>
      <c r="AE11">
        <v>6.7199055060106197E-3</v>
      </c>
      <c r="AF11">
        <v>4.4500157080511998E-2</v>
      </c>
      <c r="AG11">
        <v>-0.105349672221438</v>
      </c>
      <c r="AH11">
        <v>3.6771505128348203E-2</v>
      </c>
      <c r="AI11">
        <v>-0.105349672221438</v>
      </c>
      <c r="AJ11">
        <v>-2.6721095828176899E-2</v>
      </c>
      <c r="AK11">
        <v>5.8187530240145599E-2</v>
      </c>
      <c r="AL11">
        <v>-0.105349672221438</v>
      </c>
      <c r="AM11">
        <v>3.2526623987286903E-2</v>
      </c>
      <c r="AN11">
        <v>-0.105349672221438</v>
      </c>
      <c r="AO11">
        <v>-0.105349672221438</v>
      </c>
      <c r="AP11">
        <v>-0.105349672221438</v>
      </c>
      <c r="AQ11">
        <v>-0.105349672221438</v>
      </c>
      <c r="AR11">
        <v>2.10706725509979E-3</v>
      </c>
      <c r="AS11">
        <v>0.113354299181139</v>
      </c>
      <c r="AT11">
        <v>-5.4172991461955396E-3</v>
      </c>
      <c r="AU11">
        <v>0.10456065053919</v>
      </c>
      <c r="AV11">
        <v>2.6006584339808E-2</v>
      </c>
      <c r="AW11">
        <v>-1.47663682344322E-2</v>
      </c>
      <c r="AX11">
        <v>-1.3553463188459101E-2</v>
      </c>
      <c r="AY11">
        <v>-0.105349672221438</v>
      </c>
      <c r="AZ11">
        <v>5.00270705932145E-3</v>
      </c>
      <c r="BA11">
        <v>0.39905557296232502</v>
      </c>
      <c r="BB11">
        <v>-2.9601310402769501E-3</v>
      </c>
      <c r="BC11">
        <v>-0.105349672221438</v>
      </c>
      <c r="BD11">
        <v>3.1220273597131198E-2</v>
      </c>
      <c r="BE11">
        <v>5.0951193376797398E-2</v>
      </c>
      <c r="BF11">
        <v>4.6175052066517001E-3</v>
      </c>
      <c r="BG11">
        <v>-3.8439310204332902E-2</v>
      </c>
      <c r="BH11">
        <v>-0.105349672221438</v>
      </c>
      <c r="BI11">
        <v>0.123858700212805</v>
      </c>
      <c r="BJ11">
        <v>0.19234352556441101</v>
      </c>
      <c r="BK11">
        <v>-0.105349672221438</v>
      </c>
      <c r="BL11">
        <v>5.5612921606126901E-2</v>
      </c>
      <c r="BM11">
        <v>-8.5650034237082402E-3</v>
      </c>
      <c r="BN11">
        <v>-0.105349672221438</v>
      </c>
      <c r="BO11">
        <v>0.18748739485423099</v>
      </c>
      <c r="BP11">
        <v>-0.105349672221438</v>
      </c>
      <c r="BQ11">
        <v>-1.7339018537562201E-2</v>
      </c>
      <c r="BR11">
        <v>-1.69789323304303E-3</v>
      </c>
      <c r="BS11">
        <v>2.5773947252403899</v>
      </c>
      <c r="BT11">
        <v>2.8967392578773099</v>
      </c>
      <c r="BU11">
        <v>3.7255636808703101</v>
      </c>
      <c r="BV11">
        <v>3.12340981822144</v>
      </c>
      <c r="BW11">
        <v>3.8068282686596699</v>
      </c>
      <c r="BX11">
        <v>3.4800330258521099</v>
      </c>
      <c r="BY11">
        <v>3.8859536365861902</v>
      </c>
      <c r="BZ11">
        <v>2.3725003068800001</v>
      </c>
      <c r="CA11">
        <v>2.9275022183790802</v>
      </c>
      <c r="CB11">
        <v>5.2679302042268603E-2</v>
      </c>
      <c r="CC11">
        <v>-0.105349672221438</v>
      </c>
      <c r="CD11">
        <v>0.16074544287537301</v>
      </c>
      <c r="CE11">
        <v>-0.105349672221438</v>
      </c>
      <c r="CF11">
        <v>-0.105349672221438</v>
      </c>
      <c r="CG11">
        <v>4.0806882394877203E-2</v>
      </c>
      <c r="CH11">
        <v>-0.105349672221438</v>
      </c>
      <c r="CI11">
        <v>0.20227231362456399</v>
      </c>
      <c r="CJ11">
        <v>-6.7576030862056893E-2</v>
      </c>
      <c r="CK11">
        <v>-4.60819815635451E-2</v>
      </c>
      <c r="CL11">
        <v>-0.105349672221438</v>
      </c>
      <c r="CM11">
        <v>0.24242006171090699</v>
      </c>
      <c r="CN11">
        <v>9.2540388980623098E-2</v>
      </c>
      <c r="CO11">
        <v>1.5688381250184399E-2</v>
      </c>
      <c r="CP11">
        <v>0.13201609053817201</v>
      </c>
      <c r="CQ11">
        <v>2.8359444281263201E-2</v>
      </c>
      <c r="CR11">
        <v>4.5556591201168901E-2</v>
      </c>
      <c r="CS11">
        <v>1.5732657863020302E-2</v>
      </c>
      <c r="CT11">
        <v>-0.105349672221438</v>
      </c>
      <c r="CU11">
        <v>-0.105349672221438</v>
      </c>
      <c r="CV11">
        <v>0.30491468794518201</v>
      </c>
      <c r="CW11">
        <v>1.2100482845927E-2</v>
      </c>
      <c r="CX11">
        <v>1.7682339777041398E-2</v>
      </c>
      <c r="CY11">
        <v>-0.105349672221438</v>
      </c>
      <c r="CZ11">
        <v>0.50297041567294198</v>
      </c>
      <c r="DA11">
        <v>0.19003548032342399</v>
      </c>
      <c r="DB11">
        <v>-0.105349672221438</v>
      </c>
      <c r="DC11">
        <v>0.16657998648747299</v>
      </c>
      <c r="DD11">
        <v>-0.105349672221438</v>
      </c>
      <c r="DE11">
        <v>4.1661191694986402E-2</v>
      </c>
      <c r="DF11">
        <v>0.14894729460763001</v>
      </c>
      <c r="DG11">
        <v>0.120816427499465</v>
      </c>
      <c r="DH11">
        <v>0.16959843166830399</v>
      </c>
      <c r="DI11">
        <v>9.2404712806121198E-2</v>
      </c>
      <c r="DJ11">
        <v>3.7290781598021301E-2</v>
      </c>
      <c r="DK11">
        <v>-0.105349672221438</v>
      </c>
      <c r="DL11">
        <v>0.119915768735975</v>
      </c>
      <c r="DM11">
        <v>0.19062699927726601</v>
      </c>
      <c r="DN11">
        <v>-0.105349672221438</v>
      </c>
      <c r="DO11">
        <v>-0.105349672221438</v>
      </c>
      <c r="DP11">
        <v>0.23511835131147299</v>
      </c>
      <c r="DQ11">
        <v>0.19396742185082999</v>
      </c>
      <c r="DR11">
        <v>-0.105349672221438</v>
      </c>
      <c r="DS11">
        <v>-0.105349672221438</v>
      </c>
      <c r="DT11">
        <v>0.122361784553563</v>
      </c>
      <c r="DU11">
        <v>3.21826753468454E-2</v>
      </c>
      <c r="DV11">
        <v>-0.105349672221438</v>
      </c>
      <c r="DW11">
        <v>-0.105349672221438</v>
      </c>
      <c r="DX11">
        <v>-0.105349672221438</v>
      </c>
      <c r="DY11">
        <v>0.21152234744499801</v>
      </c>
      <c r="DZ11">
        <v>0.122353471852872</v>
      </c>
      <c r="EA11">
        <v>-0.105349672221438</v>
      </c>
      <c r="EB11">
        <v>4.7984006916633598E-2</v>
      </c>
      <c r="EC11">
        <v>-0.105349672221438</v>
      </c>
      <c r="ED11">
        <v>2.27421566755923E-2</v>
      </c>
      <c r="EE11">
        <v>5.3937905202629602E-2</v>
      </c>
      <c r="EF11">
        <v>-0.105349672221438</v>
      </c>
      <c r="EG11">
        <v>-0.105349672221438</v>
      </c>
      <c r="EH11">
        <v>0.13159419060145899</v>
      </c>
      <c r="EI11">
        <v>1.4036833448026901E-2</v>
      </c>
      <c r="EJ11">
        <v>2.3720146452361101E-2</v>
      </c>
      <c r="EK11">
        <v>-0.105349672221438</v>
      </c>
      <c r="EL11">
        <v>-0.105349672221438</v>
      </c>
      <c r="EM11">
        <v>4.3902652360746502E-2</v>
      </c>
      <c r="EN11">
        <v>1.4576928031087499</v>
      </c>
      <c r="EO11">
        <v>3.8897485035678303E-2</v>
      </c>
      <c r="EP11">
        <v>1.1429980031432299E-3</v>
      </c>
      <c r="EQ11">
        <v>-0.105349672221438</v>
      </c>
      <c r="ER11">
        <v>0.78019498120952002</v>
      </c>
      <c r="ES11">
        <v>-0.105349672221438</v>
      </c>
      <c r="ET11">
        <v>1.6299454823792799E-2</v>
      </c>
      <c r="EU11">
        <v>-0.105349672221438</v>
      </c>
      <c r="EV11">
        <v>-0.105349672221438</v>
      </c>
      <c r="EW11">
        <v>1.84141430418702E-3</v>
      </c>
      <c r="EX11">
        <v>0.18798774398691101</v>
      </c>
      <c r="EY11">
        <v>3.21428468720956E-2</v>
      </c>
      <c r="EZ11">
        <v>-0.105349672221438</v>
      </c>
      <c r="FA11">
        <v>0.27330294923879001</v>
      </c>
      <c r="FB11">
        <v>-0.105349672221438</v>
      </c>
      <c r="FC11">
        <v>-0.105349672221438</v>
      </c>
      <c r="FD11">
        <v>4.95159716006182E-2</v>
      </c>
      <c r="FE11">
        <v>1.2119241742816299E-2</v>
      </c>
      <c r="FF11">
        <v>-0.105349672221438</v>
      </c>
      <c r="FG11">
        <v>-0.105349672221438</v>
      </c>
      <c r="FH11">
        <v>0.122387322123351</v>
      </c>
      <c r="FI11">
        <v>-0.105349672221438</v>
      </c>
      <c r="FJ11">
        <v>-9.2151580270393805E-3</v>
      </c>
      <c r="FK11">
        <v>3.30384778921907E-2</v>
      </c>
      <c r="FL11">
        <v>3.6400207128384598E-2</v>
      </c>
      <c r="FM11">
        <v>0.171879809090977</v>
      </c>
      <c r="FN11">
        <v>-0.105349672221438</v>
      </c>
      <c r="FO11">
        <v>-0.105349672221438</v>
      </c>
      <c r="FP11">
        <v>-5.5563999347720001E-2</v>
      </c>
      <c r="FQ11">
        <v>-0.105349672221438</v>
      </c>
      <c r="FR11">
        <v>0.21327066860899799</v>
      </c>
      <c r="FS11">
        <v>-5.4295380530651097E-2</v>
      </c>
      <c r="FT11">
        <v>-0.105349672221438</v>
      </c>
      <c r="FU11">
        <v>-0.105349672221438</v>
      </c>
      <c r="FV11">
        <v>-0.105349672221438</v>
      </c>
      <c r="FW11">
        <v>8.0984564212129698E-2</v>
      </c>
      <c r="FX11">
        <v>-2.1118029632037599E-2</v>
      </c>
      <c r="FY11">
        <v>-0.105349672221438</v>
      </c>
      <c r="FZ11">
        <v>2.07827923626543E-2</v>
      </c>
      <c r="GA11">
        <v>6.7392376648252095E-2</v>
      </c>
      <c r="GB11">
        <v>-0.105349672221438</v>
      </c>
      <c r="GC11">
        <v>-3.1685301490566599E-3</v>
      </c>
      <c r="GD11">
        <v>7.1604644823774696E-3</v>
      </c>
      <c r="GE11">
        <v>-0.105349672221438</v>
      </c>
      <c r="GF11">
        <v>-0.105349672221438</v>
      </c>
      <c r="GG11">
        <v>0.138448466639777</v>
      </c>
      <c r="GH11">
        <v>3.2438000648464201E-2</v>
      </c>
      <c r="GI11">
        <v>-0.105349672221438</v>
      </c>
      <c r="GJ11">
        <v>-0.105349672221438</v>
      </c>
      <c r="GK11">
        <v>-1.9894493027095999E-3</v>
      </c>
    </row>
    <row r="12" spans="1:206" x14ac:dyDescent="0.25">
      <c r="A12" t="s">
        <v>265</v>
      </c>
      <c r="B12" t="s">
        <v>770</v>
      </c>
      <c r="C12">
        <v>0</v>
      </c>
      <c r="D12">
        <v>0</v>
      </c>
      <c r="E12">
        <v>7.1433640949654098E-2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1.47750462117931E-2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</row>
    <row r="13" spans="1:206" x14ac:dyDescent="0.25">
      <c r="A13" t="s">
        <v>265</v>
      </c>
      <c r="B13" t="s">
        <v>634</v>
      </c>
      <c r="C13">
        <v>-0.179132614703293</v>
      </c>
      <c r="D13">
        <v>-0.35129461122036099</v>
      </c>
      <c r="E13">
        <v>-0.12585876667973001</v>
      </c>
      <c r="F13">
        <v>-0.101708486854809</v>
      </c>
      <c r="G13">
        <v>-2.97280507941611E-2</v>
      </c>
      <c r="H13">
        <v>7.2221617038296201E-2</v>
      </c>
      <c r="I13">
        <v>2.2649533669809499E-2</v>
      </c>
      <c r="J13">
        <v>-0.14882814277025799</v>
      </c>
      <c r="K13">
        <v>-0.119928208961051</v>
      </c>
      <c r="L13">
        <v>-6.5401983076798897E-2</v>
      </c>
      <c r="M13">
        <v>-0.35129461122036099</v>
      </c>
      <c r="N13">
        <v>-0.29913896805993001</v>
      </c>
      <c r="O13">
        <v>6.8468613846706496E-3</v>
      </c>
      <c r="P13">
        <v>0.52319330188359003</v>
      </c>
      <c r="Q13">
        <v>0.31896458866574001</v>
      </c>
      <c r="R13">
        <v>-2.2828043013984601E-2</v>
      </c>
      <c r="S13">
        <v>-1.48007481648519E-2</v>
      </c>
      <c r="T13">
        <v>5.77253314928367E-2</v>
      </c>
      <c r="U13">
        <v>2.3261495198920699E-2</v>
      </c>
      <c r="V13">
        <v>-6.8378095581499196E-2</v>
      </c>
      <c r="W13">
        <v>-0.35129461122036099</v>
      </c>
      <c r="X13">
        <v>9.9142619126681694E-2</v>
      </c>
      <c r="Y13">
        <v>-6.3679998618234701E-2</v>
      </c>
      <c r="Z13">
        <v>0.114565612363007</v>
      </c>
      <c r="AA13">
        <v>8.1973647053048201E-2</v>
      </c>
      <c r="AB13">
        <v>8.2303741220673396E-2</v>
      </c>
      <c r="AC13">
        <v>5.8384430335374202E-2</v>
      </c>
      <c r="AD13">
        <v>-0.14446866306744399</v>
      </c>
      <c r="AE13">
        <v>-0.13463849646345399</v>
      </c>
      <c r="AF13">
        <v>-0.13155077654307701</v>
      </c>
      <c r="AG13">
        <v>-7.88108735094466E-2</v>
      </c>
      <c r="AH13">
        <v>4.1267882417810098E-2</v>
      </c>
      <c r="AI13">
        <v>-0.22764246873911201</v>
      </c>
      <c r="AJ13">
        <v>-5.7994855039692698E-2</v>
      </c>
      <c r="AK13">
        <v>1.0989352744436699E-3</v>
      </c>
      <c r="AL13">
        <v>0.35692689626124402</v>
      </c>
      <c r="AM13">
        <v>0.242201288069018</v>
      </c>
      <c r="AN13">
        <v>-0.12804223836794101</v>
      </c>
      <c r="AO13">
        <v>4.3725518238249599E-2</v>
      </c>
      <c r="AP13">
        <v>4.1591268920129501E-2</v>
      </c>
      <c r="AQ13">
        <v>-0.107853012074316</v>
      </c>
      <c r="AR13">
        <v>9.0655639125640106E-2</v>
      </c>
      <c r="AS13">
        <v>-6.5915127185770098E-2</v>
      </c>
      <c r="AT13">
        <v>-0.15745020720543301</v>
      </c>
      <c r="AU13">
        <v>0.36001169065008498</v>
      </c>
      <c r="AV13">
        <v>1.3668790378936899E-2</v>
      </c>
      <c r="AW13">
        <v>5.7104475009182601E-2</v>
      </c>
      <c r="AX13">
        <v>0.328622577188033</v>
      </c>
      <c r="AY13">
        <v>-5.83477672247147E-2</v>
      </c>
      <c r="AZ13">
        <v>-0.13791733320382299</v>
      </c>
      <c r="BA13">
        <v>0.33128051453162</v>
      </c>
      <c r="BB13">
        <v>-6.2226688398891603E-2</v>
      </c>
      <c r="BC13">
        <v>5.2900951797514702E-2</v>
      </c>
      <c r="BD13">
        <v>0.236998886257654</v>
      </c>
      <c r="BE13">
        <v>7.8394239116179695E-2</v>
      </c>
      <c r="BF13">
        <v>0.13463004102697501</v>
      </c>
      <c r="BG13">
        <v>-1.4781932357910201E-2</v>
      </c>
      <c r="BH13">
        <v>8.0500111901373794E-2</v>
      </c>
      <c r="BI13">
        <v>3.4971160543824903E-2</v>
      </c>
      <c r="BJ13">
        <v>-5.3601413434511198E-2</v>
      </c>
      <c r="BK13">
        <v>3.1871765783419402E-2</v>
      </c>
      <c r="BL13">
        <v>0.15321186773324499</v>
      </c>
      <c r="BM13">
        <v>-0.163200674051655</v>
      </c>
      <c r="BN13">
        <v>-0.13400551850706199</v>
      </c>
      <c r="BO13">
        <v>-0.247627209279699</v>
      </c>
      <c r="BP13">
        <v>-0.35129461122036099</v>
      </c>
      <c r="BQ13">
        <v>-2.5117198993021998E-2</v>
      </c>
      <c r="BR13">
        <v>0.11043038099149</v>
      </c>
      <c r="BS13">
        <v>-2.69270040823999E-2</v>
      </c>
      <c r="BT13">
        <v>-3.9279202509654401E-2</v>
      </c>
      <c r="BU13">
        <v>-9.3348036334806699E-3</v>
      </c>
      <c r="BV13">
        <v>-0.119655247942482</v>
      </c>
      <c r="BW13">
        <v>-6.8427049371081999E-3</v>
      </c>
      <c r="BX13">
        <v>-6.3816336956438804E-2</v>
      </c>
      <c r="BY13">
        <v>-0.108894751139608</v>
      </c>
      <c r="BZ13">
        <v>3.4176354517751299E-3</v>
      </c>
      <c r="CA13">
        <v>-0.126847538578997</v>
      </c>
      <c r="CB13">
        <v>-4.9461763380496598E-2</v>
      </c>
      <c r="CC13">
        <v>9.17946933984604E-2</v>
      </c>
      <c r="CD13">
        <v>-8.5199496123549101E-2</v>
      </c>
      <c r="CE13">
        <v>-8.9484231679689705E-2</v>
      </c>
      <c r="CF13">
        <v>-6.0705535328631099E-2</v>
      </c>
      <c r="CG13">
        <v>0.27321248539888499</v>
      </c>
      <c r="CH13">
        <v>0.49701819341599202</v>
      </c>
      <c r="CI13">
        <v>-4.3672625374358197E-2</v>
      </c>
      <c r="CJ13">
        <v>-7.0890572566406296E-2</v>
      </c>
      <c r="CK13">
        <v>-9.7639849485967406E-2</v>
      </c>
      <c r="CL13">
        <v>-0.102159141391687</v>
      </c>
      <c r="CM13">
        <v>-0.167851437721413</v>
      </c>
      <c r="CN13">
        <v>2.2361201157859101E-2</v>
      </c>
      <c r="CO13">
        <v>-1.1335864046716999E-2</v>
      </c>
      <c r="CP13">
        <v>0.14248748241748799</v>
      </c>
      <c r="CQ13">
        <v>2.0720744490013598E-2</v>
      </c>
      <c r="CR13">
        <v>6.4048854608283898E-2</v>
      </c>
      <c r="CS13">
        <v>8.7045232084399904E-2</v>
      </c>
      <c r="CT13">
        <v>-0.35129461122036099</v>
      </c>
      <c r="CU13">
        <v>-0.18755767490292</v>
      </c>
      <c r="CV13">
        <v>5.8969748946259698E-2</v>
      </c>
      <c r="CW13">
        <v>-2.1722579944599901E-2</v>
      </c>
      <c r="CX13">
        <v>0.36106546493632502</v>
      </c>
      <c r="CY13">
        <v>0.11667876120809299</v>
      </c>
      <c r="CZ13">
        <v>-0.12230087080404201</v>
      </c>
      <c r="DA13">
        <v>0.545808771035868</v>
      </c>
      <c r="DB13">
        <v>0.14307252399188999</v>
      </c>
      <c r="DC13">
        <v>0.25803399143102401</v>
      </c>
      <c r="DD13">
        <v>0.99513689513393</v>
      </c>
      <c r="DE13">
        <v>-6.9782986390227494E-2</v>
      </c>
      <c r="DF13">
        <v>-0.186129924582636</v>
      </c>
      <c r="DG13">
        <v>0.373772906534028</v>
      </c>
      <c r="DH13">
        <v>0.70930349411003302</v>
      </c>
      <c r="DI13">
        <v>0.20312719115137701</v>
      </c>
      <c r="DJ13">
        <v>4.2658885791708297E-2</v>
      </c>
      <c r="DK13">
        <v>7.2981765061574999E-2</v>
      </c>
      <c r="DL13">
        <v>0.1657798118996</v>
      </c>
      <c r="DM13">
        <v>0.41025666504221903</v>
      </c>
      <c r="DN13">
        <v>8.2192617476429003E-2</v>
      </c>
      <c r="DO13">
        <v>0.168183910406075</v>
      </c>
      <c r="DP13">
        <v>-0.229456681773549</v>
      </c>
      <c r="DQ13">
        <v>0.51845387451618796</v>
      </c>
      <c r="DR13">
        <v>0.31547938497823902</v>
      </c>
      <c r="DS13">
        <v>9.1723623870209797E-2</v>
      </c>
      <c r="DT13">
        <v>0.170700541688008</v>
      </c>
      <c r="DU13">
        <v>0.29922958195947102</v>
      </c>
      <c r="DV13">
        <v>0.111513709260583</v>
      </c>
      <c r="DW13">
        <v>-8.3606035692768005E-2</v>
      </c>
      <c r="DX13">
        <v>0.31313726086383598</v>
      </c>
      <c r="DY13">
        <v>5.8578625394391799E-2</v>
      </c>
      <c r="DZ13">
        <v>0.16669064489778601</v>
      </c>
      <c r="EA13">
        <v>0.40996881572473398</v>
      </c>
      <c r="EB13">
        <v>7.0688443684419303E-2</v>
      </c>
      <c r="EC13">
        <v>0.196897173489155</v>
      </c>
      <c r="ED13">
        <v>6.7289330099839506E-2</v>
      </c>
      <c r="EE13">
        <v>0.36949103643631798</v>
      </c>
      <c r="EF13">
        <v>4.2811112761468602E-2</v>
      </c>
      <c r="EG13">
        <v>0.32369053171682799</v>
      </c>
      <c r="EH13">
        <v>-7.8431726338781798E-3</v>
      </c>
      <c r="EI13">
        <v>8.2583935565520503E-2</v>
      </c>
      <c r="EJ13">
        <v>8.7773191540040409E-3</v>
      </c>
      <c r="EK13">
        <v>0.34951514283575802</v>
      </c>
      <c r="EL13">
        <v>0.58069070563756997</v>
      </c>
      <c r="EM13">
        <v>0.28592355422733401</v>
      </c>
      <c r="EN13">
        <v>-1.9213151964180698E-2</v>
      </c>
      <c r="EO13">
        <v>0.16135990936958899</v>
      </c>
      <c r="EP13">
        <v>-0.144766205929305</v>
      </c>
      <c r="EQ13">
        <v>0.50673226442459496</v>
      </c>
      <c r="ER13">
        <v>0.28182437385979398</v>
      </c>
      <c r="ES13">
        <v>-0.12732264785646899</v>
      </c>
      <c r="ET13">
        <v>8.8889207702855993E-2</v>
      </c>
      <c r="EU13">
        <v>-0.20055497751745299</v>
      </c>
      <c r="EV13">
        <v>-0.11598406281571599</v>
      </c>
      <c r="EW13">
        <v>0.12687196291017599</v>
      </c>
      <c r="EX13">
        <v>0.19011067835147999</v>
      </c>
      <c r="EY13">
        <v>-0.13853656018139399</v>
      </c>
      <c r="EZ13">
        <v>0.29009901356744999</v>
      </c>
      <c r="FA13">
        <v>0.136060721135709</v>
      </c>
      <c r="FB13">
        <v>-6.5815374443098498E-2</v>
      </c>
      <c r="FC13">
        <v>-0.21832472829032301</v>
      </c>
      <c r="FD13">
        <v>0.19661686605277801</v>
      </c>
      <c r="FE13">
        <v>7.5687678692412594E-2</v>
      </c>
      <c r="FF13">
        <v>-0.21212652044292099</v>
      </c>
      <c r="FG13">
        <v>1.9559731864339801E-2</v>
      </c>
      <c r="FH13">
        <v>7.8106235792933604E-2</v>
      </c>
      <c r="FI13">
        <v>0.294649195882699</v>
      </c>
      <c r="FJ13">
        <v>-7.8155317915141798E-2</v>
      </c>
      <c r="FK13">
        <v>-8.5436196939648004E-2</v>
      </c>
      <c r="FL13">
        <v>4.12791000450074E-2</v>
      </c>
      <c r="FM13">
        <v>-1.0997729978468899E-3</v>
      </c>
      <c r="FN13">
        <v>0.45913952472983699</v>
      </c>
      <c r="FO13">
        <v>7.8114906638593301E-2</v>
      </c>
      <c r="FP13">
        <v>5.9203346894561401E-2</v>
      </c>
      <c r="FQ13">
        <v>0.10086863365512599</v>
      </c>
      <c r="FR13">
        <v>0.31109053563787598</v>
      </c>
      <c r="FS13">
        <v>3.5888665837371998E-2</v>
      </c>
      <c r="FT13">
        <v>8.1474760431427595E-2</v>
      </c>
      <c r="FU13">
        <v>3.8147727953716501E-2</v>
      </c>
      <c r="FV13">
        <v>-0.183536460341507</v>
      </c>
      <c r="FW13">
        <v>2.51049774451379E-3</v>
      </c>
      <c r="FX13">
        <v>7.1630335745465207E-2</v>
      </c>
      <c r="FY13">
        <v>0.13325387405699299</v>
      </c>
      <c r="FZ13">
        <v>-0.108113245679534</v>
      </c>
      <c r="GA13">
        <v>5.38713018867472E-2</v>
      </c>
      <c r="GB13">
        <v>-0.10056660504842201</v>
      </c>
      <c r="GC13">
        <v>0.30076352600864298</v>
      </c>
      <c r="GD13">
        <v>5.8101086023301801E-2</v>
      </c>
      <c r="GE13">
        <v>-0.35129461122036099</v>
      </c>
      <c r="GF13">
        <v>-9.5032632644600906E-2</v>
      </c>
      <c r="GG13">
        <v>0.10456612432490101</v>
      </c>
      <c r="GH13">
        <v>-8.0729774831561994E-3</v>
      </c>
      <c r="GI13">
        <v>3.4896389662573001E-3</v>
      </c>
      <c r="GJ13">
        <v>6.9863442932266602E-3</v>
      </c>
      <c r="GK13">
        <v>-3.12147505437427E-2</v>
      </c>
    </row>
    <row r="14" spans="1:206" x14ac:dyDescent="0.25">
      <c r="A14" t="s">
        <v>265</v>
      </c>
      <c r="B14" t="s">
        <v>604</v>
      </c>
      <c r="C14">
        <v>-1.3297984193007999</v>
      </c>
      <c r="D14">
        <v>-0.96704939985620397</v>
      </c>
      <c r="E14">
        <v>1.2832043105645501</v>
      </c>
      <c r="F14">
        <v>1.0284540184970901</v>
      </c>
      <c r="G14">
        <v>-0.37538311908930799</v>
      </c>
      <c r="H14">
        <v>-0.33057985108126903</v>
      </c>
      <c r="I14">
        <v>1.74928312317237</v>
      </c>
      <c r="J14">
        <v>2.6398083544982902</v>
      </c>
      <c r="K14">
        <v>3.09644772434764</v>
      </c>
      <c r="L14">
        <v>-8.7588956851550201E-2</v>
      </c>
      <c r="M14">
        <v>-1.2492432919521601</v>
      </c>
      <c r="N14">
        <v>-1.3297984193007999</v>
      </c>
      <c r="O14">
        <v>-0.32009444620730798</v>
      </c>
      <c r="P14">
        <v>0.106159473685286</v>
      </c>
      <c r="Q14">
        <v>-0.24368189401486801</v>
      </c>
      <c r="R14">
        <v>1.4961009735791E-2</v>
      </c>
      <c r="S14">
        <v>-0.36959161865379703</v>
      </c>
      <c r="T14">
        <v>0.58453154413180697</v>
      </c>
      <c r="U14">
        <v>0.26603834995526998</v>
      </c>
      <c r="V14">
        <v>0.63145452854595097</v>
      </c>
      <c r="W14">
        <v>9.7912842891938107E-2</v>
      </c>
      <c r="X14">
        <v>-0.238565809179871</v>
      </c>
      <c r="Y14">
        <v>0.10823565855</v>
      </c>
      <c r="Z14">
        <v>1.8685529322254899E-2</v>
      </c>
      <c r="AA14">
        <v>-0.31392264419909799</v>
      </c>
      <c r="AB14">
        <v>0.66944253673806398</v>
      </c>
      <c r="AC14">
        <v>1.46527593881058</v>
      </c>
      <c r="AD14">
        <v>1.2802161756564201</v>
      </c>
      <c r="AE14">
        <v>0.55230776113943103</v>
      </c>
      <c r="AF14">
        <v>0.51887963154886396</v>
      </c>
      <c r="AG14">
        <v>0.60599354872707101</v>
      </c>
      <c r="AH14">
        <v>0.89376583599336401</v>
      </c>
      <c r="AI14">
        <v>0.27949880405417299</v>
      </c>
      <c r="AJ14">
        <v>0.33178970031074401</v>
      </c>
      <c r="AK14">
        <v>0.24837285120559399</v>
      </c>
      <c r="AL14">
        <v>0.372365085684154</v>
      </c>
      <c r="AM14">
        <v>2.8186351485429102E-2</v>
      </c>
      <c r="AN14">
        <v>7.8295822929018002E-2</v>
      </c>
      <c r="AO14">
        <v>1.30428041350799</v>
      </c>
      <c r="AP14">
        <v>0.33934620392995801</v>
      </c>
      <c r="AQ14">
        <v>0.59002012473699195</v>
      </c>
      <c r="AR14">
        <v>0.99206774616091897</v>
      </c>
      <c r="AS14">
        <v>0.54131503635116096</v>
      </c>
      <c r="AT14">
        <v>-0.24536884228143399</v>
      </c>
      <c r="AU14">
        <v>0.84102207533817996</v>
      </c>
      <c r="AV14">
        <v>3.5738490311239102E-2</v>
      </c>
      <c r="AW14">
        <v>-9.5200430514366705E-2</v>
      </c>
      <c r="AX14">
        <v>0.19658732070623999</v>
      </c>
      <c r="AY14">
        <v>0.20221710313344901</v>
      </c>
      <c r="AZ14">
        <v>6.9601750044896099E-3</v>
      </c>
      <c r="BA14">
        <v>0.45645203551087599</v>
      </c>
      <c r="BB14">
        <v>0.46487443453359301</v>
      </c>
      <c r="BC14">
        <v>0.913325553962269</v>
      </c>
      <c r="BD14">
        <v>0.60096667494702205</v>
      </c>
      <c r="BE14">
        <v>-0.22665310762097099</v>
      </c>
      <c r="BF14">
        <v>0.103899093526418</v>
      </c>
      <c r="BG14">
        <v>-1.83196793726558E-2</v>
      </c>
      <c r="BH14">
        <v>0.54580736100124905</v>
      </c>
      <c r="BI14">
        <v>0.94342292220106505</v>
      </c>
      <c r="BJ14">
        <v>-0.155110555572991</v>
      </c>
      <c r="BK14">
        <v>0.17746601088285199</v>
      </c>
      <c r="BL14">
        <v>0.57921665536599598</v>
      </c>
      <c r="BM14">
        <v>0.71538781840222798</v>
      </c>
      <c r="BN14">
        <v>1.50075690717281</v>
      </c>
      <c r="BO14">
        <v>0.50753655312044199</v>
      </c>
      <c r="BP14">
        <v>2.4524497007568799E-2</v>
      </c>
      <c r="BQ14">
        <v>-0.38555133705883599</v>
      </c>
      <c r="BR14">
        <v>0.34551486119260999</v>
      </c>
      <c r="BS14">
        <v>1.8511856226344601</v>
      </c>
      <c r="BT14">
        <v>2.52219411299922</v>
      </c>
      <c r="BU14">
        <v>2.9658357393199699</v>
      </c>
      <c r="BV14">
        <v>2.20761422658956</v>
      </c>
      <c r="BW14">
        <v>2.5533245807437002</v>
      </c>
      <c r="BX14">
        <v>1.83234071085033</v>
      </c>
      <c r="BY14">
        <v>2.6171608467315801</v>
      </c>
      <c r="BZ14">
        <v>1.1875437964532201</v>
      </c>
      <c r="CA14">
        <v>1.6580377097085299</v>
      </c>
      <c r="CB14">
        <v>0.495760669692481</v>
      </c>
      <c r="CC14">
        <v>0.91075171494369001</v>
      </c>
      <c r="CD14">
        <v>-0.48914120452732801</v>
      </c>
      <c r="CE14">
        <v>-0.34253299741313697</v>
      </c>
      <c r="CF14">
        <v>0.66275798694168797</v>
      </c>
      <c r="CG14">
        <v>-0.37109189826661798</v>
      </c>
      <c r="CH14">
        <v>3.2049078128408702E-2</v>
      </c>
      <c r="CI14">
        <v>0.31598549856769897</v>
      </c>
      <c r="CJ14">
        <v>9.8878107492273593E-3</v>
      </c>
      <c r="CK14">
        <v>-0.44042987922982502</v>
      </c>
      <c r="CL14">
        <v>-0.42491772899803398</v>
      </c>
      <c r="CM14">
        <v>0.413136598306999</v>
      </c>
      <c r="CN14">
        <v>1.2649682606297801</v>
      </c>
      <c r="CO14">
        <v>0.426794264665255</v>
      </c>
      <c r="CP14">
        <v>0.302684261789607</v>
      </c>
      <c r="CQ14">
        <v>0.63972338987628496</v>
      </c>
      <c r="CR14">
        <v>0.18135940564862299</v>
      </c>
      <c r="CS14">
        <v>5.9722843198104801E-2</v>
      </c>
      <c r="CT14">
        <v>0.67854696387221203</v>
      </c>
      <c r="CU14">
        <v>-0.469127051123918</v>
      </c>
      <c r="CV14">
        <v>0.33492254673426602</v>
      </c>
      <c r="CW14">
        <v>0.58858812113574299</v>
      </c>
      <c r="CX14">
        <v>-2.9388568084991799E-2</v>
      </c>
      <c r="CY14">
        <v>0.31110918094830398</v>
      </c>
      <c r="CZ14">
        <v>1.20453473567368</v>
      </c>
      <c r="DA14">
        <v>0.166959713464122</v>
      </c>
      <c r="DB14">
        <v>-0.29850803806791998</v>
      </c>
      <c r="DC14">
        <v>0.26807325365394602</v>
      </c>
      <c r="DD14">
        <v>5.8972588845670602E-2</v>
      </c>
      <c r="DE14">
        <v>0.16597835560042201</v>
      </c>
      <c r="DF14">
        <v>0.35054000544255798</v>
      </c>
      <c r="DG14">
        <v>-0.49495389786149102</v>
      </c>
      <c r="DH14">
        <v>-0.31959584095381799</v>
      </c>
      <c r="DI14">
        <v>-0.42596286807582001</v>
      </c>
      <c r="DJ14">
        <v>-4.9214807610896201E-2</v>
      </c>
      <c r="DK14">
        <v>-0.196205258811946</v>
      </c>
      <c r="DL14">
        <v>8.5917855513213501E-2</v>
      </c>
      <c r="DM14">
        <v>-3.72916206774071E-2</v>
      </c>
      <c r="DN14">
        <v>-0.46521441383828399</v>
      </c>
      <c r="DO14">
        <v>0.20961668263832001</v>
      </c>
      <c r="DP14">
        <v>-4.0675313868406802E-2</v>
      </c>
      <c r="DQ14">
        <v>0.55317249036715899</v>
      </c>
      <c r="DR14">
        <v>-6.69619921276918E-2</v>
      </c>
      <c r="DS14">
        <v>0.19139661688147599</v>
      </c>
      <c r="DT14">
        <v>0.79182902603143102</v>
      </c>
      <c r="DU14">
        <v>-8.5219855589726404E-2</v>
      </c>
      <c r="DV14">
        <v>0.19169420845162</v>
      </c>
      <c r="DW14">
        <v>0.116185258746452</v>
      </c>
      <c r="DX14">
        <v>1.6849389010546102E-2</v>
      </c>
      <c r="DY14">
        <v>-0.33677974377113101</v>
      </c>
      <c r="DZ14">
        <v>0.73636922854035103</v>
      </c>
      <c r="EA14">
        <v>0.112667678442142</v>
      </c>
      <c r="EB14">
        <v>0.57838955898409095</v>
      </c>
      <c r="EC14">
        <v>-0.156530239537048</v>
      </c>
      <c r="ED14">
        <v>-9.6859613602761602E-2</v>
      </c>
      <c r="EE14">
        <v>0.49425047002906097</v>
      </c>
      <c r="EF14">
        <v>0.84497962740872601</v>
      </c>
      <c r="EG14">
        <v>-8.2922788517465706E-2</v>
      </c>
      <c r="EH14">
        <v>6.3509951192011499E-2</v>
      </c>
      <c r="EI14">
        <v>0.14902257305538399</v>
      </c>
      <c r="EJ14">
        <v>4.0095757557722198E-2</v>
      </c>
      <c r="EK14">
        <v>0.27981096682040701</v>
      </c>
      <c r="EL14">
        <v>-7.7187952169179494E-2</v>
      </c>
      <c r="EM14">
        <v>-0.142391611015141</v>
      </c>
      <c r="EN14">
        <v>0.33024188862991299</v>
      </c>
      <c r="EO14">
        <v>2.1982161865894802E-3</v>
      </c>
      <c r="EP14">
        <v>-0.36957089770580998</v>
      </c>
      <c r="EQ14">
        <v>-0.408120722093326</v>
      </c>
      <c r="ER14">
        <v>0.25486170288890098</v>
      </c>
      <c r="ES14">
        <v>-0.347319819058032</v>
      </c>
      <c r="ET14">
        <v>0.204129262629933</v>
      </c>
      <c r="EU14">
        <v>-0.52374499772073602</v>
      </c>
      <c r="EV14">
        <v>8.9606356166767903E-2</v>
      </c>
      <c r="EW14">
        <v>0.25646625476726198</v>
      </c>
      <c r="EX14">
        <v>4.3471675245221102E-2</v>
      </c>
      <c r="EY14">
        <v>0.788745750437153</v>
      </c>
      <c r="EZ14">
        <v>0.33664344044343403</v>
      </c>
      <c r="FA14">
        <v>0.397042041284701</v>
      </c>
      <c r="FB14">
        <v>0.50349374133944502</v>
      </c>
      <c r="FC14">
        <v>0.82720031813461103</v>
      </c>
      <c r="FD14">
        <v>0.55621988482891405</v>
      </c>
      <c r="FE14">
        <v>0.90955839531832205</v>
      </c>
      <c r="FF14">
        <v>0.108503273434261</v>
      </c>
      <c r="FG14">
        <v>-0.19646829260097101</v>
      </c>
      <c r="FH14">
        <v>-0.29045944382015199</v>
      </c>
      <c r="FI14">
        <v>0.64641726349204098</v>
      </c>
      <c r="FJ14">
        <v>0.83534621106534201</v>
      </c>
      <c r="FK14">
        <v>-0.16061610247070299</v>
      </c>
      <c r="FL14">
        <v>0.89198237584358697</v>
      </c>
      <c r="FM14">
        <v>4.1781761486225401E-2</v>
      </c>
      <c r="FN14">
        <v>0.27738746986116902</v>
      </c>
      <c r="FO14">
        <v>0.59031418510080802</v>
      </c>
      <c r="FP14">
        <v>6.2147662939969602E-2</v>
      </c>
      <c r="FQ14">
        <v>-0.15457028450610399</v>
      </c>
      <c r="FR14">
        <v>0.582191251414235</v>
      </c>
      <c r="FS14">
        <v>0.42941092996290797</v>
      </c>
      <c r="FT14">
        <v>0.16576465921744099</v>
      </c>
      <c r="FU14">
        <v>0.16268706203518599</v>
      </c>
      <c r="FV14">
        <v>1.0931684682232301</v>
      </c>
      <c r="FW14">
        <v>0.44889765974221102</v>
      </c>
      <c r="FX14">
        <v>0.24167504313949001</v>
      </c>
      <c r="FY14">
        <v>-4.9573458949429602E-3</v>
      </c>
      <c r="FZ14">
        <v>0.49654880554983</v>
      </c>
      <c r="GA14">
        <v>0.61564741472157902</v>
      </c>
      <c r="GB14">
        <v>0.18731457783035399</v>
      </c>
      <c r="GC14">
        <v>0.51418581357598603</v>
      </c>
      <c r="GD14">
        <v>6.4021745681024297E-2</v>
      </c>
      <c r="GE14">
        <v>0.24731505846379201</v>
      </c>
      <c r="GF14">
        <v>0.79457019656257799</v>
      </c>
      <c r="GG14">
        <v>1.0416386076919899</v>
      </c>
      <c r="GH14">
        <v>0.35423282990387001</v>
      </c>
      <c r="GI14">
        <v>7.5887636723851695E-2</v>
      </c>
      <c r="GJ14">
        <v>0.100934258256904</v>
      </c>
      <c r="GK14">
        <v>-0.121944250475769</v>
      </c>
    </row>
    <row r="15" spans="1:206" x14ac:dyDescent="0.25">
      <c r="A15" t="s">
        <v>265</v>
      </c>
      <c r="B15" t="s">
        <v>605</v>
      </c>
      <c r="C15">
        <v>-2.00078043271678</v>
      </c>
      <c r="D15">
        <v>-2.25105827670808</v>
      </c>
      <c r="E15">
        <v>-0.92869507808980201</v>
      </c>
      <c r="F15">
        <v>-0.833942861917918</v>
      </c>
      <c r="G15">
        <v>-4.1414586750913598E-2</v>
      </c>
      <c r="H15">
        <v>-0.47528168570613599</v>
      </c>
      <c r="I15">
        <v>-1.4926582545713201</v>
      </c>
      <c r="J15">
        <v>-1.55346206046562</v>
      </c>
      <c r="K15">
        <v>-1.59589719766622</v>
      </c>
      <c r="L15">
        <v>-0.13800722702449</v>
      </c>
      <c r="M15">
        <v>-2.60756096101291</v>
      </c>
      <c r="N15">
        <v>-2.4959159620591298</v>
      </c>
      <c r="O15">
        <v>-1.57665854856965</v>
      </c>
      <c r="P15">
        <v>5.01786960980466E-2</v>
      </c>
      <c r="Q15">
        <v>-0.313702574660147</v>
      </c>
      <c r="R15">
        <v>-0.27380359449528302</v>
      </c>
      <c r="S15">
        <v>-3.9419147345368402E-2</v>
      </c>
      <c r="T15">
        <v>0.409309227270238</v>
      </c>
      <c r="U15">
        <v>0.30578790041460602</v>
      </c>
      <c r="V15">
        <v>0.39570244107115998</v>
      </c>
      <c r="W15">
        <v>-0.24047202194289299</v>
      </c>
      <c r="X15">
        <v>0.735259063987589</v>
      </c>
      <c r="Y15">
        <v>0.13034436309882999</v>
      </c>
      <c r="Z15">
        <v>-0.3212519542649</v>
      </c>
      <c r="AA15">
        <v>-0.22632146947254</v>
      </c>
      <c r="AB15">
        <v>0.69397240190192599</v>
      </c>
      <c r="AC15">
        <v>1.3254089573301899</v>
      </c>
      <c r="AD15">
        <v>1.2350769140382201</v>
      </c>
      <c r="AE15">
        <v>0.16534509857478699</v>
      </c>
      <c r="AF15">
        <v>0.108350566161915</v>
      </c>
      <c r="AG15">
        <v>0.72132986080986805</v>
      </c>
      <c r="AH15">
        <v>1.1628940402454599</v>
      </c>
      <c r="AI15">
        <v>0.38310728802756899</v>
      </c>
      <c r="AJ15">
        <v>-4.2019012447651501E-2</v>
      </c>
      <c r="AK15">
        <v>0.63898648819270698</v>
      </c>
      <c r="AL15">
        <v>0.11481642852825499</v>
      </c>
      <c r="AM15">
        <v>1.04966642717035</v>
      </c>
      <c r="AN15">
        <v>1.2871638312706</v>
      </c>
      <c r="AO15">
        <v>1.5494843703141401</v>
      </c>
      <c r="AP15">
        <v>-0.220081293848476</v>
      </c>
      <c r="AQ15">
        <v>0.93214190827327303</v>
      </c>
      <c r="AR15">
        <v>0.96479707418485205</v>
      </c>
      <c r="AS15">
        <v>1.10468500560824</v>
      </c>
      <c r="AT15">
        <v>0.78494945103487801</v>
      </c>
      <c r="AU15">
        <v>0.65923993751756904</v>
      </c>
      <c r="AV15">
        <v>-0.56900099590487996</v>
      </c>
      <c r="AW15">
        <v>5.2452140005777297E-2</v>
      </c>
      <c r="AX15">
        <v>0.274543288353642</v>
      </c>
      <c r="AY15">
        <v>0.10165314121814301</v>
      </c>
      <c r="AZ15">
        <v>9.0465797716379803E-2</v>
      </c>
      <c r="BA15">
        <v>0.15831762254371201</v>
      </c>
      <c r="BB15">
        <v>1.10794858134123</v>
      </c>
      <c r="BC15">
        <v>-0.153496296345871</v>
      </c>
      <c r="BD15">
        <v>0.25105710539491599</v>
      </c>
      <c r="BE15">
        <v>-0.758245890467655</v>
      </c>
      <c r="BF15">
        <v>-0.63169056476361396</v>
      </c>
      <c r="BG15">
        <v>0.77472091625343298</v>
      </c>
      <c r="BH15">
        <v>-0.19407452482252299</v>
      </c>
      <c r="BI15">
        <v>1.3742475150165601</v>
      </c>
      <c r="BJ15">
        <v>1.4295164817536801</v>
      </c>
      <c r="BK15">
        <v>0.42149282118113601</v>
      </c>
      <c r="BL15">
        <v>1.36878528731819</v>
      </c>
      <c r="BM15">
        <v>0.74194341820336696</v>
      </c>
      <c r="BN15">
        <v>0.90311859718198295</v>
      </c>
      <c r="BO15">
        <v>0.671191853499993</v>
      </c>
      <c r="BP15">
        <v>0.85969020813179597</v>
      </c>
      <c r="BQ15">
        <v>2.8343960099378201E-2</v>
      </c>
      <c r="BR15">
        <v>1.22110918370961</v>
      </c>
      <c r="BS15">
        <v>0.14475337683483699</v>
      </c>
      <c r="BT15">
        <v>-0.32796686255586099</v>
      </c>
      <c r="BU15">
        <v>-0.62193964035442195</v>
      </c>
      <c r="BV15">
        <v>-0.486157075228067</v>
      </c>
      <c r="BW15">
        <v>-0.44092398720139497</v>
      </c>
      <c r="BX15">
        <v>-0.59864220431386195</v>
      </c>
      <c r="BY15">
        <v>-0.366719983680035</v>
      </c>
      <c r="BZ15">
        <v>7.3217536112261204E-3</v>
      </c>
      <c r="CA15">
        <v>0.39596707502633299</v>
      </c>
      <c r="CB15">
        <v>1.03443428570909</v>
      </c>
      <c r="CC15">
        <v>7.2783966724802501E-2</v>
      </c>
      <c r="CD15">
        <v>-0.382313774557894</v>
      </c>
      <c r="CE15">
        <v>-1.1894769684846099E-2</v>
      </c>
      <c r="CF15">
        <v>0.160067855213258</v>
      </c>
      <c r="CG15">
        <v>-0.87506345271608499</v>
      </c>
      <c r="CH15">
        <v>-0.65609064438035103</v>
      </c>
      <c r="CI15">
        <v>0.72162459107031496</v>
      </c>
      <c r="CJ15">
        <v>0.65578974312678295</v>
      </c>
      <c r="CK15">
        <v>0.74927612540585498</v>
      </c>
      <c r="CL15">
        <v>0.26606923598620502</v>
      </c>
      <c r="CM15">
        <v>0.53619183565197703</v>
      </c>
      <c r="CN15">
        <v>0.30617013775599899</v>
      </c>
      <c r="CO15">
        <v>-0.26556841940793402</v>
      </c>
      <c r="CP15">
        <v>0.48306693273926798</v>
      </c>
      <c r="CQ15">
        <v>0.49987607548462998</v>
      </c>
      <c r="CR15">
        <v>0.49707200461106898</v>
      </c>
      <c r="CS15">
        <v>0.403394001743418</v>
      </c>
      <c r="CT15">
        <v>0.36813209359204802</v>
      </c>
      <c r="CU15">
        <v>6.4543800655617295E-2</v>
      </c>
      <c r="CV15">
        <v>5.1037891265045002E-2</v>
      </c>
      <c r="CW15">
        <v>0.458719692978455</v>
      </c>
      <c r="CX15">
        <v>0.72372231604956605</v>
      </c>
      <c r="CY15">
        <v>0.75252933232779695</v>
      </c>
      <c r="CZ15">
        <v>-0.433747426952936</v>
      </c>
      <c r="DA15">
        <v>0.108832335364101</v>
      </c>
      <c r="DB15">
        <v>-0.13734112826567699</v>
      </c>
      <c r="DC15">
        <v>0.37846035455855098</v>
      </c>
      <c r="DD15">
        <v>2.42095934399809E-2</v>
      </c>
      <c r="DE15">
        <v>0.218814841785088</v>
      </c>
      <c r="DF15">
        <v>-2.4741437153116799E-2</v>
      </c>
      <c r="DG15">
        <v>-0.204358608535231</v>
      </c>
      <c r="DH15">
        <v>-0.48957191740941802</v>
      </c>
      <c r="DI15">
        <v>-0.31227825788172298</v>
      </c>
      <c r="DJ15">
        <v>-0.76903017520142702</v>
      </c>
      <c r="DK15">
        <v>-0.33981280666034103</v>
      </c>
      <c r="DL15">
        <v>0.20013341242473501</v>
      </c>
      <c r="DM15">
        <v>4.99870890796415E-2</v>
      </c>
      <c r="DN15">
        <v>-9.5039885990645098E-2</v>
      </c>
      <c r="DO15">
        <v>0.37802848171207898</v>
      </c>
      <c r="DP15">
        <v>-0.11913481637981201</v>
      </c>
      <c r="DQ15">
        <v>0.535059237835943</v>
      </c>
      <c r="DR15">
        <v>0.77209091319107703</v>
      </c>
      <c r="DS15">
        <v>-0.54253932176208997</v>
      </c>
      <c r="DT15">
        <v>0.27311196095445001</v>
      </c>
      <c r="DU15">
        <v>-0.44595875856762901</v>
      </c>
      <c r="DV15">
        <v>-0.31859599357380203</v>
      </c>
      <c r="DW15">
        <v>0.71873437469280399</v>
      </c>
      <c r="DX15">
        <v>-0.39563756782772902</v>
      </c>
      <c r="DY15">
        <v>9.7724488033652995E-2</v>
      </c>
      <c r="DZ15">
        <v>-0.300811342026158</v>
      </c>
      <c r="EA15">
        <v>0.38546234956349501</v>
      </c>
      <c r="EB15">
        <v>0.30702267275562201</v>
      </c>
      <c r="EC15">
        <v>-4.2115820082950402E-2</v>
      </c>
      <c r="ED15">
        <v>0.78011678147292995</v>
      </c>
      <c r="EE15">
        <v>0.52231536221295605</v>
      </c>
      <c r="EF15">
        <v>0.750568127438483</v>
      </c>
      <c r="EG15">
        <v>0.82309888609690096</v>
      </c>
      <c r="EH15">
        <v>0.230316757755642</v>
      </c>
      <c r="EI15">
        <v>0.142682181310925</v>
      </c>
      <c r="EJ15">
        <v>0.304456616396868</v>
      </c>
      <c r="EK15">
        <v>0.32894001641218301</v>
      </c>
      <c r="EL15">
        <v>-0.103980226323411</v>
      </c>
      <c r="EM15">
        <v>0.27549663755322301</v>
      </c>
      <c r="EN15">
        <v>0.37727534277312702</v>
      </c>
      <c r="EO15">
        <v>-4.7380966464074602E-2</v>
      </c>
      <c r="EP15">
        <v>0.67908747448694395</v>
      </c>
      <c r="EQ15">
        <v>0.43294278081151899</v>
      </c>
      <c r="ER15">
        <v>0.80053419031192496</v>
      </c>
      <c r="ES15">
        <v>0.10668610045430101</v>
      </c>
      <c r="ET15">
        <v>6.4677671832149494E-2</v>
      </c>
      <c r="EU15">
        <v>-0.30551480446037099</v>
      </c>
      <c r="EV15">
        <v>0.187176142637931</v>
      </c>
      <c r="EW15">
        <v>0.50843307072851096</v>
      </c>
      <c r="EX15">
        <v>0.56200712395882402</v>
      </c>
      <c r="EY15">
        <v>0.44868606725132198</v>
      </c>
      <c r="EZ15">
        <v>-0.21191130007485001</v>
      </c>
      <c r="FA15">
        <v>-3.1451031436079602E-4</v>
      </c>
      <c r="FB15">
        <v>0.46458316694639401</v>
      </c>
      <c r="FC15">
        <v>0.56631413149074905</v>
      </c>
      <c r="FD15">
        <v>6.5594208017820205E-2</v>
      </c>
      <c r="FE15">
        <v>0.52431891460193902</v>
      </c>
      <c r="FF15">
        <v>0.81748370878107002</v>
      </c>
      <c r="FG15">
        <v>0.73661331893344595</v>
      </c>
      <c r="FH15">
        <v>0.86239429491510899</v>
      </c>
      <c r="FI15">
        <v>1.16931060020975</v>
      </c>
      <c r="FJ15">
        <v>1.07292756141393</v>
      </c>
      <c r="FK15">
        <v>0.42654458480889301</v>
      </c>
      <c r="FL15">
        <v>0.757190684369486</v>
      </c>
      <c r="FM15">
        <v>0.87042648380748899</v>
      </c>
      <c r="FN15">
        <v>0.67199618729517296</v>
      </c>
      <c r="FO15">
        <v>0.54288468939800205</v>
      </c>
      <c r="FP15">
        <v>0.52418237751415397</v>
      </c>
      <c r="FQ15">
        <v>0.25286912763736802</v>
      </c>
      <c r="FR15">
        <v>0.41163241169586301</v>
      </c>
      <c r="FS15">
        <v>0.71951621550220002</v>
      </c>
      <c r="FT15">
        <v>0.414373774929154</v>
      </c>
      <c r="FU15">
        <v>1.0369338094195</v>
      </c>
      <c r="FV15">
        <v>1.1113798454343899</v>
      </c>
      <c r="FW15">
        <v>0.25785655113872902</v>
      </c>
      <c r="FX15">
        <v>0.64925670049425099</v>
      </c>
      <c r="FY15">
        <v>-3.6160228517505499E-2</v>
      </c>
      <c r="FZ15">
        <v>0.56649559578696396</v>
      </c>
      <c r="GA15">
        <v>0.38940888180787397</v>
      </c>
      <c r="GB15">
        <v>0.458575216359497</v>
      </c>
      <c r="GC15">
        <v>0.82075470335028999</v>
      </c>
      <c r="GD15">
        <v>0.72407120788488399</v>
      </c>
      <c r="GE15">
        <v>0.39237897291285101</v>
      </c>
      <c r="GF15">
        <v>0.52736205730034702</v>
      </c>
      <c r="GG15">
        <v>0.72824808860729395</v>
      </c>
      <c r="GH15">
        <v>0.35237947651518198</v>
      </c>
      <c r="GI15">
        <v>0.76140625016102303</v>
      </c>
      <c r="GJ15">
        <v>0.69249113343665003</v>
      </c>
      <c r="GK15">
        <v>0.724368088430006</v>
      </c>
    </row>
    <row r="16" spans="1:206" x14ac:dyDescent="0.25">
      <c r="A16" t="s">
        <v>265</v>
      </c>
      <c r="B16" t="s">
        <v>753</v>
      </c>
      <c r="C16">
        <v>-1.19659132202359</v>
      </c>
      <c r="D16">
        <v>-1.1649933253844</v>
      </c>
      <c r="E16">
        <v>-0.48332993821972298</v>
      </c>
      <c r="F16">
        <v>-0.56422167982869598</v>
      </c>
      <c r="G16">
        <v>-0.49222181399813503</v>
      </c>
      <c r="H16">
        <v>-7.0427056537393099E-3</v>
      </c>
      <c r="I16">
        <v>-6.3247797897819605E-2</v>
      </c>
      <c r="J16">
        <v>-0.14593198603652599</v>
      </c>
      <c r="K16">
        <v>-0.45215189635529801</v>
      </c>
      <c r="L16">
        <v>-0.128027494313602</v>
      </c>
      <c r="M16">
        <v>-1.3751476351013301</v>
      </c>
      <c r="N16">
        <v>-1.36366152451291</v>
      </c>
      <c r="O16">
        <v>-0.24343015650206201</v>
      </c>
      <c r="P16">
        <v>-0.17184542631779601</v>
      </c>
      <c r="Q16">
        <v>0.16062544549270499</v>
      </c>
      <c r="R16">
        <v>-0.289031731487431</v>
      </c>
      <c r="S16">
        <v>-0.14626651273142999</v>
      </c>
      <c r="T16">
        <v>-0.21043316387293001</v>
      </c>
      <c r="U16">
        <v>0.36070190827111898</v>
      </c>
      <c r="V16">
        <v>2.72538007560288E-2</v>
      </c>
      <c r="W16">
        <v>0.94555065933021798</v>
      </c>
      <c r="X16">
        <v>0.189705170186482</v>
      </c>
      <c r="Y16">
        <v>1.1098446715767599E-2</v>
      </c>
      <c r="Z16">
        <v>1.16401640137883E-2</v>
      </c>
      <c r="AA16">
        <v>0.16876026107810799</v>
      </c>
      <c r="AB16">
        <v>0.490630642303999</v>
      </c>
      <c r="AC16">
        <v>0.25319305968310302</v>
      </c>
      <c r="AD16">
        <v>-0.16120232301875401</v>
      </c>
      <c r="AE16">
        <v>0.35276801290967102</v>
      </c>
      <c r="AF16">
        <v>0.30177389239905</v>
      </c>
      <c r="AG16">
        <v>0.237317232660711</v>
      </c>
      <c r="AH16">
        <v>0.31603924650237702</v>
      </c>
      <c r="AI16">
        <v>0.62379734028647404</v>
      </c>
      <c r="AJ16">
        <v>1.14968475000203E-2</v>
      </c>
      <c r="AK16">
        <v>-9.7735984981554405E-2</v>
      </c>
      <c r="AL16">
        <v>0.33172135757829901</v>
      </c>
      <c r="AM16">
        <v>0.60113280113189405</v>
      </c>
      <c r="AN16">
        <v>0.24784495294853801</v>
      </c>
      <c r="AO16">
        <v>0.11988963219957199</v>
      </c>
      <c r="AP16">
        <v>-3.0865990150185301E-2</v>
      </c>
      <c r="AQ16">
        <v>0.14145504068850401</v>
      </c>
      <c r="AR16">
        <v>0.40966339999729001</v>
      </c>
      <c r="AS16">
        <v>-3.1620411337009102E-2</v>
      </c>
      <c r="AT16">
        <v>0.42247617300712198</v>
      </c>
      <c r="AU16">
        <v>0.20940005195748301</v>
      </c>
      <c r="AV16">
        <v>0.312053224956581</v>
      </c>
      <c r="AW16">
        <v>-8.5771604709601906E-2</v>
      </c>
      <c r="AX16">
        <v>-0.12996834057758999</v>
      </c>
      <c r="AY16">
        <v>3.9580237788002903E-2</v>
      </c>
      <c r="AZ16">
        <v>-0.42900607573344202</v>
      </c>
      <c r="BA16">
        <v>-8.0491741247013401E-2</v>
      </c>
      <c r="BB16">
        <v>-8.4957602301296606E-2</v>
      </c>
      <c r="BC16">
        <v>-0.26976730779045599</v>
      </c>
      <c r="BD16">
        <v>-0.241477514996602</v>
      </c>
      <c r="BE16">
        <v>-6.9138629458954895E-2</v>
      </c>
      <c r="BF16">
        <v>0.51007763299433195</v>
      </c>
      <c r="BG16">
        <v>-0.278377323210518</v>
      </c>
      <c r="BH16">
        <v>0.13555753937645099</v>
      </c>
      <c r="BI16">
        <v>-1.4484186579565499E-2</v>
      </c>
      <c r="BJ16">
        <v>-0.20098610979076401</v>
      </c>
      <c r="BK16">
        <v>0.47391803674053001</v>
      </c>
      <c r="BL16">
        <v>0.33449680824021899</v>
      </c>
      <c r="BM16">
        <v>-0.26830058253161698</v>
      </c>
      <c r="BN16">
        <v>0.147867639698567</v>
      </c>
      <c r="BO16">
        <v>-2.59007656510945E-2</v>
      </c>
      <c r="BP16">
        <v>0.137788853253793</v>
      </c>
      <c r="BQ16">
        <v>0.31512586919900998</v>
      </c>
      <c r="BR16">
        <v>5.99368239996248E-2</v>
      </c>
      <c r="BS16">
        <v>0.35683972134469299</v>
      </c>
      <c r="BT16">
        <v>0.18863307317092801</v>
      </c>
      <c r="BU16">
        <v>7.8144575444421993E-2</v>
      </c>
      <c r="BV16">
        <v>8.9819180751813693E-2</v>
      </c>
      <c r="BW16">
        <v>-0.20986169594617499</v>
      </c>
      <c r="BX16">
        <v>-3.1498623926047603E-2</v>
      </c>
      <c r="BY16">
        <v>3.6960185039695302E-2</v>
      </c>
      <c r="BZ16">
        <v>1.63401782571986E-2</v>
      </c>
      <c r="CA16">
        <v>-0.13657499599729001</v>
      </c>
      <c r="CB16">
        <v>0.21844504201866199</v>
      </c>
      <c r="CC16">
        <v>-0.19892585820582701</v>
      </c>
      <c r="CD16">
        <v>0.21851074470280399</v>
      </c>
      <c r="CE16">
        <v>0.52375630686716401</v>
      </c>
      <c r="CF16">
        <v>0.392607921462506</v>
      </c>
      <c r="CG16">
        <v>0.146818336203872</v>
      </c>
      <c r="CH16">
        <v>-3.6866047626452202E-2</v>
      </c>
      <c r="CI16">
        <v>-0.46987165863262997</v>
      </c>
      <c r="CJ16">
        <v>-9.8662807302708697E-2</v>
      </c>
      <c r="CK16">
        <v>-0.109702565273368</v>
      </c>
      <c r="CL16">
        <v>6.0930219317660898E-2</v>
      </c>
      <c r="CM16">
        <v>0.281260063000002</v>
      </c>
      <c r="CN16">
        <v>0.40183483403735298</v>
      </c>
      <c r="CO16">
        <v>0.729057035521953</v>
      </c>
      <c r="CP16">
        <v>0.133295554369292</v>
      </c>
      <c r="CQ16">
        <v>-4.9260294391472101E-2</v>
      </c>
      <c r="CR16">
        <v>0.27104282547624398</v>
      </c>
      <c r="CS16">
        <v>-0.23922293707418699</v>
      </c>
      <c r="CT16">
        <v>0.22542866949090001</v>
      </c>
      <c r="CU16">
        <v>0.61434081699255305</v>
      </c>
      <c r="CV16">
        <v>0.693726219454181</v>
      </c>
      <c r="CW16">
        <v>-3.5822653036433998E-2</v>
      </c>
      <c r="CX16">
        <v>1.30788348945465E-2</v>
      </c>
      <c r="CY16">
        <v>2.22449344574518E-2</v>
      </c>
      <c r="CZ16">
        <v>0.526160972851338</v>
      </c>
      <c r="DA16">
        <v>-2.34856245351741E-2</v>
      </c>
      <c r="DB16">
        <v>3.0817524602233502E-2</v>
      </c>
      <c r="DC16">
        <v>0.215433574880219</v>
      </c>
      <c r="DD16">
        <v>2.3793921898138501E-3</v>
      </c>
      <c r="DE16">
        <v>-0.100208251767702</v>
      </c>
      <c r="DF16">
        <v>-0.51089634631834902</v>
      </c>
      <c r="DG16">
        <v>6.7400956306265594E-2</v>
      </c>
      <c r="DH16">
        <v>0.52179463609078902</v>
      </c>
      <c r="DI16">
        <v>-4.3581059119731098E-2</v>
      </c>
      <c r="DJ16">
        <v>0.14932723059564601</v>
      </c>
      <c r="DK16">
        <v>-0.16614040465183999</v>
      </c>
      <c r="DL16">
        <v>0.40711114263154402</v>
      </c>
      <c r="DM16">
        <v>0.373823732667529</v>
      </c>
      <c r="DN16">
        <v>0.72563082315468197</v>
      </c>
      <c r="DO16">
        <v>0.38425009754499601</v>
      </c>
      <c r="DP16">
        <v>-0.245987942885665</v>
      </c>
      <c r="DQ16">
        <v>0.104407857913267</v>
      </c>
      <c r="DR16">
        <v>-0.36234356588873101</v>
      </c>
      <c r="DS16">
        <v>0.342585531256064</v>
      </c>
      <c r="DT16">
        <v>0.467229602387637</v>
      </c>
      <c r="DU16">
        <v>-0.13203109983751499</v>
      </c>
      <c r="DV16">
        <v>0.13738077740087001</v>
      </c>
      <c r="DW16">
        <v>0.15166990336286101</v>
      </c>
      <c r="DX16">
        <v>0.49124144981026902</v>
      </c>
      <c r="DY16">
        <v>0.240484075389789</v>
      </c>
      <c r="DZ16">
        <v>0.240603221422827</v>
      </c>
      <c r="EA16">
        <v>-1.31670903529534E-2</v>
      </c>
      <c r="EB16">
        <v>-5.4243718127628897E-2</v>
      </c>
      <c r="EC16">
        <v>1.9301935354548199E-2</v>
      </c>
      <c r="ED16">
        <v>0.37398722038514398</v>
      </c>
      <c r="EE16">
        <v>0.20809006174844599</v>
      </c>
      <c r="EF16">
        <v>-0.16110877333787599</v>
      </c>
      <c r="EG16">
        <v>0.236393758664598</v>
      </c>
      <c r="EH16">
        <v>-0.39189802265866203</v>
      </c>
      <c r="EI16">
        <v>0.38942149160912798</v>
      </c>
      <c r="EJ16">
        <v>-0.182081558204779</v>
      </c>
      <c r="EK16">
        <v>0.58733196740423399</v>
      </c>
      <c r="EL16">
        <v>-2.0927447924218699E-4</v>
      </c>
      <c r="EM16">
        <v>-0.197024289551474</v>
      </c>
      <c r="EN16">
        <v>0.24814386017819101</v>
      </c>
      <c r="EO16">
        <v>8.4522746993067596E-2</v>
      </c>
      <c r="EP16">
        <v>0.38274661544712302</v>
      </c>
      <c r="EQ16">
        <v>0.54374120155309602</v>
      </c>
      <c r="ER16">
        <v>0.48301608592647499</v>
      </c>
      <c r="ES16">
        <v>7.4069771431000297E-2</v>
      </c>
      <c r="ET16">
        <v>0.126968092174819</v>
      </c>
      <c r="EU16">
        <v>-0.29172658658484901</v>
      </c>
      <c r="EV16">
        <v>-0.30298722316980597</v>
      </c>
      <c r="EW16">
        <v>9.6369232368110999E-2</v>
      </c>
      <c r="EX16">
        <v>-0.24916020028918201</v>
      </c>
      <c r="EY16">
        <v>-0.12985927512508499</v>
      </c>
      <c r="EZ16">
        <v>0.94810615829352196</v>
      </c>
      <c r="FA16">
        <v>0.35334914052531302</v>
      </c>
      <c r="FB16">
        <v>-0.246702290513931</v>
      </c>
      <c r="FC16">
        <v>0.31016183733181102</v>
      </c>
      <c r="FD16">
        <v>2.0924412670425099E-4</v>
      </c>
      <c r="FE16">
        <v>0.14242741842881301</v>
      </c>
      <c r="FF16">
        <v>0.17997758727066501</v>
      </c>
      <c r="FG16">
        <v>-0.31398843947513999</v>
      </c>
      <c r="FH16">
        <v>0.21296468580485101</v>
      </c>
      <c r="FI16">
        <v>0.118782485101393</v>
      </c>
      <c r="FJ16">
        <v>0.118975995806199</v>
      </c>
      <c r="FK16">
        <v>0.117794503794226</v>
      </c>
      <c r="FL16">
        <v>0.27821204238047198</v>
      </c>
      <c r="FM16">
        <v>-0.373297512052637</v>
      </c>
      <c r="FN16">
        <v>0.13765962132540799</v>
      </c>
      <c r="FO16">
        <v>0.98556621258885801</v>
      </c>
      <c r="FP16">
        <v>0.39806156825439698</v>
      </c>
      <c r="FQ16">
        <v>-0.38473291427387701</v>
      </c>
      <c r="FR16">
        <v>0.136362605605924</v>
      </c>
      <c r="FS16">
        <v>0.26876382220432998</v>
      </c>
      <c r="FT16">
        <v>0.31450487324193899</v>
      </c>
      <c r="FU16">
        <v>0.22369374162210101</v>
      </c>
      <c r="FV16">
        <v>0.29655798319881399</v>
      </c>
      <c r="FW16">
        <v>0.32292139692180299</v>
      </c>
      <c r="FX16">
        <v>-0.20701740131847299</v>
      </c>
      <c r="FY16">
        <v>0.90129309960210602</v>
      </c>
      <c r="FZ16">
        <v>0.50627667682323096</v>
      </c>
      <c r="GA16">
        <v>0.29400523713322602</v>
      </c>
      <c r="GB16">
        <v>0.50140967728661401</v>
      </c>
      <c r="GC16">
        <v>0.45912654146312898</v>
      </c>
      <c r="GD16">
        <v>-9.57697902260225E-2</v>
      </c>
      <c r="GE16">
        <v>0.27885941696792899</v>
      </c>
      <c r="GF16">
        <v>-0.33384533860954402</v>
      </c>
      <c r="GG16">
        <v>0.95626579088529096</v>
      </c>
      <c r="GH16">
        <v>0.33478012379505501</v>
      </c>
      <c r="GI16">
        <v>0.20551456358923101</v>
      </c>
      <c r="GJ16">
        <v>0.102490016314879</v>
      </c>
      <c r="GK16">
        <v>1.27207151431781E-2</v>
      </c>
    </row>
    <row r="17" spans="1:193" x14ac:dyDescent="0.25">
      <c r="A17" t="s">
        <v>265</v>
      </c>
      <c r="B17" t="s">
        <v>614</v>
      </c>
      <c r="C17">
        <v>-0.45078594949683298</v>
      </c>
      <c r="D17">
        <v>-0.53917210506316204</v>
      </c>
      <c r="E17">
        <v>-0.29365088130811801</v>
      </c>
      <c r="F17">
        <v>-0.333016498677983</v>
      </c>
      <c r="G17">
        <v>-0.111698478135015</v>
      </c>
      <c r="H17">
        <v>-0.115655876804505</v>
      </c>
      <c r="I17">
        <v>-0.16522796017299099</v>
      </c>
      <c r="J17">
        <v>-0.49686031259940999</v>
      </c>
      <c r="K17">
        <v>-0.51794211308683802</v>
      </c>
      <c r="L17">
        <v>3.0026955480363E-2</v>
      </c>
      <c r="M17">
        <v>-0.53917210506316204</v>
      </c>
      <c r="N17">
        <v>-0.48701646190273201</v>
      </c>
      <c r="O17">
        <v>-0.53917210506316204</v>
      </c>
      <c r="P17">
        <v>-2.6329766752901999E-2</v>
      </c>
      <c r="Q17">
        <v>-8.0760985375053607E-2</v>
      </c>
      <c r="R17">
        <v>6.0632100282481997E-2</v>
      </c>
      <c r="S17">
        <v>0.39252129439162298</v>
      </c>
      <c r="T17">
        <v>0.478501315219651</v>
      </c>
      <c r="U17">
        <v>-0.100924756541157</v>
      </c>
      <c r="V17">
        <v>-0.31095405962940897</v>
      </c>
      <c r="W17">
        <v>0.35464868533991101</v>
      </c>
      <c r="X17">
        <v>0.15366843177933201</v>
      </c>
      <c r="Y17">
        <v>-8.4745941073109607E-3</v>
      </c>
      <c r="Z17">
        <v>5.6429184518138303E-2</v>
      </c>
      <c r="AA17">
        <v>0.512619498087869</v>
      </c>
      <c r="AB17">
        <v>0.14308271455813201</v>
      </c>
      <c r="AC17">
        <v>-4.1498514313960101E-2</v>
      </c>
      <c r="AD17">
        <v>-9.2560631951989006E-2</v>
      </c>
      <c r="AE17">
        <v>-2.8373518252074901E-3</v>
      </c>
      <c r="AF17">
        <v>-3.3263994945914997E-2</v>
      </c>
      <c r="AG17">
        <v>-1.6995434328237E-2</v>
      </c>
      <c r="AH17">
        <v>0.12748868699406901</v>
      </c>
      <c r="AI17">
        <v>0.17421552325190701</v>
      </c>
      <c r="AJ17">
        <v>0.24487801178656299</v>
      </c>
      <c r="AK17">
        <v>-1.8076223205861001E-2</v>
      </c>
      <c r="AL17">
        <v>-0.104022715101612</v>
      </c>
      <c r="AM17">
        <v>0.53119345013220798</v>
      </c>
      <c r="AN17">
        <v>-0.25619214559339198</v>
      </c>
      <c r="AO17">
        <v>-9.3792504669515206E-2</v>
      </c>
      <c r="AP17">
        <v>-0.14628622492267099</v>
      </c>
      <c r="AQ17">
        <v>0.28346937150097301</v>
      </c>
      <c r="AR17">
        <v>0.208786326518799</v>
      </c>
      <c r="AS17">
        <v>0.105824864587516</v>
      </c>
      <c r="AT17">
        <v>-0.17284471182019601</v>
      </c>
      <c r="AU17">
        <v>0.25404512531419599</v>
      </c>
      <c r="AV17">
        <v>8.4174907823741596E-2</v>
      </c>
      <c r="AW17">
        <v>-6.0329326445424797E-2</v>
      </c>
      <c r="AX17">
        <v>7.8072708950855899E-2</v>
      </c>
      <c r="AY17">
        <v>0.25468426469010103</v>
      </c>
      <c r="AZ17">
        <v>0.405439150134908</v>
      </c>
      <c r="BA17">
        <v>0.19200511453948901</v>
      </c>
      <c r="BB17">
        <v>-0.25010418224169301</v>
      </c>
      <c r="BC17">
        <v>0.22130449759347501</v>
      </c>
      <c r="BD17">
        <v>0.33417566787691599</v>
      </c>
      <c r="BE17">
        <v>4.5640347393550697E-2</v>
      </c>
      <c r="BF17">
        <v>-0.13919323691782501</v>
      </c>
      <c r="BG17">
        <v>-3.7264217728941999E-2</v>
      </c>
      <c r="BH17">
        <v>-0.238809920501767</v>
      </c>
      <c r="BI17">
        <v>-9.8784701813333393E-3</v>
      </c>
      <c r="BJ17">
        <v>0.358965317947604</v>
      </c>
      <c r="BK17">
        <v>-0.15600572805938201</v>
      </c>
      <c r="BL17">
        <v>0.15091221043104</v>
      </c>
      <c r="BM17">
        <v>0.41737453103043398</v>
      </c>
      <c r="BN17">
        <v>0.16488995607211801</v>
      </c>
      <c r="BO17">
        <v>1.6242865388143199E-3</v>
      </c>
      <c r="BP17">
        <v>9.7884233816337193E-2</v>
      </c>
      <c r="BQ17">
        <v>-7.1764455462442603E-2</v>
      </c>
      <c r="BR17">
        <v>-0.111111372199286</v>
      </c>
      <c r="BS17">
        <v>-4.8157168203683799E-2</v>
      </c>
      <c r="BT17">
        <v>-0.33663102854125998</v>
      </c>
      <c r="BU17">
        <v>-0.23464037185398401</v>
      </c>
      <c r="BV17">
        <v>-0.29895644372243302</v>
      </c>
      <c r="BW17">
        <v>-0.26388118710639202</v>
      </c>
      <c r="BX17">
        <v>-0.225888704205715</v>
      </c>
      <c r="BY17">
        <v>-0.11031317451212699</v>
      </c>
      <c r="BZ17">
        <v>9.1731993869001396E-2</v>
      </c>
      <c r="CA17">
        <v>-4.15649207516639E-3</v>
      </c>
      <c r="CB17">
        <v>1.68519519584657E-2</v>
      </c>
      <c r="CC17">
        <v>-9.6082800444340699E-2</v>
      </c>
      <c r="CD17">
        <v>0.117342086456767</v>
      </c>
      <c r="CE17">
        <v>0.198094167397631</v>
      </c>
      <c r="CF17">
        <v>-0.38716409632338999</v>
      </c>
      <c r="CG17">
        <v>-0.25929946688608302</v>
      </c>
      <c r="CH17">
        <v>0.40111434565779802</v>
      </c>
      <c r="CI17">
        <v>0.205390991287278</v>
      </c>
      <c r="CJ17">
        <v>1.42966482592655E-2</v>
      </c>
      <c r="CK17">
        <v>6.6425113702700794E-2</v>
      </c>
      <c r="CL17">
        <v>-1.6500670776157599E-2</v>
      </c>
      <c r="CM17">
        <v>0.44579303503247902</v>
      </c>
      <c r="CN17">
        <v>8.8407684268943902E-3</v>
      </c>
      <c r="CO17">
        <v>0.38688326759757102</v>
      </c>
      <c r="CP17">
        <v>-4.5390011425313202E-2</v>
      </c>
      <c r="CQ17">
        <v>0.69151804814884599</v>
      </c>
      <c r="CR17">
        <v>0.16387724832169301</v>
      </c>
      <c r="CS17">
        <v>4.5164408369512299E-2</v>
      </c>
      <c r="CT17">
        <v>0.15590127249705299</v>
      </c>
      <c r="CU17">
        <v>0.63873632006254799</v>
      </c>
      <c r="CV17">
        <v>0.12903794121816201</v>
      </c>
      <c r="CW17">
        <v>0.63465133567385901</v>
      </c>
      <c r="CX17">
        <v>0.25382508003885601</v>
      </c>
      <c r="CY17">
        <v>-7.1198732634708495E-2</v>
      </c>
      <c r="CZ17">
        <v>-2.7188257431099102E-3</v>
      </c>
      <c r="DA17">
        <v>-0.418238586904913</v>
      </c>
      <c r="DB17">
        <v>0.115147017215866</v>
      </c>
      <c r="DC17">
        <v>-0.146829139930749</v>
      </c>
      <c r="DD17">
        <v>0.29839275114270197</v>
      </c>
      <c r="DE17">
        <v>8.9053994437895495E-2</v>
      </c>
      <c r="DF17">
        <v>0.15462754455664501</v>
      </c>
      <c r="DG17">
        <v>0.38398300291098297</v>
      </c>
      <c r="DH17">
        <v>0.37029563701849499</v>
      </c>
      <c r="DI17">
        <v>0.31994302180990403</v>
      </c>
      <c r="DJ17">
        <v>0.72990243631869001</v>
      </c>
      <c r="DK17">
        <v>0.40361795414239299</v>
      </c>
      <c r="DL17">
        <v>0.50261610500147902</v>
      </c>
      <c r="DM17">
        <v>6.2654263801293396E-3</v>
      </c>
      <c r="DN17">
        <v>0.96418092569510405</v>
      </c>
      <c r="DO17">
        <v>0.21028533412042499</v>
      </c>
      <c r="DP17">
        <v>-6.4554370108091596E-3</v>
      </c>
      <c r="DQ17">
        <v>-0.53917210506316204</v>
      </c>
      <c r="DR17">
        <v>0.50625368213377098</v>
      </c>
      <c r="DS17">
        <v>-2.3379237873746199E-3</v>
      </c>
      <c r="DT17">
        <v>0.51032580081268597</v>
      </c>
      <c r="DU17">
        <v>0.11135208811666999</v>
      </c>
      <c r="DV17">
        <v>0.113597150866002</v>
      </c>
      <c r="DW17">
        <v>0.30538315420266199</v>
      </c>
      <c r="DX17">
        <v>5.4215097685723301E-2</v>
      </c>
      <c r="DY17">
        <v>7.9173141062723901E-3</v>
      </c>
      <c r="DZ17">
        <v>-0.20877915265645999</v>
      </c>
      <c r="EA17">
        <v>6.4160129630851E-3</v>
      </c>
      <c r="EB17">
        <v>0.27578691197465699</v>
      </c>
      <c r="EC17">
        <v>0.15001574969727899</v>
      </c>
      <c r="ED17">
        <v>1.8984478484224999E-2</v>
      </c>
      <c r="EE17">
        <v>0.15311571505535501</v>
      </c>
      <c r="EF17">
        <v>-5.9677562893795597E-2</v>
      </c>
      <c r="EG17">
        <v>0.31362950633157999</v>
      </c>
      <c r="EH17">
        <v>-1.6261173351383401E-3</v>
      </c>
      <c r="EI17">
        <v>-1.20869612059031E-2</v>
      </c>
      <c r="EJ17">
        <v>-7.4691382319451993E-2</v>
      </c>
      <c r="EK17">
        <v>0.70174743357254699</v>
      </c>
      <c r="EL17">
        <v>-9.6377383082839295E-3</v>
      </c>
      <c r="EM17">
        <v>0.21705143411459299</v>
      </c>
      <c r="EN17">
        <v>0.16406912843378799</v>
      </c>
      <c r="EO17">
        <v>0.44874192184817702</v>
      </c>
      <c r="EP17">
        <v>0.39477605579151598</v>
      </c>
      <c r="EQ17">
        <v>0.20399916908678101</v>
      </c>
      <c r="ER17">
        <v>0.34637254836779602</v>
      </c>
      <c r="ES17">
        <v>-1.30135895629272E-2</v>
      </c>
      <c r="ET17">
        <v>0.36941627386720599</v>
      </c>
      <c r="EU17">
        <v>6.03895779235816E-2</v>
      </c>
      <c r="EV17">
        <v>-9.8609818260585E-2</v>
      </c>
      <c r="EW17">
        <v>-1.2941719790520599E-2</v>
      </c>
      <c r="EX17">
        <v>6.8206946511751396E-2</v>
      </c>
      <c r="EY17">
        <v>-4.81663660565671E-2</v>
      </c>
      <c r="EZ17">
        <v>0.50754206065041196</v>
      </c>
      <c r="FA17">
        <v>-5.1816772707092097E-2</v>
      </c>
      <c r="FB17">
        <v>-0.168437921289388</v>
      </c>
      <c r="FC17">
        <v>0.404426612462845</v>
      </c>
      <c r="FD17">
        <v>0.47585947829061298</v>
      </c>
      <c r="FE17">
        <v>0.196270977144404</v>
      </c>
      <c r="FF17">
        <v>-0.40000401428572202</v>
      </c>
      <c r="FG17">
        <v>7.6023310978295802E-2</v>
      </c>
      <c r="FH17">
        <v>0.28906774276040298</v>
      </c>
      <c r="FI17">
        <v>0.44874935351971801</v>
      </c>
      <c r="FJ17">
        <v>0.64083745494730904</v>
      </c>
      <c r="FK17">
        <v>0.116404096212086</v>
      </c>
      <c r="FL17">
        <v>8.8090736922285306E-2</v>
      </c>
      <c r="FM17">
        <v>-2.4649455922055301E-2</v>
      </c>
      <c r="FN17">
        <v>8.1326369752618508E-3</v>
      </c>
      <c r="FO17">
        <v>0.187160691463961</v>
      </c>
      <c r="FP17">
        <v>8.1605362239598606E-2</v>
      </c>
      <c r="FQ17">
        <v>6.53085381023953E-2</v>
      </c>
      <c r="FR17">
        <v>0.261590175729351</v>
      </c>
      <c r="FS17">
        <v>6.6236598196188101E-2</v>
      </c>
      <c r="FT17">
        <v>3.8174495262661402E-2</v>
      </c>
      <c r="FU17">
        <v>8.3093378322810899E-2</v>
      </c>
      <c r="FV17">
        <v>0.24040775184483501</v>
      </c>
      <c r="FW17">
        <v>-0.185366996098287</v>
      </c>
      <c r="FX17">
        <v>-0.155780491914875</v>
      </c>
      <c r="FY17">
        <v>0.103859843124254</v>
      </c>
      <c r="FZ17">
        <v>-8.4238679131764194E-2</v>
      </c>
      <c r="GA17">
        <v>-0.13400619195605401</v>
      </c>
      <c r="GB17">
        <v>3.5515425870541503E-2</v>
      </c>
      <c r="GC17">
        <v>-8.2024111371035699E-2</v>
      </c>
      <c r="GD17">
        <v>4.1880043499958199E-2</v>
      </c>
      <c r="GE17">
        <v>-9.1059575328464898E-2</v>
      </c>
      <c r="GF17">
        <v>-0.168469243437053</v>
      </c>
      <c r="GG17">
        <v>-8.3311369517900496E-2</v>
      </c>
      <c r="GH17">
        <v>-6.9425348236304807E-2</v>
      </c>
      <c r="GI17">
        <v>0.119067244047192</v>
      </c>
      <c r="GJ17">
        <v>5.1804519262816998E-2</v>
      </c>
      <c r="GK17">
        <v>0.29836377474362602</v>
      </c>
    </row>
    <row r="18" spans="1:193" x14ac:dyDescent="0.25">
      <c r="A18" t="s">
        <v>265</v>
      </c>
      <c r="B18" t="s">
        <v>760</v>
      </c>
      <c r="C18">
        <v>0</v>
      </c>
      <c r="D18">
        <v>0</v>
      </c>
      <c r="E18">
        <v>0</v>
      </c>
      <c r="F18">
        <v>1.6798706203704501E-2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</row>
    <row r="19" spans="1:193" x14ac:dyDescent="0.25">
      <c r="A19" t="s">
        <v>265</v>
      </c>
      <c r="B19" t="s">
        <v>600</v>
      </c>
      <c r="C19">
        <v>-2.1535001471638302</v>
      </c>
      <c r="D19">
        <v>-2.0108672519658799</v>
      </c>
      <c r="E19">
        <v>-1.1399592220644801</v>
      </c>
      <c r="F19">
        <v>-1.16458384733513</v>
      </c>
      <c r="G19">
        <v>-0.33610496994267203</v>
      </c>
      <c r="H19">
        <v>-0.28242631565543003</v>
      </c>
      <c r="I19">
        <v>-2.1017530103609001</v>
      </c>
      <c r="J19">
        <v>-2.0855337896160502</v>
      </c>
      <c r="K19">
        <v>-2.2816318576097498</v>
      </c>
      <c r="L19">
        <v>-0.43216574090997401</v>
      </c>
      <c r="M19">
        <v>-2.7388235169723698</v>
      </c>
      <c r="N19">
        <v>-2.7425473191486498</v>
      </c>
      <c r="O19">
        <v>-1.44093277883187</v>
      </c>
      <c r="P19">
        <v>0.19312682124743499</v>
      </c>
      <c r="Q19">
        <v>-0.13609463073591599</v>
      </c>
      <c r="R19">
        <v>-4.8876642265096602E-2</v>
      </c>
      <c r="S19">
        <v>3.9172895900245003E-2</v>
      </c>
      <c r="T19">
        <v>4.8783027052184798E-2</v>
      </c>
      <c r="U19">
        <v>0.61643258018619196</v>
      </c>
      <c r="V19">
        <v>0.67672420141933698</v>
      </c>
      <c r="W19">
        <v>0.37933607526448798</v>
      </c>
      <c r="X19">
        <v>0.45734683032426299</v>
      </c>
      <c r="Y19">
        <v>-0.13750660309683099</v>
      </c>
      <c r="Z19">
        <v>4.9086702943183499E-2</v>
      </c>
      <c r="AA19">
        <v>-0.16659304264102201</v>
      </c>
      <c r="AB19">
        <v>0.80316024367888805</v>
      </c>
      <c r="AC19">
        <v>0.462797789191776</v>
      </c>
      <c r="AD19">
        <v>1.02531721676196</v>
      </c>
      <c r="AE19">
        <v>1.0275281845712301</v>
      </c>
      <c r="AF19">
        <v>1.43782856500553</v>
      </c>
      <c r="AG19">
        <v>0.99556237262776004</v>
      </c>
      <c r="AH19">
        <v>0.68147100969713004</v>
      </c>
      <c r="AI19">
        <v>0.62990901848159397</v>
      </c>
      <c r="AJ19">
        <v>1.0291751464624199</v>
      </c>
      <c r="AK19">
        <v>0.97624417745747105</v>
      </c>
      <c r="AL19">
        <v>0.56604921078716697</v>
      </c>
      <c r="AM19">
        <v>0.786651782540566</v>
      </c>
      <c r="AN19">
        <v>0.65575211737155903</v>
      </c>
      <c r="AO19">
        <v>0.66560211982740303</v>
      </c>
      <c r="AP19">
        <v>1.04192404123024</v>
      </c>
      <c r="AQ19">
        <v>0.25068241673464298</v>
      </c>
      <c r="AR19">
        <v>0.79886676779479104</v>
      </c>
      <c r="AS19">
        <v>0.81482593151246896</v>
      </c>
      <c r="AT19">
        <v>0.140047690561583</v>
      </c>
      <c r="AU19">
        <v>1.0408764724011701</v>
      </c>
      <c r="AV19">
        <v>0.25481990857555498</v>
      </c>
      <c r="AW19">
        <v>-0.24039885074554501</v>
      </c>
      <c r="AX19">
        <v>-0.23369876178719001</v>
      </c>
      <c r="AY19">
        <v>-6.5217421620116997E-2</v>
      </c>
      <c r="AZ19">
        <v>-0.35136329988130499</v>
      </c>
      <c r="BA19">
        <v>0.35131761690934998</v>
      </c>
      <c r="BB19">
        <v>0.79171398973591101</v>
      </c>
      <c r="BC19">
        <v>-0.38577088248215302</v>
      </c>
      <c r="BD19">
        <v>9.7141782902510895E-2</v>
      </c>
      <c r="BE19">
        <v>-0.23926301827035501</v>
      </c>
      <c r="BF19">
        <v>0.50936739938139997</v>
      </c>
      <c r="BG19">
        <v>0.485647117609255</v>
      </c>
      <c r="BH19">
        <v>-0.29401726065151901</v>
      </c>
      <c r="BI19">
        <v>0.64902966834931297</v>
      </c>
      <c r="BJ19">
        <v>9.4292483562825297E-2</v>
      </c>
      <c r="BK19">
        <v>0.66344144204059197</v>
      </c>
      <c r="BL19">
        <v>0.71038286321900601</v>
      </c>
      <c r="BM19">
        <v>1.8946447371013201E-2</v>
      </c>
      <c r="BN19">
        <v>1.12567433278873</v>
      </c>
      <c r="BO19">
        <v>0.37612408448113699</v>
      </c>
      <c r="BP19">
        <v>0.71925598329118201</v>
      </c>
      <c r="BQ19">
        <v>0.37665425544442499</v>
      </c>
      <c r="BR19">
        <v>0.59250587349911799</v>
      </c>
      <c r="BS19">
        <v>0.153527902306624</v>
      </c>
      <c r="BT19">
        <v>-0.24204950434970701</v>
      </c>
      <c r="BU19">
        <v>-0.59070225259081099</v>
      </c>
      <c r="BV19">
        <v>-0.43608814505557603</v>
      </c>
      <c r="BW19">
        <v>-0.884256881797154</v>
      </c>
      <c r="BX19">
        <v>-0.76949612340110596</v>
      </c>
      <c r="BY19">
        <v>-0.713520920429077</v>
      </c>
      <c r="BZ19">
        <v>-0.17908885328355401</v>
      </c>
      <c r="CA19">
        <v>-5.4987776375628296E-3</v>
      </c>
      <c r="CB19">
        <v>0.21045427859656099</v>
      </c>
      <c r="CC19">
        <v>-2.9360582248167299E-2</v>
      </c>
      <c r="CD19">
        <v>-6.49433413209341E-2</v>
      </c>
      <c r="CE19">
        <v>-0.27237560225614299</v>
      </c>
      <c r="CF19">
        <v>0.72110199809577102</v>
      </c>
      <c r="CG19">
        <v>-0.67910311099874199</v>
      </c>
      <c r="CH19">
        <v>-0.24980822263894001</v>
      </c>
      <c r="CI19">
        <v>-0.48067895004924599</v>
      </c>
      <c r="CJ19">
        <v>0.48251473245904097</v>
      </c>
      <c r="CK19">
        <v>0.35483975204652002</v>
      </c>
      <c r="CL19">
        <v>0.21313801228033799</v>
      </c>
      <c r="CM19">
        <v>0.31772258074071502</v>
      </c>
      <c r="CN19">
        <v>0.53639271698220004</v>
      </c>
      <c r="CO19">
        <v>0.212509334936344</v>
      </c>
      <c r="CP19">
        <v>0.79274633866256194</v>
      </c>
      <c r="CQ19">
        <v>0.39912438142142098</v>
      </c>
      <c r="CR19">
        <v>0.214257292258792</v>
      </c>
      <c r="CS19">
        <v>0.40623253183596397</v>
      </c>
      <c r="CT19">
        <v>-2.52255556051647E-2</v>
      </c>
      <c r="CU19">
        <v>0.47108390172102999</v>
      </c>
      <c r="CV19">
        <v>0.72324151412907001</v>
      </c>
      <c r="CW19">
        <v>-0.67894490666752905</v>
      </c>
      <c r="CX19">
        <v>0.46411576705829499</v>
      </c>
      <c r="CY19">
        <v>0.12646202814317101</v>
      </c>
      <c r="CZ19">
        <v>9.8372276793675495E-2</v>
      </c>
      <c r="DA19">
        <v>-0.37011231653215998</v>
      </c>
      <c r="DB19">
        <v>-1.01383245325864</v>
      </c>
      <c r="DC19">
        <v>-0.45530258602157703</v>
      </c>
      <c r="DD19">
        <v>-0.32086493602732202</v>
      </c>
      <c r="DE19">
        <v>0.259161637709653</v>
      </c>
      <c r="DF19">
        <v>1.4724617981054299E-2</v>
      </c>
      <c r="DG19">
        <v>-0.89058001918081497</v>
      </c>
      <c r="DH19">
        <v>-0.53163627922333501</v>
      </c>
      <c r="DI19">
        <v>-0.74510220753495204</v>
      </c>
      <c r="DJ19">
        <v>-0.71081763838141998</v>
      </c>
      <c r="DK19">
        <v>-0.35162200965191098</v>
      </c>
      <c r="DL19">
        <v>0.244457359479998</v>
      </c>
      <c r="DM19">
        <v>-8.0067706357578206E-2</v>
      </c>
      <c r="DN19">
        <v>0.59357933157964904</v>
      </c>
      <c r="DO19">
        <v>0.42473461580358501</v>
      </c>
      <c r="DP19">
        <v>4.5671240775065097E-2</v>
      </c>
      <c r="DQ19">
        <v>0.129869886535705</v>
      </c>
      <c r="DR19">
        <v>-2.05364939536265E-2</v>
      </c>
      <c r="DS19">
        <v>-0.32175653907095397</v>
      </c>
      <c r="DT19">
        <v>-0.35776967803464799</v>
      </c>
      <c r="DU19">
        <v>9.6213195187422995E-2</v>
      </c>
      <c r="DV19">
        <v>-9.9330883271146198E-2</v>
      </c>
      <c r="DW19">
        <v>0.441279092971473</v>
      </c>
      <c r="DX19">
        <v>0.16559336103703801</v>
      </c>
      <c r="DY19">
        <v>0.56766227544623504</v>
      </c>
      <c r="DZ19">
        <v>0.39073055458710698</v>
      </c>
      <c r="EA19">
        <v>-0.12888027895798501</v>
      </c>
      <c r="EB19">
        <v>0.54612731148556304</v>
      </c>
      <c r="EC19">
        <v>-2.5199366125183701E-2</v>
      </c>
      <c r="ED19">
        <v>0.54800926328714195</v>
      </c>
      <c r="EE19">
        <v>-6.1846143638239898E-2</v>
      </c>
      <c r="EF19">
        <v>0.16315002196997999</v>
      </c>
      <c r="EG19">
        <v>0.28179024331446501</v>
      </c>
      <c r="EH19">
        <v>0.24339195861740401</v>
      </c>
      <c r="EI19">
        <v>0.13689758157604001</v>
      </c>
      <c r="EJ19">
        <v>0.21223771178661399</v>
      </c>
      <c r="EK19">
        <v>0.29014601689591002</v>
      </c>
      <c r="EL19">
        <v>0.65884646947459802</v>
      </c>
      <c r="EM19">
        <v>-0.110993980348483</v>
      </c>
      <c r="EN19">
        <v>0.11003356585394899</v>
      </c>
      <c r="EO19">
        <v>0.15811028690012199</v>
      </c>
      <c r="EP19">
        <v>0.55888118485512395</v>
      </c>
      <c r="EQ19">
        <v>-0.24754535666975999</v>
      </c>
      <c r="ER19">
        <v>0.247219850834344</v>
      </c>
      <c r="ES19">
        <v>5.2567325863628202E-2</v>
      </c>
      <c r="ET19">
        <v>1.11372121854503E-2</v>
      </c>
      <c r="EU19">
        <v>0.448814802699327</v>
      </c>
      <c r="EV19">
        <v>-0.21011824631540901</v>
      </c>
      <c r="EW19">
        <v>0.22381715504000399</v>
      </c>
      <c r="EX19">
        <v>7.8125307385119802E-2</v>
      </c>
      <c r="EY19">
        <v>0.31965466649180002</v>
      </c>
      <c r="EZ19">
        <v>0.47203820488175102</v>
      </c>
      <c r="FA19">
        <v>0.120379609053489</v>
      </c>
      <c r="FB19">
        <v>0.50763686464795599</v>
      </c>
      <c r="FC19">
        <v>0.73572635400544895</v>
      </c>
      <c r="FD19">
        <v>0.37934549686723401</v>
      </c>
      <c r="FE19">
        <v>0.67177012023170402</v>
      </c>
      <c r="FF19">
        <v>0.29623150470020299</v>
      </c>
      <c r="FG19">
        <v>0.58016379498719095</v>
      </c>
      <c r="FH19">
        <v>0.31074760525210698</v>
      </c>
      <c r="FI19">
        <v>0.58372709420489599</v>
      </c>
      <c r="FJ19">
        <v>1.3322584433604E-2</v>
      </c>
      <c r="FK19">
        <v>0.591649994557915</v>
      </c>
      <c r="FL19">
        <v>0.238088876004625</v>
      </c>
      <c r="FM19">
        <v>0.33600166965094902</v>
      </c>
      <c r="FN19">
        <v>0.71077419962500699</v>
      </c>
      <c r="FO19">
        <v>0.261806573789508</v>
      </c>
      <c r="FP19">
        <v>0.148358698046786</v>
      </c>
      <c r="FQ19">
        <v>0.17620856575774099</v>
      </c>
      <c r="FR19">
        <v>-9.7225236689791703E-2</v>
      </c>
      <c r="FS19">
        <v>0.71247229756479202</v>
      </c>
      <c r="FT19">
        <v>0.78380175980572098</v>
      </c>
      <c r="FU19">
        <v>0.63984718567086596</v>
      </c>
      <c r="FV19">
        <v>0.83841428359409498</v>
      </c>
      <c r="FW19">
        <v>0.69616785445059903</v>
      </c>
      <c r="FX19">
        <v>0.39866450845326601</v>
      </c>
      <c r="FY19">
        <v>-0.20250046638065999</v>
      </c>
      <c r="FZ19">
        <v>0.66719564853080704</v>
      </c>
      <c r="GA19">
        <v>0.25210941699974099</v>
      </c>
      <c r="GB19">
        <v>0.20442953628263999</v>
      </c>
      <c r="GC19">
        <v>0.565203698391047</v>
      </c>
      <c r="GD19">
        <v>0.48131293382435097</v>
      </c>
      <c r="GE19">
        <v>0.52424459616059504</v>
      </c>
      <c r="GF19">
        <v>0.59210097590187805</v>
      </c>
      <c r="GG19">
        <v>0.72435439631911602</v>
      </c>
      <c r="GH19">
        <v>0.56822167574552296</v>
      </c>
      <c r="GI19">
        <v>0.25635133321444398</v>
      </c>
      <c r="GJ19">
        <v>0.62092418584567599</v>
      </c>
      <c r="GK19">
        <v>0.72129107974001805</v>
      </c>
    </row>
    <row r="20" spans="1:193" x14ac:dyDescent="0.25">
      <c r="A20" t="s">
        <v>265</v>
      </c>
      <c r="B20" t="s">
        <v>595</v>
      </c>
      <c r="C20">
        <v>-3.09474971630498</v>
      </c>
      <c r="D20">
        <v>-2.9876625317607801</v>
      </c>
      <c r="E20">
        <v>-1.59181995140272</v>
      </c>
      <c r="F20">
        <v>-1.4345091743290299</v>
      </c>
      <c r="G20">
        <v>-0.19860333894722801</v>
      </c>
      <c r="H20">
        <v>-1.0790860412726899</v>
      </c>
      <c r="I20">
        <v>-2.5063106869887002</v>
      </c>
      <c r="J20">
        <v>-3.13717333438577</v>
      </c>
      <c r="K20">
        <v>-3.20317681727435</v>
      </c>
      <c r="L20">
        <v>-0.56552697934200702</v>
      </c>
      <c r="M20">
        <v>-3.90460451586865</v>
      </c>
      <c r="N20">
        <v>-4.1132130790298502</v>
      </c>
      <c r="O20">
        <v>-2.4735405420974801</v>
      </c>
      <c r="P20">
        <v>6.9596637010640006E-2</v>
      </c>
      <c r="Q20">
        <v>0.24620957982581801</v>
      </c>
      <c r="R20">
        <v>0.60010379784039303</v>
      </c>
      <c r="S20">
        <v>8.3952119488492599E-2</v>
      </c>
      <c r="T20">
        <v>0.59783982134825797</v>
      </c>
      <c r="U20">
        <v>0.34186834631872698</v>
      </c>
      <c r="V20">
        <v>0.16943700707300899</v>
      </c>
      <c r="W20">
        <v>-0.125853885808242</v>
      </c>
      <c r="X20">
        <v>0.37622946883266201</v>
      </c>
      <c r="Y20">
        <v>-0.59705614663628204</v>
      </c>
      <c r="Z20">
        <v>-9.1674971258331295E-2</v>
      </c>
      <c r="AA20">
        <v>7.4502930900808104E-2</v>
      </c>
      <c r="AB20">
        <v>0.208532347091613</v>
      </c>
      <c r="AC20">
        <v>6.8168674836334001E-2</v>
      </c>
      <c r="AD20">
        <v>-0.28276647245044201</v>
      </c>
      <c r="AE20">
        <v>-1.3967837760641599E-3</v>
      </c>
      <c r="AF20">
        <v>-1.30850003661847</v>
      </c>
      <c r="AG20">
        <v>-1.2035284975209099E-2</v>
      </c>
      <c r="AH20">
        <v>-0.50179799238187395</v>
      </c>
      <c r="AI20">
        <v>0.33821620785416701</v>
      </c>
      <c r="AJ20">
        <v>0.335746183510508</v>
      </c>
      <c r="AK20">
        <v>7.6852795446331099E-2</v>
      </c>
      <c r="AL20">
        <v>-0.50521464217319001</v>
      </c>
      <c r="AM20">
        <v>-0.42739365543653401</v>
      </c>
      <c r="AN20">
        <v>-0.35645097581296298</v>
      </c>
      <c r="AO20">
        <v>-0.90801493389389598</v>
      </c>
      <c r="AP20">
        <v>0.31643456511032703</v>
      </c>
      <c r="AQ20">
        <v>-0.18507172301903299</v>
      </c>
      <c r="AR20">
        <v>0.41635912386405499</v>
      </c>
      <c r="AS20">
        <v>0.44902378913909202</v>
      </c>
      <c r="AT20">
        <v>-0.52334947756769901</v>
      </c>
      <c r="AU20">
        <v>0.15668143291421399</v>
      </c>
      <c r="AV20">
        <v>9.2411514185221297E-2</v>
      </c>
      <c r="AW20">
        <v>0.492878642904376</v>
      </c>
      <c r="AX20">
        <v>0.30293891352060998</v>
      </c>
      <c r="AY20">
        <v>0.20285593750985201</v>
      </c>
      <c r="AZ20">
        <v>0.32459406686478398</v>
      </c>
      <c r="BA20">
        <v>0.49085283284540998</v>
      </c>
      <c r="BB20">
        <v>0.51073159966190895</v>
      </c>
      <c r="BC20">
        <v>0.34886128624384499</v>
      </c>
      <c r="BD20">
        <v>0.33346100200467399</v>
      </c>
      <c r="BE20">
        <v>0.35479635167450102</v>
      </c>
      <c r="BF20">
        <v>9.3411436879260401E-2</v>
      </c>
      <c r="BG20">
        <v>0.49651872737937602</v>
      </c>
      <c r="BH20">
        <v>0.29737222235410898</v>
      </c>
      <c r="BI20">
        <v>0.23420473554858801</v>
      </c>
      <c r="BJ20">
        <v>0.75176418003484102</v>
      </c>
      <c r="BK20">
        <v>0.18801458726558301</v>
      </c>
      <c r="BL20">
        <v>-0.122236408883621</v>
      </c>
      <c r="BM20">
        <v>0.41079100879793601</v>
      </c>
      <c r="BN20">
        <v>0.19670605386777401</v>
      </c>
      <c r="BO20">
        <v>0.39074424704139099</v>
      </c>
      <c r="BP20">
        <v>0.28576866250044097</v>
      </c>
      <c r="BQ20">
        <v>0.50132655574125895</v>
      </c>
      <c r="BR20">
        <v>-0.24465007049058801</v>
      </c>
      <c r="BS20">
        <v>-0.37966096022662699</v>
      </c>
      <c r="BT20">
        <v>-0.86569123283721305</v>
      </c>
      <c r="BU20">
        <v>-1.5295499651754301</v>
      </c>
      <c r="BV20">
        <v>-1.03503862809902</v>
      </c>
      <c r="BW20">
        <v>-0.997179413131421</v>
      </c>
      <c r="BX20">
        <v>-0.90185552012089598</v>
      </c>
      <c r="BY20">
        <v>-1.0233829163636801</v>
      </c>
      <c r="BZ20">
        <v>-8.5326734036793098E-2</v>
      </c>
      <c r="CA20">
        <v>-1.1227945830143599E-2</v>
      </c>
      <c r="CB20">
        <v>0.42240727815108597</v>
      </c>
      <c r="CC20">
        <v>0.35061267745874602</v>
      </c>
      <c r="CD20">
        <v>0.58395092069659604</v>
      </c>
      <c r="CE20">
        <v>0.41911350810671599</v>
      </c>
      <c r="CF20">
        <v>0.55842967110320496</v>
      </c>
      <c r="CG20">
        <v>0.29766428496068598</v>
      </c>
      <c r="CH20">
        <v>-0.198934056214286</v>
      </c>
      <c r="CI20">
        <v>0.34499139269397699</v>
      </c>
      <c r="CJ20">
        <v>0.420120062964425</v>
      </c>
      <c r="CK20">
        <v>0.43684187497600901</v>
      </c>
      <c r="CL20">
        <v>-0.19898755998213799</v>
      </c>
      <c r="CM20">
        <v>0.41722849660721001</v>
      </c>
      <c r="CN20">
        <v>-0.71010661379455597</v>
      </c>
      <c r="CO20">
        <v>4.3241087701584101E-2</v>
      </c>
      <c r="CP20">
        <v>0.12600533993052301</v>
      </c>
      <c r="CQ20">
        <v>-0.1228115562532</v>
      </c>
      <c r="CR20">
        <v>-0.729801189172395</v>
      </c>
      <c r="CS20">
        <v>0.211248054331685</v>
      </c>
      <c r="CT20">
        <v>-9.2036738889455905E-2</v>
      </c>
      <c r="CU20">
        <v>0.62430818789790699</v>
      </c>
      <c r="CV20">
        <v>0.39299059895599198</v>
      </c>
      <c r="CW20">
        <v>0.20495515926549701</v>
      </c>
      <c r="CX20">
        <v>0.39012063142779402</v>
      </c>
      <c r="CY20">
        <v>0.34615616096062601</v>
      </c>
      <c r="CZ20">
        <v>0.19642735889690899</v>
      </c>
      <c r="DA20">
        <v>0.122788522012223</v>
      </c>
      <c r="DB20">
        <v>0.50235894232164202</v>
      </c>
      <c r="DC20">
        <v>-1.8929549792788701E-3</v>
      </c>
      <c r="DD20">
        <v>0.30629241047625599</v>
      </c>
      <c r="DE20">
        <v>0.26460805072258098</v>
      </c>
      <c r="DF20">
        <v>0.116557044913199</v>
      </c>
      <c r="DG20">
        <v>-0.20585268166277201</v>
      </c>
      <c r="DH20">
        <v>-0.123178292394327</v>
      </c>
      <c r="DI20">
        <v>-0.13128501409530099</v>
      </c>
      <c r="DJ20">
        <v>-0.61092487746362101</v>
      </c>
      <c r="DK20">
        <v>-0.11720578388618499</v>
      </c>
      <c r="DL20">
        <v>1.5154755650337101E-2</v>
      </c>
      <c r="DM20">
        <v>0.27205097345236501</v>
      </c>
      <c r="DN20">
        <v>0.230841038500641</v>
      </c>
      <c r="DO20">
        <v>0.28263461956410002</v>
      </c>
      <c r="DP20">
        <v>-0.16618831866429801</v>
      </c>
      <c r="DQ20">
        <v>0.23532961450853301</v>
      </c>
      <c r="DR20">
        <v>0.35778264364116502</v>
      </c>
      <c r="DS20">
        <v>-9.21788367615725E-2</v>
      </c>
      <c r="DT20">
        <v>0.655459921398583</v>
      </c>
      <c r="DU20">
        <v>7.7471405696397405E-2</v>
      </c>
      <c r="DV20">
        <v>-9.3835124187024693E-2</v>
      </c>
      <c r="DW20">
        <v>-0.28701937078463502</v>
      </c>
      <c r="DX20">
        <v>-6.8981427766586098E-2</v>
      </c>
      <c r="DY20">
        <v>0.26881440233813603</v>
      </c>
      <c r="DZ20">
        <v>-1.06721961389603E-3</v>
      </c>
      <c r="EA20">
        <v>-0.21411183357195501</v>
      </c>
      <c r="EB20">
        <v>-0.37595119150098</v>
      </c>
      <c r="EC20">
        <v>5.7710695988118801E-2</v>
      </c>
      <c r="ED20">
        <v>2.8530672084557802E-2</v>
      </c>
      <c r="EE20">
        <v>-7.7434412538411601E-2</v>
      </c>
      <c r="EF20">
        <v>-0.23429240458793499</v>
      </c>
      <c r="EG20">
        <v>0.33426406596667102</v>
      </c>
      <c r="EH20">
        <v>3.5907542989729403E-2</v>
      </c>
      <c r="EI20">
        <v>-0.138273522131414</v>
      </c>
      <c r="EJ20">
        <v>0.24637881527904701</v>
      </c>
      <c r="EK20">
        <v>0.209755535954608</v>
      </c>
      <c r="EL20">
        <v>0.57322649284111404</v>
      </c>
      <c r="EM20">
        <v>0.45721452591052703</v>
      </c>
      <c r="EN20">
        <v>0.25776812940211302</v>
      </c>
      <c r="EO20">
        <v>0.37532773968481198</v>
      </c>
      <c r="EP20">
        <v>0.25549529088970102</v>
      </c>
      <c r="EQ20">
        <v>0.47189342436588599</v>
      </c>
      <c r="ER20">
        <v>0.42829059420926502</v>
      </c>
      <c r="ES20">
        <v>0.432815153130238</v>
      </c>
      <c r="ET20">
        <v>0.45624782576794198</v>
      </c>
      <c r="EU20">
        <v>-9.6471290688515704E-2</v>
      </c>
      <c r="EV20">
        <v>0.25665931164165401</v>
      </c>
      <c r="EW20">
        <v>0.49221473319299103</v>
      </c>
      <c r="EX20">
        <v>4.8626048850375699E-2</v>
      </c>
      <c r="EY20">
        <v>0.48414981475284602</v>
      </c>
      <c r="EZ20">
        <v>0.38459141258810198</v>
      </c>
      <c r="FA20">
        <v>-2.7615001451980099E-2</v>
      </c>
      <c r="FB20">
        <v>0.25292930202879299</v>
      </c>
      <c r="FC20">
        <v>0.20539969382682399</v>
      </c>
      <c r="FD20">
        <v>0.239311660173677</v>
      </c>
      <c r="FE20">
        <v>0.32831204398171698</v>
      </c>
      <c r="FF20">
        <v>6.6539740478715997E-2</v>
      </c>
      <c r="FG20">
        <v>0.28954586673576699</v>
      </c>
      <c r="FH20">
        <v>0.25777742261865999</v>
      </c>
      <c r="FI20">
        <v>0.191091735936498</v>
      </c>
      <c r="FJ20">
        <v>0.17623494372467799</v>
      </c>
      <c r="FK20">
        <v>-0.174828318020122</v>
      </c>
      <c r="FL20">
        <v>0.22860393936551701</v>
      </c>
      <c r="FM20">
        <v>0.19680250385813799</v>
      </c>
      <c r="FN20">
        <v>0.298398410586801</v>
      </c>
      <c r="FO20">
        <v>0.36761920064692899</v>
      </c>
      <c r="FP20">
        <v>0.39737830306322802</v>
      </c>
      <c r="FQ20">
        <v>0.47670035518766102</v>
      </c>
      <c r="FR20">
        <v>0.350530137946993</v>
      </c>
      <c r="FS20">
        <v>0.13238532975060599</v>
      </c>
      <c r="FT20">
        <v>0.14912226655074201</v>
      </c>
      <c r="FU20">
        <v>0.37249652635972802</v>
      </c>
      <c r="FV20">
        <v>0.204825020966349</v>
      </c>
      <c r="FW20">
        <v>0.143984189917437</v>
      </c>
      <c r="FX20">
        <v>-0.213754892722822</v>
      </c>
      <c r="FY20">
        <v>-0.324466399982619</v>
      </c>
      <c r="FZ20">
        <v>1.06643073210621E-3</v>
      </c>
      <c r="GA20">
        <v>-0.16668601393120899</v>
      </c>
      <c r="GB20">
        <v>0.21294799696222499</v>
      </c>
      <c r="GC20">
        <v>-9.6668734952366706E-2</v>
      </c>
      <c r="GD20">
        <v>2.0929452278476798E-2</v>
      </c>
      <c r="GE20">
        <v>-4.3150964200979802E-2</v>
      </c>
      <c r="GF20">
        <v>-5.7883745573087203E-2</v>
      </c>
      <c r="GG20">
        <v>0.36097650641678097</v>
      </c>
      <c r="GH20">
        <v>0.123562452494434</v>
      </c>
      <c r="GI20">
        <v>0.45799990008550301</v>
      </c>
      <c r="GJ20">
        <v>0.42906333405291502</v>
      </c>
      <c r="GK20">
        <v>0.29464114466913899</v>
      </c>
    </row>
    <row r="21" spans="1:193" x14ac:dyDescent="0.25">
      <c r="A21" t="s">
        <v>265</v>
      </c>
      <c r="B21" t="s">
        <v>626</v>
      </c>
      <c r="C21">
        <v>5.4218770855147203E-2</v>
      </c>
      <c r="D21">
        <v>9.6232204645830502E-2</v>
      </c>
      <c r="E21">
        <v>1.8937366905180899</v>
      </c>
      <c r="F21">
        <v>1.52312826468778</v>
      </c>
      <c r="G21">
        <v>0.156447789145683</v>
      </c>
      <c r="H21">
        <v>-3.4167384711181199E-2</v>
      </c>
      <c r="I21">
        <v>3.1380106697910501</v>
      </c>
      <c r="J21">
        <v>3.5286513560619799</v>
      </c>
      <c r="K21">
        <v>3.5338875066206499</v>
      </c>
      <c r="L21">
        <v>0.387184428573494</v>
      </c>
      <c r="M21">
        <v>6.5021478608314198E-3</v>
      </c>
      <c r="N21">
        <v>-3.4167384711181199E-2</v>
      </c>
      <c r="O21">
        <v>0.15502320491611399</v>
      </c>
      <c r="P21">
        <v>6.4042578145381196E-2</v>
      </c>
      <c r="Q21">
        <v>0.179115752596928</v>
      </c>
      <c r="R21">
        <v>0.13873460905622301</v>
      </c>
      <c r="S21">
        <v>8.6319939009664795E-2</v>
      </c>
      <c r="T21">
        <v>-3.4167384711181199E-2</v>
      </c>
      <c r="U21">
        <v>-3.4167384711181199E-2</v>
      </c>
      <c r="V21">
        <v>0.11361143290044901</v>
      </c>
      <c r="W21">
        <v>-3.4167384711181199E-2</v>
      </c>
      <c r="X21">
        <v>-3.4167384711181199E-2</v>
      </c>
      <c r="Y21">
        <v>0.25344722789094498</v>
      </c>
      <c r="Z21">
        <v>-3.4167384711181199E-2</v>
      </c>
      <c r="AA21">
        <v>0.12411096978172</v>
      </c>
      <c r="AB21">
        <v>1.8887656062748202E-2</v>
      </c>
      <c r="AC21">
        <v>7.8515907083780007E-2</v>
      </c>
      <c r="AD21">
        <v>-3.4167384711181199E-2</v>
      </c>
      <c r="AE21">
        <v>2.2872027367781201E-2</v>
      </c>
      <c r="AF21">
        <v>0.35315608339061599</v>
      </c>
      <c r="AG21">
        <v>9.7656246428063406E-2</v>
      </c>
      <c r="AH21">
        <v>0.107953792638605</v>
      </c>
      <c r="AI21">
        <v>0.20413183655221601</v>
      </c>
      <c r="AJ21">
        <v>4.4461191682080202E-2</v>
      </c>
      <c r="AK21">
        <v>4.9744581004226698E-2</v>
      </c>
      <c r="AL21">
        <v>0.192452885362702</v>
      </c>
      <c r="AM21">
        <v>-3.4167384711181199E-2</v>
      </c>
      <c r="AN21">
        <v>-3.4167384711181199E-2</v>
      </c>
      <c r="AO21">
        <v>-3.4167384711181199E-2</v>
      </c>
      <c r="AP21">
        <v>-3.4167384711181199E-2</v>
      </c>
      <c r="AQ21">
        <v>9.2224632123066294E-2</v>
      </c>
      <c r="AR21">
        <v>-3.4167384711181199E-2</v>
      </c>
      <c r="AS21">
        <v>0.114943167970603</v>
      </c>
      <c r="AT21">
        <v>0.159677019303747</v>
      </c>
      <c r="AU21">
        <v>0.17574293804944699</v>
      </c>
      <c r="AV21">
        <v>-3.4167384711181199E-2</v>
      </c>
      <c r="AW21">
        <v>0.14205396381320301</v>
      </c>
      <c r="AX21">
        <v>0.14430982694486499</v>
      </c>
      <c r="AY21">
        <v>-3.4167384711181199E-2</v>
      </c>
      <c r="AZ21">
        <v>0.27585143854938299</v>
      </c>
      <c r="BA21">
        <v>0.20591069881799401</v>
      </c>
      <c r="BB21">
        <v>-3.4167384711181199E-2</v>
      </c>
      <c r="BC21">
        <v>-3.4167384711181199E-2</v>
      </c>
      <c r="BD21">
        <v>0.102402561107388</v>
      </c>
      <c r="BE21">
        <v>4.58921414026622E-2</v>
      </c>
      <c r="BF21">
        <v>0.17852813005490201</v>
      </c>
      <c r="BG21">
        <v>4.1549297120851598E-2</v>
      </c>
      <c r="BH21">
        <v>0.123075312140924</v>
      </c>
      <c r="BI21">
        <v>-3.4167384711181199E-2</v>
      </c>
      <c r="BJ21">
        <v>7.1341667335463405E-2</v>
      </c>
      <c r="BK21">
        <v>7.0570342974878797E-2</v>
      </c>
      <c r="BL21">
        <v>4.83448729676864E-2</v>
      </c>
      <c r="BM21">
        <v>-3.4167384711181199E-2</v>
      </c>
      <c r="BN21">
        <v>7.8172596062909397E-2</v>
      </c>
      <c r="BO21">
        <v>0.16685904784519001</v>
      </c>
      <c r="BP21">
        <v>6.0627326301733897E-2</v>
      </c>
      <c r="BQ21">
        <v>0.13723328835488899</v>
      </c>
      <c r="BR21">
        <v>-3.4167384711181199E-2</v>
      </c>
      <c r="BS21">
        <v>2.3166260546266799</v>
      </c>
      <c r="BT21">
        <v>2.68749319897268</v>
      </c>
      <c r="BU21">
        <v>3.25624431191854</v>
      </c>
      <c r="BV21">
        <v>3.0040559233676198</v>
      </c>
      <c r="BW21">
        <v>2.6964210871138801</v>
      </c>
      <c r="BX21">
        <v>2.6693727043217601</v>
      </c>
      <c r="BY21">
        <v>3.0149409900067301</v>
      </c>
      <c r="BZ21">
        <v>1.7045301068863801</v>
      </c>
      <c r="CA21">
        <v>1.8014667755807099</v>
      </c>
      <c r="CB21">
        <v>0.267665463128683</v>
      </c>
      <c r="CC21">
        <v>8.8642896535145399E-2</v>
      </c>
      <c r="CD21">
        <v>0.18016959272855099</v>
      </c>
      <c r="CE21">
        <v>0.10216016845685599</v>
      </c>
      <c r="CF21">
        <v>-3.4167384711181199E-2</v>
      </c>
      <c r="CG21">
        <v>0.111989169905134</v>
      </c>
      <c r="CH21">
        <v>-3.4167384711181199E-2</v>
      </c>
      <c r="CI21">
        <v>-3.4167384711181199E-2</v>
      </c>
      <c r="CJ21">
        <v>-8.9096134527469496E-3</v>
      </c>
      <c r="CK21">
        <v>5.56879584013801E-3</v>
      </c>
      <c r="CL21">
        <v>0.166376087762448</v>
      </c>
      <c r="CM21">
        <v>-3.4167384711181199E-2</v>
      </c>
      <c r="CN21">
        <v>7.3488532297178402E-2</v>
      </c>
      <c r="CO21">
        <v>8.6870668760441402E-2</v>
      </c>
      <c r="CP21">
        <v>-3.4167384711181199E-2</v>
      </c>
      <c r="CQ21">
        <v>-3.4167384711181199E-2</v>
      </c>
      <c r="CR21">
        <v>0.198741355089294</v>
      </c>
      <c r="CS21">
        <v>8.6914945373277402E-2</v>
      </c>
      <c r="CT21">
        <v>0.131029083466702</v>
      </c>
      <c r="CU21">
        <v>-3.4167384711181199E-2</v>
      </c>
      <c r="CV21">
        <v>-3.4167384711181199E-2</v>
      </c>
      <c r="CW21">
        <v>-3.4167384711181199E-2</v>
      </c>
      <c r="CX21">
        <v>-3.4167384711181199E-2</v>
      </c>
      <c r="CY21">
        <v>-3.4167384711181199E-2</v>
      </c>
      <c r="CZ21">
        <v>0.50228589460887096</v>
      </c>
      <c r="DA21">
        <v>0.261217767833681</v>
      </c>
      <c r="DB21">
        <v>0.10477053182678001</v>
      </c>
      <c r="DC21">
        <v>-3.4167384711181199E-2</v>
      </c>
      <c r="DD21">
        <v>-3.4167384711181199E-2</v>
      </c>
      <c r="DE21">
        <v>0.24734424011895201</v>
      </c>
      <c r="DF21">
        <v>-3.4167384711181199E-2</v>
      </c>
      <c r="DG21">
        <v>0.112297856082204</v>
      </c>
      <c r="DH21">
        <v>0.14009486286110201</v>
      </c>
      <c r="DI21">
        <v>9.3488240386120594E-2</v>
      </c>
      <c r="DJ21">
        <v>-3.4167384711181199E-2</v>
      </c>
      <c r="DK21">
        <v>-3.4167384711181199E-2</v>
      </c>
      <c r="DL21">
        <v>-3.4167384711181199E-2</v>
      </c>
      <c r="DM21">
        <v>-3.4167384711181199E-2</v>
      </c>
      <c r="DN21">
        <v>0.12393763029522201</v>
      </c>
      <c r="DO21">
        <v>-3.4167384711181199E-2</v>
      </c>
      <c r="DP21">
        <v>0.36495092174830202</v>
      </c>
      <c r="DQ21">
        <v>0.207477225682245</v>
      </c>
      <c r="DR21">
        <v>-3.4167384711181199E-2</v>
      </c>
      <c r="DS21">
        <v>-3.4167384711181199E-2</v>
      </c>
      <c r="DT21">
        <v>0.11327864384587601</v>
      </c>
      <c r="DU21">
        <v>0.229952904737208</v>
      </c>
      <c r="DV21">
        <v>-3.4167384711181199E-2</v>
      </c>
      <c r="DW21">
        <v>0.10519627382774401</v>
      </c>
      <c r="DX21">
        <v>0.13608852288880999</v>
      </c>
      <c r="DY21">
        <v>0.183956985148758</v>
      </c>
      <c r="DZ21">
        <v>0.193535759363129</v>
      </c>
      <c r="EA21">
        <v>-3.4167384711181199E-2</v>
      </c>
      <c r="EB21">
        <v>-3.4167384711181199E-2</v>
      </c>
      <c r="EC21">
        <v>0.316673209274768</v>
      </c>
      <c r="ED21">
        <v>9.3924444185849498E-2</v>
      </c>
      <c r="EE21">
        <v>-3.4167384711181199E-2</v>
      </c>
      <c r="EF21">
        <v>-3.4167384711181199E-2</v>
      </c>
      <c r="EG21">
        <v>-3.4167384711181199E-2</v>
      </c>
      <c r="EH21">
        <v>8.8703080478275201E-2</v>
      </c>
      <c r="EI21">
        <v>0.19665059839264401</v>
      </c>
      <c r="EJ21">
        <v>9.4902433962618299E-2</v>
      </c>
      <c r="EK21">
        <v>-3.4167384711181199E-2</v>
      </c>
      <c r="EL21">
        <v>-3.4167384711181199E-2</v>
      </c>
      <c r="EM21">
        <v>0.115084939871004</v>
      </c>
      <c r="EN21">
        <v>0.81111447665010805</v>
      </c>
      <c r="EO21">
        <v>0.110079772545935</v>
      </c>
      <c r="EP21">
        <v>-3.4167384711181199E-2</v>
      </c>
      <c r="EQ21">
        <v>-3.4167384711181199E-2</v>
      </c>
      <c r="ER21">
        <v>0.113589370874726</v>
      </c>
      <c r="ES21">
        <v>8.1682301022439299E-2</v>
      </c>
      <c r="ET21">
        <v>-3.4167384711181199E-2</v>
      </c>
      <c r="EU21">
        <v>0.116572248991726</v>
      </c>
      <c r="EV21">
        <v>8.7817704044591799E-2</v>
      </c>
      <c r="EW21">
        <v>-3.4167384711181199E-2</v>
      </c>
      <c r="EX21">
        <v>0.259170031497168</v>
      </c>
      <c r="EY21">
        <v>-3.4167384711181199E-2</v>
      </c>
      <c r="EZ21">
        <v>0.31782808919870198</v>
      </c>
      <c r="FA21">
        <v>0.22795045625077301</v>
      </c>
      <c r="FB21">
        <v>-3.4167384711181199E-2</v>
      </c>
      <c r="FC21">
        <v>-3.4167384711181199E-2</v>
      </c>
      <c r="FD21">
        <v>0.12069825911087501</v>
      </c>
      <c r="FE21">
        <v>-3.4167384711181199E-2</v>
      </c>
      <c r="FF21">
        <v>-3.4167384711181199E-2</v>
      </c>
      <c r="FG21">
        <v>-3.4167384711181199E-2</v>
      </c>
      <c r="FH21">
        <v>4.5107047905903502E-2</v>
      </c>
      <c r="FI21">
        <v>-3.4167384711181199E-2</v>
      </c>
      <c r="FJ21">
        <v>6.1967129483217802E-2</v>
      </c>
      <c r="FK21">
        <v>0.104220765402448</v>
      </c>
      <c r="FL21">
        <v>-3.4167384711181199E-2</v>
      </c>
      <c r="FM21">
        <v>-3.4167384711181199E-2</v>
      </c>
      <c r="FN21">
        <v>7.8338904649040003E-2</v>
      </c>
      <c r="FO21">
        <v>0.122010003294409</v>
      </c>
      <c r="FP21">
        <v>1.5618288162537301E-2</v>
      </c>
      <c r="FQ21">
        <v>-3.4167384711181199E-2</v>
      </c>
      <c r="FR21">
        <v>9.6651993855000604E-2</v>
      </c>
      <c r="FS21">
        <v>2.9436959977216799E-2</v>
      </c>
      <c r="FT21">
        <v>8.5163072550498695E-2</v>
      </c>
      <c r="FU21">
        <v>5.1334770773933301E-2</v>
      </c>
      <c r="FV21">
        <v>0.13359076616767299</v>
      </c>
      <c r="FW21">
        <v>6.1639483557090403E-2</v>
      </c>
      <c r="FX21">
        <v>0.17520876582651199</v>
      </c>
      <c r="FY21">
        <v>-3.4167384711181199E-2</v>
      </c>
      <c r="FZ21">
        <v>-3.4167384711181199E-2</v>
      </c>
      <c r="GA21">
        <v>0.18093072178047501</v>
      </c>
      <c r="GB21">
        <v>-3.4167384711181199E-2</v>
      </c>
      <c r="GC21">
        <v>-3.4167384711181199E-2</v>
      </c>
      <c r="GD21">
        <v>-3.4167384711181199E-2</v>
      </c>
      <c r="GE21">
        <v>-3.4167384711181199E-2</v>
      </c>
      <c r="GF21">
        <v>9.90307582543416E-2</v>
      </c>
      <c r="GG21">
        <v>9.2320773199586897E-2</v>
      </c>
      <c r="GH21">
        <v>2.0942396705021502E-2</v>
      </c>
      <c r="GI21">
        <v>-1.6967128424209301E-2</v>
      </c>
      <c r="GJ21">
        <v>3.082990825075E-2</v>
      </c>
      <c r="GK21">
        <v>-3.4167384711181199E-2</v>
      </c>
    </row>
    <row r="22" spans="1:193" x14ac:dyDescent="0.25">
      <c r="A22" t="s">
        <v>265</v>
      </c>
      <c r="B22" t="s">
        <v>646</v>
      </c>
      <c r="C22">
        <v>-2.7764817708321501</v>
      </c>
      <c r="D22">
        <v>-2.3971188441381202</v>
      </c>
      <c r="E22">
        <v>-0.60995420594911298</v>
      </c>
      <c r="F22">
        <v>-0.45580792340029003</v>
      </c>
      <c r="G22">
        <v>0.556527391962789</v>
      </c>
      <c r="H22">
        <v>0.35424471461613</v>
      </c>
      <c r="I22">
        <v>-1.8323477614427699</v>
      </c>
      <c r="J22">
        <v>-0.48648800798132003</v>
      </c>
      <c r="K22">
        <v>-0.311308811057463</v>
      </c>
      <c r="L22">
        <v>-1.34864504747855E-2</v>
      </c>
      <c r="M22">
        <v>-4.2337709717528096</v>
      </c>
      <c r="N22">
        <v>-4.3234285226693796</v>
      </c>
      <c r="O22">
        <v>-2.0864574096475001</v>
      </c>
      <c r="P22">
        <v>1.3521147424866</v>
      </c>
      <c r="Q22">
        <v>1.28400072398087</v>
      </c>
      <c r="R22">
        <v>1.15926427942435</v>
      </c>
      <c r="S22">
        <v>1.3085933517464501</v>
      </c>
      <c r="T22">
        <v>1.27946571801577</v>
      </c>
      <c r="U22">
        <v>1.0916852163064299</v>
      </c>
      <c r="V22">
        <v>0.96922429941150301</v>
      </c>
      <c r="W22">
        <v>0.94606901600007098</v>
      </c>
      <c r="X22">
        <v>1.1893890036361801</v>
      </c>
      <c r="Y22">
        <v>1.13592727342543</v>
      </c>
      <c r="Z22">
        <v>0.95352807790137295</v>
      </c>
      <c r="AA22">
        <v>0.76143734841334199</v>
      </c>
      <c r="AB22">
        <v>1.31131817893411</v>
      </c>
      <c r="AC22">
        <v>1.52104204786576</v>
      </c>
      <c r="AD22">
        <v>1.69564316899783</v>
      </c>
      <c r="AE22">
        <v>1.14095663253534</v>
      </c>
      <c r="AF22">
        <v>1.13170206526116</v>
      </c>
      <c r="AG22">
        <v>1.41640595446503</v>
      </c>
      <c r="AH22">
        <v>1.28525625003107</v>
      </c>
      <c r="AI22">
        <v>1.3266097583355601</v>
      </c>
      <c r="AJ22">
        <v>1.1597794110044299</v>
      </c>
      <c r="AK22">
        <v>1.4632912327518699</v>
      </c>
      <c r="AL22">
        <v>1.19279033666102</v>
      </c>
      <c r="AM22">
        <v>1.2217510633736399</v>
      </c>
      <c r="AN22">
        <v>1.2013324123673801</v>
      </c>
      <c r="AO22">
        <v>1.2677215904533701</v>
      </c>
      <c r="AP22">
        <v>1.41152381048572</v>
      </c>
      <c r="AQ22">
        <v>1.1757728824978899</v>
      </c>
      <c r="AR22">
        <v>1.4318945660173099</v>
      </c>
      <c r="AS22">
        <v>1.66501028547353</v>
      </c>
      <c r="AT22">
        <v>1.5211313218161799</v>
      </c>
      <c r="AU22">
        <v>1.4559786041851199</v>
      </c>
      <c r="AV22">
        <v>1.5037901635822899</v>
      </c>
      <c r="AW22">
        <v>1.1947602643709301</v>
      </c>
      <c r="AX22">
        <v>1.46804423916378</v>
      </c>
      <c r="AY22">
        <v>1.6546081277051301</v>
      </c>
      <c r="AZ22">
        <v>1.5477374470446299</v>
      </c>
      <c r="BA22">
        <v>1.4537336793548501</v>
      </c>
      <c r="BB22">
        <v>1.27367853769852</v>
      </c>
      <c r="BC22">
        <v>1.35401277288636</v>
      </c>
      <c r="BD22">
        <v>1.37780342271782</v>
      </c>
      <c r="BE22">
        <v>1.4842153103255999</v>
      </c>
      <c r="BF22">
        <v>1.11324710410142</v>
      </c>
      <c r="BG22">
        <v>1.6821300744222201</v>
      </c>
      <c r="BH22">
        <v>1.4846951286175201</v>
      </c>
      <c r="BI22">
        <v>1.50673023300316</v>
      </c>
      <c r="BJ22">
        <v>1.54830404656392</v>
      </c>
      <c r="BK22">
        <v>1.5443089693683101</v>
      </c>
      <c r="BL22">
        <v>1.6964757391850001</v>
      </c>
      <c r="BM22">
        <v>1.5131263014365099</v>
      </c>
      <c r="BN22">
        <v>1.40671550868894</v>
      </c>
      <c r="BO22">
        <v>1.54496747060336</v>
      </c>
      <c r="BP22">
        <v>1.36612039736089</v>
      </c>
      <c r="BQ22">
        <v>1.4549283556584001</v>
      </c>
      <c r="BR22">
        <v>1.53375389200171</v>
      </c>
      <c r="BS22">
        <v>0.347035689415292</v>
      </c>
      <c r="BT22">
        <v>-2.27664752626657E-2</v>
      </c>
      <c r="BU22">
        <v>-0.222291208589152</v>
      </c>
      <c r="BV22">
        <v>-0.17710746811557701</v>
      </c>
      <c r="BW22">
        <v>0.55768729988276999</v>
      </c>
      <c r="BX22">
        <v>0.22780642437044901</v>
      </c>
      <c r="BY22">
        <v>0.12931975181395999</v>
      </c>
      <c r="BZ22">
        <v>0.51755975255684905</v>
      </c>
      <c r="CA22">
        <v>1.0581558971962</v>
      </c>
      <c r="CB22">
        <v>1.0368508792934099</v>
      </c>
      <c r="CC22">
        <v>1.0568390048673599</v>
      </c>
      <c r="CD22">
        <v>0.74131590219209698</v>
      </c>
      <c r="CE22">
        <v>0.96380398580083204</v>
      </c>
      <c r="CF22">
        <v>0.74534903692584398</v>
      </c>
      <c r="CG22">
        <v>0.84413878803291797</v>
      </c>
      <c r="CH22">
        <v>0.97167266683803399</v>
      </c>
      <c r="CI22">
        <v>0.77334290367977798</v>
      </c>
      <c r="CJ22">
        <v>1.2686949551005999</v>
      </c>
      <c r="CK22">
        <v>1.29545795675325</v>
      </c>
      <c r="CL22">
        <v>0.57835695884620497</v>
      </c>
      <c r="CM22">
        <v>0.98919758883841102</v>
      </c>
      <c r="CN22">
        <v>0.985408279009095</v>
      </c>
      <c r="CO22">
        <v>0.103747265465785</v>
      </c>
      <c r="CP22">
        <v>-2.0367218712537799E-2</v>
      </c>
      <c r="CQ22">
        <v>0.41656729269485099</v>
      </c>
      <c r="CR22">
        <v>0.50586322544348905</v>
      </c>
      <c r="CS22">
        <v>0.46786553066020597</v>
      </c>
      <c r="CT22">
        <v>9.2446004643918694E-2</v>
      </c>
      <c r="CU22">
        <v>0.111686593835762</v>
      </c>
      <c r="CV22">
        <v>6.9303750193074207E-2</v>
      </c>
      <c r="CW22">
        <v>0.189818292231828</v>
      </c>
      <c r="CX22">
        <v>-0.20603341627826799</v>
      </c>
      <c r="CY22">
        <v>-8.2946597289312394E-3</v>
      </c>
      <c r="CZ22">
        <v>0.25083577224040798</v>
      </c>
      <c r="DA22">
        <v>3.0913018566578399E-2</v>
      </c>
      <c r="DB22">
        <v>0.13199134309306401</v>
      </c>
      <c r="DC22">
        <v>-9.2711812103844202E-2</v>
      </c>
      <c r="DD22">
        <v>-0.10701827093284499</v>
      </c>
      <c r="DE22">
        <v>-2.0169861345599699E-2</v>
      </c>
      <c r="DF22">
        <v>1.5664245400028099E-3</v>
      </c>
      <c r="DG22">
        <v>-0.406464331736761</v>
      </c>
      <c r="DH22">
        <v>-1.5131325855947499</v>
      </c>
      <c r="DI22">
        <v>-0.23734283122047301</v>
      </c>
      <c r="DJ22">
        <v>-0.65492631342962504</v>
      </c>
      <c r="DK22">
        <v>-0.699066505898153</v>
      </c>
      <c r="DL22">
        <v>-0.22208612558284399</v>
      </c>
      <c r="DM22">
        <v>-0.640994239618766</v>
      </c>
      <c r="DN22">
        <v>-0.626888768217988</v>
      </c>
      <c r="DO22">
        <v>-0.15445808793760901</v>
      </c>
      <c r="DP22">
        <v>2.2424165641344199E-2</v>
      </c>
      <c r="DQ22">
        <v>-0.231988956740907</v>
      </c>
      <c r="DR22">
        <v>0.1273252580775</v>
      </c>
      <c r="DS22">
        <v>-1.5287734847219301</v>
      </c>
      <c r="DT22">
        <v>-0.40270649022175897</v>
      </c>
      <c r="DU22">
        <v>-0.63826507264107402</v>
      </c>
      <c r="DV22">
        <v>-0.55116244537264802</v>
      </c>
      <c r="DW22">
        <v>-0.16104318149967101</v>
      </c>
      <c r="DX22">
        <v>-0.39906000645711098</v>
      </c>
      <c r="DY22">
        <v>-0.97351361309121698</v>
      </c>
      <c r="DZ22">
        <v>-1.3094310357043899</v>
      </c>
      <c r="EA22">
        <v>-0.53774926685959401</v>
      </c>
      <c r="EB22">
        <v>-0.117132275893141</v>
      </c>
      <c r="EC22">
        <v>3.3414427539643098E-2</v>
      </c>
      <c r="ED22">
        <v>-0.197674852624077</v>
      </c>
      <c r="EE22">
        <v>0.21128499367616299</v>
      </c>
      <c r="EF22">
        <v>-0.25578340952967599</v>
      </c>
      <c r="EG22">
        <v>0.135289145687365</v>
      </c>
      <c r="EH22">
        <v>-0.66904841048962205</v>
      </c>
      <c r="EI22">
        <v>-0.12136206546115801</v>
      </c>
      <c r="EJ22">
        <v>0.38252547174934098</v>
      </c>
      <c r="EK22">
        <v>0.71229365566916503</v>
      </c>
      <c r="EL22">
        <v>0.52606490561821595</v>
      </c>
      <c r="EM22">
        <v>0.46966227780650699</v>
      </c>
      <c r="EN22">
        <v>0.70649232908813797</v>
      </c>
      <c r="EO22">
        <v>0.516698184794953</v>
      </c>
      <c r="EP22">
        <v>0.64517136273398301</v>
      </c>
      <c r="EQ22">
        <v>0.56580274216142901</v>
      </c>
      <c r="ER22">
        <v>0.45798715214038999</v>
      </c>
      <c r="ES22">
        <v>0.22809138599858</v>
      </c>
      <c r="ET22">
        <v>0.32937389813773499</v>
      </c>
      <c r="EU22">
        <v>0.44326295151149198</v>
      </c>
      <c r="EV22">
        <v>0.44063988992846598</v>
      </c>
      <c r="EW22">
        <v>0.38513099585120403</v>
      </c>
      <c r="EX22">
        <v>0.22925358735849199</v>
      </c>
      <c r="EY22">
        <v>2.62346180433242E-2</v>
      </c>
      <c r="EZ22">
        <v>-7.2381746147718098E-3</v>
      </c>
      <c r="FA22">
        <v>0.48794310513799199</v>
      </c>
      <c r="FB22">
        <v>0.48660216753115099</v>
      </c>
      <c r="FC22">
        <v>0.59055752179832899</v>
      </c>
      <c r="FD22">
        <v>0.35836466189334698</v>
      </c>
      <c r="FE22">
        <v>0.71818051936290705</v>
      </c>
      <c r="FF22">
        <v>0.51681565692369902</v>
      </c>
      <c r="FG22">
        <v>0.67398381691972797</v>
      </c>
      <c r="FH22">
        <v>0.69564369557747696</v>
      </c>
      <c r="FI22">
        <v>0.72927354382406795</v>
      </c>
      <c r="FJ22">
        <v>0.80405119093005895</v>
      </c>
      <c r="FK22">
        <v>0.57949537151814501</v>
      </c>
      <c r="FL22">
        <v>0.75091832117666302</v>
      </c>
      <c r="FM22">
        <v>0.74832056024099602</v>
      </c>
      <c r="FN22">
        <v>0.81890375842073404</v>
      </c>
      <c r="FO22">
        <v>0.82475728720048802</v>
      </c>
      <c r="FP22">
        <v>0.75685049921085401</v>
      </c>
      <c r="FQ22">
        <v>0.81634917695514198</v>
      </c>
      <c r="FR22">
        <v>0.86257147514622301</v>
      </c>
      <c r="FS22">
        <v>0.80190507276610401</v>
      </c>
      <c r="FT22">
        <v>0.76617473134742697</v>
      </c>
      <c r="FU22">
        <v>0.65957916823663998</v>
      </c>
      <c r="FV22">
        <v>0.70488265869417899</v>
      </c>
      <c r="FW22">
        <v>0.24173012303507199</v>
      </c>
      <c r="FX22">
        <v>0.447287328709365</v>
      </c>
      <c r="FY22">
        <v>0.36006651157726099</v>
      </c>
      <c r="FZ22">
        <v>0.32813600516927099</v>
      </c>
      <c r="GA22">
        <v>0.46311569118357598</v>
      </c>
      <c r="GB22">
        <v>0.52183299968818697</v>
      </c>
      <c r="GC22">
        <v>0.26496650610264399</v>
      </c>
      <c r="GD22">
        <v>0.25305409764380998</v>
      </c>
      <c r="GE22">
        <v>-2.4195310774544E-2</v>
      </c>
      <c r="GF22">
        <v>0.68033943866432101</v>
      </c>
      <c r="GG22">
        <v>0.51311759409075097</v>
      </c>
      <c r="GH22">
        <v>0.199982354738511</v>
      </c>
      <c r="GI22">
        <v>0.71735370408432697</v>
      </c>
      <c r="GJ22">
        <v>0.74366538342786004</v>
      </c>
      <c r="GK22">
        <v>0.77969599828059799</v>
      </c>
    </row>
    <row r="23" spans="1:193" x14ac:dyDescent="0.25">
      <c r="A23" t="s">
        <v>265</v>
      </c>
      <c r="B23" t="s">
        <v>629</v>
      </c>
      <c r="C23">
        <v>0.12257787115353699</v>
      </c>
      <c r="D23">
        <v>0.17676827750253801</v>
      </c>
      <c r="E23">
        <v>3.7801315616443398</v>
      </c>
      <c r="F23">
        <v>3.43800171974133</v>
      </c>
      <c r="G23">
        <v>0.547534205035071</v>
      </c>
      <c r="H23">
        <v>-2.2666047330808799E-2</v>
      </c>
      <c r="I23">
        <v>3.3607171765265602</v>
      </c>
      <c r="J23">
        <v>5.4415529849477302</v>
      </c>
      <c r="K23">
        <v>5.51416913544303</v>
      </c>
      <c r="L23">
        <v>0.83381583747910504</v>
      </c>
      <c r="M23">
        <v>-0.128298108871954</v>
      </c>
      <c r="N23">
        <v>-0.2217307521852</v>
      </c>
      <c r="O23">
        <v>0.478945947353206</v>
      </c>
      <c r="P23">
        <v>0.19031610221369499</v>
      </c>
      <c r="Q23">
        <v>0.59409813882038398</v>
      </c>
      <c r="R23">
        <v>0.221969045413378</v>
      </c>
      <c r="S23">
        <v>-0.127503451846707</v>
      </c>
      <c r="T23">
        <v>0.340666250887592</v>
      </c>
      <c r="U23">
        <v>1.13698879746746E-2</v>
      </c>
      <c r="V23">
        <v>3.4925740071308602E-2</v>
      </c>
      <c r="W23">
        <v>7.93869917437139E-2</v>
      </c>
      <c r="X23">
        <v>0.55375648773641895</v>
      </c>
      <c r="Y23">
        <v>-0.247990775567553</v>
      </c>
      <c r="Z23">
        <v>0.48756087019494598</v>
      </c>
      <c r="AA23">
        <v>0.18527748270585601</v>
      </c>
      <c r="AB23">
        <v>3.1369568700264E-2</v>
      </c>
      <c r="AC23">
        <v>4.8654589004226902E-2</v>
      </c>
      <c r="AD23">
        <v>-0.247990775567553</v>
      </c>
      <c r="AE23">
        <v>-8.2758152622956202E-2</v>
      </c>
      <c r="AF23">
        <v>-9.8140946265602394E-2</v>
      </c>
      <c r="AG23">
        <v>5.72717307889576E-2</v>
      </c>
      <c r="AH23">
        <v>0.458607133158284</v>
      </c>
      <c r="AI23">
        <v>0.25327183528132702</v>
      </c>
      <c r="AJ23">
        <v>0.20945444474248101</v>
      </c>
      <c r="AK23">
        <v>-8.4453573105968793E-2</v>
      </c>
      <c r="AL23">
        <v>0.21253833375468301</v>
      </c>
      <c r="AM23">
        <v>0.133940349009745</v>
      </c>
      <c r="AN23">
        <v>0.344995859180878</v>
      </c>
      <c r="AO23">
        <v>-0.139610484727655</v>
      </c>
      <c r="AP23">
        <v>-0.10585636951991401</v>
      </c>
      <c r="AQ23">
        <v>-4.5491764215081099E-3</v>
      </c>
      <c r="AR23">
        <v>0.14394263905900501</v>
      </c>
      <c r="AS23">
        <v>0.25592227234534198</v>
      </c>
      <c r="AT23">
        <v>0.31661878404194699</v>
      </c>
      <c r="AU23">
        <v>-7.9388563785688898E-2</v>
      </c>
      <c r="AV23">
        <v>4.5111129925706102E-3</v>
      </c>
      <c r="AW23">
        <v>9.4561180812573892E-3</v>
      </c>
      <c r="AX23">
        <v>1.2611828485791199E-2</v>
      </c>
      <c r="AY23">
        <v>0.13172806384291499</v>
      </c>
      <c r="AZ23">
        <v>-0.137638396286793</v>
      </c>
      <c r="BA23">
        <v>-0.247990775567553</v>
      </c>
      <c r="BB23">
        <v>0.12674867583542601</v>
      </c>
      <c r="BC23">
        <v>0.55866738753081302</v>
      </c>
      <c r="BD23">
        <v>-0.247990775567553</v>
      </c>
      <c r="BE23">
        <v>5.07489373986902E-2</v>
      </c>
      <c r="BF23">
        <v>0.28614284296651998</v>
      </c>
      <c r="BG23">
        <v>1.3819196742799401E-2</v>
      </c>
      <c r="BH23">
        <v>-4.75489271840897E-2</v>
      </c>
      <c r="BI23">
        <v>0.23421954625788199</v>
      </c>
      <c r="BJ23">
        <v>4.9702422218296502E-2</v>
      </c>
      <c r="BK23">
        <v>-4.4981986873016397E-2</v>
      </c>
      <c r="BL23">
        <v>0.25651570338605301</v>
      </c>
      <c r="BM23">
        <v>-0.247990775567553</v>
      </c>
      <c r="BN23">
        <v>-0.247990775567553</v>
      </c>
      <c r="BO23">
        <v>0.29280561603442301</v>
      </c>
      <c r="BP23">
        <v>0.202250720249564</v>
      </c>
      <c r="BQ23">
        <v>2.6618880156775802E-3</v>
      </c>
      <c r="BR23">
        <v>-4.7046493363354903E-2</v>
      </c>
      <c r="BS23">
        <v>4.0049155844958904</v>
      </c>
      <c r="BT23">
        <v>4.2305231973898296</v>
      </c>
      <c r="BU23">
        <v>4.9396077060508201</v>
      </c>
      <c r="BV23">
        <v>4.6824958668497203</v>
      </c>
      <c r="BW23">
        <v>5.2361377204069903</v>
      </c>
      <c r="BX23">
        <v>4.7204061952117202</v>
      </c>
      <c r="BY23">
        <v>5.0323570482435196</v>
      </c>
      <c r="BZ23">
        <v>3.7236697109333101</v>
      </c>
      <c r="CA23">
        <v>4.3531992351244702</v>
      </c>
      <c r="CB23">
        <v>-8.9961801303845901E-2</v>
      </c>
      <c r="CC23">
        <v>0.42804082056812998</v>
      </c>
      <c r="CD23">
        <v>0.13650699423228699</v>
      </c>
      <c r="CE23">
        <v>-0.247990775567553</v>
      </c>
      <c r="CF23">
        <v>0.11836735468644401</v>
      </c>
      <c r="CG23">
        <v>0.155187082660417</v>
      </c>
      <c r="CH23">
        <v>-9.5771755733113306E-2</v>
      </c>
      <c r="CI23">
        <v>5.9631210278449601E-2</v>
      </c>
      <c r="CJ23">
        <v>-1.73662404128421E-3</v>
      </c>
      <c r="CK23">
        <v>0.103040768483376</v>
      </c>
      <c r="CL23">
        <v>-0.11854696678013101</v>
      </c>
      <c r="CM23">
        <v>0.51091115403929999</v>
      </c>
      <c r="CN23">
        <v>-0.247990775567553</v>
      </c>
      <c r="CO23">
        <v>-1.3996816169580701E-2</v>
      </c>
      <c r="CP23">
        <v>-9.4132382554807104E-2</v>
      </c>
      <c r="CQ23">
        <v>9.2139887730667506E-3</v>
      </c>
      <c r="CR23">
        <v>0.16735269026109201</v>
      </c>
      <c r="CS23">
        <v>9.1220894514377995E-2</v>
      </c>
      <c r="CT23">
        <v>-0.247990775567553</v>
      </c>
      <c r="CU23">
        <v>-0.247990775567553</v>
      </c>
      <c r="CV23">
        <v>0.58082386019973498</v>
      </c>
      <c r="CW23">
        <v>-0.130540620500188</v>
      </c>
      <c r="CX23">
        <v>9.5963385503541401E-2</v>
      </c>
      <c r="CY23">
        <v>0.53646487392528697</v>
      </c>
      <c r="CZ23">
        <v>1.9035000854609101</v>
      </c>
      <c r="DA23">
        <v>0.20455929771166101</v>
      </c>
      <c r="DB23">
        <v>8.86316715828631E-2</v>
      </c>
      <c r="DC23">
        <v>-0.10623096338099</v>
      </c>
      <c r="DD23">
        <v>0.42432028493919099</v>
      </c>
      <c r="DE23">
        <v>3.3520849262580303E-2</v>
      </c>
      <c r="DF23">
        <v>-0.247990775567553</v>
      </c>
      <c r="DG23">
        <v>0.40987131778858599</v>
      </c>
      <c r="DH23">
        <v>-3.1149433936666301E-2</v>
      </c>
      <c r="DI23">
        <v>-2.3374912354079702E-3</v>
      </c>
      <c r="DJ23">
        <v>2.53282140650497E-2</v>
      </c>
      <c r="DK23">
        <v>0.3171910647342</v>
      </c>
      <c r="DL23">
        <v>0.154584471422306</v>
      </c>
      <c r="DM23">
        <v>4.7985895931151601E-2</v>
      </c>
      <c r="DN23">
        <v>0.18549645312923699</v>
      </c>
      <c r="DO23">
        <v>0.19751371583222799</v>
      </c>
      <c r="DP23">
        <v>4.9517538838967902E-2</v>
      </c>
      <c r="DQ23">
        <v>-9.1322169711540099E-2</v>
      </c>
      <c r="DR23">
        <v>-4.8210181683044301E-3</v>
      </c>
      <c r="DS23">
        <v>0.30425432703446897</v>
      </c>
      <c r="DT23">
        <v>0.48275762019555901</v>
      </c>
      <c r="DU23">
        <v>0.24286181889879499</v>
      </c>
      <c r="DV23" s="10">
        <v>-4.8083705414029199E-5</v>
      </c>
      <c r="DW23">
        <v>-3.2341207322673003E-2</v>
      </c>
      <c r="DX23">
        <v>-7.7734867967561405E-2</v>
      </c>
      <c r="DY23">
        <v>0.57253469587303896</v>
      </c>
      <c r="DZ23">
        <v>-0.13004930224701</v>
      </c>
      <c r="EA23">
        <v>0.36371584881639701</v>
      </c>
      <c r="EB23">
        <v>4.52485666293517E-2</v>
      </c>
      <c r="EC23">
        <v>0.163107173192614</v>
      </c>
      <c r="ED23">
        <v>6.4284879886832194E-2</v>
      </c>
      <c r="EE23">
        <v>0.12731805405227201</v>
      </c>
      <c r="EF23">
        <v>5.6104307160160703E-2</v>
      </c>
      <c r="EG23">
        <v>0.20060911788008501</v>
      </c>
      <c r="EH23">
        <v>-0.12512031037809601</v>
      </c>
      <c r="EI23">
        <v>-0.12860426989808799</v>
      </c>
      <c r="EJ23">
        <v>6.4374673882917595E-4</v>
      </c>
      <c r="EK23">
        <v>-4.3652915587213598E-2</v>
      </c>
      <c r="EL23">
        <v>-1.7454567427972401E-2</v>
      </c>
      <c r="EM23">
        <v>0.16351206594486101</v>
      </c>
      <c r="EN23">
        <v>2.3706749396378299</v>
      </c>
      <c r="EO23">
        <v>0.17078507471028101</v>
      </c>
      <c r="EP23">
        <v>-4.14623702764974E-2</v>
      </c>
      <c r="EQ23">
        <v>0.23786089623904599</v>
      </c>
      <c r="ER23">
        <v>0.109448787070342</v>
      </c>
      <c r="ES23">
        <v>-0.247990775567553</v>
      </c>
      <c r="ET23">
        <v>-1.3168613404399799E-2</v>
      </c>
      <c r="EU23">
        <v>0.28610979277103599</v>
      </c>
      <c r="EV23">
        <v>0.15205731106267101</v>
      </c>
      <c r="EW23">
        <v>-4.0118012058955398E-2</v>
      </c>
      <c r="EX23">
        <v>-9.4593135107188198E-2</v>
      </c>
      <c r="EY23">
        <v>0.243014963439042</v>
      </c>
      <c r="EZ23">
        <v>0.31825014096915599</v>
      </c>
      <c r="FA23">
        <v>0.299745273686155</v>
      </c>
      <c r="FB23">
        <v>7.9549099984757999E-4</v>
      </c>
      <c r="FC23">
        <v>-0.247990775567553</v>
      </c>
      <c r="FD23">
        <v>0.29992070170558599</v>
      </c>
      <c r="FE23">
        <v>0.139420550214268</v>
      </c>
      <c r="FF23">
        <v>-0.247990775567553</v>
      </c>
      <c r="FG23">
        <v>-0.247990775567553</v>
      </c>
      <c r="FH23">
        <v>4.9528777048006803E-2</v>
      </c>
      <c r="FI23">
        <v>-2.6473173271442101E-2</v>
      </c>
      <c r="FJ23">
        <v>7.3569367252685897E-2</v>
      </c>
      <c r="FK23">
        <v>0.136102810487852</v>
      </c>
      <c r="FL23">
        <v>0.42061945326606098</v>
      </c>
      <c r="FM23">
        <v>2.9238705744862301E-2</v>
      </c>
      <c r="FN23">
        <v>0.123597260005908</v>
      </c>
      <c r="FO23">
        <v>-9.1813387561963195E-2</v>
      </c>
      <c r="FP23">
        <v>-0.14982533531283099</v>
      </c>
      <c r="FQ23">
        <v>-0.14743332676432999</v>
      </c>
      <c r="FR23">
        <v>0.28046756862864602</v>
      </c>
      <c r="FS23">
        <v>-0.159533477702586</v>
      </c>
      <c r="FT23">
        <v>-0.247990775567553</v>
      </c>
      <c r="FU23">
        <v>-8.1184384856936895E-2</v>
      </c>
      <c r="FV23">
        <v>0.120563455762418</v>
      </c>
      <c r="FW23">
        <v>-6.1656539133984799E-2</v>
      </c>
      <c r="FX23">
        <v>0.106770081368328</v>
      </c>
      <c r="FY23">
        <v>-0.112652059144516</v>
      </c>
      <c r="FZ23">
        <v>-0.12185831098346001</v>
      </c>
      <c r="GA23">
        <v>-0.13687966218092301</v>
      </c>
      <c r="GB23">
        <v>-7.6780517890214298E-2</v>
      </c>
      <c r="GC23">
        <v>-4.9659452173314703E-2</v>
      </c>
      <c r="GD23">
        <v>-3.0352293703785099E-2</v>
      </c>
      <c r="GE23">
        <v>-0.10981605962999499</v>
      </c>
      <c r="GF23">
        <v>8.2712030082070301E-3</v>
      </c>
      <c r="GG23">
        <v>0.44716301472455999</v>
      </c>
      <c r="GH23">
        <v>-3.3422669359794398E-2</v>
      </c>
      <c r="GI23">
        <v>-8.0025747407186404E-2</v>
      </c>
      <c r="GJ23">
        <v>-1.30219802065156E-3</v>
      </c>
      <c r="GK23" s="10">
        <v>4.8082102881382699E-5</v>
      </c>
    </row>
    <row r="24" spans="1:193" x14ac:dyDescent="0.25">
      <c r="A24" t="s">
        <v>265</v>
      </c>
      <c r="B24" t="s">
        <v>641</v>
      </c>
      <c r="C24">
        <v>-2.6410058279989799</v>
      </c>
      <c r="D24">
        <v>-2.3540475368925202</v>
      </c>
      <c r="E24">
        <v>-0.76352533045579096</v>
      </c>
      <c r="F24">
        <v>-0.53094772326153195</v>
      </c>
      <c r="G24">
        <v>0.15439677421952699</v>
      </c>
      <c r="H24">
        <v>-0.125055753537644</v>
      </c>
      <c r="I24">
        <v>-1.3884369220036299</v>
      </c>
      <c r="J24">
        <v>-0.24289081842942001</v>
      </c>
      <c r="K24">
        <v>-0.23778091530022</v>
      </c>
      <c r="L24">
        <v>-0.15316860600600199</v>
      </c>
      <c r="M24">
        <v>-4.0229790484916004</v>
      </c>
      <c r="N24">
        <v>-4.1793844737740402</v>
      </c>
      <c r="O24">
        <v>-1.72504904865485</v>
      </c>
      <c r="P24">
        <v>1.0831398591493999</v>
      </c>
      <c r="Q24">
        <v>1.2569855532249401</v>
      </c>
      <c r="R24">
        <v>1.0431694014066699</v>
      </c>
      <c r="S24">
        <v>0.969453714720514</v>
      </c>
      <c r="T24">
        <v>1.16035855714983</v>
      </c>
      <c r="U24">
        <v>0.96618042656023295</v>
      </c>
      <c r="V24">
        <v>0.997866357863472</v>
      </c>
      <c r="W24">
        <v>0.93548037464170297</v>
      </c>
      <c r="X24">
        <v>1.0519144910523901</v>
      </c>
      <c r="Y24">
        <v>0.98517124537456702</v>
      </c>
      <c r="Z24">
        <v>0.80618872203574898</v>
      </c>
      <c r="AA24">
        <v>0.36076811001308601</v>
      </c>
      <c r="AB24">
        <v>1.0802114086943999</v>
      </c>
      <c r="AC24">
        <v>0.98253080051582098</v>
      </c>
      <c r="AD24">
        <v>1.1854780701244201</v>
      </c>
      <c r="AE24">
        <v>0.87337165808101802</v>
      </c>
      <c r="AF24">
        <v>1.12676744632243</v>
      </c>
      <c r="AG24">
        <v>1.17813605995829</v>
      </c>
      <c r="AH24">
        <v>0.88959484131859101</v>
      </c>
      <c r="AI24">
        <v>1.09609777449418</v>
      </c>
      <c r="AJ24">
        <v>0.91934732960727605</v>
      </c>
      <c r="AK24">
        <v>0.868825447506823</v>
      </c>
      <c r="AL24">
        <v>1.1142208996628999</v>
      </c>
      <c r="AM24">
        <v>1.12337792531283</v>
      </c>
      <c r="AN24">
        <v>1.2243778167905499</v>
      </c>
      <c r="AO24">
        <v>0.94793780226604196</v>
      </c>
      <c r="AP24">
        <v>1.1369074166628901</v>
      </c>
      <c r="AQ24">
        <v>1.0528874809745601</v>
      </c>
      <c r="AR24">
        <v>1.15233173325091</v>
      </c>
      <c r="AS24">
        <v>1.20091170836755</v>
      </c>
      <c r="AT24">
        <v>1.1929666591908701</v>
      </c>
      <c r="AU24">
        <v>1.17748631903499</v>
      </c>
      <c r="AV24">
        <v>1.0560973120877899</v>
      </c>
      <c r="AW24">
        <v>1.0781434076741301</v>
      </c>
      <c r="AX24">
        <v>1.1611336398529399</v>
      </c>
      <c r="AY24">
        <v>1.2177789927665099</v>
      </c>
      <c r="AZ24">
        <v>1.19069041447204</v>
      </c>
      <c r="BA24">
        <v>1.2441952042461599</v>
      </c>
      <c r="BB24">
        <v>1.15863282169431</v>
      </c>
      <c r="BC24">
        <v>1.06118235486435</v>
      </c>
      <c r="BD24">
        <v>0.92905644057890202</v>
      </c>
      <c r="BE24">
        <v>1.2313821140007799</v>
      </c>
      <c r="BF24">
        <v>1.3956843568361901</v>
      </c>
      <c r="BG24">
        <v>1.30209820350879</v>
      </c>
      <c r="BH24">
        <v>1.2625821728697699</v>
      </c>
      <c r="BI24">
        <v>1.2097211365157701</v>
      </c>
      <c r="BJ24">
        <v>1.1993782439013601</v>
      </c>
      <c r="BK24">
        <v>1.3023182699107501</v>
      </c>
      <c r="BL24">
        <v>1.35770257664908</v>
      </c>
      <c r="BM24">
        <v>1.2819828282608301</v>
      </c>
      <c r="BN24">
        <v>1.2101432448105101</v>
      </c>
      <c r="BO24">
        <v>1.04111564673201</v>
      </c>
      <c r="BP24">
        <v>1.2747813119520199</v>
      </c>
      <c r="BQ24">
        <v>1.0328403802136601</v>
      </c>
      <c r="BR24">
        <v>1.4219871284340899</v>
      </c>
      <c r="BS24">
        <v>0.34477762773481702</v>
      </c>
      <c r="BT24">
        <v>0.12630794194019501</v>
      </c>
      <c r="BU24">
        <v>-8.9921747835991703E-2</v>
      </c>
      <c r="BV24">
        <v>-7.3234257261316396E-2</v>
      </c>
      <c r="BW24">
        <v>0.40909970765579401</v>
      </c>
      <c r="BX24">
        <v>0.20212608733672099</v>
      </c>
      <c r="BY24">
        <v>0.107254998538379</v>
      </c>
      <c r="BZ24">
        <v>0.50011124096880999</v>
      </c>
      <c r="CA24">
        <v>0.78041594442220297</v>
      </c>
      <c r="CB24">
        <v>0.95577512818181898</v>
      </c>
      <c r="CC24">
        <v>1.0028473742475399</v>
      </c>
      <c r="CD24">
        <v>0.78553171373401698</v>
      </c>
      <c r="CE24">
        <v>0.81431137396790398</v>
      </c>
      <c r="CF24">
        <v>0.58310813412834495</v>
      </c>
      <c r="CG24">
        <v>0.46671887474429202</v>
      </c>
      <c r="CH24">
        <v>0.51790028050202397</v>
      </c>
      <c r="CI24">
        <v>0.89002614785395595</v>
      </c>
      <c r="CJ24">
        <v>1.0220545662043801</v>
      </c>
      <c r="CK24">
        <v>1.09088272735099</v>
      </c>
      <c r="CL24">
        <v>0.76172417188863395</v>
      </c>
      <c r="CM24">
        <v>0.44770236762215498</v>
      </c>
      <c r="CN24">
        <v>0.80777753351592996</v>
      </c>
      <c r="CO24">
        <v>8.3929644146784999E-2</v>
      </c>
      <c r="CP24">
        <v>0.254048529393815</v>
      </c>
      <c r="CQ24">
        <v>0.29633864166024398</v>
      </c>
      <c r="CR24">
        <v>0.21223913761841801</v>
      </c>
      <c r="CS24">
        <v>0.46485352817016401</v>
      </c>
      <c r="CT24">
        <v>-0.22148924844714399</v>
      </c>
      <c r="CU24">
        <v>-4.3670867557506203E-2</v>
      </c>
      <c r="CV24">
        <v>8.54790928634203E-2</v>
      </c>
      <c r="CW24">
        <v>-0.172841698793266</v>
      </c>
      <c r="CX24">
        <v>5.7615099997705602E-2</v>
      </c>
      <c r="CY24">
        <v>-0.462740597189785</v>
      </c>
      <c r="CZ24">
        <v>0.36230253227265002</v>
      </c>
      <c r="DA24">
        <v>0.316803530057292</v>
      </c>
      <c r="DB24">
        <v>0.23806008557630601</v>
      </c>
      <c r="DC24">
        <v>0.25994615623828499</v>
      </c>
      <c r="DD24">
        <v>7.1340374921993396E-2</v>
      </c>
      <c r="DE24">
        <v>-0.27705569622992998</v>
      </c>
      <c r="DF24">
        <v>-0.354019006066154</v>
      </c>
      <c r="DG24">
        <v>-0.19554962678368601</v>
      </c>
      <c r="DH24">
        <v>-1.44227146826214</v>
      </c>
      <c r="DI24">
        <v>-0.53495027026082898</v>
      </c>
      <c r="DJ24">
        <v>-0.81710459360989196</v>
      </c>
      <c r="DK24">
        <v>-0.39645349224499599</v>
      </c>
      <c r="DL24">
        <v>-0.69492396355125496</v>
      </c>
      <c r="DM24">
        <v>-6.9199574818916504E-2</v>
      </c>
      <c r="DN24">
        <v>-0.87724732547244799</v>
      </c>
      <c r="DO24">
        <v>-0.13913152655032199</v>
      </c>
      <c r="DP24">
        <v>0.13556879138699099</v>
      </c>
      <c r="DQ24">
        <v>-0.228380291283652</v>
      </c>
      <c r="DR24">
        <v>-8.8178619663287203E-2</v>
      </c>
      <c r="DS24">
        <v>-1.3732709915299699</v>
      </c>
      <c r="DT24">
        <v>-0.82077813278105105</v>
      </c>
      <c r="DU24">
        <v>-0.39126210706222397</v>
      </c>
      <c r="DV24">
        <v>-0.89370632360190305</v>
      </c>
      <c r="DW24">
        <v>-2.5079775202228899E-2</v>
      </c>
      <c r="DX24">
        <v>-0.83103045098678396</v>
      </c>
      <c r="DY24">
        <v>-1.07841278666467</v>
      </c>
      <c r="DZ24">
        <v>-0.67664113655920299</v>
      </c>
      <c r="EA24">
        <v>0.16409176008080201</v>
      </c>
      <c r="EB24">
        <v>-0.60440194741897901</v>
      </c>
      <c r="EC24">
        <v>-0.25491409934634801</v>
      </c>
      <c r="ED24">
        <v>7.9459202450774993E-2</v>
      </c>
      <c r="EE24">
        <v>-7.4923818704591694E-2</v>
      </c>
      <c r="EF24">
        <v>-0.37347323121458598</v>
      </c>
      <c r="EG24">
        <v>0.20986882113670199</v>
      </c>
      <c r="EH24">
        <v>-1.1012575282063799</v>
      </c>
      <c r="EI24">
        <v>-0.162949638960943</v>
      </c>
      <c r="EJ24">
        <v>0.51373606151959395</v>
      </c>
      <c r="EK24">
        <v>0.55768816655661502</v>
      </c>
      <c r="EL24">
        <v>0.52998130145493105</v>
      </c>
      <c r="EM24">
        <v>0.42573331765185501</v>
      </c>
      <c r="EN24">
        <v>0.70372852894109095</v>
      </c>
      <c r="EO24">
        <v>0.56588291884748299</v>
      </c>
      <c r="EP24">
        <v>0.40493663345950598</v>
      </c>
      <c r="EQ24">
        <v>0.32325695892037898</v>
      </c>
      <c r="ER24">
        <v>0.42853516338706099</v>
      </c>
      <c r="ES24">
        <v>0.48958011906263399</v>
      </c>
      <c r="ET24">
        <v>0.16863670693164801</v>
      </c>
      <c r="EU24">
        <v>0.41832997116853099</v>
      </c>
      <c r="EV24">
        <v>0.47420288038138902</v>
      </c>
      <c r="EW24">
        <v>0.42909327837716699</v>
      </c>
      <c r="EX24">
        <v>0.237819519321498</v>
      </c>
      <c r="EY24">
        <v>0.323365438842243</v>
      </c>
      <c r="EZ24">
        <v>0.56491678230416298</v>
      </c>
      <c r="FA24">
        <v>0.49618352238290198</v>
      </c>
      <c r="FB24">
        <v>0.52890585679662205</v>
      </c>
      <c r="FC24">
        <v>0.53031888843211095</v>
      </c>
      <c r="FD24">
        <v>0.56714996989324695</v>
      </c>
      <c r="FE24">
        <v>0.59744817468991995</v>
      </c>
      <c r="FF24">
        <v>0.72194984168235099</v>
      </c>
      <c r="FG24">
        <v>0.66954571860071099</v>
      </c>
      <c r="FH24">
        <v>0.62560533490507297</v>
      </c>
      <c r="FI24">
        <v>0.68760642548817397</v>
      </c>
      <c r="FJ24">
        <v>0.79549278871599505</v>
      </c>
      <c r="FK24">
        <v>0.50522961008378597</v>
      </c>
      <c r="FL24">
        <v>0.79293875608152098</v>
      </c>
      <c r="FM24">
        <v>0.77692445006212496</v>
      </c>
      <c r="FN24">
        <v>0.72011143332893202</v>
      </c>
      <c r="FO24">
        <v>0.436321851808046</v>
      </c>
      <c r="FP24">
        <v>0.759333271277842</v>
      </c>
      <c r="FQ24">
        <v>0.77522303681168603</v>
      </c>
      <c r="FR24">
        <v>0.429228000519289</v>
      </c>
      <c r="FS24">
        <v>0.68443213246624102</v>
      </c>
      <c r="FT24">
        <v>0.76444343295555495</v>
      </c>
      <c r="FU24">
        <v>0.65875325068642698</v>
      </c>
      <c r="FV24">
        <v>0.53599610031965395</v>
      </c>
      <c r="FW24">
        <v>0.36061128443297802</v>
      </c>
      <c r="FX24">
        <v>0.37849124675211998</v>
      </c>
      <c r="FY24">
        <v>0.200843300840365</v>
      </c>
      <c r="FZ24">
        <v>0.13047844696282701</v>
      </c>
      <c r="GA24">
        <v>0.393739733852213</v>
      </c>
      <c r="GB24">
        <v>0.57158385461350902</v>
      </c>
      <c r="GC24">
        <v>0.421334446964582</v>
      </c>
      <c r="GD24">
        <v>5.8551967676750999E-2</v>
      </c>
      <c r="GE24">
        <v>0.26962010902656802</v>
      </c>
      <c r="GF24">
        <v>0.30121731463597401</v>
      </c>
      <c r="GG24">
        <v>0.31203345449432901</v>
      </c>
      <c r="GH24">
        <v>0.237424027314559</v>
      </c>
      <c r="GI24">
        <v>0.646084630472326</v>
      </c>
      <c r="GJ24">
        <v>0.64912148926434399</v>
      </c>
      <c r="GK24">
        <v>0.61945487710884894</v>
      </c>
    </row>
    <row r="25" spans="1:193" x14ac:dyDescent="0.25">
      <c r="A25" t="s">
        <v>265</v>
      </c>
      <c r="B25" t="s">
        <v>758</v>
      </c>
      <c r="C25">
        <v>0.17216199651706801</v>
      </c>
      <c r="D25">
        <v>0</v>
      </c>
      <c r="E25">
        <v>0.54029959656219695</v>
      </c>
      <c r="F25">
        <v>7.6403981144698596E-2</v>
      </c>
      <c r="G25">
        <v>9.7818992537182195E-2</v>
      </c>
      <c r="H25">
        <v>0.116544086167703</v>
      </c>
      <c r="I25">
        <v>0</v>
      </c>
      <c r="J25">
        <v>4.2311792463751399E-2</v>
      </c>
      <c r="K25">
        <v>6.2923257942764696E-2</v>
      </c>
      <c r="L25">
        <v>3.7446217014519702E-2</v>
      </c>
      <c r="M25">
        <v>4.0669532572012598E-2</v>
      </c>
      <c r="N25">
        <v>0.26099797544321601</v>
      </c>
      <c r="O25">
        <v>0.51092729882185595</v>
      </c>
      <c r="P25">
        <v>0.24204295968959699</v>
      </c>
      <c r="Q25">
        <v>0</v>
      </c>
      <c r="R25">
        <v>0</v>
      </c>
      <c r="S25">
        <v>0</v>
      </c>
      <c r="T25">
        <v>0</v>
      </c>
      <c r="U25">
        <v>0.13505696428904099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1.49649452538641E-2</v>
      </c>
      <c r="AC25">
        <v>0</v>
      </c>
      <c r="AD25">
        <v>0.14083093829322599</v>
      </c>
      <c r="AE25">
        <v>0</v>
      </c>
      <c r="AF25">
        <v>7.6712372968272602E-2</v>
      </c>
      <c r="AG25">
        <v>0</v>
      </c>
      <c r="AH25">
        <v>0</v>
      </c>
      <c r="AI25">
        <v>0.12365214248124901</v>
      </c>
      <c r="AJ25">
        <v>0</v>
      </c>
      <c r="AK25">
        <v>0</v>
      </c>
      <c r="AL25">
        <v>0</v>
      </c>
      <c r="AM25">
        <v>0</v>
      </c>
      <c r="AN25">
        <v>0.115595562627992</v>
      </c>
      <c r="AO25">
        <v>0</v>
      </c>
      <c r="AP25">
        <v>0.14213440604763899</v>
      </c>
      <c r="AQ25">
        <v>0</v>
      </c>
      <c r="AR25">
        <v>0</v>
      </c>
      <c r="AS25">
        <v>7.6317444227265996E-2</v>
      </c>
      <c r="AT25">
        <v>0</v>
      </c>
      <c r="AU25">
        <v>0</v>
      </c>
      <c r="AV25">
        <v>0</v>
      </c>
      <c r="AW25">
        <v>0</v>
      </c>
      <c r="AX25">
        <v>9.1796209032979206E-2</v>
      </c>
      <c r="AY25">
        <v>0.10379805801442001</v>
      </c>
      <c r="AZ25">
        <v>0</v>
      </c>
      <c r="BA25">
        <v>0.124642827398525</v>
      </c>
      <c r="BB25">
        <v>0.102389541181161</v>
      </c>
      <c r="BC25">
        <v>0</v>
      </c>
      <c r="BD25">
        <v>0</v>
      </c>
      <c r="BE25">
        <v>0</v>
      </c>
      <c r="BF25">
        <v>0</v>
      </c>
      <c r="BG25">
        <v>4.3674459595683897E-2</v>
      </c>
      <c r="BH25">
        <v>0</v>
      </c>
      <c r="BI25">
        <v>9.2667331132454497E-2</v>
      </c>
      <c r="BJ25">
        <v>0</v>
      </c>
      <c r="BK25">
        <v>0.10473772768606</v>
      </c>
      <c r="BL25">
        <v>8.2512257678867704E-2</v>
      </c>
      <c r="BM25">
        <v>0</v>
      </c>
      <c r="BN25">
        <v>0</v>
      </c>
      <c r="BO25">
        <v>0.103667401940662</v>
      </c>
      <c r="BP25">
        <v>0</v>
      </c>
      <c r="BQ25">
        <v>8.8010653683876103E-2</v>
      </c>
      <c r="BR25">
        <v>0</v>
      </c>
      <c r="BS25">
        <v>2.5534002388843902E-2</v>
      </c>
      <c r="BT25">
        <v>2.46539339368015E-2</v>
      </c>
      <c r="BU25">
        <v>3.0868238711586601E-2</v>
      </c>
      <c r="BV25">
        <v>0</v>
      </c>
      <c r="BW25">
        <v>2.5145524940646299E-2</v>
      </c>
      <c r="BX25">
        <v>2.9446649772994101E-2</v>
      </c>
      <c r="BY25">
        <v>0</v>
      </c>
      <c r="BZ25">
        <v>1.53832037506966E-2</v>
      </c>
      <c r="CA25">
        <v>3.8820063544185802E-2</v>
      </c>
      <c r="CB25">
        <v>0</v>
      </c>
      <c r="CC25">
        <v>0</v>
      </c>
      <c r="CD25">
        <v>0</v>
      </c>
      <c r="CE25">
        <v>0.13632755316803799</v>
      </c>
      <c r="CF25">
        <v>0</v>
      </c>
      <c r="CG25">
        <v>0</v>
      </c>
      <c r="CH25">
        <v>0.15221901983444</v>
      </c>
      <c r="CI25">
        <v>0.161246526739804</v>
      </c>
      <c r="CJ25">
        <v>2.5257771258434099E-2</v>
      </c>
      <c r="CK25">
        <v>3.9736180551319E-2</v>
      </c>
      <c r="CL25">
        <v>0</v>
      </c>
      <c r="CM25">
        <v>0</v>
      </c>
      <c r="CN25">
        <v>6.8781737123402506E-2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0.16373693631744099</v>
      </c>
      <c r="CV25">
        <v>0</v>
      </c>
      <c r="CW25">
        <v>0</v>
      </c>
      <c r="CX25">
        <v>0</v>
      </c>
      <c r="CY25">
        <v>0</v>
      </c>
      <c r="CZ25">
        <v>0.22899374041631901</v>
      </c>
      <c r="DA25">
        <v>0.120933518158249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0.216841341630887</v>
      </c>
      <c r="DI25">
        <v>0.12765562509730199</v>
      </c>
      <c r="DJ25">
        <v>0</v>
      </c>
      <c r="DK25">
        <v>0.117343522128182</v>
      </c>
      <c r="DL25">
        <v>0.14580589916522299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0.153333679138072</v>
      </c>
      <c r="EC25">
        <v>0</v>
      </c>
      <c r="ED25">
        <v>0.128091828897031</v>
      </c>
      <c r="EE25">
        <v>0.15928757742406799</v>
      </c>
      <c r="EF25">
        <v>0.107801825666918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0.11584968573362001</v>
      </c>
      <c r="ET25">
        <v>0</v>
      </c>
      <c r="EU25">
        <v>0</v>
      </c>
      <c r="EV25">
        <v>0</v>
      </c>
      <c r="EW25">
        <v>0</v>
      </c>
      <c r="EX25">
        <v>0.153397640460365</v>
      </c>
      <c r="EY25">
        <v>0</v>
      </c>
      <c r="EZ25">
        <v>0</v>
      </c>
      <c r="FA25">
        <v>0</v>
      </c>
      <c r="FB25">
        <v>0</v>
      </c>
      <c r="FC25">
        <v>0.132969882930038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0.112506289360221</v>
      </c>
      <c r="FO25">
        <v>0.15617738800559</v>
      </c>
      <c r="FP25">
        <v>0</v>
      </c>
      <c r="FQ25">
        <v>0</v>
      </c>
      <c r="FR25">
        <v>0</v>
      </c>
      <c r="FS25">
        <v>3.84201565464646E-2</v>
      </c>
      <c r="FT25">
        <v>0.11933045726168</v>
      </c>
      <c r="FU25">
        <v>8.55021554851145E-2</v>
      </c>
      <c r="FV25">
        <v>0</v>
      </c>
      <c r="FW25">
        <v>9.58068682682717E-2</v>
      </c>
      <c r="FX25">
        <v>8.4231642589400593E-2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4.6230529724273203E-2</v>
      </c>
      <c r="GI25">
        <v>3.42427947346612E-2</v>
      </c>
      <c r="GJ25">
        <v>0.127662646228931</v>
      </c>
      <c r="GK25">
        <v>5.2430021466666699E-2</v>
      </c>
    </row>
    <row r="26" spans="1:193" x14ac:dyDescent="0.25">
      <c r="A26" t="s">
        <v>265</v>
      </c>
      <c r="B26" t="s">
        <v>643</v>
      </c>
      <c r="C26">
        <v>-1.52481726184144</v>
      </c>
      <c r="D26">
        <v>-1.3533146815852199</v>
      </c>
      <c r="E26">
        <v>-0.428184387374137</v>
      </c>
      <c r="F26">
        <v>-0.31999964271018899</v>
      </c>
      <c r="G26">
        <v>0.13994954117458</v>
      </c>
      <c r="H26">
        <v>-0.438828696668495</v>
      </c>
      <c r="I26">
        <v>0.605228531888785</v>
      </c>
      <c r="J26">
        <v>0.239945894861395</v>
      </c>
      <c r="K26">
        <v>0.19810793502589999</v>
      </c>
      <c r="L26">
        <v>-0.111661041194003</v>
      </c>
      <c r="M26">
        <v>-1.5337251126968201</v>
      </c>
      <c r="N26">
        <v>-1.62016169932374</v>
      </c>
      <c r="O26">
        <v>-1.5050921983004799</v>
      </c>
      <c r="P26">
        <v>3.36541116849167E-2</v>
      </c>
      <c r="Q26">
        <v>0.26298528410014699</v>
      </c>
      <c r="R26">
        <v>-0.33538811094249199</v>
      </c>
      <c r="S26">
        <v>-6.1766796029570699E-2</v>
      </c>
      <c r="T26">
        <v>-9.7192021247096097E-2</v>
      </c>
      <c r="U26">
        <v>8.3987130594839907E-2</v>
      </c>
      <c r="V26">
        <v>-3.0095720936905601E-2</v>
      </c>
      <c r="W26">
        <v>0.16991952472813901</v>
      </c>
      <c r="X26">
        <v>0.216205715077849</v>
      </c>
      <c r="Y26">
        <v>0.442435080683034</v>
      </c>
      <c r="Z26">
        <v>-0.103046494138919</v>
      </c>
      <c r="AA26">
        <v>0.29671270698684998</v>
      </c>
      <c r="AB26">
        <v>9.0567229488934201E-3</v>
      </c>
      <c r="AC26">
        <v>-0.21058610151941701</v>
      </c>
      <c r="AD26">
        <v>0.109603672754661</v>
      </c>
      <c r="AE26">
        <v>-0.52469978219205904</v>
      </c>
      <c r="AF26">
        <v>-8.7516677895911096E-2</v>
      </c>
      <c r="AG26">
        <v>-1.7112188981478E-2</v>
      </c>
      <c r="AH26">
        <v>-0.719478546847512</v>
      </c>
      <c r="AI26">
        <v>0.42236506193367501</v>
      </c>
      <c r="AJ26">
        <v>-0.40822756539434701</v>
      </c>
      <c r="AK26">
        <v>0.124055359724695</v>
      </c>
      <c r="AL26">
        <v>8.1314556116616699E-2</v>
      </c>
      <c r="AM26">
        <v>-0.47762946284444802</v>
      </c>
      <c r="AN26">
        <v>-0.54492857755790702</v>
      </c>
      <c r="AO26">
        <v>-3.7181401925869301E-2</v>
      </c>
      <c r="AP26">
        <v>-0.26135306296111699</v>
      </c>
      <c r="AQ26">
        <v>0.42727097486784499</v>
      </c>
      <c r="AR26">
        <v>-0.11355797839005199</v>
      </c>
      <c r="AS26">
        <v>0.47785313846622601</v>
      </c>
      <c r="AT26">
        <v>0.175546314253648</v>
      </c>
      <c r="AU26">
        <v>-0.36858663677496301</v>
      </c>
      <c r="AV26">
        <v>-0.80399521645470196</v>
      </c>
      <c r="AW26">
        <v>0.13737496287960299</v>
      </c>
      <c r="AX26">
        <v>0.56946130166409503</v>
      </c>
      <c r="AY26">
        <v>-0.29621481522152299</v>
      </c>
      <c r="AZ26">
        <v>0.52518017297935804</v>
      </c>
      <c r="BA26">
        <v>0.113226732539585</v>
      </c>
      <c r="BB26">
        <v>-8.0928729394736595E-2</v>
      </c>
      <c r="BC26">
        <v>0.55158026922263503</v>
      </c>
      <c r="BD26">
        <v>-0.10588302616300101</v>
      </c>
      <c r="BE26">
        <v>0.15628118247542699</v>
      </c>
      <c r="BF26">
        <v>0.500134780774382</v>
      </c>
      <c r="BG26">
        <v>0.26856593107264998</v>
      </c>
      <c r="BH26">
        <v>0.199574786414532</v>
      </c>
      <c r="BI26">
        <v>-0.39225804162696798</v>
      </c>
      <c r="BJ26">
        <v>0.82042398815195605</v>
      </c>
      <c r="BK26">
        <v>-0.46361192595963702</v>
      </c>
      <c r="BL26">
        <v>5.4697797319965699E-2</v>
      </c>
      <c r="BM26">
        <v>-9.6269067024787394E-2</v>
      </c>
      <c r="BN26">
        <v>0.50311893978988698</v>
      </c>
      <c r="BO26">
        <v>0.27603875361039298</v>
      </c>
      <c r="BP26">
        <v>-0.25906615095998298</v>
      </c>
      <c r="BQ26">
        <v>6.3692532865450804E-2</v>
      </c>
      <c r="BR26">
        <v>0.35401277501083001</v>
      </c>
      <c r="BS26">
        <v>3.9039138374925501E-2</v>
      </c>
      <c r="BT26">
        <v>-0.23179469995205901</v>
      </c>
      <c r="BU26">
        <v>-0.30773144357155802</v>
      </c>
      <c r="BV26">
        <v>-0.32738168863593697</v>
      </c>
      <c r="BW26">
        <v>0.19260862180942101</v>
      </c>
      <c r="BX26">
        <v>0.46224189749532202</v>
      </c>
      <c r="BY26">
        <v>0.72464048256844704</v>
      </c>
      <c r="BZ26">
        <v>0.50785694459383501</v>
      </c>
      <c r="CA26">
        <v>0.28724771461596799</v>
      </c>
      <c r="CB26">
        <v>0.54754144824152995</v>
      </c>
      <c r="CC26">
        <v>-0.52347918924410697</v>
      </c>
      <c r="CD26">
        <v>0.346178621383052</v>
      </c>
      <c r="CE26">
        <v>1.0302492262354399</v>
      </c>
      <c r="CF26">
        <v>0.78181796416953098</v>
      </c>
      <c r="CG26">
        <v>-0.63331944711675003</v>
      </c>
      <c r="CH26">
        <v>0.970072629256296</v>
      </c>
      <c r="CI26">
        <v>1.1745061117047499</v>
      </c>
      <c r="CJ26">
        <v>0.43909405964835302</v>
      </c>
      <c r="CK26">
        <v>0.34865896404806301</v>
      </c>
      <c r="CL26">
        <v>-0.63187919232880596</v>
      </c>
      <c r="CM26">
        <v>-0.51708356077273399</v>
      </c>
      <c r="CN26">
        <v>-0.80391202652117899</v>
      </c>
      <c r="CO26">
        <v>-0.214278339221978</v>
      </c>
      <c r="CP26">
        <v>-9.6259333004319506E-2</v>
      </c>
      <c r="CQ26">
        <v>0.16232299624948099</v>
      </c>
      <c r="CR26">
        <v>-0.26408801603501503</v>
      </c>
      <c r="CS26">
        <v>-5.8701719719722198E-2</v>
      </c>
      <c r="CT26">
        <v>-0.69713635163424703</v>
      </c>
      <c r="CU26">
        <v>0.28625453771833598</v>
      </c>
      <c r="CV26">
        <v>-0.460748398139117</v>
      </c>
      <c r="CW26">
        <v>0.25976811933145999</v>
      </c>
      <c r="CX26">
        <v>6.4093526547245705E-2</v>
      </c>
      <c r="CY26">
        <v>0.43251531049748698</v>
      </c>
      <c r="CZ26">
        <v>1.1461488714533801</v>
      </c>
      <c r="DA26">
        <v>1.00676180572512</v>
      </c>
      <c r="DB26">
        <v>0.94969011587104502</v>
      </c>
      <c r="DC26">
        <v>0.57839466450731003</v>
      </c>
      <c r="DD26">
        <v>0.233543950577174</v>
      </c>
      <c r="DE26">
        <v>0.86239309281661902</v>
      </c>
      <c r="DF26">
        <v>0.49837416110704302</v>
      </c>
      <c r="DG26">
        <v>0.75337319998105601</v>
      </c>
      <c r="DH26">
        <v>0.55879050555462695</v>
      </c>
      <c r="DI26">
        <v>0.14753765152502901</v>
      </c>
      <c r="DJ26">
        <v>0.69430081158358803</v>
      </c>
      <c r="DK26">
        <v>0.37931569963448902</v>
      </c>
      <c r="DL26">
        <v>0.403512715683703</v>
      </c>
      <c r="DM26">
        <v>-7.6778283625688101E-2</v>
      </c>
      <c r="DN26">
        <v>0.45837018966307502</v>
      </c>
      <c r="DO26">
        <v>0.355512591050482</v>
      </c>
      <c r="DP26">
        <v>0.197542244264788</v>
      </c>
      <c r="DQ26">
        <v>-0.36953232419257398</v>
      </c>
      <c r="DR26">
        <v>0.34700248114139198</v>
      </c>
      <c r="DS26">
        <v>0.72966391651642404</v>
      </c>
      <c r="DT26">
        <v>-0.13720608606240001</v>
      </c>
      <c r="DU26">
        <v>-1.67214186475627E-2</v>
      </c>
      <c r="DV26">
        <v>0.46449166773179101</v>
      </c>
      <c r="DW26">
        <v>0.624577298404562</v>
      </c>
      <c r="DX26">
        <v>0.13582741019237299</v>
      </c>
      <c r="DY26">
        <v>-0.26978639662774201</v>
      </c>
      <c r="DZ26">
        <v>-0.37906407697640698</v>
      </c>
      <c r="EA26">
        <v>-0.17768027819561499</v>
      </c>
      <c r="EB26">
        <v>-0.11589200494650501</v>
      </c>
      <c r="EC26">
        <v>-0.37965028321287803</v>
      </c>
      <c r="ED26">
        <v>0.55215083545991706</v>
      </c>
      <c r="EE26">
        <v>0.12354716351740901</v>
      </c>
      <c r="EF26">
        <v>-0.93118006721483704</v>
      </c>
      <c r="EG26">
        <v>0.89118481995892196</v>
      </c>
      <c r="EH26">
        <v>-0.26298832848561199</v>
      </c>
      <c r="EI26">
        <v>4.6678808034169399E-2</v>
      </c>
      <c r="EJ26">
        <v>0.25059233012308202</v>
      </c>
      <c r="EK26">
        <v>0.60861167090427903</v>
      </c>
      <c r="EL26">
        <v>0.64164889268411396</v>
      </c>
      <c r="EM26">
        <v>0.90161214159133896</v>
      </c>
      <c r="EN26">
        <v>0.730786641027101</v>
      </c>
      <c r="EO26">
        <v>0.44688950304813102</v>
      </c>
      <c r="EP26">
        <v>0.62147648353694496</v>
      </c>
      <c r="EQ26">
        <v>0.34978602082263699</v>
      </c>
      <c r="ER26">
        <v>0.28490242773609897</v>
      </c>
      <c r="ES26">
        <v>0.36060279389887701</v>
      </c>
      <c r="ET26">
        <v>0.60916494944839195</v>
      </c>
      <c r="EU26">
        <v>1.08224073133992</v>
      </c>
      <c r="EV26">
        <v>-0.18700296432683</v>
      </c>
      <c r="EW26">
        <v>1.0013638155837901</v>
      </c>
      <c r="EX26">
        <v>0.65015094722112099</v>
      </c>
      <c r="EY26">
        <v>0.807142507224343</v>
      </c>
      <c r="EZ26">
        <v>0.48929708144911999</v>
      </c>
      <c r="FA26">
        <v>1.10787353406956</v>
      </c>
      <c r="FB26">
        <v>0.41112224976725398</v>
      </c>
      <c r="FC26">
        <v>-0.32938880888146599</v>
      </c>
      <c r="FD26">
        <v>0.27648647027537299</v>
      </c>
      <c r="FE26">
        <v>0.30167742681222498</v>
      </c>
      <c r="FF26">
        <v>3.0112047879909499E-2</v>
      </c>
      <c r="FG26">
        <v>0.27661332713390002</v>
      </c>
      <c r="FH26">
        <v>-1.01044222271729E-2</v>
      </c>
      <c r="FI26">
        <v>4.1238207522979499E-2</v>
      </c>
      <c r="FJ26">
        <v>0.58431730160699502</v>
      </c>
      <c r="FK26">
        <v>0.60150456509555295</v>
      </c>
      <c r="FL26">
        <v>0.72209263111279098</v>
      </c>
      <c r="FM26">
        <v>0.124542075659602</v>
      </c>
      <c r="FN26">
        <v>0.20982049903019101</v>
      </c>
      <c r="FO26">
        <v>-9.4158138526688501E-2</v>
      </c>
      <c r="FP26">
        <v>0.99971208896267305</v>
      </c>
      <c r="FQ26">
        <v>0.156333008522138</v>
      </c>
      <c r="FR26">
        <v>1.0324484762274799</v>
      </c>
      <c r="FS26">
        <v>-0.21634991048631699</v>
      </c>
      <c r="FT26">
        <v>0.21433263544193101</v>
      </c>
      <c r="FU26">
        <v>-0.27582790414236902</v>
      </c>
      <c r="FV26">
        <v>-0.23144895699777199</v>
      </c>
      <c r="FW26">
        <v>-0.12674669572432801</v>
      </c>
      <c r="FX26">
        <v>-0.65569285788158604</v>
      </c>
      <c r="FY26">
        <v>-0.1081230889247</v>
      </c>
      <c r="FZ26">
        <v>-0.43083581896095002</v>
      </c>
      <c r="GA26">
        <v>0.42884696428777003</v>
      </c>
      <c r="GB26">
        <v>-0.22827359233491601</v>
      </c>
      <c r="GC26">
        <v>-0.186823131672053</v>
      </c>
      <c r="GD26">
        <v>-0.23367022653335201</v>
      </c>
      <c r="GE26">
        <v>4.0298023097345001E-3</v>
      </c>
      <c r="GF26">
        <v>-0.76220931682332205</v>
      </c>
      <c r="GG26">
        <v>0.199053188089791</v>
      </c>
      <c r="GH26">
        <v>-0.17761049066463999</v>
      </c>
      <c r="GI26">
        <v>0.58480671154344799</v>
      </c>
      <c r="GJ26">
        <v>0.43231281433195101</v>
      </c>
      <c r="GK26">
        <v>0.74810276443409596</v>
      </c>
    </row>
    <row r="27" spans="1:193" x14ac:dyDescent="0.25">
      <c r="A27" t="s">
        <v>265</v>
      </c>
      <c r="B27" t="s">
        <v>650</v>
      </c>
      <c r="C27">
        <v>-1.3408867113934599</v>
      </c>
      <c r="D27">
        <v>-0.80890504466416702</v>
      </c>
      <c r="E27">
        <v>-0.33308320722537199</v>
      </c>
      <c r="F27">
        <v>-0.33083087510457099</v>
      </c>
      <c r="G27">
        <v>-0.68104415385961403</v>
      </c>
      <c r="H27">
        <v>-0.13107586696679799</v>
      </c>
      <c r="I27">
        <v>-0.102676944430834</v>
      </c>
      <c r="J27">
        <v>-5.76810884240554E-2</v>
      </c>
      <c r="K27">
        <v>-0.15533811223445501</v>
      </c>
      <c r="L27">
        <v>-0.36880108198880801</v>
      </c>
      <c r="M27">
        <v>-1.3886033343877799</v>
      </c>
      <c r="N27">
        <v>-1.3771172237993601</v>
      </c>
      <c r="O27">
        <v>-0.41956889386630197</v>
      </c>
      <c r="P27">
        <v>2.3644661996355499E-2</v>
      </c>
      <c r="Q27">
        <v>-0.45516638534960202</v>
      </c>
      <c r="R27">
        <v>0.474107325436947</v>
      </c>
      <c r="S27">
        <v>-0.301898799099172</v>
      </c>
      <c r="T27">
        <v>-0.58500765602821503</v>
      </c>
      <c r="U27">
        <v>-0.29356099224575399</v>
      </c>
      <c r="V27">
        <v>0.77740894753994805</v>
      </c>
      <c r="W27">
        <v>0.29245707951071298</v>
      </c>
      <c r="X27">
        <v>0.53522238388903298</v>
      </c>
      <c r="Y27">
        <v>0.159569092137404</v>
      </c>
      <c r="Z27">
        <v>0.42299737176914698</v>
      </c>
      <c r="AA27">
        <v>-0.126345013740228</v>
      </c>
      <c r="AB27">
        <v>-9.9398178349981402E-3</v>
      </c>
      <c r="AC27">
        <v>-0.10074395433337199</v>
      </c>
      <c r="AD27">
        <v>4.44615140246645E-2</v>
      </c>
      <c r="AE27">
        <v>-8.9928458965456998E-3</v>
      </c>
      <c r="AF27">
        <v>-0.28747236826813199</v>
      </c>
      <c r="AG27">
        <v>-0.43940427083902101</v>
      </c>
      <c r="AH27">
        <v>2.1171036933331799E-3</v>
      </c>
      <c r="AI27">
        <v>-5.9433605694174801E-2</v>
      </c>
      <c r="AJ27">
        <v>0.26872413420230801</v>
      </c>
      <c r="AK27">
        <v>-0.21298849101584399</v>
      </c>
      <c r="AL27">
        <v>-2.0852558546421901E-2</v>
      </c>
      <c r="AM27">
        <v>-0.20507255176084899</v>
      </c>
      <c r="AN27">
        <v>-0.26121957388974698</v>
      </c>
      <c r="AO27">
        <v>-0.47780012707027397</v>
      </c>
      <c r="AP27">
        <v>-0.45755673446712902</v>
      </c>
      <c r="AQ27">
        <v>0.13679583574794499</v>
      </c>
      <c r="AR27">
        <v>-0.53643002885829005</v>
      </c>
      <c r="AS27">
        <v>-0.19225792844940401</v>
      </c>
      <c r="AT27">
        <v>-0.63541483194867898</v>
      </c>
      <c r="AU27">
        <v>8.4058770793461399E-2</v>
      </c>
      <c r="AV27">
        <v>0.24997606553622101</v>
      </c>
      <c r="AW27">
        <v>-9.9227303996050301E-2</v>
      </c>
      <c r="AX27">
        <v>-0.54273370028935697</v>
      </c>
      <c r="AY27">
        <v>0.213031745592005</v>
      </c>
      <c r="AZ27">
        <v>-0.15183458890142401</v>
      </c>
      <c r="BA27">
        <v>-0.27903983404685101</v>
      </c>
      <c r="BB27">
        <v>-0.29649813249932599</v>
      </c>
      <c r="BC27">
        <v>0.22921466849257699</v>
      </c>
      <c r="BD27">
        <v>-0.16017305679180299</v>
      </c>
      <c r="BE27">
        <v>-0.55158895522136697</v>
      </c>
      <c r="BF27">
        <v>-0.63931225313443096</v>
      </c>
      <c r="BG27">
        <v>-0.46649970934253698</v>
      </c>
      <c r="BH27">
        <v>-0.70882590199086504</v>
      </c>
      <c r="BI27">
        <v>-0.58931891945596804</v>
      </c>
      <c r="BJ27">
        <v>-0.21049290045324501</v>
      </c>
      <c r="BK27">
        <v>-0.108262335873549</v>
      </c>
      <c r="BL27">
        <v>-0.13157861212694699</v>
      </c>
      <c r="BM27">
        <v>-0.63966774551072103</v>
      </c>
      <c r="BN27">
        <v>-0.23166944875880399</v>
      </c>
      <c r="BO27">
        <v>-0.56919155701087598</v>
      </c>
      <c r="BP27">
        <v>-0.21873126984817701</v>
      </c>
      <c r="BQ27">
        <v>0.28240553140775598</v>
      </c>
      <c r="BR27">
        <v>-0.34902373676100401</v>
      </c>
      <c r="BS27">
        <v>0.44961959456978601</v>
      </c>
      <c r="BT27">
        <v>0.48136203945970002</v>
      </c>
      <c r="BU27">
        <v>0.17602492900928701</v>
      </c>
      <c r="BV27">
        <v>0.44411899516964798</v>
      </c>
      <c r="BW27">
        <v>-0.123742743934288</v>
      </c>
      <c r="BX27">
        <v>-0.183707262903648</v>
      </c>
      <c r="BY27">
        <v>-2.9008315656716899E-2</v>
      </c>
      <c r="BZ27">
        <v>-1.75961305956913E-2</v>
      </c>
      <c r="CA27">
        <v>-0.22704072679232601</v>
      </c>
      <c r="CB27">
        <v>-0.55296731941509303</v>
      </c>
      <c r="CC27">
        <v>-0.11795329562794001</v>
      </c>
      <c r="CD27">
        <v>-0.33151313763454199</v>
      </c>
      <c r="CE27">
        <v>-3.1038497810533201E-2</v>
      </c>
      <c r="CF27">
        <v>4.9436836687081098E-2</v>
      </c>
      <c r="CG27">
        <v>-0.35519075234936698</v>
      </c>
      <c r="CH27">
        <v>1.7801015071885699E-2</v>
      </c>
      <c r="CI27">
        <v>-8.8752360753769806E-3</v>
      </c>
      <c r="CJ27">
        <v>5.0695383987052504E-3</v>
      </c>
      <c r="CK27">
        <v>-6.3832135820733493E-2</v>
      </c>
      <c r="CL27">
        <v>1.1221836292643099</v>
      </c>
      <c r="CM27">
        <v>0.52977747841463196</v>
      </c>
      <c r="CN27">
        <v>0.392395259516782</v>
      </c>
      <c r="CO27">
        <v>8.8761260370219294E-2</v>
      </c>
      <c r="CP27">
        <v>1.22411413479002</v>
      </c>
      <c r="CQ27">
        <v>0.60506267257986002</v>
      </c>
      <c r="CR27">
        <v>0.204579154556915</v>
      </c>
      <c r="CS27">
        <v>0.594254440327323</v>
      </c>
      <c r="CT27">
        <v>0.116614515385481</v>
      </c>
      <c r="CU27">
        <v>-0.16217696479000601</v>
      </c>
      <c r="CV27">
        <v>0.209093532326426</v>
      </c>
      <c r="CW27">
        <v>-0.58921931218343604</v>
      </c>
      <c r="CX27">
        <v>-4.6456265112021798E-2</v>
      </c>
      <c r="CY27">
        <v>0.32689777343100201</v>
      </c>
      <c r="CZ27">
        <v>0.53870146507628802</v>
      </c>
      <c r="DA27">
        <v>0.19396216146211201</v>
      </c>
      <c r="DB27">
        <v>0.22858880510426899</v>
      </c>
      <c r="DC27">
        <v>0.26699897224568098</v>
      </c>
      <c r="DD27">
        <v>0.56062456574001496</v>
      </c>
      <c r="DE27">
        <v>2.7732584118398099E-3</v>
      </c>
      <c r="DF27">
        <v>0.398901686473698</v>
      </c>
      <c r="DG27">
        <v>-9.5603433665343102E-2</v>
      </c>
      <c r="DH27">
        <v>0.35805391129068198</v>
      </c>
      <c r="DI27">
        <v>0.15746104995513899</v>
      </c>
      <c r="DJ27">
        <v>0.10206161393556699</v>
      </c>
      <c r="DK27">
        <v>0.60590961165120505</v>
      </c>
      <c r="DL27">
        <v>0.71796800686888895</v>
      </c>
      <c r="DM27">
        <v>0.162814658183845</v>
      </c>
      <c r="DN27">
        <v>0.16728619378487999</v>
      </c>
      <c r="DO27">
        <v>0.662106384053324</v>
      </c>
      <c r="DP27">
        <v>0.23117509668606401</v>
      </c>
      <c r="DQ27">
        <v>0.53907695962535596</v>
      </c>
      <c r="DR27">
        <v>0.293589360876859</v>
      </c>
      <c r="DS27">
        <v>0.129807560726035</v>
      </c>
      <c r="DT27">
        <v>1.0353834988831101</v>
      </c>
      <c r="DU27">
        <v>0.47609711008948302</v>
      </c>
      <c r="DV27">
        <v>0.56967588927688995</v>
      </c>
      <c r="DW27">
        <v>1.1182984353219101</v>
      </c>
      <c r="DX27">
        <v>-0.33085005450384503</v>
      </c>
      <c r="DY27">
        <v>0.294704404852423</v>
      </c>
      <c r="DZ27">
        <v>0.93146022752426805</v>
      </c>
      <c r="EA27">
        <v>0.26364228047802601</v>
      </c>
      <c r="EB27">
        <v>-6.7699417414077201E-2</v>
      </c>
      <c r="EC27">
        <v>0.58466457370601399</v>
      </c>
      <c r="ED27">
        <v>1.2039262329235001</v>
      </c>
      <c r="EE27">
        <v>3.8369940752060201E-3</v>
      </c>
      <c r="EF27">
        <v>6.3810403181637901E-2</v>
      </c>
      <c r="EG27">
        <v>0.16221086353936101</v>
      </c>
      <c r="EH27">
        <v>0.69872560392155902</v>
      </c>
      <c r="EI27">
        <v>0.50424420223293398</v>
      </c>
      <c r="EJ27">
        <v>0.62327232648026698</v>
      </c>
      <c r="EK27">
        <v>0.15421195167402599</v>
      </c>
      <c r="EL27">
        <v>2.6276333985864101E-2</v>
      </c>
      <c r="EM27">
        <v>0.33041099775961802</v>
      </c>
      <c r="EN27">
        <v>-6.3516912678602502E-2</v>
      </c>
      <c r="EO27">
        <v>-0.137637864074723</v>
      </c>
      <c r="EP27">
        <v>-0.13864200514108199</v>
      </c>
      <c r="EQ27">
        <v>0.184223210513529</v>
      </c>
      <c r="ER27">
        <v>0.351705061212644</v>
      </c>
      <c r="ES27">
        <v>0.20619777637205999</v>
      </c>
      <c r="ET27">
        <v>0.47315261067751901</v>
      </c>
      <c r="EU27">
        <v>6.1643411068852502E-2</v>
      </c>
      <c r="EV27">
        <v>0.468502215052716</v>
      </c>
      <c r="EW27">
        <v>0.47230934556507098</v>
      </c>
      <c r="EX27">
        <v>0.37343483520911103</v>
      </c>
      <c r="EY27">
        <v>0.44981528285383698</v>
      </c>
      <c r="EZ27">
        <v>0.38103611666438503</v>
      </c>
      <c r="FA27">
        <v>0.406289442621175</v>
      </c>
      <c r="FB27">
        <v>6.3086018549241202E-2</v>
      </c>
      <c r="FC27">
        <v>0.46012842633878798</v>
      </c>
      <c r="FD27">
        <v>0.32876199696741398</v>
      </c>
      <c r="FE27">
        <v>0.33043572592659898</v>
      </c>
      <c r="FF27">
        <v>0.68451532173557095</v>
      </c>
      <c r="FG27">
        <v>0.51362240333557296</v>
      </c>
      <c r="FH27">
        <v>0.37328603382342701</v>
      </c>
      <c r="FI27">
        <v>-0.11927169232962399</v>
      </c>
      <c r="FJ27">
        <v>0.41632666186956901</v>
      </c>
      <c r="FK27">
        <v>0.148565169720353</v>
      </c>
      <c r="FL27">
        <v>0.88627789865218198</v>
      </c>
      <c r="FM27">
        <v>-7.4508858115640897E-2</v>
      </c>
      <c r="FN27">
        <v>-0.13767469243081101</v>
      </c>
      <c r="FO27">
        <v>-0.36196885904057802</v>
      </c>
      <c r="FP27">
        <v>0.77653052962205504</v>
      </c>
      <c r="FQ27">
        <v>0.739813712781625</v>
      </c>
      <c r="FR27">
        <v>-0.20259759581735001</v>
      </c>
      <c r="FS27">
        <v>0.48597401052740102</v>
      </c>
      <c r="FT27">
        <v>0.31331131424528202</v>
      </c>
      <c r="FU27">
        <v>0.46344032748924402</v>
      </c>
      <c r="FV27">
        <v>0.65655361815228197</v>
      </c>
      <c r="FW27">
        <v>0.68135392601764999</v>
      </c>
      <c r="FX27">
        <v>-0.16127029475590701</v>
      </c>
      <c r="FY27">
        <v>0.48847524423396599</v>
      </c>
      <c r="FZ27">
        <v>-0.12246488067741999</v>
      </c>
      <c r="GA27">
        <v>0.50005769623138796</v>
      </c>
      <c r="GB27">
        <v>0.90194825668703404</v>
      </c>
      <c r="GC27">
        <v>0.31887365156241398</v>
      </c>
      <c r="GD27">
        <v>5.12253269757659E-2</v>
      </c>
      <c r="GE27">
        <v>0.54441185305584106</v>
      </c>
      <c r="GF27">
        <v>0.93006332921115897</v>
      </c>
      <c r="GG27">
        <v>0.137481674858138</v>
      </c>
      <c r="GH27">
        <v>0.63673922572711805</v>
      </c>
      <c r="GI27">
        <v>0.28816966605876898</v>
      </c>
      <c r="GJ27">
        <v>0.27337184635678302</v>
      </c>
      <c r="GK27">
        <v>0.35386332397719999</v>
      </c>
    </row>
    <row r="28" spans="1:193" x14ac:dyDescent="0.25">
      <c r="A28" t="s">
        <v>265</v>
      </c>
      <c r="B28" t="s">
        <v>635</v>
      </c>
      <c r="C28">
        <v>-2.5152651253787299</v>
      </c>
      <c r="D28">
        <v>-2.0068709601532002</v>
      </c>
      <c r="E28">
        <v>-1.35106778248658</v>
      </c>
      <c r="F28">
        <v>-1.3351116917902299</v>
      </c>
      <c r="G28">
        <v>-0.245904835830352</v>
      </c>
      <c r="H28">
        <v>-0.353236707617821</v>
      </c>
      <c r="I28">
        <v>-2.4428484977523102</v>
      </c>
      <c r="J28">
        <v>-2.67746511552085</v>
      </c>
      <c r="K28">
        <v>-2.6573597644781901</v>
      </c>
      <c r="L28">
        <v>-0.26088328659571602</v>
      </c>
      <c r="M28">
        <v>-3.5525167961994999</v>
      </c>
      <c r="N28">
        <v>-3.4757006307917102</v>
      </c>
      <c r="O28">
        <v>-2.0540336651409099</v>
      </c>
      <c r="P28">
        <v>-0.37189557352763603</v>
      </c>
      <c r="Q28">
        <v>7.1580447324369606E-2</v>
      </c>
      <c r="R28">
        <v>0.13184876314673999</v>
      </c>
      <c r="S28">
        <v>1.2040644775798599</v>
      </c>
      <c r="T28">
        <v>0.85604231021261101</v>
      </c>
      <c r="U28">
        <v>-0.86202719298330199</v>
      </c>
      <c r="V28">
        <v>1.0353768400678001</v>
      </c>
      <c r="W28">
        <v>0.67919249562150197</v>
      </c>
      <c r="X28">
        <v>0.104104214032314</v>
      </c>
      <c r="Y28">
        <v>0.84575634587636905</v>
      </c>
      <c r="Z28">
        <v>0.62980550245993105</v>
      </c>
      <c r="AA28">
        <v>-3.5525342593147602E-2</v>
      </c>
      <c r="AB28">
        <v>1.21751809000224</v>
      </c>
      <c r="AC28">
        <v>1.41144276949775</v>
      </c>
      <c r="AD28">
        <v>1.43096457828478</v>
      </c>
      <c r="AE28">
        <v>1.44039081575309</v>
      </c>
      <c r="AF28">
        <v>1.4402350692193899</v>
      </c>
      <c r="AG28">
        <v>1.2181972911844801</v>
      </c>
      <c r="AH28">
        <v>1.37485619702717</v>
      </c>
      <c r="AI28">
        <v>1.28389135113312</v>
      </c>
      <c r="AJ28">
        <v>1.26213065995352</v>
      </c>
      <c r="AK28">
        <v>1.2579189180080399</v>
      </c>
      <c r="AL28">
        <v>1.33161629425595</v>
      </c>
      <c r="AM28">
        <v>1.5389488247488201</v>
      </c>
      <c r="AN28">
        <v>1.1492548349960101</v>
      </c>
      <c r="AO28">
        <v>0.49627499083473298</v>
      </c>
      <c r="AP28">
        <v>1.2952575838634</v>
      </c>
      <c r="AQ28">
        <v>1.0286731381549199</v>
      </c>
      <c r="AR28">
        <v>1.3967702662861301</v>
      </c>
      <c r="AS28">
        <v>1.21798972049924</v>
      </c>
      <c r="AT28">
        <v>1.2826477718943601</v>
      </c>
      <c r="AU28">
        <v>-0.82550055449179505</v>
      </c>
      <c r="AV28">
        <v>0.68412859962420403</v>
      </c>
      <c r="AW28">
        <v>-0.52026426183923502</v>
      </c>
      <c r="AX28">
        <v>-0.439974338856506</v>
      </c>
      <c r="AY28">
        <v>0.71997301378831002</v>
      </c>
      <c r="AZ28">
        <v>1.2622173370766601</v>
      </c>
      <c r="BA28">
        <v>1.25784174415679</v>
      </c>
      <c r="BB28">
        <v>1.3652022974821201</v>
      </c>
      <c r="BC28">
        <v>0.73228007011364804</v>
      </c>
      <c r="BD28">
        <v>1.2971560420986199</v>
      </c>
      <c r="BE28">
        <v>1.09821622297563</v>
      </c>
      <c r="BF28">
        <v>0.283928344607843</v>
      </c>
      <c r="BG28">
        <v>0.90254039075846204</v>
      </c>
      <c r="BH28">
        <v>0.90664268140857096</v>
      </c>
      <c r="BI28">
        <v>1.22925324332038</v>
      </c>
      <c r="BJ28">
        <v>1.1198903049636799</v>
      </c>
      <c r="BK28">
        <v>1.2650928148324301</v>
      </c>
      <c r="BL28">
        <v>1.0887298813147599</v>
      </c>
      <c r="BM28">
        <v>1.2865202240917499</v>
      </c>
      <c r="BN28">
        <v>1.34988637536263</v>
      </c>
      <c r="BO28">
        <v>1.2502615199581399</v>
      </c>
      <c r="BP28">
        <v>1.1771833939110801</v>
      </c>
      <c r="BQ28">
        <v>1.3436947409154301</v>
      </c>
      <c r="BR28">
        <v>0.37068395243934399</v>
      </c>
      <c r="BS28">
        <v>5.3625552282099601E-2</v>
      </c>
      <c r="BT28">
        <v>-0.19532271783369801</v>
      </c>
      <c r="BU28">
        <v>-0.81977376031353</v>
      </c>
      <c r="BV28">
        <v>-0.634130380790766</v>
      </c>
      <c r="BW28">
        <v>-0.48561042408517902</v>
      </c>
      <c r="BX28">
        <v>-0.73044348755991595</v>
      </c>
      <c r="BY28">
        <v>-0.99744728041931296</v>
      </c>
      <c r="BZ28">
        <v>4.2924388119157698E-2</v>
      </c>
      <c r="CA28">
        <v>-2.91236311453037E-2</v>
      </c>
      <c r="CB28">
        <v>0.71986895225907999</v>
      </c>
      <c r="CC28">
        <v>0.65647136097743997</v>
      </c>
      <c r="CD28">
        <v>0.18003896256187901</v>
      </c>
      <c r="CE28">
        <v>0.46156883344253602</v>
      </c>
      <c r="CF28">
        <v>-0.13282836029667699</v>
      </c>
      <c r="CG28">
        <v>0.85470732030644003</v>
      </c>
      <c r="CH28">
        <v>0.39107405273402601</v>
      </c>
      <c r="CI28">
        <v>0.65440960385815306</v>
      </c>
      <c r="CJ28">
        <v>0.61763511800622894</v>
      </c>
      <c r="CK28">
        <v>0.41235565558255699</v>
      </c>
      <c r="CL28">
        <v>0.70217962874158801</v>
      </c>
      <c r="CM28">
        <v>0.65303002767281604</v>
      </c>
      <c r="CN28">
        <v>1.3520119167202</v>
      </c>
      <c r="CO28">
        <v>9.0696163456303394E-2</v>
      </c>
      <c r="CP28">
        <v>-8.4803090268402506E-2</v>
      </c>
      <c r="CQ28">
        <v>0.209518034960572</v>
      </c>
      <c r="CR28">
        <v>-0.42279985193844</v>
      </c>
      <c r="CS28">
        <v>-0.331549937492505</v>
      </c>
      <c r="CT28">
        <v>0.50682906474560896</v>
      </c>
      <c r="CU28">
        <v>0.37165301576340898</v>
      </c>
      <c r="CV28">
        <v>0.63637718125362996</v>
      </c>
      <c r="CW28">
        <v>0.393043326189008</v>
      </c>
      <c r="CX28">
        <v>-0.13998699671371001</v>
      </c>
      <c r="CY28">
        <v>-0.24388818420487801</v>
      </c>
      <c r="CZ28">
        <v>7.2183779069220605E-2</v>
      </c>
      <c r="DA28">
        <v>0.45479382427642401</v>
      </c>
      <c r="DB28">
        <v>0.54081492139259701</v>
      </c>
      <c r="DC28">
        <v>-0.133096001911822</v>
      </c>
      <c r="DD28">
        <v>-1.0985854718546699</v>
      </c>
      <c r="DE28">
        <v>0.21519316484415299</v>
      </c>
      <c r="DF28">
        <v>-0.212998670291345</v>
      </c>
      <c r="DG28">
        <v>-0.403900155453433</v>
      </c>
      <c r="DH28">
        <v>-6.1010085925632201E-2</v>
      </c>
      <c r="DI28">
        <v>-9.4990862899632003E-2</v>
      </c>
      <c r="DJ28">
        <v>-0.39655736669860198</v>
      </c>
      <c r="DK28">
        <v>-0.92187601893078797</v>
      </c>
      <c r="DL28">
        <v>5.7852169436259503E-2</v>
      </c>
      <c r="DM28">
        <v>-0.55992670711105097</v>
      </c>
      <c r="DN28">
        <v>-0.65871984714919196</v>
      </c>
      <c r="DO28">
        <v>3.9254422970897498E-2</v>
      </c>
      <c r="DP28">
        <v>-5.4835900928385903E-2</v>
      </c>
      <c r="DQ28">
        <v>-0.325202751439992</v>
      </c>
      <c r="DR28">
        <v>-0.38045851009298698</v>
      </c>
      <c r="DS28">
        <v>-0.78817420042754205</v>
      </c>
      <c r="DT28">
        <v>-0.28866132038911202</v>
      </c>
      <c r="DU28">
        <v>-5.1377053768541701E-2</v>
      </c>
      <c r="DV28">
        <v>9.6336035031885203E-2</v>
      </c>
      <c r="DW28">
        <v>0.13922368687770201</v>
      </c>
      <c r="DX28">
        <v>-8.9186300612368694E-2</v>
      </c>
      <c r="DY28">
        <v>0.63333992463184297</v>
      </c>
      <c r="DZ28">
        <v>-0.70726533005853698</v>
      </c>
      <c r="EA28">
        <v>-0.64363352847521105</v>
      </c>
      <c r="EB28">
        <v>0.16552436606326401</v>
      </c>
      <c r="EC28">
        <v>-1.0969477525290201</v>
      </c>
      <c r="ED28">
        <v>-0.44301382914788301</v>
      </c>
      <c r="EE28">
        <v>-1.1909989381023101</v>
      </c>
      <c r="EF28">
        <v>-0.12252143728954799</v>
      </c>
      <c r="EG28">
        <v>0.37915334921078198</v>
      </c>
      <c r="EH28">
        <v>0.25135905105437001</v>
      </c>
      <c r="EI28">
        <v>0.116879731293353</v>
      </c>
      <c r="EJ28">
        <v>-0.277782042088345</v>
      </c>
      <c r="EK28">
        <v>0.70875300965025001</v>
      </c>
      <c r="EL28">
        <v>0.50123240703400296</v>
      </c>
      <c r="EM28">
        <v>-0.30352111832436901</v>
      </c>
      <c r="EN28">
        <v>0.37640803677826501</v>
      </c>
      <c r="EO28">
        <v>0.68781858088611703</v>
      </c>
      <c r="EP28">
        <v>0.63087354567529597</v>
      </c>
      <c r="EQ28">
        <v>8.1996571409821001E-2</v>
      </c>
      <c r="ER28">
        <v>0.64338243564938702</v>
      </c>
      <c r="ES28">
        <v>0.31099318010118299</v>
      </c>
      <c r="ET28">
        <v>0.486690527026368</v>
      </c>
      <c r="EU28">
        <v>-0.52915799976421996</v>
      </c>
      <c r="EV28">
        <v>0.62421658235277599</v>
      </c>
      <c r="EW28">
        <v>0.44618669471740302</v>
      </c>
      <c r="EX28">
        <v>0.69107922909891295</v>
      </c>
      <c r="EY28">
        <v>0.34859783690354001</v>
      </c>
      <c r="EZ28">
        <v>-0.298280646586919</v>
      </c>
      <c r="FA28">
        <v>0.376967567869815</v>
      </c>
      <c r="FB28">
        <v>0.53953745234880801</v>
      </c>
      <c r="FC28">
        <v>0.91677838926147104</v>
      </c>
      <c r="FD28">
        <v>0.28037895556113701</v>
      </c>
      <c r="FE28">
        <v>0.43454351020381599</v>
      </c>
      <c r="FF28">
        <v>0.47294648892433999</v>
      </c>
      <c r="FG28">
        <v>-0.20533455368613501</v>
      </c>
      <c r="FH28">
        <v>0.46898161776515801</v>
      </c>
      <c r="FI28">
        <v>0.72859123629421096</v>
      </c>
      <c r="FJ28">
        <v>0.69331297434932404</v>
      </c>
      <c r="FK28">
        <v>0.53769754945668302</v>
      </c>
      <c r="FL28">
        <v>1.0033896517545899</v>
      </c>
      <c r="FM28">
        <v>0.66790919072313504</v>
      </c>
      <c r="FN28">
        <v>0.37708556425481299</v>
      </c>
      <c r="FO28">
        <v>0.87047699752250896</v>
      </c>
      <c r="FP28">
        <v>0.50999744999946905</v>
      </c>
      <c r="FQ28">
        <v>0.63133777162468696</v>
      </c>
      <c r="FR28">
        <v>0.90319297190288705</v>
      </c>
      <c r="FS28">
        <v>0.652038386097893</v>
      </c>
      <c r="FT28">
        <v>0.66195760851834695</v>
      </c>
      <c r="FU28">
        <v>0.86371661503169295</v>
      </c>
      <c r="FV28">
        <v>0.72221564327094201</v>
      </c>
      <c r="FW28">
        <v>0.79249343474631395</v>
      </c>
      <c r="FX28">
        <v>0.58107768577161401</v>
      </c>
      <c r="FY28">
        <v>0.76888997549522997</v>
      </c>
      <c r="FZ28">
        <v>5.8970106524697898E-2</v>
      </c>
      <c r="GA28">
        <v>0.24159907727914101</v>
      </c>
      <c r="GB28">
        <v>0.23854139852926101</v>
      </c>
      <c r="GC28">
        <v>0.57360069830840599</v>
      </c>
      <c r="GD28">
        <v>0.74772878176276703</v>
      </c>
      <c r="GE28">
        <v>0.86336511894541401</v>
      </c>
      <c r="GF28">
        <v>0.28030082467858602</v>
      </c>
      <c r="GG28">
        <v>0.30620362016248598</v>
      </c>
      <c r="GH28">
        <v>0.31674496641379402</v>
      </c>
      <c r="GI28">
        <v>0.43970945744856299</v>
      </c>
      <c r="GJ28">
        <v>0.59410048028879403</v>
      </c>
      <c r="GK28">
        <v>0.76712931429709497</v>
      </c>
    </row>
    <row r="29" spans="1:193" x14ac:dyDescent="0.25">
      <c r="A29" t="s">
        <v>265</v>
      </c>
      <c r="B29" t="s">
        <v>619</v>
      </c>
      <c r="C29">
        <v>8.8386155566328201E-2</v>
      </c>
      <c r="D29">
        <v>0</v>
      </c>
      <c r="E29">
        <v>0.43253572016459102</v>
      </c>
      <c r="F29">
        <v>0.51117338801160705</v>
      </c>
      <c r="G29">
        <v>0</v>
      </c>
      <c r="H29">
        <v>0.116544086167703</v>
      </c>
      <c r="I29">
        <v>2.07904911770314</v>
      </c>
      <c r="J29">
        <v>1.32680863017437</v>
      </c>
      <c r="K29">
        <v>1.3583656909544299</v>
      </c>
      <c r="L29">
        <v>7.4145423426999105E-2</v>
      </c>
      <c r="M29">
        <v>0.50906632148768705</v>
      </c>
      <c r="N29">
        <v>1.21615055727278</v>
      </c>
      <c r="O29">
        <v>0</v>
      </c>
      <c r="P29">
        <v>0</v>
      </c>
      <c r="Q29">
        <v>7.44320609348878E-2</v>
      </c>
      <c r="R29">
        <v>0</v>
      </c>
      <c r="S29">
        <v>0</v>
      </c>
      <c r="T29">
        <v>0</v>
      </c>
      <c r="U29">
        <v>0</v>
      </c>
      <c r="V29">
        <v>0</v>
      </c>
      <c r="W29">
        <v>0.172147946914497</v>
      </c>
      <c r="X29">
        <v>0.16481751956992</v>
      </c>
      <c r="Y29">
        <v>0</v>
      </c>
      <c r="Z29">
        <v>0</v>
      </c>
      <c r="AA29">
        <v>0</v>
      </c>
      <c r="AB29">
        <v>1.49649452538641E-2</v>
      </c>
      <c r="AC29">
        <v>0</v>
      </c>
      <c r="AD29">
        <v>7.1979845082154797E-2</v>
      </c>
      <c r="AE29">
        <v>0</v>
      </c>
      <c r="AF29">
        <v>0</v>
      </c>
      <c r="AG29">
        <v>0</v>
      </c>
      <c r="AH29">
        <v>0</v>
      </c>
      <c r="AI29">
        <v>0.12365214248124901</v>
      </c>
      <c r="AJ29">
        <v>0</v>
      </c>
      <c r="AK29">
        <v>0</v>
      </c>
      <c r="AL29">
        <v>0.19715740490331601</v>
      </c>
      <c r="AM29">
        <v>0</v>
      </c>
      <c r="AN29">
        <v>0.115595562627992</v>
      </c>
      <c r="AO29">
        <v>0</v>
      </c>
      <c r="AP29">
        <v>0</v>
      </c>
      <c r="AQ29">
        <v>0</v>
      </c>
      <c r="AR29">
        <v>0</v>
      </c>
      <c r="AS29">
        <v>0.149110552681785</v>
      </c>
      <c r="AT29">
        <v>9.9932373075242997E-2</v>
      </c>
      <c r="AU29">
        <v>0</v>
      </c>
      <c r="AV29">
        <v>0</v>
      </c>
      <c r="AW29">
        <v>0</v>
      </c>
      <c r="AX29">
        <v>9.1796209032979206E-2</v>
      </c>
      <c r="AY29">
        <v>0</v>
      </c>
      <c r="AZ29">
        <v>0.11035237928076</v>
      </c>
      <c r="BA29">
        <v>0.27550528668424601</v>
      </c>
      <c r="BB29">
        <v>0</v>
      </c>
      <c r="BC29">
        <v>0.123487377432111</v>
      </c>
      <c r="BD29">
        <v>0</v>
      </c>
      <c r="BE29">
        <v>0.19927723353212601</v>
      </c>
      <c r="BF29">
        <v>0</v>
      </c>
      <c r="BG29">
        <v>1.10234094327239E-2</v>
      </c>
      <c r="BH29">
        <v>0.15724269685210501</v>
      </c>
      <c r="BI29">
        <v>0</v>
      </c>
      <c r="BJ29">
        <v>0.20447286004403201</v>
      </c>
      <c r="BK29">
        <v>0.20300878869453601</v>
      </c>
      <c r="BL29">
        <v>8.2512257678867704E-2</v>
      </c>
      <c r="BM29">
        <v>0</v>
      </c>
      <c r="BN29">
        <v>0.11233998077409101</v>
      </c>
      <c r="BO29">
        <v>0.103667401940662</v>
      </c>
      <c r="BP29">
        <v>0</v>
      </c>
      <c r="BQ29">
        <v>8.8010653683876103E-2</v>
      </c>
      <c r="BR29">
        <v>0</v>
      </c>
      <c r="BS29">
        <v>0.56808029170658703</v>
      </c>
      <c r="BT29">
        <v>0.767121108058331</v>
      </c>
      <c r="BU29">
        <v>1.11616422688002</v>
      </c>
      <c r="BV29">
        <v>0.987521009838916</v>
      </c>
      <c r="BW29">
        <v>0.61516149942053899</v>
      </c>
      <c r="BX29">
        <v>0.86305614602918901</v>
      </c>
      <c r="BY29">
        <v>0.99285939736110795</v>
      </c>
      <c r="BZ29">
        <v>0.43311339842992103</v>
      </c>
      <c r="CA29">
        <v>0.37127536903934499</v>
      </c>
      <c r="CB29">
        <v>0</v>
      </c>
      <c r="CC29">
        <v>0.34324270744735402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1.26669282141058E-2</v>
      </c>
      <c r="CK29">
        <v>1.9982168763233998E-2</v>
      </c>
      <c r="CL29">
        <v>0</v>
      </c>
      <c r="CM29">
        <v>0.18344317349894801</v>
      </c>
      <c r="CN29">
        <v>0.19789006120206201</v>
      </c>
      <c r="CO29">
        <v>0.121038053471623</v>
      </c>
      <c r="CP29">
        <v>0</v>
      </c>
      <c r="CQ29">
        <v>0</v>
      </c>
      <c r="CR29">
        <v>0</v>
      </c>
      <c r="CS29">
        <v>0</v>
      </c>
      <c r="CT29">
        <v>0.165196468177883</v>
      </c>
      <c r="CU29">
        <v>0</v>
      </c>
      <c r="CV29">
        <v>0</v>
      </c>
      <c r="CW29">
        <v>0.226953111940768</v>
      </c>
      <c r="CX29">
        <v>0.12303201199848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0.12765562509730199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0.121837929446812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0.17025590759999101</v>
      </c>
      <c r="DY29">
        <v>0</v>
      </c>
      <c r="DZ29">
        <v>0.117941473320543</v>
      </c>
      <c r="EA29">
        <v>0</v>
      </c>
      <c r="EB29">
        <v>0.153333679138072</v>
      </c>
      <c r="EC29">
        <v>0</v>
      </c>
      <c r="ED29">
        <v>0</v>
      </c>
      <c r="EE29">
        <v>0.102323575091971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5.9949482751488203E-2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0.15073963370290799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0.117468913964255</v>
      </c>
      <c r="FF29">
        <v>0</v>
      </c>
      <c r="FG29">
        <v>0</v>
      </c>
      <c r="FH29">
        <v>0</v>
      </c>
      <c r="FI29">
        <v>8.9216262833233098E-2</v>
      </c>
      <c r="FJ29">
        <v>0</v>
      </c>
      <c r="FK29">
        <v>0.13838815011362901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0.11933045726168</v>
      </c>
      <c r="FU29">
        <v>0</v>
      </c>
      <c r="FV29">
        <v>0</v>
      </c>
      <c r="FW29">
        <v>0</v>
      </c>
      <c r="FX29">
        <v>8.4231642589400593E-2</v>
      </c>
      <c r="FY29">
        <v>0</v>
      </c>
      <c r="FZ29">
        <v>0</v>
      </c>
      <c r="GA29">
        <v>0.11111111338663</v>
      </c>
      <c r="GB29">
        <v>0</v>
      </c>
      <c r="GC29">
        <v>0.19833132339423801</v>
      </c>
      <c r="GD29">
        <v>0</v>
      </c>
      <c r="GE29">
        <v>0</v>
      </c>
      <c r="GF29">
        <v>0</v>
      </c>
      <c r="GG29">
        <v>0</v>
      </c>
      <c r="GH29">
        <v>1.5541176929860401E-2</v>
      </c>
      <c r="GI29">
        <v>0</v>
      </c>
      <c r="GJ29">
        <v>0</v>
      </c>
      <c r="GK29">
        <v>0</v>
      </c>
    </row>
    <row r="30" spans="1:193" x14ac:dyDescent="0.25">
      <c r="A30" t="s">
        <v>265</v>
      </c>
      <c r="B30" t="s">
        <v>763</v>
      </c>
      <c r="C30">
        <v>0.68272644598083998</v>
      </c>
      <c r="D30">
        <v>0.45916951571880799</v>
      </c>
      <c r="E30">
        <v>0.50504307167668105</v>
      </c>
      <c r="F30">
        <v>0.488923005835188</v>
      </c>
      <c r="G30">
        <v>0.78592309996220699</v>
      </c>
      <c r="H30">
        <v>7.4657246464084004E-2</v>
      </c>
      <c r="I30">
        <v>0.33128845692849901</v>
      </c>
      <c r="J30">
        <v>-4.3284572088572899E-2</v>
      </c>
      <c r="K30">
        <v>1.54001667124291E-2</v>
      </c>
      <c r="L30">
        <v>9.3666450730013798E-2</v>
      </c>
      <c r="M30">
        <v>0.64924282022109203</v>
      </c>
      <c r="N30">
        <v>1.0261573995373601</v>
      </c>
      <c r="O30">
        <v>0.96518095404906701</v>
      </c>
      <c r="P30">
        <v>4.6481179573451999E-2</v>
      </c>
      <c r="Q30">
        <v>-3.1958930031317299E-2</v>
      </c>
      <c r="R30">
        <v>0.36356883001472601</v>
      </c>
      <c r="S30">
        <v>0.38227357364473402</v>
      </c>
      <c r="T30">
        <v>-0.106390990966205</v>
      </c>
      <c r="U30">
        <v>-0.106390990966205</v>
      </c>
      <c r="V30">
        <v>0.176525524672657</v>
      </c>
      <c r="W30">
        <v>0.220986776345062</v>
      </c>
      <c r="X30">
        <v>5.8426528603714598E-2</v>
      </c>
      <c r="Y30">
        <v>-0.106390990966205</v>
      </c>
      <c r="Z30">
        <v>0.15633700899174899</v>
      </c>
      <c r="AA30">
        <v>5.1887363526696297E-2</v>
      </c>
      <c r="AB30">
        <v>-6.1881972561030299E-2</v>
      </c>
      <c r="AC30">
        <v>-0.106390990966205</v>
      </c>
      <c r="AD30">
        <v>-3.4411145884050198E-2</v>
      </c>
      <c r="AE30">
        <v>5.8841631978391699E-2</v>
      </c>
      <c r="AF30">
        <v>-2.9678617997932401E-2</v>
      </c>
      <c r="AG30">
        <v>-0.106390990966205</v>
      </c>
      <c r="AH30">
        <v>-0.106390990966205</v>
      </c>
      <c r="AI30">
        <v>0.23882349839726399</v>
      </c>
      <c r="AJ30">
        <v>-0.106390990966205</v>
      </c>
      <c r="AK30">
        <v>5.7146211495378997E-2</v>
      </c>
      <c r="AL30">
        <v>-0.106390990966205</v>
      </c>
      <c r="AM30">
        <v>-0.106390990966205</v>
      </c>
      <c r="AN30">
        <v>0.21764015285428001</v>
      </c>
      <c r="AO30">
        <v>1.9892998736929898E-3</v>
      </c>
      <c r="AP30">
        <v>3.5743415081433701E-2</v>
      </c>
      <c r="AQ30">
        <v>0.13705060817983999</v>
      </c>
      <c r="AR30">
        <v>1.0657485103328899E-3</v>
      </c>
      <c r="AS30">
        <v>-0.106390990966205</v>
      </c>
      <c r="AT30">
        <v>4.9158693830028903E-2</v>
      </c>
      <c r="AU30">
        <v>-0.106390990966205</v>
      </c>
      <c r="AV30">
        <v>2.4965265595041398E-2</v>
      </c>
      <c r="AW30">
        <v>-1.58076869791989E-2</v>
      </c>
      <c r="AX30">
        <v>-1.45947819332258E-2</v>
      </c>
      <c r="AY30">
        <v>-2.5929329517846698E-3</v>
      </c>
      <c r="AZ30">
        <v>-0.106390990966205</v>
      </c>
      <c r="BA30">
        <v>0.24122946378797999</v>
      </c>
      <c r="BB30">
        <v>-0.106390990966205</v>
      </c>
      <c r="BC30">
        <v>1.70963864659061E-2</v>
      </c>
      <c r="BD30">
        <v>3.0178954852364201E-2</v>
      </c>
      <c r="BE30">
        <v>-2.63314648523616E-2</v>
      </c>
      <c r="BF30">
        <v>0.106304523799878</v>
      </c>
      <c r="BG30">
        <v>-7.3531320888808094E-2</v>
      </c>
      <c r="BH30">
        <v>5.0851705885900003E-2</v>
      </c>
      <c r="BI30">
        <v>-0.106390990966205</v>
      </c>
      <c r="BJ30">
        <v>0.19130220681964399</v>
      </c>
      <c r="BK30">
        <v>-0.106390990966205</v>
      </c>
      <c r="BL30">
        <v>9.8741254353007998E-2</v>
      </c>
      <c r="BM30">
        <v>-9.6063221684749706E-3</v>
      </c>
      <c r="BN30">
        <v>5.9489898078855302E-3</v>
      </c>
      <c r="BO30">
        <v>-0.106390990966205</v>
      </c>
      <c r="BP30">
        <v>4.13504674959412E-2</v>
      </c>
      <c r="BQ30">
        <v>-0.106390990966205</v>
      </c>
      <c r="BR30">
        <v>-0.106390990966205</v>
      </c>
      <c r="BS30">
        <v>-6.5584568173801094E-2</v>
      </c>
      <c r="BT30">
        <v>8.2963072750824707E-2</v>
      </c>
      <c r="BU30">
        <v>-0.106390990966205</v>
      </c>
      <c r="BV30">
        <v>-6.0567974974241302E-2</v>
      </c>
      <c r="BW30">
        <v>-5.6453040607876502E-2</v>
      </c>
      <c r="BX30">
        <v>-7.6944341193210794E-2</v>
      </c>
      <c r="BY30">
        <v>-9.3003191077966799E-2</v>
      </c>
      <c r="BZ30">
        <v>-6.6693930051021394E-2</v>
      </c>
      <c r="CA30">
        <v>-9.3366724457393302E-2</v>
      </c>
      <c r="CB30">
        <v>-0.106390990966205</v>
      </c>
      <c r="CC30">
        <v>-0.106390990966205</v>
      </c>
      <c r="CD30">
        <v>-0.106390990966205</v>
      </c>
      <c r="CE30">
        <v>-0.106390990966205</v>
      </c>
      <c r="CF30">
        <v>-0.106390990966205</v>
      </c>
      <c r="CG30">
        <v>-0.106390990966205</v>
      </c>
      <c r="CH30">
        <v>-0.106390990966205</v>
      </c>
      <c r="CI30">
        <v>5.4855535773598599E-2</v>
      </c>
      <c r="CJ30">
        <v>-8.1133219707770904E-2</v>
      </c>
      <c r="CK30">
        <v>-2.7808843722574E-2</v>
      </c>
      <c r="CL30">
        <v>-0.106390990966205</v>
      </c>
      <c r="CM30">
        <v>-0.106390990966205</v>
      </c>
      <c r="CN30">
        <v>-0.106390990966205</v>
      </c>
      <c r="CO30">
        <v>1.46470625054174E-2</v>
      </c>
      <c r="CP30">
        <v>-0.106390990966205</v>
      </c>
      <c r="CQ30">
        <v>2.7318125536496402E-2</v>
      </c>
      <c r="CR30">
        <v>-0.106390990966205</v>
      </c>
      <c r="CS30">
        <v>0.12737812557419201</v>
      </c>
      <c r="CT30">
        <v>5.8805477211678003E-2</v>
      </c>
      <c r="CU30">
        <v>5.7345945351235598E-2</v>
      </c>
      <c r="CV30">
        <v>-0.106390990966205</v>
      </c>
      <c r="CW30">
        <v>0.120562120974562</v>
      </c>
      <c r="CX30">
        <v>-0.106390990966205</v>
      </c>
      <c r="CY30">
        <v>6.5426671898548894E-2</v>
      </c>
      <c r="CZ30">
        <v>-0.106390990966205</v>
      </c>
      <c r="DA30">
        <v>0.126829155378999</v>
      </c>
      <c r="DB30">
        <v>-0.106390990966205</v>
      </c>
      <c r="DC30">
        <v>-0.106390990966205</v>
      </c>
      <c r="DD30">
        <v>-0.106390990966205</v>
      </c>
      <c r="DE30">
        <v>-0.106390990966205</v>
      </c>
      <c r="DF30">
        <v>-0.106390990966205</v>
      </c>
      <c r="DG30">
        <v>-0.106390990966205</v>
      </c>
      <c r="DH30">
        <v>-0.106390990966205</v>
      </c>
      <c r="DI30">
        <v>-0.106390990966205</v>
      </c>
      <c r="DJ30">
        <v>3.6249462853254498E-2</v>
      </c>
      <c r="DK30">
        <v>-0.106390990966205</v>
      </c>
      <c r="DL30">
        <v>-0.106390990966205</v>
      </c>
      <c r="DM30">
        <v>4.8527123229625699E-2</v>
      </c>
      <c r="DN30">
        <v>-0.106390990966205</v>
      </c>
      <c r="DO30">
        <v>-0.106390990966205</v>
      </c>
      <c r="DP30">
        <v>1.5446938480606701E-2</v>
      </c>
      <c r="DQ30">
        <v>5.0277614889807698E-2</v>
      </c>
      <c r="DR30">
        <v>5.1363516289372399E-2</v>
      </c>
      <c r="DS30">
        <v>-0.106390990966205</v>
      </c>
      <c r="DT30">
        <v>4.1055037590852203E-2</v>
      </c>
      <c r="DU30">
        <v>-0.106390990966205</v>
      </c>
      <c r="DV30">
        <v>9.3157658860316295E-2</v>
      </c>
      <c r="DW30">
        <v>-0.106390990966205</v>
      </c>
      <c r="DX30">
        <v>-0.106390990966205</v>
      </c>
      <c r="DY30">
        <v>0.111733378893735</v>
      </c>
      <c r="DZ30">
        <v>1.15504823543381E-2</v>
      </c>
      <c r="EA30">
        <v>-0.106390990966205</v>
      </c>
      <c r="EB30">
        <v>-0.106390990966205</v>
      </c>
      <c r="EC30">
        <v>0.34613382353024102</v>
      </c>
      <c r="ED30">
        <v>2.1700837930825601E-2</v>
      </c>
      <c r="EE30">
        <v>9.2126398649271801E-2</v>
      </c>
      <c r="EF30">
        <v>-0.106390990966205</v>
      </c>
      <c r="EG30">
        <v>-0.106390990966205</v>
      </c>
      <c r="EH30">
        <v>1.64794742232513E-2</v>
      </c>
      <c r="EI30">
        <v>0.12442699213762</v>
      </c>
      <c r="EJ30">
        <v>2.2678827707594398E-2</v>
      </c>
      <c r="EK30">
        <v>-1.06653638273895E-3</v>
      </c>
      <c r="EL30">
        <v>-0.106390990966205</v>
      </c>
      <c r="EM30">
        <v>-0.106390990966205</v>
      </c>
      <c r="EN30">
        <v>-0.106390990966205</v>
      </c>
      <c r="EO30">
        <v>3.7856166290911403E-2</v>
      </c>
      <c r="EP30">
        <v>-0.106390990966205</v>
      </c>
      <c r="EQ30">
        <v>-0.106390990966205</v>
      </c>
      <c r="ER30">
        <v>0.121924501722656</v>
      </c>
      <c r="ES30">
        <v>0.27555055368041298</v>
      </c>
      <c r="ET30">
        <v>-0.106390990966205</v>
      </c>
      <c r="EU30">
        <v>4.4348642736702797E-2</v>
      </c>
      <c r="EV30">
        <v>-0.106390990966205</v>
      </c>
      <c r="EW30">
        <v>-0.106390990966205</v>
      </c>
      <c r="EX30">
        <v>4.7006649494159503E-2</v>
      </c>
      <c r="EY30">
        <v>-0.106390990966205</v>
      </c>
      <c r="EZ30">
        <v>-0.106390990966205</v>
      </c>
      <c r="FA30">
        <v>-0.106390990966205</v>
      </c>
      <c r="FB30">
        <v>-0.106390990966205</v>
      </c>
      <c r="FC30">
        <v>-0.106390990966205</v>
      </c>
      <c r="FD30">
        <v>-0.106390990966205</v>
      </c>
      <c r="FE30">
        <v>0.15455718671271801</v>
      </c>
      <c r="FF30">
        <v>-0.106390990966205</v>
      </c>
      <c r="FG30">
        <v>-5.4758567835768096E-3</v>
      </c>
      <c r="FH30">
        <v>-0.106390990966205</v>
      </c>
      <c r="FI30">
        <v>-0.106390990966205</v>
      </c>
      <c r="FJ30">
        <v>-0.106390990966205</v>
      </c>
      <c r="FK30">
        <v>-0.106390990966205</v>
      </c>
      <c r="FL30">
        <v>-0.106390990966205</v>
      </c>
      <c r="FM30">
        <v>3.80999450058657E-2</v>
      </c>
      <c r="FN30">
        <v>-0.106390990966205</v>
      </c>
      <c r="FO30">
        <v>-0.106390990966205</v>
      </c>
      <c r="FP30">
        <v>-8.2255507114827996E-3</v>
      </c>
      <c r="FQ30">
        <v>-0.106390990966205</v>
      </c>
      <c r="FR30">
        <v>-0.106390990966205</v>
      </c>
      <c r="FS30">
        <v>-0.106390990966205</v>
      </c>
      <c r="FT30">
        <v>1.2939466295475001E-2</v>
      </c>
      <c r="FU30">
        <v>-2.0888835481090499E-2</v>
      </c>
      <c r="FV30">
        <v>-0.106390990966205</v>
      </c>
      <c r="FW30">
        <v>-1.05841226979334E-2</v>
      </c>
      <c r="FX30">
        <v>-0.106390990966205</v>
      </c>
      <c r="FY30">
        <v>0.15381862866240201</v>
      </c>
      <c r="FZ30">
        <v>-0.106390990966205</v>
      </c>
      <c r="GA30">
        <v>-0.106390990966205</v>
      </c>
      <c r="GB30">
        <v>-1.8609007095591702E-2</v>
      </c>
      <c r="GC30">
        <v>-0.106390990966205</v>
      </c>
      <c r="GD30">
        <v>6.1191457376108104E-3</v>
      </c>
      <c r="GE30">
        <v>0.22880522770754999</v>
      </c>
      <c r="GF30">
        <v>2.6807151999317599E-2</v>
      </c>
      <c r="GG30">
        <v>-0.106390990966205</v>
      </c>
      <c r="GH30">
        <v>-5.1281209550002503E-2</v>
      </c>
      <c r="GI30">
        <v>-4.5451525809452401E-2</v>
      </c>
      <c r="GJ30">
        <v>-4.1393698004273997E-2</v>
      </c>
      <c r="GK30">
        <v>9.4692886571214704E-2</v>
      </c>
    </row>
    <row r="31" spans="1:193" s="11" customFormat="1" ht="15.75" thickBot="1" x14ac:dyDescent="0.3">
      <c r="A31" s="11" t="s">
        <v>265</v>
      </c>
      <c r="B31" s="11" t="s">
        <v>633</v>
      </c>
      <c r="C31" s="11">
        <v>8.8386155566328201E-2</v>
      </c>
      <c r="D31" s="11">
        <v>0</v>
      </c>
      <c r="E31" s="11">
        <v>0.27664202327800902</v>
      </c>
      <c r="F31" s="11">
        <v>5.0168825518705301E-2</v>
      </c>
      <c r="G31" s="11">
        <v>0</v>
      </c>
      <c r="H31" s="11">
        <v>0</v>
      </c>
      <c r="I31" s="11">
        <v>0.81734350732436001</v>
      </c>
      <c r="J31" s="11">
        <v>0.54156349737046205</v>
      </c>
      <c r="K31" s="11">
        <v>0.48537287443419502</v>
      </c>
      <c r="L31" s="11">
        <v>0</v>
      </c>
      <c r="M31" s="11">
        <v>0</v>
      </c>
      <c r="N31" s="11">
        <v>5.21556431604304E-2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0.16481751956992</v>
      </c>
      <c r="Y31" s="11">
        <v>0</v>
      </c>
      <c r="Z31" s="11">
        <v>0</v>
      </c>
      <c r="AA31" s="11">
        <v>0</v>
      </c>
      <c r="AB31" s="11">
        <v>2.9800476020777001E-2</v>
      </c>
      <c r="AC31" s="11">
        <v>0</v>
      </c>
      <c r="AD31" s="11">
        <v>0</v>
      </c>
      <c r="AE31" s="11">
        <v>0</v>
      </c>
      <c r="AF31" s="11">
        <v>7.6712372968272602E-2</v>
      </c>
      <c r="AG31" s="11">
        <v>0</v>
      </c>
      <c r="AH31" s="11">
        <v>0</v>
      </c>
      <c r="AI31" s="11">
        <v>0</v>
      </c>
      <c r="AJ31" s="11">
        <v>7.8628576393261401E-2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0.126392016834248</v>
      </c>
      <c r="AR31" s="11">
        <v>0</v>
      </c>
      <c r="AS31" s="11">
        <v>0</v>
      </c>
      <c r="AT31" s="11">
        <v>0</v>
      </c>
      <c r="AU31" s="11">
        <v>0.108471851559825</v>
      </c>
      <c r="AV31" s="11">
        <v>0</v>
      </c>
      <c r="AW31" s="11">
        <v>9.0583303987006106E-2</v>
      </c>
      <c r="AX31" s="11">
        <v>9.1796209032979206E-2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0.212695514766083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8.8010653683876103E-2</v>
      </c>
      <c r="BR31" s="11">
        <v>0</v>
      </c>
      <c r="BS31" s="11">
        <v>0.16843723614018899</v>
      </c>
      <c r="BT31" s="11">
        <v>0.26890115556031302</v>
      </c>
      <c r="BU31" s="11">
        <v>0.16647129896882201</v>
      </c>
      <c r="BV31" s="11">
        <v>0.19856241466584601</v>
      </c>
      <c r="BW31" s="11">
        <v>0.37731022690448501</v>
      </c>
      <c r="BX31" s="11">
        <v>0.333524842103124</v>
      </c>
      <c r="BY31" s="11">
        <v>0.41946320924687602</v>
      </c>
      <c r="BZ31" s="11">
        <v>0.21079872523137899</v>
      </c>
      <c r="CA31" s="11">
        <v>9.6732741408309203E-2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6.3430452216666801E-3</v>
      </c>
      <c r="CK31" s="11">
        <v>0</v>
      </c>
      <c r="CL31" s="11">
        <v>0.31521373990335699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0</v>
      </c>
      <c r="CT31" s="11">
        <v>0.165196468177883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0</v>
      </c>
      <c r="DA31" s="11">
        <v>0</v>
      </c>
      <c r="DB31" s="11">
        <v>0</v>
      </c>
      <c r="DC31" s="11">
        <v>0.141759812186563</v>
      </c>
      <c r="DD31" s="11">
        <v>0</v>
      </c>
      <c r="DE31" s="11">
        <v>0</v>
      </c>
      <c r="DF31" s="11">
        <v>0</v>
      </c>
      <c r="DG31" s="11">
        <v>0.14646524079338599</v>
      </c>
      <c r="DH31" s="11">
        <v>0</v>
      </c>
      <c r="DI31" s="11">
        <v>0</v>
      </c>
      <c r="DJ31" s="11">
        <v>0</v>
      </c>
      <c r="DK31" s="11">
        <v>0</v>
      </c>
      <c r="DL31" s="11">
        <v>0</v>
      </c>
      <c r="DM31" s="11">
        <v>0</v>
      </c>
      <c r="DN31" s="11">
        <v>0</v>
      </c>
      <c r="DO31" s="11">
        <v>0</v>
      </c>
      <c r="DP31" s="11">
        <v>0.121837929446812</v>
      </c>
      <c r="DQ31" s="11">
        <v>0</v>
      </c>
      <c r="DR31" s="11">
        <v>0</v>
      </c>
      <c r="DS31" s="11">
        <v>0.12297992870265501</v>
      </c>
      <c r="DT31" s="11">
        <v>0</v>
      </c>
      <c r="DU31" s="11">
        <v>0</v>
      </c>
      <c r="DV31" s="11">
        <v>0</v>
      </c>
      <c r="DW31" s="11">
        <v>0</v>
      </c>
      <c r="DX31" s="11">
        <v>0</v>
      </c>
      <c r="DY31" s="11">
        <v>0</v>
      </c>
      <c r="DZ31" s="11">
        <v>0</v>
      </c>
      <c r="EA31" s="11">
        <v>0</v>
      </c>
      <c r="EB31" s="11">
        <v>0</v>
      </c>
      <c r="EC31" s="11">
        <v>0</v>
      </c>
      <c r="ED31" s="11">
        <v>0</v>
      </c>
      <c r="EE31" s="11">
        <v>0</v>
      </c>
      <c r="EF31" s="11">
        <v>0.107801825666918</v>
      </c>
      <c r="EG31" s="11">
        <v>0</v>
      </c>
      <c r="EH31" s="11">
        <v>0</v>
      </c>
      <c r="EI31" s="11">
        <v>0</v>
      </c>
      <c r="EJ31" s="11">
        <v>0</v>
      </c>
      <c r="EK31" s="11">
        <v>0</v>
      </c>
      <c r="EL31" s="11">
        <v>0</v>
      </c>
      <c r="EM31" s="11">
        <v>0</v>
      </c>
      <c r="EN31" s="11">
        <v>0</v>
      </c>
      <c r="EO31" s="11">
        <v>0</v>
      </c>
      <c r="EP31" s="11">
        <v>0</v>
      </c>
      <c r="EQ31" s="11">
        <v>0.179113448495723</v>
      </c>
      <c r="ER31" s="11">
        <v>0</v>
      </c>
      <c r="ES31" s="11">
        <v>0</v>
      </c>
      <c r="ET31" s="11">
        <v>0</v>
      </c>
      <c r="EU31" s="11">
        <v>0</v>
      </c>
      <c r="EV31" s="11">
        <v>0</v>
      </c>
      <c r="EW31" s="11">
        <v>0</v>
      </c>
      <c r="EX31" s="11">
        <v>0</v>
      </c>
      <c r="EY31" s="11">
        <v>0</v>
      </c>
      <c r="EZ31" s="11">
        <v>0.12607576010650301</v>
      </c>
      <c r="FA31" s="11">
        <v>0</v>
      </c>
      <c r="FB31" s="11">
        <v>0</v>
      </c>
      <c r="FC31" s="11">
        <v>0</v>
      </c>
      <c r="FD31" s="11">
        <v>0</v>
      </c>
      <c r="FE31" s="11">
        <v>0</v>
      </c>
      <c r="FF31" s="11">
        <v>0</v>
      </c>
      <c r="FG31" s="11">
        <v>0</v>
      </c>
      <c r="FH31" s="11">
        <v>0</v>
      </c>
      <c r="FI31" s="11">
        <v>0</v>
      </c>
      <c r="FJ31" s="11">
        <v>0</v>
      </c>
      <c r="FK31" s="11">
        <v>0.13838815011362901</v>
      </c>
      <c r="FL31" s="11">
        <v>0</v>
      </c>
      <c r="FM31" s="11">
        <v>0</v>
      </c>
      <c r="FN31" s="11">
        <v>0</v>
      </c>
      <c r="FO31" s="11">
        <v>0</v>
      </c>
      <c r="FP31" s="11">
        <v>0</v>
      </c>
      <c r="FQ31" s="11">
        <v>0.100557448803223</v>
      </c>
      <c r="FR31" s="11">
        <v>0</v>
      </c>
      <c r="FS31" s="11">
        <v>3.84201565464646E-2</v>
      </c>
      <c r="FT31" s="11">
        <v>0</v>
      </c>
      <c r="FU31" s="11">
        <v>0</v>
      </c>
      <c r="FV31" s="11">
        <v>0</v>
      </c>
      <c r="FW31" s="11">
        <v>0.186334236433568</v>
      </c>
      <c r="FX31" s="11">
        <v>0</v>
      </c>
      <c r="FY31" s="11">
        <v>0.13533871642303699</v>
      </c>
      <c r="FZ31" s="11">
        <v>0</v>
      </c>
      <c r="GA31" s="11">
        <v>0</v>
      </c>
      <c r="GB31" s="11">
        <v>0</v>
      </c>
      <c r="GC31" s="11">
        <v>0</v>
      </c>
      <c r="GD31" s="11">
        <v>0</v>
      </c>
      <c r="GE31" s="11">
        <v>0</v>
      </c>
      <c r="GF31" s="11">
        <v>0</v>
      </c>
      <c r="GG31" s="11">
        <v>0</v>
      </c>
      <c r="GH31" s="11">
        <v>0</v>
      </c>
      <c r="GI31" s="11">
        <v>0</v>
      </c>
      <c r="GJ31" s="11">
        <v>0</v>
      </c>
      <c r="GK31" s="11">
        <v>0</v>
      </c>
    </row>
    <row r="32" spans="1:193" x14ac:dyDescent="0.25">
      <c r="A32" t="s">
        <v>266</v>
      </c>
      <c r="B32" t="s">
        <v>613</v>
      </c>
      <c r="C32">
        <v>0.104362896889723</v>
      </c>
      <c r="D32">
        <v>-9.3869281489324899E-2</v>
      </c>
      <c r="E32">
        <v>2.1673218190015602</v>
      </c>
      <c r="F32">
        <v>1.72380138388663</v>
      </c>
      <c r="G32">
        <v>-4.4293825903949598E-2</v>
      </c>
      <c r="H32">
        <v>2.2674804678378499E-2</v>
      </c>
      <c r="I32">
        <v>4.0657456838199399</v>
      </c>
      <c r="J32">
        <v>4.42411725991564</v>
      </c>
      <c r="K32">
        <v>3.9533659908702798</v>
      </c>
      <c r="L32">
        <v>0.53675914290228099</v>
      </c>
      <c r="M32">
        <v>-5.3199748917312301E-2</v>
      </c>
      <c r="N32">
        <v>-6.7609258106972603E-2</v>
      </c>
      <c r="O32">
        <v>-9.3869281489324899E-2</v>
      </c>
      <c r="P32">
        <v>4.3406813672374998E-3</v>
      </c>
      <c r="Q32">
        <v>5.15526718676576E-2</v>
      </c>
      <c r="R32">
        <v>0.31890289148608397</v>
      </c>
      <c r="S32">
        <v>2.66180422315213E-2</v>
      </c>
      <c r="T32">
        <v>0.31515066122387297</v>
      </c>
      <c r="U32">
        <v>4.1187682799715901E-2</v>
      </c>
      <c r="V32">
        <v>5.3909536122305E-2</v>
      </c>
      <c r="W32">
        <v>7.8278665425172006E-2</v>
      </c>
      <c r="X32">
        <v>-9.3869281489324899E-2</v>
      </c>
      <c r="Y32">
        <v>-9.3869281489324899E-2</v>
      </c>
      <c r="Z32">
        <v>7.68326411384887E-2</v>
      </c>
      <c r="AA32">
        <v>-9.3869281489324899E-2</v>
      </c>
      <c r="AB32">
        <v>1.65166477650989E-2</v>
      </c>
      <c r="AC32">
        <v>1.8814010305636199E-2</v>
      </c>
      <c r="AD32">
        <v>-9.3869281489324899E-2</v>
      </c>
      <c r="AE32">
        <v>1.8200296238124102E-2</v>
      </c>
      <c r="AF32">
        <v>5.5980547812625299E-2</v>
      </c>
      <c r="AG32">
        <v>3.79543496499197E-2</v>
      </c>
      <c r="AH32">
        <v>4.8251895860461802E-2</v>
      </c>
      <c r="AI32">
        <v>-9.3869281489324899E-2</v>
      </c>
      <c r="AJ32">
        <v>0.101812595446198</v>
      </c>
      <c r="AK32">
        <v>-9.9573157739169492E-3</v>
      </c>
      <c r="AL32">
        <v>-1.46176679593726E-2</v>
      </c>
      <c r="AM32">
        <v>0.17074009962424999</v>
      </c>
      <c r="AN32">
        <v>2.17262811386673E-2</v>
      </c>
      <c r="AO32">
        <v>-9.3869281489324899E-2</v>
      </c>
      <c r="AP32">
        <v>4.8265124558313797E-2</v>
      </c>
      <c r="AQ32">
        <v>3.2522735344922601E-2</v>
      </c>
      <c r="AR32">
        <v>0.11418142460807</v>
      </c>
      <c r="AS32">
        <v>5.5241271192459897E-2</v>
      </c>
      <c r="AT32">
        <v>9.9975122525603199E-2</v>
      </c>
      <c r="AU32">
        <v>1.46025700705008E-2</v>
      </c>
      <c r="AV32">
        <v>-9.3869281489324899E-2</v>
      </c>
      <c r="AW32">
        <v>8.2352067035059706E-2</v>
      </c>
      <c r="AX32">
        <v>8.4607930166721801E-2</v>
      </c>
      <c r="AY32">
        <v>-9.3869281489324899E-2</v>
      </c>
      <c r="AZ32">
        <v>0.21614954177123999</v>
      </c>
      <c r="BA32">
        <v>-9.3869281489324899E-2</v>
      </c>
      <c r="BB32">
        <v>0.19519864133214401</v>
      </c>
      <c r="BC32">
        <v>2.9618095942786402E-2</v>
      </c>
      <c r="BD32">
        <v>4.2700664329244603E-2</v>
      </c>
      <c r="BE32">
        <v>-1.38097553754815E-2</v>
      </c>
      <c r="BF32">
        <v>1.6097895938764799E-2</v>
      </c>
      <c r="BG32">
        <v>-5.0194821893640898E-2</v>
      </c>
      <c r="BH32">
        <v>0.136530151603241</v>
      </c>
      <c r="BI32">
        <v>-1.2019503568703701E-3</v>
      </c>
      <c r="BJ32">
        <v>1.1639770557319601E-2</v>
      </c>
      <c r="BK32">
        <v>1.08684461967353E-2</v>
      </c>
      <c r="BL32">
        <v>0.14188148678583501</v>
      </c>
      <c r="BM32">
        <v>-9.3869281489324899E-2</v>
      </c>
      <c r="BN32">
        <v>1.8470699284765801E-2</v>
      </c>
      <c r="BO32">
        <v>9.7981204513372805E-3</v>
      </c>
      <c r="BP32">
        <v>0.14052256229684401</v>
      </c>
      <c r="BQ32">
        <v>-9.3869281489324899E-2</v>
      </c>
      <c r="BR32">
        <v>0.107075000714873</v>
      </c>
      <c r="BS32">
        <v>2.8808378167397799</v>
      </c>
      <c r="BT32">
        <v>3.0023832588424901</v>
      </c>
      <c r="BU32">
        <v>3.7918565810596498</v>
      </c>
      <c r="BV32">
        <v>3.8242998609657701</v>
      </c>
      <c r="BW32">
        <v>3.0390697389959902</v>
      </c>
      <c r="BX32">
        <v>3.7064450085067602</v>
      </c>
      <c r="BY32">
        <v>3.4767443396014199</v>
      </c>
      <c r="BZ32">
        <v>2.2435043403255199</v>
      </c>
      <c r="CA32">
        <v>1.9941961663968999</v>
      </c>
      <c r="CB32">
        <v>6.4159692774381993E-2</v>
      </c>
      <c r="CC32">
        <v>-9.3869281489324899E-2</v>
      </c>
      <c r="CD32">
        <v>0.172225833607487</v>
      </c>
      <c r="CE32">
        <v>-9.3869281489324899E-2</v>
      </c>
      <c r="CF32">
        <v>-9.3869281489324899E-2</v>
      </c>
      <c r="CG32">
        <v>-9.3869281489324899E-2</v>
      </c>
      <c r="CH32">
        <v>5.8349738345114699E-2</v>
      </c>
      <c r="CI32">
        <v>6.7377245250478598E-2</v>
      </c>
      <c r="CJ32">
        <v>2.5544623489522199E-2</v>
      </c>
      <c r="CK32">
        <v>-6.2304427964378198E-2</v>
      </c>
      <c r="CL32">
        <v>0.15526618833934899</v>
      </c>
      <c r="CM32">
        <v>-9.3869281489324899E-2</v>
      </c>
      <c r="CN32">
        <v>-9.3869281489324899E-2</v>
      </c>
      <c r="CO32">
        <v>-9.3869281489324899E-2</v>
      </c>
      <c r="CP32">
        <v>0.448365899099684</v>
      </c>
      <c r="CQ32">
        <v>-9.3869281489324899E-2</v>
      </c>
      <c r="CR32">
        <v>0.19474846864176501</v>
      </c>
      <c r="CS32">
        <v>-9.3869281489324899E-2</v>
      </c>
      <c r="CT32">
        <v>7.1327186688558003E-2</v>
      </c>
      <c r="CU32">
        <v>-9.3869281489324899E-2</v>
      </c>
      <c r="CV32">
        <v>0.55120633274237796</v>
      </c>
      <c r="CW32">
        <v>-9.3869281489324899E-2</v>
      </c>
      <c r="CX32">
        <v>-9.3869281489324899E-2</v>
      </c>
      <c r="CY32">
        <v>-9.3869281489324899E-2</v>
      </c>
      <c r="CZ32">
        <v>0.73529100732969999</v>
      </c>
      <c r="DA32">
        <v>2.7064236668924099E-2</v>
      </c>
      <c r="DB32">
        <v>-9.3869281489324899E-2</v>
      </c>
      <c r="DC32">
        <v>4.7890530697238302E-2</v>
      </c>
      <c r="DD32">
        <v>0.151623794403838</v>
      </c>
      <c r="DE32">
        <v>5.3141582427100001E-2</v>
      </c>
      <c r="DF32">
        <v>0.30206153493801602</v>
      </c>
      <c r="DG32">
        <v>0.30985207249643498</v>
      </c>
      <c r="DH32">
        <v>-9.3869281489324899E-2</v>
      </c>
      <c r="DI32">
        <v>0.15178400284282001</v>
      </c>
      <c r="DJ32">
        <v>0.33703768487178598</v>
      </c>
      <c r="DK32">
        <v>2.3474240638857499E-2</v>
      </c>
      <c r="DL32">
        <v>5.19366176758978E-2</v>
      </c>
      <c r="DM32">
        <v>6.1048832706505698E-2</v>
      </c>
      <c r="DN32">
        <v>-9.3869281489324899E-2</v>
      </c>
      <c r="DO32">
        <v>6.90540294554019E-2</v>
      </c>
      <c r="DP32">
        <v>0.14105045060367799</v>
      </c>
      <c r="DQ32">
        <v>-9.3869281489324899E-2</v>
      </c>
      <c r="DR32">
        <v>0.46002650046773402</v>
      </c>
      <c r="DS32">
        <v>0.24948252031479401</v>
      </c>
      <c r="DT32">
        <v>-9.3869281489324899E-2</v>
      </c>
      <c r="DU32">
        <v>4.3663066078958701E-2</v>
      </c>
      <c r="DV32">
        <v>0.154073410372814</v>
      </c>
      <c r="DW32">
        <v>0.17381929403826801</v>
      </c>
      <c r="DX32">
        <v>0.44717367187742502</v>
      </c>
      <c r="DY32">
        <v>0.124255088370615</v>
      </c>
      <c r="DZ32">
        <v>0.19470035660791599</v>
      </c>
      <c r="EA32">
        <v>-9.3869281489324899E-2</v>
      </c>
      <c r="EB32">
        <v>0.19937006070758001</v>
      </c>
      <c r="EC32">
        <v>3.19034389434453E-2</v>
      </c>
      <c r="ED32">
        <v>3.4222547407705702E-2</v>
      </c>
      <c r="EE32">
        <v>-9.3869281489324899E-2</v>
      </c>
      <c r="EF32">
        <v>0.21022580123838899</v>
      </c>
      <c r="EG32">
        <v>-4.3538895995882797E-3</v>
      </c>
      <c r="EH32">
        <v>2.9001183700131699E-2</v>
      </c>
      <c r="EI32">
        <v>0.13694870161450101</v>
      </c>
      <c r="EJ32">
        <v>3.5200537184474502E-2</v>
      </c>
      <c r="EK32">
        <v>-9.3869281489324899E-2</v>
      </c>
      <c r="EL32">
        <v>-9.3869281489324899E-2</v>
      </c>
      <c r="EM32">
        <v>0.13661316457469599</v>
      </c>
      <c r="EN32">
        <v>1.0649977762617899</v>
      </c>
      <c r="EO32">
        <v>-9.3869281489324899E-2</v>
      </c>
      <c r="EP32">
        <v>1.2623388735256501E-2</v>
      </c>
      <c r="EQ32">
        <v>0.246014444193767</v>
      </c>
      <c r="ER32">
        <v>-9.3869281489324899E-2</v>
      </c>
      <c r="ES32">
        <v>0.130102681874567</v>
      </c>
      <c r="ET32">
        <v>2.7779845555906499E-2</v>
      </c>
      <c r="EU32">
        <v>0.13896147042630899</v>
      </c>
      <c r="EV32">
        <v>0.34669300531325198</v>
      </c>
      <c r="EW32">
        <v>-9.3869281489324899E-2</v>
      </c>
      <c r="EX32">
        <v>-9.3869281489324899E-2</v>
      </c>
      <c r="EY32">
        <v>4.3623237604209102E-2</v>
      </c>
      <c r="EZ32">
        <v>3.2206478617177597E-2</v>
      </c>
      <c r="FA32">
        <v>-9.3869281489324899E-2</v>
      </c>
      <c r="FB32">
        <v>-9.3869281489324899E-2</v>
      </c>
      <c r="FC32">
        <v>-9.3869281489324899E-2</v>
      </c>
      <c r="FD32">
        <v>6.0996362332731702E-2</v>
      </c>
      <c r="FE32">
        <v>-9.3869281489324899E-2</v>
      </c>
      <c r="FF32">
        <v>-9.3869281489324899E-2</v>
      </c>
      <c r="FG32">
        <v>0.19183896791330601</v>
      </c>
      <c r="FH32">
        <v>-1.4594848872240201E-2</v>
      </c>
      <c r="FI32">
        <v>0.12764832080678601</v>
      </c>
      <c r="FJ32">
        <v>0.179270011815894</v>
      </c>
      <c r="FK32">
        <v>-9.3869281489324899E-2</v>
      </c>
      <c r="FL32">
        <v>-9.3869281489324899E-2</v>
      </c>
      <c r="FM32">
        <v>-9.3869281489324899E-2</v>
      </c>
      <c r="FN32">
        <v>1.8637007870896199E-2</v>
      </c>
      <c r="FO32">
        <v>6.2308106516264901E-2</v>
      </c>
      <c r="FP32">
        <v>-4.40836086156065E-2</v>
      </c>
      <c r="FQ32">
        <v>-9.3869281489324899E-2</v>
      </c>
      <c r="FR32">
        <v>-9.3869281489324899E-2</v>
      </c>
      <c r="FS32">
        <v>1.40548175787732E-2</v>
      </c>
      <c r="FT32">
        <v>-9.3869281489324899E-2</v>
      </c>
      <c r="FU32">
        <v>-8.3671260042103308E-3</v>
      </c>
      <c r="FV32">
        <v>-3.60812968581797E-2</v>
      </c>
      <c r="FW32">
        <v>-9.3869281489324899E-2</v>
      </c>
      <c r="FX32">
        <v>-9.3869281489324899E-2</v>
      </c>
      <c r="FY32">
        <v>4.1469434933711399E-2</v>
      </c>
      <c r="FZ32">
        <v>3.2263183094767701E-2</v>
      </c>
      <c r="GA32">
        <v>0.12122882500233199</v>
      </c>
      <c r="GB32">
        <v>7.7340976188013597E-2</v>
      </c>
      <c r="GC32">
        <v>8.3118605830567096E-3</v>
      </c>
      <c r="GD32">
        <v>-9.3869281489324899E-2</v>
      </c>
      <c r="GE32">
        <v>4.4305434448233101E-2</v>
      </c>
      <c r="GF32">
        <v>-9.3869281489324899E-2</v>
      </c>
      <c r="GG32">
        <v>-9.3869281489324899E-2</v>
      </c>
      <c r="GH32">
        <v>-2.55074360272687E-3</v>
      </c>
      <c r="GI32">
        <v>-4.2738393027482099E-2</v>
      </c>
      <c r="GJ32">
        <v>3.3793364739606403E-2</v>
      </c>
      <c r="GK32">
        <v>0.107214596048095</v>
      </c>
    </row>
    <row r="33" spans="1:193" x14ac:dyDescent="0.25">
      <c r="A33" t="s">
        <v>266</v>
      </c>
      <c r="B33" t="s">
        <v>623</v>
      </c>
      <c r="C33">
        <v>8.8386155566328201E-2</v>
      </c>
      <c r="D33">
        <v>0.36274901944459498</v>
      </c>
      <c r="E33">
        <v>1.54240964864584E-2</v>
      </c>
      <c r="F33">
        <v>5.0168825518705301E-2</v>
      </c>
      <c r="G33">
        <v>0</v>
      </c>
      <c r="H33">
        <v>0</v>
      </c>
      <c r="I33">
        <v>0</v>
      </c>
      <c r="J33">
        <v>8.3668370449624593E-2</v>
      </c>
      <c r="K33">
        <v>0</v>
      </c>
      <c r="L33">
        <v>3.7446217014519702E-2</v>
      </c>
      <c r="M33">
        <v>0.40113434163619599</v>
      </c>
      <c r="N33">
        <v>0.22411752107286201</v>
      </c>
      <c r="O33">
        <v>0</v>
      </c>
      <c r="P33">
        <v>9.8209962856562194E-2</v>
      </c>
      <c r="Q33">
        <v>0</v>
      </c>
      <c r="R33">
        <v>0</v>
      </c>
      <c r="S33">
        <v>0.120487323720846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0.170701922627814</v>
      </c>
      <c r="AA33">
        <v>0.15827835449290101</v>
      </c>
      <c r="AB33">
        <v>4.4509018405174898E-2</v>
      </c>
      <c r="AC33">
        <v>5.7342951021768201E-2</v>
      </c>
      <c r="AD33">
        <v>0</v>
      </c>
      <c r="AE33">
        <v>5.7039412078962501E-2</v>
      </c>
      <c r="AF33">
        <v>0</v>
      </c>
      <c r="AG33">
        <v>5.2281454364666198E-2</v>
      </c>
      <c r="AH33">
        <v>0</v>
      </c>
      <c r="AI33">
        <v>0</v>
      </c>
      <c r="AJ33">
        <v>7.8628576393261401E-2</v>
      </c>
      <c r="AK33">
        <v>0.16353720246158401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7.6317444227265996E-2</v>
      </c>
      <c r="AT33">
        <v>9.9932373075242997E-2</v>
      </c>
      <c r="AU33">
        <v>0</v>
      </c>
      <c r="AV33">
        <v>0</v>
      </c>
      <c r="AW33">
        <v>9.0583303987006106E-2</v>
      </c>
      <c r="AX33">
        <v>0</v>
      </c>
      <c r="AY33">
        <v>0</v>
      </c>
      <c r="AZ33">
        <v>0</v>
      </c>
      <c r="BA33">
        <v>0</v>
      </c>
      <c r="BB33">
        <v>0.102389541181161</v>
      </c>
      <c r="BC33">
        <v>0.238017391988703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9.2667331132454497E-2</v>
      </c>
      <c r="BJ33">
        <v>0</v>
      </c>
      <c r="BK33">
        <v>0.10473772768606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7.4388125713090794E-2</v>
      </c>
      <c r="BX33">
        <v>1.47750462117931E-2</v>
      </c>
      <c r="BY33">
        <v>1.33877998882381E-2</v>
      </c>
      <c r="BZ33">
        <v>2.05035285133566E-2</v>
      </c>
      <c r="CA33">
        <v>2.0603635475363299E-2</v>
      </c>
      <c r="CB33">
        <v>0</v>
      </c>
      <c r="CC33">
        <v>0</v>
      </c>
      <c r="CD33">
        <v>0.13848737328877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6.3430452216666801E-3</v>
      </c>
      <c r="CK33">
        <v>3.9736180551319E-2</v>
      </c>
      <c r="CL33">
        <v>0.12944380878742201</v>
      </c>
      <c r="CM33">
        <v>0</v>
      </c>
      <c r="CN33">
        <v>6.8781737123402506E-2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0.12303201199848</v>
      </c>
      <c r="CY33">
        <v>0</v>
      </c>
      <c r="CZ33">
        <v>0</v>
      </c>
      <c r="DA33">
        <v>0.120933518158249</v>
      </c>
      <c r="DB33">
        <v>0</v>
      </c>
      <c r="DC33">
        <v>0</v>
      </c>
      <c r="DD33">
        <v>0</v>
      </c>
      <c r="DE33">
        <v>0</v>
      </c>
      <c r="DF33">
        <v>0.16516468663772499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0.15491811419583101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0.128091828897031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0.105324454583466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0.179113448495723</v>
      </c>
      <c r="ER33">
        <v>0</v>
      </c>
      <c r="ES33">
        <v>0</v>
      </c>
      <c r="ET33">
        <v>0</v>
      </c>
      <c r="EU33">
        <v>0.15073963370290799</v>
      </c>
      <c r="EV33">
        <v>0</v>
      </c>
      <c r="EW33">
        <v>0</v>
      </c>
      <c r="EX33">
        <v>0</v>
      </c>
      <c r="EY33">
        <v>0</v>
      </c>
      <c r="EZ33">
        <v>0.12607576010650301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0.139168090777439</v>
      </c>
      <c r="FG33">
        <v>0</v>
      </c>
      <c r="FH33">
        <v>7.9274432617084598E-2</v>
      </c>
      <c r="FI33">
        <v>0</v>
      </c>
      <c r="FJ33">
        <v>0</v>
      </c>
      <c r="FK33">
        <v>0.13838815011362901</v>
      </c>
      <c r="FL33">
        <v>0</v>
      </c>
      <c r="FM33">
        <v>0</v>
      </c>
      <c r="FN33">
        <v>0.112506289360221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0.11933045726168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0.11111111338663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0.103360222918729</v>
      </c>
    </row>
    <row r="34" spans="1:193" x14ac:dyDescent="0.25">
      <c r="A34" t="s">
        <v>266</v>
      </c>
      <c r="B34" t="s">
        <v>639</v>
      </c>
      <c r="C34">
        <v>-2.03174358473001E-2</v>
      </c>
      <c r="D34">
        <v>-0.10870359141362899</v>
      </c>
      <c r="E34">
        <v>1.00895526363095E-2</v>
      </c>
      <c r="F34">
        <v>2.36196069248286E-2</v>
      </c>
      <c r="G34">
        <v>-1.0884598876446199E-2</v>
      </c>
      <c r="H34">
        <v>7.8404947540749205E-3</v>
      </c>
      <c r="I34">
        <v>2.59594821328753E-2</v>
      </c>
      <c r="J34">
        <v>-4.7001027546680696E-3</v>
      </c>
      <c r="K34">
        <v>-3.3773025818664003E-2</v>
      </c>
      <c r="L34">
        <v>-7.1257374399108703E-2</v>
      </c>
      <c r="M34">
        <v>0.14563939838015599</v>
      </c>
      <c r="N34">
        <v>0.28591917724955102</v>
      </c>
      <c r="O34">
        <v>0.249437881191403</v>
      </c>
      <c r="P34">
        <v>8.1806253033437595E-2</v>
      </c>
      <c r="Q34">
        <v>-0.10870359141362899</v>
      </c>
      <c r="R34">
        <v>6.4198402353775996E-2</v>
      </c>
      <c r="S34">
        <v>-0.10870359141362899</v>
      </c>
      <c r="T34">
        <v>-0.10870359141362899</v>
      </c>
      <c r="U34">
        <v>-0.10870359141362899</v>
      </c>
      <c r="V34">
        <v>-0.10870359141362899</v>
      </c>
      <c r="W34">
        <v>-0.10870359141362899</v>
      </c>
      <c r="X34">
        <v>0.20532259917670001</v>
      </c>
      <c r="Y34">
        <v>4.1713222418231902E-2</v>
      </c>
      <c r="Z34">
        <v>-0.10870359141362899</v>
      </c>
      <c r="AA34">
        <v>4.9574763079273103E-2</v>
      </c>
      <c r="AB34">
        <v>-4.9610660324970898E-2</v>
      </c>
      <c r="AC34">
        <v>-5.13606403918603E-2</v>
      </c>
      <c r="AD34">
        <v>-3.6723746331473503E-2</v>
      </c>
      <c r="AE34">
        <v>3.36598631382036E-3</v>
      </c>
      <c r="AF34">
        <v>4.11462378883218E-2</v>
      </c>
      <c r="AG34">
        <v>-0.10870359141362899</v>
      </c>
      <c r="AH34">
        <v>-0.10870359141362899</v>
      </c>
      <c r="AI34">
        <v>-0.10870359141362899</v>
      </c>
      <c r="AJ34">
        <v>-3.0075015020367E-2</v>
      </c>
      <c r="AK34">
        <v>-0.10870359141362899</v>
      </c>
      <c r="AL34">
        <v>-0.10870359141362899</v>
      </c>
      <c r="AM34">
        <v>-0.10870359141362899</v>
      </c>
      <c r="AN34">
        <v>0.215327552406857</v>
      </c>
      <c r="AO34">
        <v>-0.10870359141362899</v>
      </c>
      <c r="AP34">
        <v>-0.10870359141362899</v>
      </c>
      <c r="AQ34">
        <v>-0.10870359141362899</v>
      </c>
      <c r="AR34">
        <v>-0.10870359141362899</v>
      </c>
      <c r="AS34">
        <v>-3.2386147186362499E-2</v>
      </c>
      <c r="AT34">
        <v>-8.7712183383856293E-3</v>
      </c>
      <c r="AU34">
        <v>-0.10870359141362899</v>
      </c>
      <c r="AV34">
        <v>-0.10870359141362899</v>
      </c>
      <c r="AW34">
        <v>-0.10870359141362899</v>
      </c>
      <c r="AX34">
        <v>-0.10870359141362899</v>
      </c>
      <c r="AY34">
        <v>-0.10870359141362899</v>
      </c>
      <c r="AZ34">
        <v>-0.10870359141362899</v>
      </c>
      <c r="BA34">
        <v>-0.10870359141362899</v>
      </c>
      <c r="BB34">
        <v>8.9790061294765397E-2</v>
      </c>
      <c r="BC34">
        <v>1.4783786018482801E-2</v>
      </c>
      <c r="BD34">
        <v>2.7866354404941E-2</v>
      </c>
      <c r="BE34">
        <v>-2.8644065299785099E-2</v>
      </c>
      <c r="BF34">
        <v>1.26358601446135E-3</v>
      </c>
      <c r="BG34">
        <v>-4.36015369029642E-2</v>
      </c>
      <c r="BH34">
        <v>-0.10870359141362899</v>
      </c>
      <c r="BI34">
        <v>7.1474551414261497E-2</v>
      </c>
      <c r="BJ34">
        <v>-0.10870359141362899</v>
      </c>
      <c r="BK34">
        <v>-0.10870359141362899</v>
      </c>
      <c r="BL34">
        <v>5.2259002413936703E-2</v>
      </c>
      <c r="BM34">
        <v>7.9390345755077099E-2</v>
      </c>
      <c r="BN34">
        <v>-0.10870359141362899</v>
      </c>
      <c r="BO34">
        <v>-0.10870359141362899</v>
      </c>
      <c r="BP34">
        <v>-1.3908880400713201E-2</v>
      </c>
      <c r="BQ34">
        <v>-0.10870359141362899</v>
      </c>
      <c r="BR34">
        <v>-5.0518124252331804E-3</v>
      </c>
      <c r="BS34">
        <v>-1.2646936978778999E-3</v>
      </c>
      <c r="BT34">
        <v>3.49227010255794E-2</v>
      </c>
      <c r="BU34">
        <v>-2.9892779923338501E-2</v>
      </c>
      <c r="BV34">
        <v>-6.2880575421664794E-2</v>
      </c>
      <c r="BW34">
        <v>-3.4315465700537597E-2</v>
      </c>
      <c r="BX34">
        <v>-3.5845406056474002E-2</v>
      </c>
      <c r="BY34">
        <v>-8.20038250408099E-2</v>
      </c>
      <c r="BZ34">
        <v>-2.40703331750622E-2</v>
      </c>
      <c r="CA34">
        <v>-4.4416196325758599E-2</v>
      </c>
      <c r="CB34">
        <v>-0.10870359141362899</v>
      </c>
      <c r="CC34">
        <v>1.41066898326981E-2</v>
      </c>
      <c r="CD34">
        <v>-0.10870359141362899</v>
      </c>
      <c r="CE34">
        <v>-0.10870359141362899</v>
      </c>
      <c r="CF34">
        <v>4.3304417326143499E-2</v>
      </c>
      <c r="CG34">
        <v>-0.10870359141362899</v>
      </c>
      <c r="CH34">
        <v>4.3515428420811103E-2</v>
      </c>
      <c r="CI34">
        <v>5.2542935326175197E-2</v>
      </c>
      <c r="CJ34">
        <v>1.32009203185833E-2</v>
      </c>
      <c r="CK34">
        <v>7.8771247818338001E-3</v>
      </c>
      <c r="CL34">
        <v>0.14043187841504501</v>
      </c>
      <c r="CM34">
        <v>-0.10870359141362899</v>
      </c>
      <c r="CN34">
        <v>2.5960233038454399E-2</v>
      </c>
      <c r="CO34">
        <v>1.2334462057993999E-2</v>
      </c>
      <c r="CP34">
        <v>4.5154801599117202E-2</v>
      </c>
      <c r="CQ34">
        <v>0.148501172926991</v>
      </c>
      <c r="CR34">
        <v>-0.10870359141362899</v>
      </c>
      <c r="CS34">
        <v>-0.10870359141362899</v>
      </c>
      <c r="CT34">
        <v>0.20612331186423299</v>
      </c>
      <c r="CU34">
        <v>-0.10870359141362899</v>
      </c>
      <c r="CV34">
        <v>-0.10870359141362899</v>
      </c>
      <c r="CW34">
        <v>-0.10870359141362899</v>
      </c>
      <c r="CX34">
        <v>-0.10870359141362899</v>
      </c>
      <c r="CY34">
        <v>0.218057495697664</v>
      </c>
      <c r="CZ34">
        <v>-0.10870359141362899</v>
      </c>
      <c r="DA34">
        <v>0.124516554931575</v>
      </c>
      <c r="DB34">
        <v>3.02343251243322E-2</v>
      </c>
      <c r="DC34">
        <v>0.16322606729528299</v>
      </c>
      <c r="DD34">
        <v>5.0602787321310197E-2</v>
      </c>
      <c r="DE34">
        <v>-0.10870359141362899</v>
      </c>
      <c r="DF34">
        <v>5.6461095224096598E-2</v>
      </c>
      <c r="DG34">
        <v>-0.10870359141362899</v>
      </c>
      <c r="DH34">
        <v>3.4987080154244899E-3</v>
      </c>
      <c r="DI34">
        <v>1.8952033683673201E-2</v>
      </c>
      <c r="DJ34">
        <v>-0.10870359141362899</v>
      </c>
      <c r="DK34">
        <v>0.21976807271088999</v>
      </c>
      <c r="DL34">
        <v>-0.10870359141362899</v>
      </c>
      <c r="DM34">
        <v>-0.10870359141362899</v>
      </c>
      <c r="DN34">
        <v>-0.10870359141362899</v>
      </c>
      <c r="DO34">
        <v>-0.10870359141362899</v>
      </c>
      <c r="DP34">
        <v>1.3134338033183399E-2</v>
      </c>
      <c r="DQ34">
        <v>4.7965014442384303E-2</v>
      </c>
      <c r="DR34">
        <v>-0.10870359141362899</v>
      </c>
      <c r="DS34">
        <v>-0.10870359141362899</v>
      </c>
      <c r="DT34">
        <v>-0.10870359141362899</v>
      </c>
      <c r="DU34">
        <v>2.88287561546553E-2</v>
      </c>
      <c r="DV34">
        <v>-0.10870359141362899</v>
      </c>
      <c r="DW34">
        <v>-0.10870359141362899</v>
      </c>
      <c r="DX34">
        <v>-0.10870359141362899</v>
      </c>
      <c r="DY34">
        <v>4.1243900501111699E-3</v>
      </c>
      <c r="DZ34">
        <v>-0.10870359141362899</v>
      </c>
      <c r="EA34">
        <v>-0.10870359141362899</v>
      </c>
      <c r="EB34">
        <v>-0.10870359141362899</v>
      </c>
      <c r="EC34">
        <v>1.70691290191415E-2</v>
      </c>
      <c r="ED34">
        <v>-0.10870359141362899</v>
      </c>
      <c r="EE34">
        <v>-6.3800163216574599E-3</v>
      </c>
      <c r="EF34">
        <v>0.19539149131408501</v>
      </c>
      <c r="EG34">
        <v>-0.10870359141362899</v>
      </c>
      <c r="EH34">
        <v>-0.10870359141362899</v>
      </c>
      <c r="EI34">
        <v>0.184044555431332</v>
      </c>
      <c r="EJ34">
        <v>2.0366227260170899E-2</v>
      </c>
      <c r="EK34">
        <v>-3.3791368301623399E-3</v>
      </c>
      <c r="EL34">
        <v>0.177195940840424</v>
      </c>
      <c r="EM34">
        <v>4.0548733168556297E-2</v>
      </c>
      <c r="EN34">
        <v>-0.10870359141362899</v>
      </c>
      <c r="EO34">
        <v>3.5543565843488202E-2</v>
      </c>
      <c r="EP34">
        <v>-2.2109211890469398E-3</v>
      </c>
      <c r="EQ34">
        <v>7.0409857082095101E-2</v>
      </c>
      <c r="ER34">
        <v>-0.10870359141362899</v>
      </c>
      <c r="ES34">
        <v>7.1460943199919301E-3</v>
      </c>
      <c r="ET34">
        <v>0.12611857074952501</v>
      </c>
      <c r="EU34">
        <v>-0.10870359141362899</v>
      </c>
      <c r="EV34">
        <v>-0.10870359141362899</v>
      </c>
      <c r="EW34">
        <v>0.36946298271690797</v>
      </c>
      <c r="EX34">
        <v>4.4694049046736198E-2</v>
      </c>
      <c r="EY34">
        <v>0.15539729069229</v>
      </c>
      <c r="EZ34">
        <v>1.7372168692873901E-2</v>
      </c>
      <c r="FA34">
        <v>2.7747554812568201E-2</v>
      </c>
      <c r="FB34">
        <v>-0.10870359141362899</v>
      </c>
      <c r="FC34">
        <v>-0.10870359141362899</v>
      </c>
      <c r="FD34">
        <v>4.6162052408428099E-2</v>
      </c>
      <c r="FE34">
        <v>-0.10870359141362899</v>
      </c>
      <c r="FF34">
        <v>3.0464499363811001E-2</v>
      </c>
      <c r="FG34">
        <v>-0.10870359141362899</v>
      </c>
      <c r="FH34">
        <v>-2.9429158796543901E-2</v>
      </c>
      <c r="FI34">
        <v>-0.10870359141362899</v>
      </c>
      <c r="FJ34">
        <v>-1.25690772192294E-2</v>
      </c>
      <c r="FK34">
        <v>2.9684558700000498E-2</v>
      </c>
      <c r="FL34">
        <v>3.30462879361944E-2</v>
      </c>
      <c r="FM34">
        <v>3.5787344558442298E-2</v>
      </c>
      <c r="FN34">
        <v>3.8026979465925802E-3</v>
      </c>
      <c r="FO34">
        <v>-0.10870359141362899</v>
      </c>
      <c r="FP34">
        <v>-0.10870359141362899</v>
      </c>
      <c r="FQ34">
        <v>-8.1461426104051902E-3</v>
      </c>
      <c r="FR34">
        <v>0.14310684383472</v>
      </c>
      <c r="FS34">
        <v>-1.30384367317904E-2</v>
      </c>
      <c r="FT34">
        <v>1.06268658480516E-2</v>
      </c>
      <c r="FU34">
        <v>-0.10870359141362899</v>
      </c>
      <c r="FV34">
        <v>5.9054559465225698E-2</v>
      </c>
      <c r="FW34">
        <v>-0.10870359141362899</v>
      </c>
      <c r="FX34">
        <v>-0.10870359141362899</v>
      </c>
      <c r="FY34">
        <v>-0.10870359141362899</v>
      </c>
      <c r="FZ34">
        <v>1.7428873170464002E-2</v>
      </c>
      <c r="GA34">
        <v>2.40752197300177E-3</v>
      </c>
      <c r="GB34">
        <v>-2.0921607543014999E-2</v>
      </c>
      <c r="GC34">
        <v>-6.5224493412467596E-3</v>
      </c>
      <c r="GD34">
        <v>-0.10870359141362899</v>
      </c>
      <c r="GE34">
        <v>2.9471124523929401E-2</v>
      </c>
      <c r="GF34">
        <v>2.4494551551894301E-2</v>
      </c>
      <c r="GG34">
        <v>-0.10870359141362899</v>
      </c>
      <c r="GH34">
        <v>-3.22913835239904E-2</v>
      </c>
      <c r="GI34">
        <v>-7.8038395166788004E-3</v>
      </c>
      <c r="GJ34">
        <v>-4.3706298451697198E-2</v>
      </c>
      <c r="GK34">
        <v>-5.6273569946961602E-2</v>
      </c>
    </row>
    <row r="35" spans="1:193" x14ac:dyDescent="0.25">
      <c r="A35" t="s">
        <v>266</v>
      </c>
      <c r="B35" t="s">
        <v>632</v>
      </c>
      <c r="C35">
        <v>-0.73415006418557305</v>
      </c>
      <c r="D35">
        <v>1.19004519784329</v>
      </c>
      <c r="E35">
        <v>1.94616346685404</v>
      </c>
      <c r="F35">
        <v>1.63496555600426</v>
      </c>
      <c r="G35">
        <v>1.9460069316827999</v>
      </c>
      <c r="H35">
        <v>1.70073148683622</v>
      </c>
      <c r="I35">
        <v>0.13904397217487899</v>
      </c>
      <c r="J35">
        <v>1.05538588352921</v>
      </c>
      <c r="K35">
        <v>0.91475386823726801</v>
      </c>
      <c r="L35">
        <v>-3.9280803423135599E-2</v>
      </c>
      <c r="M35">
        <v>2.6675239955897601</v>
      </c>
      <c r="N35">
        <v>3.10155071550821</v>
      </c>
      <c r="O35">
        <v>0.93359688798979801</v>
      </c>
      <c r="P35">
        <v>-0.16842013060477001</v>
      </c>
      <c r="Q35">
        <v>0.96527213687859303</v>
      </c>
      <c r="R35">
        <v>0.78858500639745199</v>
      </c>
      <c r="S35">
        <v>0.84062112058330296</v>
      </c>
      <c r="T35">
        <v>0.79182362467519796</v>
      </c>
      <c r="U35">
        <v>-0.377466360735977</v>
      </c>
      <c r="V35">
        <v>-0.101223300903638</v>
      </c>
      <c r="W35">
        <v>-0.44633428169361899</v>
      </c>
      <c r="X35">
        <v>0.36173582162923601</v>
      </c>
      <c r="Y35">
        <v>-0.19148707453286501</v>
      </c>
      <c r="Z35">
        <v>0.73893021276211501</v>
      </c>
      <c r="AA35">
        <v>0.20713611856706499</v>
      </c>
      <c r="AB35">
        <v>-0.21666571246808999</v>
      </c>
      <c r="AC35">
        <v>-1.35954968653356E-2</v>
      </c>
      <c r="AD35">
        <v>0.166739671626428</v>
      </c>
      <c r="AE35">
        <v>-0.60075284666262396</v>
      </c>
      <c r="AF35">
        <v>-0.24057802448873999</v>
      </c>
      <c r="AG35">
        <v>-0.30974201842921401</v>
      </c>
      <c r="AH35">
        <v>0.369163458917245</v>
      </c>
      <c r="AI35">
        <v>0.66655899187772005</v>
      </c>
      <c r="AJ35">
        <v>-0.27764991991030502</v>
      </c>
      <c r="AK35">
        <v>0.157768922048905</v>
      </c>
      <c r="AL35">
        <v>0.41776444520943501</v>
      </c>
      <c r="AM35">
        <v>0.178573354287765</v>
      </c>
      <c r="AN35">
        <v>-0.40270328121423099</v>
      </c>
      <c r="AO35">
        <v>0.4417068505185</v>
      </c>
      <c r="AP35">
        <v>0.66245257987926398</v>
      </c>
      <c r="AQ35">
        <v>0.23432184570960901</v>
      </c>
      <c r="AR35">
        <v>-0.974487119984214</v>
      </c>
      <c r="AS35">
        <v>1.5465725356168001</v>
      </c>
      <c r="AT35">
        <v>5.7915564763528701E-2</v>
      </c>
      <c r="AU35">
        <v>0.193617239319504</v>
      </c>
      <c r="AV35">
        <v>0.42572282704040898</v>
      </c>
      <c r="AW35">
        <v>0.47519860634313599</v>
      </c>
      <c r="AX35">
        <v>0.158464897998911</v>
      </c>
      <c r="AY35">
        <v>0.60485187096533699</v>
      </c>
      <c r="AZ35">
        <v>-0.24696307302890999</v>
      </c>
      <c r="BA35">
        <v>1.2348734668891199</v>
      </c>
      <c r="BB35">
        <v>-0.27575132273702202</v>
      </c>
      <c r="BC35">
        <v>-0.37604005884526698</v>
      </c>
      <c r="BD35">
        <v>-0.68554852008955203</v>
      </c>
      <c r="BE35">
        <v>0.66902211893592201</v>
      </c>
      <c r="BF35">
        <v>-0.177379323575652</v>
      </c>
      <c r="BG35">
        <v>0.320003548802962</v>
      </c>
      <c r="BH35">
        <v>0.42464455929185502</v>
      </c>
      <c r="BI35">
        <v>-0.42543315000967502</v>
      </c>
      <c r="BJ35">
        <v>0.92203093199789099</v>
      </c>
      <c r="BK35">
        <v>-4.3517036637116403E-2</v>
      </c>
      <c r="BL35">
        <v>-3.0310870984695602E-3</v>
      </c>
      <c r="BM35">
        <v>6.5664727288152105E-2</v>
      </c>
      <c r="BN35">
        <v>0.70963437236107096</v>
      </c>
      <c r="BO35">
        <v>3.4347346610655402E-2</v>
      </c>
      <c r="BP35">
        <v>-9.7595965574698795E-2</v>
      </c>
      <c r="BQ35">
        <v>0.17231551356164901</v>
      </c>
      <c r="BR35">
        <v>7.8119113285116497E-3</v>
      </c>
      <c r="BS35">
        <v>0.19894324819475501</v>
      </c>
      <c r="BT35">
        <v>0.168242273465497</v>
      </c>
      <c r="BU35">
        <v>0.2535722455519</v>
      </c>
      <c r="BV35">
        <v>8.47857791751256E-2</v>
      </c>
      <c r="BW35">
        <v>0.89990106997920005</v>
      </c>
      <c r="BX35">
        <v>0.78952798029210902</v>
      </c>
      <c r="BY35">
        <v>0.59423560077388204</v>
      </c>
      <c r="BZ35">
        <v>0.42297488723939197</v>
      </c>
      <c r="CA35">
        <v>0.62268641720566398</v>
      </c>
      <c r="CB35">
        <v>0.83859232498130198</v>
      </c>
      <c r="CC35">
        <v>0.17733009943443101</v>
      </c>
      <c r="CD35">
        <v>0.15135602804076601</v>
      </c>
      <c r="CE35">
        <v>-0.447470438310338</v>
      </c>
      <c r="CF35">
        <v>-0.54030724731137203</v>
      </c>
      <c r="CG35">
        <v>-0.70678913235491303</v>
      </c>
      <c r="CH35">
        <v>-0.58760625477860196</v>
      </c>
      <c r="CI35">
        <v>-0.40353020007906099</v>
      </c>
      <c r="CJ35">
        <v>0.11388367821774199</v>
      </c>
      <c r="CK35">
        <v>-9.4340134872197806E-2</v>
      </c>
      <c r="CL35">
        <v>-0.73985190865580797</v>
      </c>
      <c r="CM35">
        <v>-0.89009456399137699</v>
      </c>
      <c r="CN35">
        <v>-0.45277506276458901</v>
      </c>
      <c r="CO35">
        <v>-0.62943346961812796</v>
      </c>
      <c r="CP35">
        <v>-0.72331292586685503</v>
      </c>
      <c r="CQ35">
        <v>0.35768225551518701</v>
      </c>
      <c r="CR35">
        <v>-0.298322057891932</v>
      </c>
      <c r="CS35">
        <v>-6.2607951574634696E-2</v>
      </c>
      <c r="CT35">
        <v>0.27123609613440802</v>
      </c>
      <c r="CU35">
        <v>0.110293557978125</v>
      </c>
      <c r="CV35">
        <v>-0.72453469952650196</v>
      </c>
      <c r="CW35">
        <v>-0.829621173009918</v>
      </c>
      <c r="CX35">
        <v>-3.0283349773685801E-2</v>
      </c>
      <c r="CY35">
        <v>-0.12969843412648399</v>
      </c>
      <c r="CZ35">
        <v>0.42735993228505598</v>
      </c>
      <c r="DA35">
        <v>-0.39328485208981601</v>
      </c>
      <c r="DB35">
        <v>-0.70858090949948005</v>
      </c>
      <c r="DC35">
        <v>0.29130699001822002</v>
      </c>
      <c r="DD35">
        <v>-0.67378790616588702</v>
      </c>
      <c r="DE35">
        <v>2.2114754959688201E-2</v>
      </c>
      <c r="DF35">
        <v>-0.31241552523044103</v>
      </c>
      <c r="DG35">
        <v>-0.444126299732297</v>
      </c>
      <c r="DH35">
        <v>-0.56292402302465205</v>
      </c>
      <c r="DI35">
        <v>0.204174562564582</v>
      </c>
      <c r="DJ35">
        <v>0.5282893838678</v>
      </c>
      <c r="DK35">
        <v>9.3676774873580504E-2</v>
      </c>
      <c r="DL35">
        <v>0.26714816147341702</v>
      </c>
      <c r="DM35">
        <v>-0.481159813685969</v>
      </c>
      <c r="DN35">
        <v>3.0247321656879799E-3</v>
      </c>
      <c r="DO35">
        <v>-0.91245108835857303</v>
      </c>
      <c r="DP35">
        <v>-0.59072804168885296</v>
      </c>
      <c r="DQ35">
        <v>0.17806664218100399</v>
      </c>
      <c r="DR35">
        <v>-0.42435975425692801</v>
      </c>
      <c r="DS35">
        <v>-1.0568311127099601</v>
      </c>
      <c r="DT35">
        <v>-9.5009310664486493E-2</v>
      </c>
      <c r="DU35">
        <v>-0.72936530680901801</v>
      </c>
      <c r="DV35">
        <v>-0.408518757199828</v>
      </c>
      <c r="DW35">
        <v>0.23819046126125001</v>
      </c>
      <c r="DX35">
        <v>0.29287394688782198</v>
      </c>
      <c r="DY35">
        <v>0.32342443731421899</v>
      </c>
      <c r="DZ35">
        <v>-0.56638961967498802</v>
      </c>
      <c r="EA35">
        <v>-0.51175364766782405</v>
      </c>
      <c r="EB35">
        <v>-0.50512574631914997</v>
      </c>
      <c r="EC35">
        <v>-1.09431687415222</v>
      </c>
      <c r="ED35">
        <v>-0.63085015314357495</v>
      </c>
      <c r="EE35">
        <v>-1.1433762204439299</v>
      </c>
      <c r="EF35">
        <v>-0.67945913637426303</v>
      </c>
      <c r="EG35">
        <v>-8.9305285455325706E-2</v>
      </c>
      <c r="EH35">
        <v>-1.1177557993260701</v>
      </c>
      <c r="EI35">
        <v>-0.53065923816998595</v>
      </c>
      <c r="EJ35">
        <v>0.10760903245949401</v>
      </c>
      <c r="EK35">
        <v>-4.6797077923493101E-2</v>
      </c>
      <c r="EL35">
        <v>-0.329748180265024</v>
      </c>
      <c r="EM35">
        <v>0.18381516920299201</v>
      </c>
      <c r="EN35">
        <v>0.429846843436546</v>
      </c>
      <c r="EO35">
        <v>-0.200720579892916</v>
      </c>
      <c r="EP35">
        <v>-0.28813294856052202</v>
      </c>
      <c r="EQ35">
        <v>-0.74069215320680004</v>
      </c>
      <c r="ER35">
        <v>0.30092690239584102</v>
      </c>
      <c r="ES35">
        <v>-0.138592657832107</v>
      </c>
      <c r="ET35">
        <v>-0.65823422961580802</v>
      </c>
      <c r="EU35">
        <v>-0.94785345711857305</v>
      </c>
      <c r="EV35">
        <v>-0.44633061800647</v>
      </c>
      <c r="EW35">
        <v>-0.23331279100274399</v>
      </c>
      <c r="EX35">
        <v>-0.60709642733954206</v>
      </c>
      <c r="EY35">
        <v>-0.58394617576167596</v>
      </c>
      <c r="EZ35">
        <v>-0.14474648627815301</v>
      </c>
      <c r="FA35">
        <v>-0.89040842300358403</v>
      </c>
      <c r="FB35">
        <v>-0.367900487676044</v>
      </c>
      <c r="FC35">
        <v>7.4876949418256303E-2</v>
      </c>
      <c r="FD35">
        <v>-1.19147197777842</v>
      </c>
      <c r="FE35">
        <v>-0.94043052231133994</v>
      </c>
      <c r="FF35">
        <v>-0.14182635839681801</v>
      </c>
      <c r="FG35">
        <v>-0.31034358143406598</v>
      </c>
      <c r="FH35">
        <v>0.52184211973776795</v>
      </c>
      <c r="FI35">
        <v>0.171123954152197</v>
      </c>
      <c r="FJ35">
        <v>-0.60076779094433597</v>
      </c>
      <c r="FK35">
        <v>-0.32498598975939902</v>
      </c>
      <c r="FL35">
        <v>-0.80969961724232897</v>
      </c>
      <c r="FM35">
        <v>2.2842295419151799E-2</v>
      </c>
      <c r="FN35">
        <v>9.0219507640519794E-2</v>
      </c>
      <c r="FO35">
        <v>-5.8770086476843099E-2</v>
      </c>
      <c r="FP35">
        <v>-0.34597540471718302</v>
      </c>
      <c r="FQ35">
        <v>0.25918559464313301</v>
      </c>
      <c r="FR35">
        <v>-0.80740998852048695</v>
      </c>
      <c r="FS35">
        <v>-0.39772307749049102</v>
      </c>
      <c r="FT35">
        <v>-0.37336148787161</v>
      </c>
      <c r="FU35">
        <v>-0.21713344442999899</v>
      </c>
      <c r="FV35">
        <v>3.59961798544274E-2</v>
      </c>
      <c r="FW35">
        <v>-0.204826069870824</v>
      </c>
      <c r="FX35">
        <v>-0.62816066124644498</v>
      </c>
      <c r="FY35">
        <v>-0.46609470975519901</v>
      </c>
      <c r="FZ35">
        <v>-0.98144088265486196</v>
      </c>
      <c r="GA35">
        <v>-0.53394327090614602</v>
      </c>
      <c r="GB35">
        <v>-0.17911693256066499</v>
      </c>
      <c r="GC35">
        <v>-1.00561570448899</v>
      </c>
      <c r="GD35">
        <v>-0.30591644301397902</v>
      </c>
      <c r="GE35">
        <v>0.15042348155005</v>
      </c>
      <c r="GF35">
        <v>0.21835831270539599</v>
      </c>
      <c r="GG35">
        <v>-0.51206385288697898</v>
      </c>
      <c r="GH35">
        <v>-0.58533045097032999</v>
      </c>
      <c r="GI35">
        <v>-0.187345742541597</v>
      </c>
      <c r="GJ35">
        <v>-0.37620859953508401</v>
      </c>
      <c r="GK35">
        <v>-0.63877564356674199</v>
      </c>
    </row>
    <row r="36" spans="1:193" x14ac:dyDescent="0.25">
      <c r="A36" t="s">
        <v>266</v>
      </c>
      <c r="B36" t="s">
        <v>628</v>
      </c>
      <c r="C36">
        <v>-9.1609271109464194E-2</v>
      </c>
      <c r="D36">
        <v>-0.12915534081208799</v>
      </c>
      <c r="E36">
        <v>2.13174404433799</v>
      </c>
      <c r="F36">
        <v>1.1258399035746101</v>
      </c>
      <c r="G36">
        <v>-0.128658357374038</v>
      </c>
      <c r="H36">
        <v>-0.26657963201993901</v>
      </c>
      <c r="I36">
        <v>2.5876152382884201</v>
      </c>
      <c r="J36">
        <v>3.0944215923396698</v>
      </c>
      <c r="K36">
        <v>3.12874163214537</v>
      </c>
      <c r="L36">
        <v>0.218832391129993</v>
      </c>
      <c r="M36">
        <v>-0.37221169356108402</v>
      </c>
      <c r="N36">
        <v>-0.46564433687433099</v>
      </c>
      <c r="O36">
        <v>0.68048265091459903</v>
      </c>
      <c r="P36">
        <v>-5.35974824754347E-2</v>
      </c>
      <c r="Q36">
        <v>3.1476721216999397E-2</v>
      </c>
      <c r="R36">
        <v>5.5294459976292301E-2</v>
      </c>
      <c r="S36">
        <v>-0.37141703653583702</v>
      </c>
      <c r="T36">
        <v>9.6752666198461998E-2</v>
      </c>
      <c r="U36">
        <v>0.185308649401247</v>
      </c>
      <c r="V36">
        <v>0.199092847696101</v>
      </c>
      <c r="W36">
        <v>0.227420792002406</v>
      </c>
      <c r="X36">
        <v>-4.1467129909640597E-2</v>
      </c>
      <c r="Y36">
        <v>3.8793150699167701E-2</v>
      </c>
      <c r="Z36">
        <v>0.500382955063571</v>
      </c>
      <c r="AA36">
        <v>6.2615835022344302E-2</v>
      </c>
      <c r="AB36">
        <v>-0.19452121745414599</v>
      </c>
      <c r="AC36">
        <v>4.8050589324075299E-2</v>
      </c>
      <c r="AD36">
        <v>-0.22170095414589999</v>
      </c>
      <c r="AE36">
        <v>-0.225449376016607</v>
      </c>
      <c r="AF36">
        <v>-0.27216052557939902</v>
      </c>
      <c r="AG36">
        <v>-0.24591308530101999</v>
      </c>
      <c r="AH36">
        <v>-9.9341866618512201E-2</v>
      </c>
      <c r="AI36">
        <v>-0.146689870893215</v>
      </c>
      <c r="AJ36">
        <v>-0.133080336333322</v>
      </c>
      <c r="AK36">
        <v>-4.4954754741253898E-2</v>
      </c>
      <c r="AL36">
        <v>0.29672627773659599</v>
      </c>
      <c r="AM36">
        <v>-7.0555784990188096E-4</v>
      </c>
      <c r="AN36">
        <v>-0.16787321643619799</v>
      </c>
      <c r="AO36">
        <v>-0.28212091527668998</v>
      </c>
      <c r="AP36">
        <v>1.29436477558591E-2</v>
      </c>
      <c r="AQ36">
        <v>-0.13941261388089099</v>
      </c>
      <c r="AR36">
        <v>-0.49190436025668299</v>
      </c>
      <c r="AS36">
        <v>-0.23386002884661899</v>
      </c>
      <c r="AT36">
        <v>0.171668614272102</v>
      </c>
      <c r="AU36">
        <v>0.26087061234258802</v>
      </c>
      <c r="AV36">
        <v>-0.126940958657385</v>
      </c>
      <c r="AW36">
        <v>-1.3061581638945999E-2</v>
      </c>
      <c r="AX36">
        <v>0.12534045375733499</v>
      </c>
      <c r="AY36">
        <v>0.19467211720536101</v>
      </c>
      <c r="AZ36">
        <v>-9.0854627125919102E-2</v>
      </c>
      <c r="BA36">
        <v>-4.3582508154064101E-2</v>
      </c>
      <c r="BB36">
        <v>-0.20283643743521401</v>
      </c>
      <c r="BC36">
        <v>-0.147050731259255</v>
      </c>
      <c r="BD36">
        <v>-4.9157640270950501E-2</v>
      </c>
      <c r="BE36">
        <v>-6.2215509920142797E-2</v>
      </c>
      <c r="BF36">
        <v>-0.182791658122642</v>
      </c>
      <c r="BG36">
        <v>-6.8587437158431394E-2</v>
      </c>
      <c r="BH36">
        <v>9.5417380535623098E-2</v>
      </c>
      <c r="BI36">
        <v>-0.21513607924016701</v>
      </c>
      <c r="BJ36">
        <v>-0.194211162470834</v>
      </c>
      <c r="BK36">
        <v>-0.19630340590758999</v>
      </c>
      <c r="BL36">
        <v>7.3419113414734102E-2</v>
      </c>
      <c r="BM36">
        <v>-0.39511969145895298</v>
      </c>
      <c r="BN36">
        <v>5.3915284078307597E-2</v>
      </c>
      <c r="BO36">
        <v>4.8892031345293199E-2</v>
      </c>
      <c r="BP36">
        <v>0.18330149797145501</v>
      </c>
      <c r="BQ36">
        <v>-2.4496710655963701E-2</v>
      </c>
      <c r="BR36">
        <v>0.122967157747675</v>
      </c>
      <c r="BS36">
        <v>2.1274497479896999</v>
      </c>
      <c r="BT36">
        <v>2.5450316609839598</v>
      </c>
      <c r="BU36">
        <v>3.112985690895</v>
      </c>
      <c r="BV36">
        <v>2.4530137107393202</v>
      </c>
      <c r="BW36">
        <v>2.64839187792722</v>
      </c>
      <c r="BX36">
        <v>2.1517025959824001</v>
      </c>
      <c r="BY36">
        <v>2.6894552221764498</v>
      </c>
      <c r="BZ36">
        <v>1.3821418887102299</v>
      </c>
      <c r="CA36">
        <v>1.6475574937028701</v>
      </c>
      <c r="CB36">
        <v>-0.19007151241681899</v>
      </c>
      <c r="CC36">
        <v>-0.148661652809329</v>
      </c>
      <c r="CD36">
        <v>0.20447933815270899</v>
      </c>
      <c r="CE36">
        <v>-0.161037196290023</v>
      </c>
      <c r="CF36">
        <v>-0.339896351516911</v>
      </c>
      <c r="CG36">
        <v>-2.0781605529000401E-2</v>
      </c>
      <c r="CH36">
        <v>-0.200818242521794</v>
      </c>
      <c r="CI36">
        <v>7.3710365622437199E-2</v>
      </c>
      <c r="CJ36">
        <v>1.19550198859317E-2</v>
      </c>
      <c r="CK36">
        <v>-0.117715891603695</v>
      </c>
      <c r="CL36">
        <v>7.0695807529148003E-2</v>
      </c>
      <c r="CM36">
        <v>-0.14413462632433699</v>
      </c>
      <c r="CN36">
        <v>4.0017408106630001E-2</v>
      </c>
      <c r="CO36">
        <v>-0.151945613083039</v>
      </c>
      <c r="CP36">
        <v>-0.1978437364067</v>
      </c>
      <c r="CQ36">
        <v>0.199050267766264</v>
      </c>
      <c r="CR36">
        <v>-0.20328661012559299</v>
      </c>
      <c r="CS36">
        <v>-0.25813524371628599</v>
      </c>
      <c r="CT36">
        <v>-0.17707745697882099</v>
      </c>
      <c r="CU36">
        <v>-0.179612562979093</v>
      </c>
      <c r="CV36">
        <v>-2.4616007329618699E-2</v>
      </c>
      <c r="CW36">
        <v>0.17465575628441601</v>
      </c>
      <c r="CX36">
        <v>8.0009405776273693E-3</v>
      </c>
      <c r="CY36">
        <v>-2.39309878282295E-2</v>
      </c>
      <c r="CZ36">
        <v>0.277887047825919</v>
      </c>
      <c r="DA36">
        <v>3.7188058598329798E-2</v>
      </c>
      <c r="DB36">
        <v>-4.2204292026908397E-2</v>
      </c>
      <c r="DC36">
        <v>1.2525764037928599E-2</v>
      </c>
      <c r="DD36">
        <v>-0.246411284363521</v>
      </c>
      <c r="DE36">
        <v>0.48707562019929701</v>
      </c>
      <c r="DF36">
        <v>-0.177283297168737</v>
      </c>
      <c r="DG36">
        <v>0.46655221434000199</v>
      </c>
      <c r="DH36">
        <v>0.28088467097349601</v>
      </c>
      <c r="DI36">
        <v>-0.13650276254641799</v>
      </c>
      <c r="DJ36">
        <v>0.32501658812063</v>
      </c>
      <c r="DK36">
        <v>2.27133548537326E-2</v>
      </c>
      <c r="DL36">
        <v>2.51700628632778E-2</v>
      </c>
      <c r="DM36">
        <v>0.119756041384056</v>
      </c>
      <c r="DN36">
        <v>-5.8417131559893302E-2</v>
      </c>
      <c r="DO36">
        <v>0.25755307892690399</v>
      </c>
      <c r="DP36">
        <v>0.12897902678180601</v>
      </c>
      <c r="DQ36">
        <v>1.0475720395194401E-2</v>
      </c>
      <c r="DR36">
        <v>0.28039994042544802</v>
      </c>
      <c r="DS36">
        <v>6.6563557290973E-3</v>
      </c>
      <c r="DT36">
        <v>-0.34445833169962597</v>
      </c>
      <c r="DU36">
        <v>0.28921711117532101</v>
      </c>
      <c r="DV36">
        <v>-0.36313587509419698</v>
      </c>
      <c r="DW36">
        <v>6.7458821620670698E-2</v>
      </c>
      <c r="DX36">
        <v>-2.7615286595434801E-2</v>
      </c>
      <c r="DY36">
        <v>5.8870993390213403E-3</v>
      </c>
      <c r="DZ36">
        <v>2.6080895861464101E-2</v>
      </c>
      <c r="EA36">
        <v>5.3683757769563897E-2</v>
      </c>
      <c r="EB36">
        <v>0.11538183115066</v>
      </c>
      <c r="EC36">
        <v>-3.9379545760237201E-2</v>
      </c>
      <c r="ED36">
        <v>-7.3320418936482598E-2</v>
      </c>
      <c r="EE36">
        <v>0.35988396300516301</v>
      </c>
      <c r="EF36">
        <v>0.291594771147277</v>
      </c>
      <c r="EG36">
        <v>-0.23644700630099399</v>
      </c>
      <c r="EH36">
        <v>0.26674886448567697</v>
      </c>
      <c r="EI36">
        <v>-0.15654413893833299</v>
      </c>
      <c r="EJ36">
        <v>-0.131832429882318</v>
      </c>
      <c r="EK36">
        <v>-0.28756650027634401</v>
      </c>
      <c r="EL36">
        <v>3.7630006498194903E-2</v>
      </c>
      <c r="EM36">
        <v>3.6338327222773602E-2</v>
      </c>
      <c r="EN36">
        <v>0.56616218645424399</v>
      </c>
      <c r="EO36">
        <v>-9.3028023189544798E-2</v>
      </c>
      <c r="EP36">
        <v>-0.138173556202042</v>
      </c>
      <c r="EQ36">
        <v>7.3540798804924506E-2</v>
      </c>
      <c r="ER36">
        <v>0.201689711246236</v>
      </c>
      <c r="ES36">
        <v>-0.26793239689279102</v>
      </c>
      <c r="ET36">
        <v>9.4775587005992701E-2</v>
      </c>
      <c r="EU36">
        <v>0.461875156291569</v>
      </c>
      <c r="EV36">
        <v>0.34044007034528501</v>
      </c>
      <c r="EW36">
        <v>0.14536963407178</v>
      </c>
      <c r="EX36">
        <v>0.16073605890346199</v>
      </c>
      <c r="EY36">
        <v>-0.110404414978995</v>
      </c>
      <c r="EZ36">
        <v>-0.248933412088335</v>
      </c>
      <c r="FA36">
        <v>-0.49190436025668299</v>
      </c>
      <c r="FB36">
        <v>-7.3220482334586195E-2</v>
      </c>
      <c r="FC36">
        <v>-0.12160191482134999</v>
      </c>
      <c r="FD36">
        <v>0.27518494013658101</v>
      </c>
      <c r="FE36">
        <v>2.6807868145954001E-2</v>
      </c>
      <c r="FF36">
        <v>0.56667707982875704</v>
      </c>
      <c r="FG36">
        <v>-0.20619611085405201</v>
      </c>
      <c r="FH36">
        <v>0.34504391718841199</v>
      </c>
      <c r="FI36">
        <v>9.0120681562634503E-2</v>
      </c>
      <c r="FJ36">
        <v>-0.17034421743644401</v>
      </c>
      <c r="FK36">
        <v>-0.10781077420127801</v>
      </c>
      <c r="FL36">
        <v>-0.21990073342880501</v>
      </c>
      <c r="FM36">
        <v>-9.1816939879735396E-2</v>
      </c>
      <c r="FN36">
        <v>-8.2288282369917407E-2</v>
      </c>
      <c r="FO36">
        <v>-0.19337854947042599</v>
      </c>
      <c r="FP36">
        <v>-0.25622927424527397</v>
      </c>
      <c r="FQ36">
        <v>-0.20656779856683599</v>
      </c>
      <c r="FR36">
        <v>-0.12748547415219599</v>
      </c>
      <c r="FS36">
        <v>0.186054066352208</v>
      </c>
      <c r="FT36">
        <v>-5.9134988604894599E-2</v>
      </c>
      <c r="FU36">
        <v>-0.17346337315806401</v>
      </c>
      <c r="FV36">
        <v>5.6722920855327701E-2</v>
      </c>
      <c r="FW36">
        <v>5.6284291710281903E-2</v>
      </c>
      <c r="FX36">
        <v>8.5016607019836404E-2</v>
      </c>
      <c r="FY36">
        <v>0.151127587930733</v>
      </c>
      <c r="FZ36">
        <v>0.55877887751976296</v>
      </c>
      <c r="GA36">
        <v>7.05212961663872E-4</v>
      </c>
      <c r="GB36">
        <v>-0.16519023185811199</v>
      </c>
      <c r="GC36">
        <v>-0.116635840560885</v>
      </c>
      <c r="GD36">
        <v>0.42672640794026401</v>
      </c>
      <c r="GE36">
        <v>0.16093168393820101</v>
      </c>
      <c r="GF36">
        <v>0.55953934491829105</v>
      </c>
      <c r="GG36">
        <v>0.114666168910946</v>
      </c>
      <c r="GH36">
        <v>0.15328283426481401</v>
      </c>
      <c r="GI36">
        <v>-7.0047019723387394E-2</v>
      </c>
      <c r="GJ36">
        <v>1.14819619908244E-3</v>
      </c>
      <c r="GK36">
        <v>7.8187399415627995E-2</v>
      </c>
    </row>
    <row r="37" spans="1:193" x14ac:dyDescent="0.25">
      <c r="A37" t="s">
        <v>266</v>
      </c>
      <c r="B37" t="s">
        <v>594</v>
      </c>
      <c r="C37">
        <v>8.8386155566328201E-2</v>
      </c>
      <c r="D37">
        <v>0.13039958935701201</v>
      </c>
      <c r="E37">
        <v>7.3432663294630801E-2</v>
      </c>
      <c r="F37">
        <v>0.116033042396676</v>
      </c>
      <c r="G37">
        <v>0</v>
      </c>
      <c r="H37">
        <v>0.116544086167703</v>
      </c>
      <c r="I37">
        <v>0</v>
      </c>
      <c r="J37">
        <v>8.3668370449624593E-2</v>
      </c>
      <c r="K37">
        <v>8.3399838954500996E-2</v>
      </c>
      <c r="L37">
        <v>3.7446217014519702E-2</v>
      </c>
      <c r="M37">
        <v>0.44882862117085598</v>
      </c>
      <c r="N37">
        <v>0.22411752107286201</v>
      </c>
      <c r="O37">
        <v>0</v>
      </c>
      <c r="P37">
        <v>0</v>
      </c>
      <c r="Q37">
        <v>0</v>
      </c>
      <c r="R37">
        <v>0</v>
      </c>
      <c r="S37">
        <v>0.120487323720846</v>
      </c>
      <c r="T37">
        <v>0</v>
      </c>
      <c r="U37">
        <v>0.13505696428904099</v>
      </c>
      <c r="V37">
        <v>0</v>
      </c>
      <c r="W37">
        <v>0</v>
      </c>
      <c r="X37">
        <v>0</v>
      </c>
      <c r="Y37">
        <v>0.15041681383186101</v>
      </c>
      <c r="Z37">
        <v>0</v>
      </c>
      <c r="AA37">
        <v>0</v>
      </c>
      <c r="AB37">
        <v>0</v>
      </c>
      <c r="AC37">
        <v>0.112683291794961</v>
      </c>
      <c r="AD37">
        <v>0</v>
      </c>
      <c r="AE37">
        <v>5.7039412078962501E-2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0.14213440604763899</v>
      </c>
      <c r="AQ37">
        <v>0</v>
      </c>
      <c r="AR37">
        <v>0.107456739476538</v>
      </c>
      <c r="AS37">
        <v>0</v>
      </c>
      <c r="AT37">
        <v>0</v>
      </c>
      <c r="AU37">
        <v>0</v>
      </c>
      <c r="AV37">
        <v>0.131356256561247</v>
      </c>
      <c r="AW37">
        <v>9.0583303987006106E-2</v>
      </c>
      <c r="AX37">
        <v>0</v>
      </c>
      <c r="AY37">
        <v>0</v>
      </c>
      <c r="AZ37">
        <v>0</v>
      </c>
      <c r="BA37">
        <v>0</v>
      </c>
      <c r="BB37">
        <v>0.102389541181161</v>
      </c>
      <c r="BC37">
        <v>0.123487377432111</v>
      </c>
      <c r="BD37">
        <v>0</v>
      </c>
      <c r="BE37">
        <v>0</v>
      </c>
      <c r="BF37">
        <v>0</v>
      </c>
      <c r="BG37">
        <v>1.10234094327239E-2</v>
      </c>
      <c r="BH37">
        <v>8.0568120495855405E-2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9.4794711012915298E-2</v>
      </c>
      <c r="BQ37">
        <v>0</v>
      </c>
      <c r="BR37">
        <v>0</v>
      </c>
      <c r="BS37">
        <v>2.0435244819004598E-2</v>
      </c>
      <c r="BT37">
        <v>0.10087921977898</v>
      </c>
      <c r="BU37">
        <v>0</v>
      </c>
      <c r="BV37">
        <v>6.83513859254994E-2</v>
      </c>
      <c r="BW37">
        <v>2.5145524940646299E-2</v>
      </c>
      <c r="BX37">
        <v>4.4016570636111398E-2</v>
      </c>
      <c r="BY37">
        <v>8.6794587331936707E-2</v>
      </c>
      <c r="BZ37">
        <v>1.53832037506966E-2</v>
      </c>
      <c r="CA37">
        <v>1.30242665088118E-2</v>
      </c>
      <c r="CB37">
        <v>0</v>
      </c>
      <c r="CC37">
        <v>0</v>
      </c>
      <c r="CD37">
        <v>0</v>
      </c>
      <c r="CE37">
        <v>0</v>
      </c>
      <c r="CF37">
        <v>0.15200800873977199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0.171817662864754</v>
      </c>
      <c r="CZ37">
        <v>0</v>
      </c>
      <c r="DA37">
        <v>0</v>
      </c>
      <c r="DB37">
        <v>0</v>
      </c>
      <c r="DC37">
        <v>0</v>
      </c>
      <c r="DD37">
        <v>0.30390261567328403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0.14264045381946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0.153333679138072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0.121649127045231</v>
      </c>
      <c r="EU37">
        <v>0</v>
      </c>
      <c r="EV37">
        <v>0.12198508875577301</v>
      </c>
      <c r="EW37">
        <v>0</v>
      </c>
      <c r="EX37">
        <v>0.153397640460365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0.100915134182628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0.100557448803223</v>
      </c>
      <c r="FR37">
        <v>0</v>
      </c>
      <c r="FS37">
        <v>0</v>
      </c>
      <c r="FT37">
        <v>0</v>
      </c>
      <c r="FU37">
        <v>0.16680639071061601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3.09505197425816E-2</v>
      </c>
      <c r="GI37">
        <v>3.42427947346612E-2</v>
      </c>
      <c r="GJ37">
        <v>0</v>
      </c>
      <c r="GK37">
        <v>0</v>
      </c>
    </row>
    <row r="38" spans="1:193" x14ac:dyDescent="0.25">
      <c r="A38" t="s">
        <v>266</v>
      </c>
      <c r="B38" t="s">
        <v>768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2.3041534389871499E-2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</row>
    <row r="39" spans="1:193" x14ac:dyDescent="0.25">
      <c r="A39" t="s">
        <v>266</v>
      </c>
      <c r="B39" t="s">
        <v>771</v>
      </c>
      <c r="C39">
        <v>0</v>
      </c>
      <c r="D39">
        <v>0.250823842288948</v>
      </c>
      <c r="E39">
        <v>0</v>
      </c>
      <c r="F39">
        <v>0</v>
      </c>
      <c r="G39">
        <v>0.14480847908646799</v>
      </c>
      <c r="H39">
        <v>0.327369894449895</v>
      </c>
      <c r="I39">
        <v>0</v>
      </c>
      <c r="J39">
        <v>0</v>
      </c>
      <c r="K39">
        <v>0</v>
      </c>
      <c r="L39">
        <v>0</v>
      </c>
      <c r="M39">
        <v>0.119692666695599</v>
      </c>
      <c r="N39">
        <v>7.76982655657424E-2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7.6712372968272602E-2</v>
      </c>
      <c r="AG39">
        <v>0</v>
      </c>
      <c r="AH39">
        <v>0</v>
      </c>
      <c r="AI39">
        <v>0</v>
      </c>
      <c r="AJ39">
        <v>0.153491016852214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0.126392016834248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0.10379805801442001</v>
      </c>
      <c r="AZ39">
        <v>0.213377278016538</v>
      </c>
      <c r="BA39">
        <v>0</v>
      </c>
      <c r="BB39">
        <v>0</v>
      </c>
      <c r="BC39">
        <v>0</v>
      </c>
      <c r="BD39">
        <v>0.13656994581856999</v>
      </c>
      <c r="BE39">
        <v>0.156300865598236</v>
      </c>
      <c r="BF39">
        <v>0.10996717742808999</v>
      </c>
      <c r="BG39">
        <v>0</v>
      </c>
      <c r="BH39">
        <v>0</v>
      </c>
      <c r="BI39">
        <v>9.2667331132454497E-2</v>
      </c>
      <c r="BJ39">
        <v>0</v>
      </c>
      <c r="BK39">
        <v>0</v>
      </c>
      <c r="BL39">
        <v>0</v>
      </c>
      <c r="BM39">
        <v>9.6784668797729997E-2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1.0225700161008501E-2</v>
      </c>
      <c r="BT39">
        <v>0</v>
      </c>
      <c r="BU39">
        <v>0</v>
      </c>
      <c r="BV39">
        <v>0</v>
      </c>
      <c r="BW39">
        <v>0</v>
      </c>
      <c r="BX39">
        <v>2.9446649772994101E-2</v>
      </c>
      <c r="BY39">
        <v>0</v>
      </c>
      <c r="BZ39">
        <v>0</v>
      </c>
      <c r="CA39">
        <v>5.1594163265478603E-2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0.14615655461631499</v>
      </c>
      <c r="CH39">
        <v>0</v>
      </c>
      <c r="CI39">
        <v>0</v>
      </c>
      <c r="CJ39">
        <v>2.5257771258434099E-2</v>
      </c>
      <c r="CK39">
        <v>0</v>
      </c>
      <c r="CL39">
        <v>0</v>
      </c>
      <c r="CM39">
        <v>0</v>
      </c>
      <c r="CN39">
        <v>0.134663824452083</v>
      </c>
      <c r="CO39">
        <v>0</v>
      </c>
      <c r="CP39">
        <v>0</v>
      </c>
      <c r="CQ39">
        <v>0</v>
      </c>
      <c r="CR39">
        <v>0.15090626342260699</v>
      </c>
      <c r="CS39">
        <v>0.121082330084458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0.11220229942905301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0.12297992870265501</v>
      </c>
      <c r="DT39">
        <v>0</v>
      </c>
      <c r="DU39">
        <v>0.264120289448389</v>
      </c>
      <c r="DV39">
        <v>0</v>
      </c>
      <c r="DW39">
        <v>0</v>
      </c>
      <c r="DX39">
        <v>0</v>
      </c>
      <c r="DY39">
        <v>0</v>
      </c>
      <c r="DZ39">
        <v>0.117941473320543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8.9515391889736701E-2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0.14775675558590701</v>
      </c>
      <c r="ES39">
        <v>0</v>
      </c>
      <c r="ET39">
        <v>0</v>
      </c>
      <c r="EU39">
        <v>0</v>
      </c>
      <c r="EV39">
        <v>0.12198508875577301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0.10072889343989901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0.100557448803223</v>
      </c>
      <c r="FR39">
        <v>0</v>
      </c>
      <c r="FS39">
        <v>4.5820932968404601E-2</v>
      </c>
      <c r="FT39">
        <v>0</v>
      </c>
      <c r="FU39">
        <v>0.13354324272262899</v>
      </c>
      <c r="FV39">
        <v>0</v>
      </c>
      <c r="FW39">
        <v>9.58068682682717E-2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</row>
    <row r="40" spans="1:193" x14ac:dyDescent="0.25">
      <c r="A40" t="s">
        <v>266</v>
      </c>
      <c r="B40" t="s">
        <v>636</v>
      </c>
      <c r="C40">
        <v>6.1383134942835003E-2</v>
      </c>
      <c r="D40">
        <v>-0.10486829177528199</v>
      </c>
      <c r="E40">
        <v>2.20331458152384</v>
      </c>
      <c r="F40">
        <v>-5.8416690851782603E-2</v>
      </c>
      <c r="G40">
        <v>2.5684339623435599E-2</v>
      </c>
      <c r="H40">
        <v>0.493951118872339</v>
      </c>
      <c r="I40">
        <v>0.13867626375787701</v>
      </c>
      <c r="J40">
        <v>-2.9544633912186001E-2</v>
      </c>
      <c r="K40">
        <v>1.4711058262793401E-2</v>
      </c>
      <c r="L40">
        <v>0.15033898804343901</v>
      </c>
      <c r="M40">
        <v>-0.19459834856028099</v>
      </c>
      <c r="N40">
        <v>-2.0925342634263801E-2</v>
      </c>
      <c r="O40">
        <v>1.8251827918689101</v>
      </c>
      <c r="P40">
        <v>4.2322332786832798E-2</v>
      </c>
      <c r="Q40">
        <v>1.63714587483807E-2</v>
      </c>
      <c r="R40">
        <v>-0.23526788113229399</v>
      </c>
      <c r="S40">
        <v>0.159123561221544</v>
      </c>
      <c r="T40">
        <v>0.17375206158090301</v>
      </c>
      <c r="U40">
        <v>2.4092782409933299E-2</v>
      </c>
      <c r="V40">
        <v>0.17222232406176699</v>
      </c>
      <c r="W40">
        <v>0.23357645596153501</v>
      </c>
      <c r="X40">
        <v>7.8758309458034706E-2</v>
      </c>
      <c r="Y40">
        <v>0.29542962982355703</v>
      </c>
      <c r="Z40">
        <v>-6.4565958504480395E-2</v>
      </c>
      <c r="AA40">
        <v>-7.69895266393925E-2</v>
      </c>
      <c r="AB40">
        <v>-0.14737190142760601</v>
      </c>
      <c r="AC40">
        <v>-6.9105381064097707E-2</v>
      </c>
      <c r="AD40">
        <v>0.211343591978879</v>
      </c>
      <c r="AE40">
        <v>-9.18817519361292E-2</v>
      </c>
      <c r="AF40">
        <v>-4.4158291842173202E-2</v>
      </c>
      <c r="AG40">
        <v>1.8463411310526898E-2</v>
      </c>
      <c r="AH40">
        <v>-0.23526788113229399</v>
      </c>
      <c r="AI40">
        <v>0.109946608231174</v>
      </c>
      <c r="AJ40">
        <v>0.33853214192938502</v>
      </c>
      <c r="AK40">
        <v>4.0401529100595902E-3</v>
      </c>
      <c r="AL40">
        <v>-8.0598569124926106E-2</v>
      </c>
      <c r="AM40">
        <v>-0.23526788113229399</v>
      </c>
      <c r="AN40">
        <v>4.7712078337475899E-2</v>
      </c>
      <c r="AO40">
        <v>-2.5484436152301199E-2</v>
      </c>
      <c r="AP40">
        <v>-9.3133475084654999E-2</v>
      </c>
      <c r="AQ40">
        <v>-0.10887586429804599</v>
      </c>
      <c r="AR40">
        <v>-2.7217175034899399E-2</v>
      </c>
      <c r="AS40">
        <v>5.0111602902296597E-2</v>
      </c>
      <c r="AT40">
        <v>-4.1423477117365902E-2</v>
      </c>
      <c r="AU40">
        <v>0.159819454969619</v>
      </c>
      <c r="AV40">
        <v>-0.10391162457104799</v>
      </c>
      <c r="AW40">
        <v>0.18532173834410401</v>
      </c>
      <c r="AX40">
        <v>0.17773899751860001</v>
      </c>
      <c r="AY40">
        <v>5.7678962863351897E-2</v>
      </c>
      <c r="AZ40">
        <v>-2.1890603115756E-2</v>
      </c>
      <c r="BA40">
        <v>4.8102023968817796E-3</v>
      </c>
      <c r="BB40">
        <v>0.26647313195837302</v>
      </c>
      <c r="BC40">
        <v>2.7495108564096998E-3</v>
      </c>
      <c r="BD40">
        <v>-9.8697935313724505E-2</v>
      </c>
      <c r="BE40">
        <v>3.49267361226318E-2</v>
      </c>
      <c r="BF40">
        <v>7.3844821001746802E-2</v>
      </c>
      <c r="BG40">
        <v>-1.5735926415365701E-2</v>
      </c>
      <c r="BH40">
        <v>6.5094303429101399E-2</v>
      </c>
      <c r="BI40">
        <v>0.36105750931230501</v>
      </c>
      <c r="BJ40">
        <v>0.19999388798683301</v>
      </c>
      <c r="BK40">
        <v>-3.22590924377575E-2</v>
      </c>
      <c r="BL40">
        <v>4.8288714286571799E-4</v>
      </c>
      <c r="BM40">
        <v>3.9278420729451098E-2</v>
      </c>
      <c r="BN40">
        <v>0.17339874831355601</v>
      </c>
      <c r="BO40">
        <v>0.144461944199991</v>
      </c>
      <c r="BP40">
        <v>-0.23526788113229399</v>
      </c>
      <c r="BQ40">
        <v>5.9992584984654901E-2</v>
      </c>
      <c r="BR40">
        <v>-0.13161610214389899</v>
      </c>
      <c r="BS40">
        <v>-0.14799683088787999</v>
      </c>
      <c r="BT40">
        <v>-7.8162589944227007E-2</v>
      </c>
      <c r="BU40">
        <v>-8.5587156680869303E-2</v>
      </c>
      <c r="BV40">
        <v>-0.13751276489127601</v>
      </c>
      <c r="BW40">
        <v>-5.2878761808313399E-2</v>
      </c>
      <c r="BX40">
        <v>-0.10587393448124099</v>
      </c>
      <c r="BY40">
        <v>-3.4698414088565901E-2</v>
      </c>
      <c r="BZ40">
        <v>-0.113580070524561</v>
      </c>
      <c r="CA40">
        <v>-3.9268552837383799E-2</v>
      </c>
      <c r="CB40">
        <v>-0.23526788113229399</v>
      </c>
      <c r="CC40">
        <v>0.52274784099796801</v>
      </c>
      <c r="CD40">
        <v>-9.6780507843524197E-2</v>
      </c>
      <c r="CE40">
        <v>0.20715896777234399</v>
      </c>
      <c r="CF40">
        <v>-0.23526788113229399</v>
      </c>
      <c r="CG40">
        <v>0.16790997709567601</v>
      </c>
      <c r="CH40">
        <v>0.18358057423280799</v>
      </c>
      <c r="CI40">
        <v>0.20648168192257901</v>
      </c>
      <c r="CJ40">
        <v>-0.13851928538386701</v>
      </c>
      <c r="CK40">
        <v>-0.156685733888663</v>
      </c>
      <c r="CL40">
        <v>-0.23526788113229399</v>
      </c>
      <c r="CM40">
        <v>-0.23526788113229399</v>
      </c>
      <c r="CN40">
        <v>2.3406869507425099E-2</v>
      </c>
      <c r="CO40">
        <v>-1.27392173432175E-3</v>
      </c>
      <c r="CP40">
        <v>-8.1409488119548207E-2</v>
      </c>
      <c r="CQ40">
        <v>0.13674747457808101</v>
      </c>
      <c r="CR40">
        <v>0.18007558469635099</v>
      </c>
      <c r="CS40">
        <v>0.103943788949637</v>
      </c>
      <c r="CT40">
        <v>7.9559022145567801E-2</v>
      </c>
      <c r="CU40">
        <v>7.7023916145295607E-2</v>
      </c>
      <c r="CV40">
        <v>0.50124772274379903</v>
      </c>
      <c r="CW40">
        <v>-0.117817726064929</v>
      </c>
      <c r="CX40">
        <v>0.26463741970201599</v>
      </c>
      <c r="CY40">
        <v>-0.23526788113229399</v>
      </c>
      <c r="CZ40">
        <v>-0.23526788113229399</v>
      </c>
      <c r="DA40">
        <v>0.20115329007899499</v>
      </c>
      <c r="DB40">
        <v>-0.23526788113229399</v>
      </c>
      <c r="DC40">
        <v>0.15707508400011799</v>
      </c>
      <c r="DD40">
        <v>6.8634734540989506E-2</v>
      </c>
      <c r="DE40">
        <v>-0.23526788113229399</v>
      </c>
      <c r="DF40">
        <v>-7.0103194494568796E-2</v>
      </c>
      <c r="DG40">
        <v>0.38967857138992001</v>
      </c>
      <c r="DH40">
        <v>-1.84265395014073E-2</v>
      </c>
      <c r="DI40">
        <v>1.0385403199850899E-2</v>
      </c>
      <c r="DJ40">
        <v>0.158685615879775</v>
      </c>
      <c r="DK40">
        <v>9.3203782992224302E-2</v>
      </c>
      <c r="DL40">
        <v>0.44827490605634801</v>
      </c>
      <c r="DM40">
        <v>0.13777026493000999</v>
      </c>
      <c r="DN40">
        <v>-0.23526788113229399</v>
      </c>
      <c r="DO40">
        <v>-7.2344570187567001E-2</v>
      </c>
      <c r="DP40">
        <v>0.20419823586167701</v>
      </c>
      <c r="DQ40">
        <v>0.53502195995693103</v>
      </c>
      <c r="DR40">
        <v>0.318627900824765</v>
      </c>
      <c r="DS40">
        <v>-0.23526788113229399</v>
      </c>
      <c r="DT40">
        <v>-0.23526788113229399</v>
      </c>
      <c r="DU40">
        <v>0.146183967723784</v>
      </c>
      <c r="DV40">
        <v>7.85099604183781E-2</v>
      </c>
      <c r="DW40">
        <v>-9.5904222593368796E-2</v>
      </c>
      <c r="DX40">
        <v>-6.5011973532302605E-2</v>
      </c>
      <c r="DY40">
        <v>-0.12243989966855399</v>
      </c>
      <c r="DZ40">
        <v>0.24553530530499701</v>
      </c>
      <c r="EA40">
        <v>-0.23526788113229399</v>
      </c>
      <c r="EB40">
        <v>5.7971461064610902E-2</v>
      </c>
      <c r="EC40">
        <v>0.217256933364152</v>
      </c>
      <c r="ED40">
        <v>0.121971950515256</v>
      </c>
      <c r="EE40">
        <v>-0.13294430604032301</v>
      </c>
      <c r="EF40">
        <v>-2.63785048941679E-2</v>
      </c>
      <c r="EG40">
        <v>-0.14575248924255699</v>
      </c>
      <c r="EH40">
        <v>0.10818355745418901</v>
      </c>
      <c r="EI40">
        <v>0.19861066565358701</v>
      </c>
      <c r="EJ40">
        <v>1.3366641174088201E-2</v>
      </c>
      <c r="EK40">
        <v>0.39210977631619198</v>
      </c>
      <c r="EL40">
        <v>-8.6070812504631403E-2</v>
      </c>
      <c r="EM40">
        <v>5.0447888592418597E-2</v>
      </c>
      <c r="EN40">
        <v>-7.0210186293767299E-3</v>
      </c>
      <c r="EO40">
        <v>-9.1020723875177401E-2</v>
      </c>
      <c r="EP40">
        <v>-0.23526788113229399</v>
      </c>
      <c r="EQ40">
        <v>0.104615844550798</v>
      </c>
      <c r="ER40">
        <v>-0.23526788113229399</v>
      </c>
      <c r="ES40">
        <v>4.8785558485193101E-2</v>
      </c>
      <c r="ET40">
        <v>0.43771129672331699</v>
      </c>
      <c r="EU40">
        <v>5.3403895754333901E-2</v>
      </c>
      <c r="EV40">
        <v>0.105912050037025</v>
      </c>
      <c r="EW40">
        <v>-0.12807679460666899</v>
      </c>
      <c r="EX40">
        <v>0.18682466566168601</v>
      </c>
      <c r="EY40">
        <v>-0.23526788113229399</v>
      </c>
      <c r="EZ40">
        <v>0.11672759277759</v>
      </c>
      <c r="FA40">
        <v>-9.8816734906097103E-2</v>
      </c>
      <c r="FB40">
        <v>1.35183854351064E-2</v>
      </c>
      <c r="FC40">
        <v>-0.102297998202256</v>
      </c>
      <c r="FD40">
        <v>-8.0402237310237296E-2</v>
      </c>
      <c r="FE40">
        <v>-8.1379335456868498E-3</v>
      </c>
      <c r="FF40">
        <v>3.2139143948252201E-2</v>
      </c>
      <c r="FG40">
        <v>0.10077805467687501</v>
      </c>
      <c r="FH40">
        <v>3.36219215014254E-2</v>
      </c>
      <c r="FI40">
        <v>-9.59985692272535E-2</v>
      </c>
      <c r="FJ40">
        <v>-0.13913336693789499</v>
      </c>
      <c r="FK40">
        <v>-0.23526788113229399</v>
      </c>
      <c r="FL40">
        <v>3.6735745695584202E-2</v>
      </c>
      <c r="FM40">
        <v>-9.0776945160223194E-2</v>
      </c>
      <c r="FN40">
        <v>-0.12276159177207301</v>
      </c>
      <c r="FO40">
        <v>-0.23526788113229399</v>
      </c>
      <c r="FP40">
        <v>-1.7981139357798399E-2</v>
      </c>
      <c r="FQ40">
        <v>-0.23526788113229399</v>
      </c>
      <c r="FR40">
        <v>1.6542554116054299E-2</v>
      </c>
      <c r="FS40">
        <v>-0.14681058326732699</v>
      </c>
      <c r="FT40">
        <v>-0.115937423870614</v>
      </c>
      <c r="FU40">
        <v>-6.8461490421677998E-2</v>
      </c>
      <c r="FV40">
        <v>0.16079679832820401</v>
      </c>
      <c r="FW40">
        <v>3.6901027479660599E-2</v>
      </c>
      <c r="FX40">
        <v>-7.0967403141513299E-2</v>
      </c>
      <c r="FY40">
        <v>-0.23526788113229399</v>
      </c>
      <c r="FZ40">
        <v>-0.109135416548201</v>
      </c>
      <c r="GA40">
        <v>-2.0169774640637302E-2</v>
      </c>
      <c r="GB40">
        <v>-0.14748589726168099</v>
      </c>
      <c r="GC40">
        <v>-3.6936557738055702E-2</v>
      </c>
      <c r="GD40">
        <v>8.1072118296742907E-2</v>
      </c>
      <c r="GE40">
        <v>0.21284464860240301</v>
      </c>
      <c r="GF40">
        <v>-0.10206973816677101</v>
      </c>
      <c r="GG40">
        <v>-0.23526788113229399</v>
      </c>
      <c r="GH40">
        <v>-2.06997749245354E-2</v>
      </c>
      <c r="GI40">
        <v>-0.201025086397633</v>
      </c>
      <c r="GJ40">
        <v>1.14206964146075E-2</v>
      </c>
      <c r="GK40">
        <v>-0.13190765821356501</v>
      </c>
    </row>
    <row r="41" spans="1:193" x14ac:dyDescent="0.25">
      <c r="A41" t="s">
        <v>266</v>
      </c>
      <c r="B41" t="s">
        <v>755</v>
      </c>
      <c r="C41">
        <v>0</v>
      </c>
      <c r="D41">
        <v>0</v>
      </c>
      <c r="E41">
        <v>0</v>
      </c>
      <c r="F41">
        <v>3.35212422906635E-2</v>
      </c>
      <c r="G41">
        <v>4.9575455585375301E-2</v>
      </c>
      <c r="H41">
        <v>0.22532472823674399</v>
      </c>
      <c r="I41">
        <v>0</v>
      </c>
      <c r="J41">
        <v>0</v>
      </c>
      <c r="K41">
        <v>0</v>
      </c>
      <c r="L41">
        <v>0</v>
      </c>
      <c r="M41">
        <v>0.53346187968599201</v>
      </c>
      <c r="N41">
        <v>0.74190967663438201</v>
      </c>
      <c r="O41">
        <v>0</v>
      </c>
      <c r="P41">
        <v>0</v>
      </c>
      <c r="Q41">
        <v>0</v>
      </c>
      <c r="R41">
        <v>0</v>
      </c>
      <c r="S41">
        <v>0</v>
      </c>
      <c r="T41">
        <v>0.14857392962475399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0.14213440604763899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2.1976306372477699E-2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2.3041534389871499E-2</v>
      </c>
      <c r="BW41">
        <v>0</v>
      </c>
      <c r="BX41">
        <v>1.47750462117931E-2</v>
      </c>
      <c r="BY41">
        <v>0</v>
      </c>
      <c r="BZ41">
        <v>0</v>
      </c>
      <c r="CA41">
        <v>0</v>
      </c>
      <c r="CB41">
        <v>0.15802897426370699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1.26669282141058E-2</v>
      </c>
      <c r="CK41">
        <v>1.9982168763233998E-2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0.15090626342260699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0.16516468663772499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0.16292331094472701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0.128091828897031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0.154865643822057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0.112506289360221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1.5541176929860401E-2</v>
      </c>
      <c r="GI41">
        <v>0</v>
      </c>
      <c r="GJ41">
        <v>0</v>
      </c>
      <c r="GK41">
        <v>0</v>
      </c>
    </row>
    <row r="42" spans="1:193" x14ac:dyDescent="0.25">
      <c r="A42" t="s">
        <v>266</v>
      </c>
      <c r="B42" t="s">
        <v>765</v>
      </c>
      <c r="C42">
        <v>-0.136055256830831</v>
      </c>
      <c r="D42">
        <v>1.70244870376257</v>
      </c>
      <c r="E42">
        <v>-3.54654980407983E-2</v>
      </c>
      <c r="F42">
        <v>-2.0022214434155101E-2</v>
      </c>
      <c r="G42">
        <v>-0.136055256830831</v>
      </c>
      <c r="H42">
        <v>8.9269471405912695E-2</v>
      </c>
      <c r="I42">
        <v>-0.136055256830831</v>
      </c>
      <c r="J42">
        <v>-2.7234774051063798E-4</v>
      </c>
      <c r="K42">
        <v>-3.2417092806920497E-2</v>
      </c>
      <c r="L42">
        <v>0.59575818238329503</v>
      </c>
      <c r="M42">
        <v>-5.5500129482189103E-2</v>
      </c>
      <c r="N42">
        <v>-8.3899613670401094E-2</v>
      </c>
      <c r="O42">
        <v>-0.136055256830831</v>
      </c>
      <c r="P42">
        <v>0.141534957088295</v>
      </c>
      <c r="Q42">
        <v>0.26459922089473598</v>
      </c>
      <c r="R42">
        <v>-0.136055256830831</v>
      </c>
      <c r="S42">
        <v>9.6191177866621902E-2</v>
      </c>
      <c r="T42">
        <v>-0.136055256830831</v>
      </c>
      <c r="U42">
        <v>-9.982925417907889E-4</v>
      </c>
      <c r="V42">
        <v>-0.136055256830831</v>
      </c>
      <c r="W42">
        <v>0.33278908026299697</v>
      </c>
      <c r="X42">
        <v>2.8762262739088201E-2</v>
      </c>
      <c r="Y42">
        <v>1.43615570010292E-2</v>
      </c>
      <c r="Z42">
        <v>0.18892512817002199</v>
      </c>
      <c r="AA42">
        <v>2.222309766207E-2</v>
      </c>
      <c r="AB42">
        <v>4.3428875209881597E-2</v>
      </c>
      <c r="AC42">
        <v>8.1288408766783393E-3</v>
      </c>
      <c r="AD42">
        <v>0.134148149279952</v>
      </c>
      <c r="AE42">
        <v>-0.136055256830831</v>
      </c>
      <c r="AF42">
        <v>1.37945724711188E-2</v>
      </c>
      <c r="AG42">
        <v>9.0875824530455104E-2</v>
      </c>
      <c r="AH42">
        <v>-0.136055256830831</v>
      </c>
      <c r="AI42">
        <v>-1.24031143495828E-2</v>
      </c>
      <c r="AJ42">
        <v>-5.7426680437570099E-2</v>
      </c>
      <c r="AK42">
        <v>0.103252777211522</v>
      </c>
      <c r="AL42">
        <v>-5.68036433008791E-2</v>
      </c>
      <c r="AM42">
        <v>1.8210393778939401E-3</v>
      </c>
      <c r="AN42">
        <v>8.7197116021588403E-2</v>
      </c>
      <c r="AO42">
        <v>0.169033753302645</v>
      </c>
      <c r="AP42">
        <v>0.13641419384685999</v>
      </c>
      <c r="AQ42">
        <v>0.27695600221026401</v>
      </c>
      <c r="AR42">
        <v>-2.8598517354293401E-2</v>
      </c>
      <c r="AS42">
        <v>8.2648714571745593E-2</v>
      </c>
      <c r="AT42">
        <v>-0.136055256830831</v>
      </c>
      <c r="AU42">
        <v>7.3855065929796404E-2</v>
      </c>
      <c r="AV42">
        <v>-4.6990002695849603E-3</v>
      </c>
      <c r="AW42">
        <v>0.121391636817979</v>
      </c>
      <c r="AX42">
        <v>-4.42590477978521E-2</v>
      </c>
      <c r="AY42">
        <v>-3.2257198816411203E-2</v>
      </c>
      <c r="AZ42">
        <v>7.7322021185706497E-2</v>
      </c>
      <c r="BA42">
        <v>-0.136055256830831</v>
      </c>
      <c r="BB42">
        <v>6.2438395877562503E-2</v>
      </c>
      <c r="BC42">
        <v>0.45598410392683802</v>
      </c>
      <c r="BD42">
        <v>0.45223824064718299</v>
      </c>
      <c r="BE42">
        <v>0.134139360424094</v>
      </c>
      <c r="BF42">
        <v>-2.60880794027415E-2</v>
      </c>
      <c r="BG42">
        <v>0.14488827616028799</v>
      </c>
      <c r="BH42">
        <v>-0.136055256830831</v>
      </c>
      <c r="BI42">
        <v>4.4122885997058499E-2</v>
      </c>
      <c r="BJ42">
        <v>6.8417603213200506E-2</v>
      </c>
      <c r="BK42">
        <v>6.6953531863704896E-2</v>
      </c>
      <c r="BL42">
        <v>2.4907336996733798E-2</v>
      </c>
      <c r="BM42">
        <v>0.22060588315393601</v>
      </c>
      <c r="BN42">
        <v>-2.37152760567408E-2</v>
      </c>
      <c r="BO42">
        <v>0.208171845295645</v>
      </c>
      <c r="BP42">
        <v>4.8218359449994502E-2</v>
      </c>
      <c r="BQ42">
        <v>0.19012215539650701</v>
      </c>
      <c r="BR42">
        <v>-0.136055256830831</v>
      </c>
      <c r="BS42">
        <v>-3.0706177010920401E-2</v>
      </c>
      <c r="BT42">
        <v>-0.136055256830831</v>
      </c>
      <c r="BU42">
        <v>-4.4882107811745203E-2</v>
      </c>
      <c r="BV42">
        <v>-4.5421943269382703E-2</v>
      </c>
      <c r="BW42">
        <v>7.8395894591502105E-2</v>
      </c>
      <c r="BX42">
        <v>7.5453721225997E-2</v>
      </c>
      <c r="BY42">
        <v>1.4602012748247E-2</v>
      </c>
      <c r="BZ42">
        <v>9.8054533519587095E-2</v>
      </c>
      <c r="CA42">
        <v>1.4919115835403E-2</v>
      </c>
      <c r="CB42">
        <v>-0.136055256830831</v>
      </c>
      <c r="CC42">
        <v>-1.32449755845048E-2</v>
      </c>
      <c r="CD42">
        <v>2.4321164579380701E-3</v>
      </c>
      <c r="CE42">
        <v>2.72296337206033E-4</v>
      </c>
      <c r="CF42">
        <v>1.5952751908940702E-2</v>
      </c>
      <c r="CG42">
        <v>-0.136055256830831</v>
      </c>
      <c r="CH42">
        <v>1.6163763003608299E-2</v>
      </c>
      <c r="CI42">
        <v>2.5191269908972299E-2</v>
      </c>
      <c r="CJ42">
        <v>0.109236107332651</v>
      </c>
      <c r="CK42">
        <v>0.100124117573389</v>
      </c>
      <c r="CL42">
        <v>-0.136055256830831</v>
      </c>
      <c r="CM42">
        <v>4.7387916668116099E-2</v>
      </c>
      <c r="CN42">
        <v>-6.72735197074288E-2</v>
      </c>
      <c r="CO42">
        <v>9.7938702567140906E-2</v>
      </c>
      <c r="CP42">
        <v>-0.136055256830831</v>
      </c>
      <c r="CQ42">
        <v>-2.3461403281297799E-3</v>
      </c>
      <c r="CR42">
        <v>1.48510065917758E-2</v>
      </c>
      <c r="CS42">
        <v>-1.49729267463729E-2</v>
      </c>
      <c r="CT42">
        <v>-0.136055256830831</v>
      </c>
      <c r="CU42">
        <v>2.7681679486609E-2</v>
      </c>
      <c r="CV42">
        <v>3.5506879648312603E-2</v>
      </c>
      <c r="CW42">
        <v>-1.8605101763466102E-2</v>
      </c>
      <c r="CX42">
        <v>-1.3023244832351601E-2</v>
      </c>
      <c r="CY42">
        <v>0.19070583028046101</v>
      </c>
      <c r="CZ42">
        <v>-0.136055256830831</v>
      </c>
      <c r="DA42">
        <v>9.7164889514372493E-2</v>
      </c>
      <c r="DB42">
        <v>2.88265970712935E-3</v>
      </c>
      <c r="DC42">
        <v>-0.136055256830831</v>
      </c>
      <c r="DD42">
        <v>2.3251121904107101E-2</v>
      </c>
      <c r="DE42">
        <v>0.14545636799930201</v>
      </c>
      <c r="DF42">
        <v>2.91094298068937E-2</v>
      </c>
      <c r="DG42">
        <v>0.44543503878587298</v>
      </c>
      <c r="DH42">
        <v>-2.38529574017785E-2</v>
      </c>
      <c r="DI42">
        <v>0.109598027501314</v>
      </c>
      <c r="DJ42">
        <v>0.474689705730933</v>
      </c>
      <c r="DK42">
        <v>9.0406663006856805E-2</v>
      </c>
      <c r="DL42">
        <v>-0.136055256830831</v>
      </c>
      <c r="DM42">
        <v>-0.136055256830831</v>
      </c>
      <c r="DN42">
        <v>2.2049758175571199E-2</v>
      </c>
      <c r="DO42">
        <v>2.68680541138955E-2</v>
      </c>
      <c r="DP42">
        <v>0.30341086016314001</v>
      </c>
      <c r="DQ42">
        <v>-0.136055256830831</v>
      </c>
      <c r="DR42">
        <v>0.107114500568417</v>
      </c>
      <c r="DS42">
        <v>-1.30753281281763E-2</v>
      </c>
      <c r="DT42">
        <v>0.146239096747002</v>
      </c>
      <c r="DU42">
        <v>1.4770907374523101E-3</v>
      </c>
      <c r="DV42">
        <v>0.32675306365011297</v>
      </c>
      <c r="DW42">
        <v>0.13163331869676101</v>
      </c>
      <c r="DX42">
        <v>0.32823381683041702</v>
      </c>
      <c r="DY42">
        <v>8.2069113029108298E-2</v>
      </c>
      <c r="DZ42">
        <v>9.1647887243478707E-2</v>
      </c>
      <c r="EA42">
        <v>1.9090720564701898E-2</v>
      </c>
      <c r="EB42">
        <v>1.7278422307240401E-2</v>
      </c>
      <c r="EC42">
        <v>-0.136055256830831</v>
      </c>
      <c r="ED42">
        <v>-0.136055256830831</v>
      </c>
      <c r="EE42">
        <v>-3.37316817388605E-2</v>
      </c>
      <c r="EF42">
        <v>7.2834119407294506E-2</v>
      </c>
      <c r="EG42">
        <v>3.8456587227317499E-2</v>
      </c>
      <c r="EH42">
        <v>0.100888605992066</v>
      </c>
      <c r="EI42">
        <v>-1.6668751161366201E-2</v>
      </c>
      <c r="EJ42">
        <v>-0.136055256830831</v>
      </c>
      <c r="EK42">
        <v>0.16174611633585101</v>
      </c>
      <c r="EL42">
        <v>0.14984427542322101</v>
      </c>
      <c r="EM42">
        <v>-0.136055256830831</v>
      </c>
      <c r="EN42">
        <v>3.7881515148992899E-2</v>
      </c>
      <c r="EO42">
        <v>-0.136055256830831</v>
      </c>
      <c r="EP42">
        <v>7.04731484602239E-2</v>
      </c>
      <c r="EQ42">
        <v>4.3058191664892102E-2</v>
      </c>
      <c r="ER42">
        <v>0.27213227191287997</v>
      </c>
      <c r="ES42">
        <v>0.189332411285494</v>
      </c>
      <c r="ET42">
        <v>-1.44061297856002E-2</v>
      </c>
      <c r="EU42">
        <v>1.46843768720762E-2</v>
      </c>
      <c r="EV42">
        <v>-1.4070168075058301E-2</v>
      </c>
      <c r="EW42">
        <v>7.1817506677765999E-2</v>
      </c>
      <c r="EX42">
        <v>0.15728215937751699</v>
      </c>
      <c r="EY42">
        <v>-0.136055256830831</v>
      </c>
      <c r="EZ42">
        <v>-0.136055256830831</v>
      </c>
      <c r="FA42">
        <v>0.12606258413112301</v>
      </c>
      <c r="FB42">
        <v>-3.5326363390932598E-2</v>
      </c>
      <c r="FC42">
        <v>-3.08537390079362E-3</v>
      </c>
      <c r="FD42">
        <v>1.8810386991225302E-2</v>
      </c>
      <c r="FE42">
        <v>-1.8586342866576601E-2</v>
      </c>
      <c r="FF42">
        <v>-0.136055256830831</v>
      </c>
      <c r="FG42">
        <v>5.9865523607940202E-2</v>
      </c>
      <c r="FH42">
        <v>-5.6780824213746799E-2</v>
      </c>
      <c r="FI42">
        <v>0.118453227896905</v>
      </c>
      <c r="FJ42">
        <v>5.0929807039427601E-2</v>
      </c>
      <c r="FK42">
        <v>0.248038329224574</v>
      </c>
      <c r="FL42">
        <v>-0.136055256830831</v>
      </c>
      <c r="FM42">
        <v>8.4356791412392301E-3</v>
      </c>
      <c r="FN42">
        <v>8.1619953203247705E-2</v>
      </c>
      <c r="FO42">
        <v>2.0122131174758199E-2</v>
      </c>
      <c r="FP42">
        <v>-8.6269583957113094E-2</v>
      </c>
      <c r="FQ42">
        <v>0.234697920800327</v>
      </c>
      <c r="FR42">
        <v>6.6631943820690598E-2</v>
      </c>
      <c r="FS42">
        <v>2.5070377811550699E-2</v>
      </c>
      <c r="FT42">
        <v>9.4483207890475096E-2</v>
      </c>
      <c r="FU42">
        <v>3.0751133879784499E-2</v>
      </c>
      <c r="FV42">
        <v>-7.8267272199686197E-2</v>
      </c>
      <c r="FW42">
        <v>-4.0248388562559703E-2</v>
      </c>
      <c r="FX42">
        <v>-0.136055256830831</v>
      </c>
      <c r="FY42">
        <v>0.124154362797776</v>
      </c>
      <c r="FZ42">
        <v>-0.136055256830831</v>
      </c>
      <c r="GA42">
        <v>0.176812968604565</v>
      </c>
      <c r="GB42">
        <v>-4.8273272960217897E-2</v>
      </c>
      <c r="GC42">
        <v>-0.136055256830831</v>
      </c>
      <c r="GD42">
        <v>-2.3545120127015599E-2</v>
      </c>
      <c r="GE42">
        <v>-0.136055256830831</v>
      </c>
      <c r="GF42">
        <v>0.23464760479527799</v>
      </c>
      <c r="GG42">
        <v>0.107742882030384</v>
      </c>
      <c r="GH42">
        <v>-4.4736718944233499E-2</v>
      </c>
      <c r="GI42">
        <v>-3.5155504933881802E-2</v>
      </c>
      <c r="GJ42">
        <v>0.167293430016654</v>
      </c>
      <c r="GK42">
        <v>1.6828104926845101E-2</v>
      </c>
    </row>
    <row r="43" spans="1:193" x14ac:dyDescent="0.25">
      <c r="A43" t="s">
        <v>266</v>
      </c>
      <c r="B43" t="s">
        <v>751</v>
      </c>
      <c r="C43">
        <v>0.17216199651706801</v>
      </c>
      <c r="D43">
        <v>0.250823842288948</v>
      </c>
      <c r="E43">
        <v>7.7188836482941598E-3</v>
      </c>
      <c r="F43">
        <v>9.9673628611320203E-2</v>
      </c>
      <c r="G43">
        <v>0.235304453363818</v>
      </c>
      <c r="H43">
        <v>0</v>
      </c>
      <c r="I43">
        <v>0</v>
      </c>
      <c r="J43">
        <v>4.2311792463751399E-2</v>
      </c>
      <c r="K43">
        <v>0</v>
      </c>
      <c r="L43">
        <v>0.28036742036624102</v>
      </c>
      <c r="M43">
        <v>4.0669532572012598E-2</v>
      </c>
      <c r="N43">
        <v>2.62600233823524E-2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0.170701922627814</v>
      </c>
      <c r="AA43">
        <v>0</v>
      </c>
      <c r="AB43">
        <v>1.49649452538641E-2</v>
      </c>
      <c r="AC43">
        <v>0</v>
      </c>
      <c r="AD43">
        <v>0</v>
      </c>
      <c r="AE43">
        <v>0</v>
      </c>
      <c r="AF43">
        <v>7.6712372968272602E-2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0.115595562627992</v>
      </c>
      <c r="AO43">
        <v>0</v>
      </c>
      <c r="AP43">
        <v>0</v>
      </c>
      <c r="AQ43">
        <v>0.126392016834248</v>
      </c>
      <c r="AR43">
        <v>0.20805070609739401</v>
      </c>
      <c r="AS43">
        <v>7.6317444227265996E-2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0.11035237928076</v>
      </c>
      <c r="BA43">
        <v>0</v>
      </c>
      <c r="BB43">
        <v>0.102389541181161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8.2512257678867704E-2</v>
      </c>
      <c r="BM43">
        <v>9.6784668797729997E-2</v>
      </c>
      <c r="BN43">
        <v>0</v>
      </c>
      <c r="BO43">
        <v>0.103667401940662</v>
      </c>
      <c r="BP43">
        <v>9.4794711012915298E-2</v>
      </c>
      <c r="BQ43">
        <v>0</v>
      </c>
      <c r="BR43">
        <v>0</v>
      </c>
      <c r="BS43">
        <v>2.0435244819004598E-2</v>
      </c>
      <c r="BT43">
        <v>0</v>
      </c>
      <c r="BU43">
        <v>0</v>
      </c>
      <c r="BV43">
        <v>2.3041534389871499E-2</v>
      </c>
      <c r="BW43">
        <v>8.8536061038135702E-2</v>
      </c>
      <c r="BX43">
        <v>1.47750462117931E-2</v>
      </c>
      <c r="BY43">
        <v>0</v>
      </c>
      <c r="BZ43">
        <v>1.0259184641600401E-2</v>
      </c>
      <c r="CA43">
        <v>5.9028966050977801E-2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1.26669282141058E-2</v>
      </c>
      <c r="CK43">
        <v>1.9982168763233998E-2</v>
      </c>
      <c r="CL43">
        <v>0</v>
      </c>
      <c r="CM43">
        <v>0.18344317349894801</v>
      </c>
      <c r="CN43">
        <v>6.8781737123402506E-2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0.165196468177883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0.187583583677605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0.16292331094472701</v>
      </c>
      <c r="DP43">
        <v>0</v>
      </c>
      <c r="DQ43">
        <v>0</v>
      </c>
      <c r="DR43">
        <v>0.15775450725557799</v>
      </c>
      <c r="DS43">
        <v>0</v>
      </c>
      <c r="DT43">
        <v>0</v>
      </c>
      <c r="DU43">
        <v>0.137532347568284</v>
      </c>
      <c r="DV43">
        <v>0</v>
      </c>
      <c r="DW43">
        <v>0</v>
      </c>
      <c r="DX43">
        <v>0</v>
      </c>
      <c r="DY43">
        <v>0.11282798146374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0.16682169702775301</v>
      </c>
      <c r="EX43">
        <v>0</v>
      </c>
      <c r="EY43">
        <v>0</v>
      </c>
      <c r="EZ43">
        <v>0.12607576010650301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0.139168090777439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0.112506289360221</v>
      </c>
      <c r="FO43">
        <v>0</v>
      </c>
      <c r="FP43">
        <v>0</v>
      </c>
      <c r="FQ43">
        <v>0.15671062717096501</v>
      </c>
      <c r="FR43">
        <v>0</v>
      </c>
      <c r="FS43">
        <v>2.57006288734303E-2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4.6230529724273203E-2</v>
      </c>
      <c r="GI43">
        <v>4.4140238715010598E-2</v>
      </c>
      <c r="GJ43">
        <v>6.49972929619312E-2</v>
      </c>
      <c r="GK43">
        <v>0</v>
      </c>
    </row>
    <row r="44" spans="1:193" x14ac:dyDescent="0.25">
      <c r="A44" t="s">
        <v>266</v>
      </c>
      <c r="B44" t="s">
        <v>773</v>
      </c>
      <c r="C44">
        <v>0</v>
      </c>
      <c r="D44">
        <v>0.201951521023499</v>
      </c>
      <c r="E44">
        <v>0</v>
      </c>
      <c r="F44">
        <v>0</v>
      </c>
      <c r="G44">
        <v>0</v>
      </c>
      <c r="H44">
        <v>0.116544086167703</v>
      </c>
      <c r="I44">
        <v>0</v>
      </c>
      <c r="J44">
        <v>0</v>
      </c>
      <c r="K44">
        <v>0</v>
      </c>
      <c r="L44">
        <v>0</v>
      </c>
      <c r="M44">
        <v>0.119692666695599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0.103651778988395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0.15221901983444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0.17025590759999101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8.9515391889736701E-2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0.12648815791076801</v>
      </c>
      <c r="GH44">
        <v>0</v>
      </c>
      <c r="GI44">
        <v>0</v>
      </c>
      <c r="GJ44">
        <v>0</v>
      </c>
      <c r="GK44">
        <v>0</v>
      </c>
    </row>
    <row r="45" spans="1:193" x14ac:dyDescent="0.25">
      <c r="A45" t="s">
        <v>266</v>
      </c>
      <c r="B45" t="s">
        <v>608</v>
      </c>
      <c r="C45">
        <v>-3.1283165524048</v>
      </c>
      <c r="D45">
        <v>-2.9431504209767998</v>
      </c>
      <c r="E45">
        <v>-0.89446402224769195</v>
      </c>
      <c r="F45">
        <v>-0.88151293707421396</v>
      </c>
      <c r="G45">
        <v>0.16446893255450901</v>
      </c>
      <c r="H45">
        <v>-2.7207511521290799E-2</v>
      </c>
      <c r="I45">
        <v>-2.2313753899882198</v>
      </c>
      <c r="J45">
        <v>-0.85777859716174198</v>
      </c>
      <c r="K45">
        <v>-0.78339766739552397</v>
      </c>
      <c r="L45">
        <v>-9.6177154760681102E-2</v>
      </c>
      <c r="M45">
        <v>-5.2313902265835601</v>
      </c>
      <c r="N45">
        <v>-5.43646272732762</v>
      </c>
      <c r="O45">
        <v>-2.21246212231893</v>
      </c>
      <c r="P45">
        <v>1.30941240566429</v>
      </c>
      <c r="Q45">
        <v>1.21141553266386</v>
      </c>
      <c r="R45">
        <v>1.21764576054138</v>
      </c>
      <c r="S45">
        <v>1.16093829734997</v>
      </c>
      <c r="T45">
        <v>1.1110941636518299</v>
      </c>
      <c r="U45">
        <v>1.06298299584708</v>
      </c>
      <c r="V45">
        <v>1.1368077851752401</v>
      </c>
      <c r="W45">
        <v>1.17394861044596</v>
      </c>
      <c r="X45">
        <v>1.23758956691064</v>
      </c>
      <c r="Y45">
        <v>1.16082713779486</v>
      </c>
      <c r="Z45">
        <v>0.87255455048956998</v>
      </c>
      <c r="AA45">
        <v>0.84538271339270799</v>
      </c>
      <c r="AB45">
        <v>1.3561266800777101</v>
      </c>
      <c r="AC45">
        <v>1.5099847282132399</v>
      </c>
      <c r="AD45">
        <v>1.4010286063914901</v>
      </c>
      <c r="AE45">
        <v>1.2050441184934599</v>
      </c>
      <c r="AF45">
        <v>1.4009265779025899</v>
      </c>
      <c r="AG45">
        <v>1.4191444566821501</v>
      </c>
      <c r="AH45">
        <v>1.40794242474097</v>
      </c>
      <c r="AI45">
        <v>1.35654511745123</v>
      </c>
      <c r="AJ45">
        <v>1.25362965068327</v>
      </c>
      <c r="AK45">
        <v>1.4090382266782</v>
      </c>
      <c r="AL45">
        <v>1.32964665376608</v>
      </c>
      <c r="AM45">
        <v>1.25805475483842</v>
      </c>
      <c r="AN45">
        <v>1.39599800122323</v>
      </c>
      <c r="AO45">
        <v>1.22290170566639</v>
      </c>
      <c r="AP45">
        <v>1.2492330316554401</v>
      </c>
      <c r="AQ45">
        <v>1.3288031775687299</v>
      </c>
      <c r="AR45">
        <v>1.4419438668304301</v>
      </c>
      <c r="AS45">
        <v>1.49946751785815</v>
      </c>
      <c r="AT45">
        <v>1.5601663623628199</v>
      </c>
      <c r="AU45">
        <v>1.2964652645158501</v>
      </c>
      <c r="AV45">
        <v>1.37803474506817</v>
      </c>
      <c r="AW45">
        <v>1.1357625345239</v>
      </c>
      <c r="AX45">
        <v>1.39455683800917</v>
      </c>
      <c r="AY45">
        <v>1.3536576878250599</v>
      </c>
      <c r="AZ45">
        <v>1.2931881079332199</v>
      </c>
      <c r="BA45">
        <v>1.4305556380628399</v>
      </c>
      <c r="BB45">
        <v>1.34183429129681</v>
      </c>
      <c r="BC45">
        <v>1.24436042409349</v>
      </c>
      <c r="BD45">
        <v>1.24681839762645</v>
      </c>
      <c r="BE45">
        <v>1.32790893477857</v>
      </c>
      <c r="BF45">
        <v>1.2032375834071001</v>
      </c>
      <c r="BG45">
        <v>1.4734689972902499</v>
      </c>
      <c r="BH45">
        <v>1.4831804511570099</v>
      </c>
      <c r="BI45">
        <v>1.489619140017</v>
      </c>
      <c r="BJ45">
        <v>1.3623489908345501</v>
      </c>
      <c r="BK45">
        <v>1.5547040823499101</v>
      </c>
      <c r="BL45">
        <v>1.54205087115759</v>
      </c>
      <c r="BM45">
        <v>1.45079103732018</v>
      </c>
      <c r="BN45">
        <v>1.4065342558409399</v>
      </c>
      <c r="BO45">
        <v>1.3590379335856999</v>
      </c>
      <c r="BP45">
        <v>1.42070601765709</v>
      </c>
      <c r="BQ45">
        <v>1.47373441661076</v>
      </c>
      <c r="BR45">
        <v>1.4353821831714899</v>
      </c>
      <c r="BS45">
        <v>0.26790818563125501</v>
      </c>
      <c r="BT45">
        <v>-5.4026770528019401E-2</v>
      </c>
      <c r="BU45">
        <v>-0.41067600183450798</v>
      </c>
      <c r="BV45">
        <v>-0.23768972322800699</v>
      </c>
      <c r="BW45">
        <v>0.24961920434298401</v>
      </c>
      <c r="BX45">
        <v>3.7585086691224998E-3</v>
      </c>
      <c r="BY45">
        <v>-0.26145109434163499</v>
      </c>
      <c r="BZ45">
        <v>0.25676110093492799</v>
      </c>
      <c r="CA45">
        <v>0.85359906345578795</v>
      </c>
      <c r="CB45">
        <v>1.0864180534852701</v>
      </c>
      <c r="CC45">
        <v>1.1814691511344</v>
      </c>
      <c r="CD45">
        <v>0.76419511156809505</v>
      </c>
      <c r="CE45">
        <v>0.88714415027388505</v>
      </c>
      <c r="CF45">
        <v>0.76450914570963202</v>
      </c>
      <c r="CG45">
        <v>0.69434641760818905</v>
      </c>
      <c r="CH45">
        <v>0.67551022871093103</v>
      </c>
      <c r="CI45">
        <v>0.82836150077174098</v>
      </c>
      <c r="CJ45">
        <v>1.04298433477149</v>
      </c>
      <c r="CK45">
        <v>1.1157273567278201</v>
      </c>
      <c r="CL45">
        <v>0.84642278669386095</v>
      </c>
      <c r="CM45">
        <v>1.03930683748015</v>
      </c>
      <c r="CN45">
        <v>0.95256298129137196</v>
      </c>
      <c r="CO45">
        <v>0.26628424743960499</v>
      </c>
      <c r="CP45">
        <v>0.28713946292508702</v>
      </c>
      <c r="CQ45">
        <v>0.12860036161246899</v>
      </c>
      <c r="CR45">
        <v>2.9641387011517702E-2</v>
      </c>
      <c r="CS45">
        <v>0.34662345456030003</v>
      </c>
      <c r="CT45">
        <v>-0.274130707264159</v>
      </c>
      <c r="CU45">
        <v>0.19220566483077201</v>
      </c>
      <c r="CV45">
        <v>1.8414921663809901E-3</v>
      </c>
      <c r="CW45">
        <v>0.119855840234351</v>
      </c>
      <c r="CX45">
        <v>4.88276963408023E-2</v>
      </c>
      <c r="CY45">
        <v>-0.116956080651093</v>
      </c>
      <c r="CZ45">
        <v>0.12062565643289699</v>
      </c>
      <c r="DA45">
        <v>0.152223937155685</v>
      </c>
      <c r="DB45">
        <v>0.182147693223181</v>
      </c>
      <c r="DC45">
        <v>4.6395137976728798E-2</v>
      </c>
      <c r="DD45">
        <v>7.6600059351609101E-2</v>
      </c>
      <c r="DE45">
        <v>-5.8928792415044902E-2</v>
      </c>
      <c r="DF45">
        <v>-0.116916624764865</v>
      </c>
      <c r="DG45">
        <v>-0.34125499547639199</v>
      </c>
      <c r="DH45">
        <v>-1.02431369692324</v>
      </c>
      <c r="DI45">
        <v>-0.98648303694422301</v>
      </c>
      <c r="DJ45">
        <v>-0.51951695656334596</v>
      </c>
      <c r="DK45">
        <v>-0.66513419612683899</v>
      </c>
      <c r="DL45">
        <v>-0.23976417396139801</v>
      </c>
      <c r="DM45">
        <v>-0.20961225591624799</v>
      </c>
      <c r="DN45">
        <v>-7.7193797620032395E-2</v>
      </c>
      <c r="DO45">
        <v>-0.55719064357446701</v>
      </c>
      <c r="DP45">
        <v>-4.5401581809483499E-3</v>
      </c>
      <c r="DQ45">
        <v>-0.18411870248565501</v>
      </c>
      <c r="DR45">
        <v>4.03947442084375E-2</v>
      </c>
      <c r="DS45">
        <v>-0.53510463731731595</v>
      </c>
      <c r="DT45">
        <v>-0.56417579592239198</v>
      </c>
      <c r="DU45">
        <v>-0.429969886777335</v>
      </c>
      <c r="DV45">
        <v>-0.26920503790153899</v>
      </c>
      <c r="DW45">
        <v>-0.23841928422945799</v>
      </c>
      <c r="DX45">
        <v>-0.66416625329119106</v>
      </c>
      <c r="DY45">
        <v>-0.20323507426130699</v>
      </c>
      <c r="DZ45">
        <v>-0.62571116622566203</v>
      </c>
      <c r="EA45">
        <v>-0.10540401852777</v>
      </c>
      <c r="EB45">
        <v>-0.54856449245533301</v>
      </c>
      <c r="EC45">
        <v>-0.26478104816119402</v>
      </c>
      <c r="ED45">
        <v>7.4717175030829903E-3</v>
      </c>
      <c r="EE45">
        <v>-5.7133512616506697E-2</v>
      </c>
      <c r="EF45">
        <v>-0.274713357900496</v>
      </c>
      <c r="EG45">
        <v>-1.5474685285626601E-4</v>
      </c>
      <c r="EH45">
        <v>-0.47004041271382901</v>
      </c>
      <c r="EI45">
        <v>-6.8910091275668606E-2</v>
      </c>
      <c r="EJ45">
        <v>0.46468219303256098</v>
      </c>
      <c r="EK45">
        <v>0.57385524475722705</v>
      </c>
      <c r="EL45">
        <v>0.56136194982549903</v>
      </c>
      <c r="EM45">
        <v>0.49544979804606498</v>
      </c>
      <c r="EN45">
        <v>0.48046944774776101</v>
      </c>
      <c r="EO45">
        <v>0.57958419109746995</v>
      </c>
      <c r="EP45">
        <v>0.55198664743633696</v>
      </c>
      <c r="EQ45">
        <v>0.46648529137216699</v>
      </c>
      <c r="ER45">
        <v>0.32933917673690999</v>
      </c>
      <c r="ES45">
        <v>0.48867293076820301</v>
      </c>
      <c r="ET45">
        <v>0.41698975361364099</v>
      </c>
      <c r="EU45">
        <v>0.432592580677231</v>
      </c>
      <c r="EV45">
        <v>0.40113958508365399</v>
      </c>
      <c r="EW45">
        <v>0.39840698252639001</v>
      </c>
      <c r="EX45">
        <v>0.29900206237820398</v>
      </c>
      <c r="EY45">
        <v>0.30450293072142398</v>
      </c>
      <c r="EZ45">
        <v>9.2677788792769902E-2</v>
      </c>
      <c r="FA45">
        <v>0.29898931373766102</v>
      </c>
      <c r="FB45">
        <v>0.47499597886605199</v>
      </c>
      <c r="FC45">
        <v>0.65659469904579604</v>
      </c>
      <c r="FD45">
        <v>0.55236568583142198</v>
      </c>
      <c r="FE45">
        <v>0.417202975268752</v>
      </c>
      <c r="FF45">
        <v>0.54298442099784205</v>
      </c>
      <c r="FG45">
        <v>0.53515890903779395</v>
      </c>
      <c r="FH45">
        <v>0.70800568146498599</v>
      </c>
      <c r="FI45">
        <v>0.58857382364013899</v>
      </c>
      <c r="FJ45">
        <v>0.72499967198585902</v>
      </c>
      <c r="FK45">
        <v>0.65715080121505498</v>
      </c>
      <c r="FL45">
        <v>0.78833605843321897</v>
      </c>
      <c r="FM45">
        <v>0.65862425510629996</v>
      </c>
      <c r="FN45">
        <v>0.75041118656314199</v>
      </c>
      <c r="FO45">
        <v>0.58790248180848403</v>
      </c>
      <c r="FP45">
        <v>0.72910259378034903</v>
      </c>
      <c r="FQ45">
        <v>0.77878980651002205</v>
      </c>
      <c r="FR45">
        <v>0.773795905799599</v>
      </c>
      <c r="FS45">
        <v>0.87568871958473804</v>
      </c>
      <c r="FT45">
        <v>0.67701338709076697</v>
      </c>
      <c r="FU45">
        <v>0.66812881898839505</v>
      </c>
      <c r="FV45">
        <v>0.69992626227312305</v>
      </c>
      <c r="FW45">
        <v>0.35823170257419301</v>
      </c>
      <c r="FX45">
        <v>0.34836777410348502</v>
      </c>
      <c r="FY45">
        <v>0.53168102881323898</v>
      </c>
      <c r="FZ45">
        <v>0.46553897644678899</v>
      </c>
      <c r="GA45">
        <v>0.44029836358435098</v>
      </c>
      <c r="GB45">
        <v>0.411771854481294</v>
      </c>
      <c r="GC45">
        <v>0.43331302300438101</v>
      </c>
      <c r="GD45">
        <v>0.337869572054383</v>
      </c>
      <c r="GE45">
        <v>0.38203523871481998</v>
      </c>
      <c r="GF45">
        <v>0.56134587836736505</v>
      </c>
      <c r="GG45">
        <v>0.50608033695052601</v>
      </c>
      <c r="GH45">
        <v>0.354188975425557</v>
      </c>
      <c r="GI45">
        <v>0.59482466382421695</v>
      </c>
      <c r="GJ45">
        <v>0.73251295167365404</v>
      </c>
      <c r="GK45">
        <v>0.74467546617297498</v>
      </c>
    </row>
    <row r="46" spans="1:193" x14ac:dyDescent="0.25">
      <c r="A46" t="s">
        <v>266</v>
      </c>
      <c r="B46" t="s">
        <v>642</v>
      </c>
      <c r="C46">
        <v>2.2425177592702902E-2</v>
      </c>
      <c r="D46">
        <v>-2.3401996193478401E-2</v>
      </c>
      <c r="E46">
        <v>3.34518310272089</v>
      </c>
      <c r="F46">
        <v>3.01570298745259</v>
      </c>
      <c r="G46">
        <v>9.6011506969058205E-2</v>
      </c>
      <c r="H46">
        <v>0.14929038977623099</v>
      </c>
      <c r="I46">
        <v>2.7049251656962898</v>
      </c>
      <c r="J46">
        <v>5.0631082923941797</v>
      </c>
      <c r="K46">
        <v>5.0058615757385203</v>
      </c>
      <c r="L46">
        <v>0.63099585998531604</v>
      </c>
      <c r="M46">
        <v>-0.21013192364250799</v>
      </c>
      <c r="N46">
        <v>-0.24796581510007401</v>
      </c>
      <c r="O46">
        <v>1.8200002331492799</v>
      </c>
      <c r="P46">
        <v>0.28062503866083499</v>
      </c>
      <c r="Q46">
        <v>-6.0942701174316903E-2</v>
      </c>
      <c r="R46">
        <v>0.39688829578658602</v>
      </c>
      <c r="S46">
        <v>-4.1979403784972898E-2</v>
      </c>
      <c r="T46">
        <v>-4.4896301257593703E-2</v>
      </c>
      <c r="U46">
        <v>-1.48651749401989E-2</v>
      </c>
      <c r="V46">
        <v>-0.27422583848242599</v>
      </c>
      <c r="W46">
        <v>5.3151928828840601E-2</v>
      </c>
      <c r="X46">
        <v>3.9800352107902601E-2</v>
      </c>
      <c r="Y46">
        <v>0.20899485100076801</v>
      </c>
      <c r="Z46">
        <v>0.39281457358255301</v>
      </c>
      <c r="AA46">
        <v>0.105830605474689</v>
      </c>
      <c r="AB46">
        <v>-5.4558045787813599E-2</v>
      </c>
      <c r="AC46">
        <v>2.2419526089353398E-2</v>
      </c>
      <c r="AD46">
        <v>3.1922459537609402E-2</v>
      </c>
      <c r="AE46">
        <v>4.0507303678532697E-2</v>
      </c>
      <c r="AF46">
        <v>5.0343386886584497E-2</v>
      </c>
      <c r="AG46">
        <v>-0.171305369646507</v>
      </c>
      <c r="AH46">
        <v>0.23004160245105801</v>
      </c>
      <c r="AI46">
        <v>0.130362139363391</v>
      </c>
      <c r="AJ46">
        <v>1.9073917698241599E-2</v>
      </c>
      <c r="AK46">
        <v>-3.4917804440072801E-2</v>
      </c>
      <c r="AL46">
        <v>8.7122015943573994E-2</v>
      </c>
      <c r="AM46">
        <v>-0.136349542273701</v>
      </c>
      <c r="AN46">
        <v>-5.09734656300063E-2</v>
      </c>
      <c r="AO46">
        <v>0.20595272034173501</v>
      </c>
      <c r="AP46">
        <v>-1.7563878047345001E-3</v>
      </c>
      <c r="AQ46">
        <v>0.33013755912412901</v>
      </c>
      <c r="AR46">
        <v>0.32789959818925302</v>
      </c>
      <c r="AS46">
        <v>-5.5521867079849102E-2</v>
      </c>
      <c r="AT46">
        <v>-2.7948600127599001E-2</v>
      </c>
      <c r="AU46">
        <v>3.0979316307926101E-2</v>
      </c>
      <c r="AV46">
        <v>-0.14286958192117999</v>
      </c>
      <c r="AW46">
        <v>0.10400167886073</v>
      </c>
      <c r="AX46">
        <v>0.22156855425793101</v>
      </c>
      <c r="AY46">
        <v>0.10549300092804099</v>
      </c>
      <c r="AZ46">
        <v>-0.16387345920166699</v>
      </c>
      <c r="BA46">
        <v>2.9646078373454701E-2</v>
      </c>
      <c r="BB46">
        <v>-7.5732185774032401E-2</v>
      </c>
      <c r="BC46">
        <v>7.0627790515002106E-2</v>
      </c>
      <c r="BD46">
        <v>-1.2064008677505501E-2</v>
      </c>
      <c r="BE46">
        <v>9.1300555720874296E-2</v>
      </c>
      <c r="BF46">
        <v>-0.16425866105433601</v>
      </c>
      <c r="BG46">
        <v>-9.5796581523698701E-2</v>
      </c>
      <c r="BH46">
        <v>6.5695130306943905E-2</v>
      </c>
      <c r="BI46">
        <v>-9.4047695654536106E-2</v>
      </c>
      <c r="BJ46">
        <v>-0.27422583848242599</v>
      </c>
      <c r="BK46">
        <v>0.23873683968950801</v>
      </c>
      <c r="BL46">
        <v>-6.9093593163213105E-2</v>
      </c>
      <c r="BM46">
        <v>-0.177441169684696</v>
      </c>
      <c r="BN46">
        <v>-5.6936745769127002E-2</v>
      </c>
      <c r="BO46">
        <v>0.18800776234080799</v>
      </c>
      <c r="BP46">
        <v>7.5333339048463704E-2</v>
      </c>
      <c r="BQ46">
        <v>-2.3573174899195699E-2</v>
      </c>
      <c r="BR46">
        <v>0.105169224244037</v>
      </c>
      <c r="BS46">
        <v>3.7546789030019299</v>
      </c>
      <c r="BT46">
        <v>4.0483085295143502</v>
      </c>
      <c r="BU46">
        <v>4.6292140164345801</v>
      </c>
      <c r="BV46">
        <v>4.2951909130357704</v>
      </c>
      <c r="BW46">
        <v>4.5407462920443598</v>
      </c>
      <c r="BX46">
        <v>4.1678438117954499</v>
      </c>
      <c r="BY46">
        <v>4.4673771149807298</v>
      </c>
      <c r="BZ46">
        <v>3.0498288171373402</v>
      </c>
      <c r="CA46">
        <v>3.79933608797716</v>
      </c>
      <c r="CB46">
        <v>-0.27422583848242599</v>
      </c>
      <c r="CC46">
        <v>-0.27422583848242599</v>
      </c>
      <c r="CD46">
        <v>-0.27422583848242599</v>
      </c>
      <c r="CE46">
        <v>0.103888219243759</v>
      </c>
      <c r="CF46">
        <v>0.21385372405880401</v>
      </c>
      <c r="CG46">
        <v>-0.12806928386611099</v>
      </c>
      <c r="CH46">
        <v>0.144622616882676</v>
      </c>
      <c r="CI46">
        <v>-0.27422583848242599</v>
      </c>
      <c r="CJ46">
        <v>-0.11418710850293699</v>
      </c>
      <c r="CK46">
        <v>-0.18444397296096701</v>
      </c>
      <c r="CL46">
        <v>8.6278214575004897E-2</v>
      </c>
      <c r="CM46">
        <v>-9.0782664983478506E-2</v>
      </c>
      <c r="CN46">
        <v>0.131544776897045</v>
      </c>
      <c r="CO46">
        <v>-4.02318790844539E-2</v>
      </c>
      <c r="CP46">
        <v>0.58112498109605204</v>
      </c>
      <c r="CQ46">
        <v>-1.7021074141806598E-2</v>
      </c>
      <c r="CR46">
        <v>-0.123319575059819</v>
      </c>
      <c r="CS46">
        <v>0.21948313588513099</v>
      </c>
      <c r="CT46">
        <v>0.37322353849920198</v>
      </c>
      <c r="CU46">
        <v>-0.27422583848242599</v>
      </c>
      <c r="CV46">
        <v>0.34372814192510698</v>
      </c>
      <c r="CW46">
        <v>-0.27422583848242599</v>
      </c>
      <c r="CX46">
        <v>6.9728322588667999E-2</v>
      </c>
      <c r="CY46">
        <v>-0.102408175617672</v>
      </c>
      <c r="CZ46">
        <v>0.583348762256512</v>
      </c>
      <c r="DA46">
        <v>6.3834592548407898E-2</v>
      </c>
      <c r="DB46">
        <v>-0.13528792194446501</v>
      </c>
      <c r="DC46">
        <v>-0.13246602629586299</v>
      </c>
      <c r="DD46">
        <v>0.28444127741814201</v>
      </c>
      <c r="DE46">
        <v>0.31023195011779597</v>
      </c>
      <c r="DF46">
        <v>-0.27422583848242599</v>
      </c>
      <c r="DG46">
        <v>-0.12776059768904099</v>
      </c>
      <c r="DH46">
        <v>-0.16202353905337299</v>
      </c>
      <c r="DI46">
        <v>0.18379614767232599</v>
      </c>
      <c r="DJ46">
        <v>-9.0684884982384804E-4</v>
      </c>
      <c r="DK46">
        <v>5.4245825642092002E-2</v>
      </c>
      <c r="DL46">
        <v>-0.128419939317203</v>
      </c>
      <c r="DM46">
        <v>0.15132050647393899</v>
      </c>
      <c r="DN46">
        <v>-0.116120823476024</v>
      </c>
      <c r="DO46">
        <v>-0.11130252753769899</v>
      </c>
      <c r="DP46">
        <v>-8.5260999918912395E-2</v>
      </c>
      <c r="DQ46">
        <v>-0.27422583848242599</v>
      </c>
      <c r="DR46">
        <v>2.6856017421266601E-2</v>
      </c>
      <c r="DS46">
        <v>-3.7215932669517199E-2</v>
      </c>
      <c r="DT46">
        <v>0.15258423890136999</v>
      </c>
      <c r="DU46">
        <v>-1.01055490340369E-2</v>
      </c>
      <c r="DV46">
        <v>-0.14545735331994</v>
      </c>
      <c r="DW46">
        <v>-0.27422583848242599</v>
      </c>
      <c r="DX46">
        <v>4.9777622824700302E-2</v>
      </c>
      <c r="DY46">
        <v>0.22356562111327799</v>
      </c>
      <c r="DZ46">
        <v>-4.65226944081161E-2</v>
      </c>
      <c r="EA46">
        <v>2.20573867653561E-2</v>
      </c>
      <c r="EB46">
        <v>-0.27422583848242599</v>
      </c>
      <c r="EC46">
        <v>0.13687211027773999</v>
      </c>
      <c r="ED46">
        <v>-0.14613400958539499</v>
      </c>
      <c r="EE46">
        <v>-0.171902263390455</v>
      </c>
      <c r="EF46">
        <v>2.9869244245287301E-2</v>
      </c>
      <c r="EG46">
        <v>-0.18471044659269001</v>
      </c>
      <c r="EH46">
        <v>-3.7281975659528399E-2</v>
      </c>
      <c r="EI46">
        <v>0.119446457269671</v>
      </c>
      <c r="EJ46">
        <v>-0.145156019808627</v>
      </c>
      <c r="EK46">
        <v>0.161851195822699</v>
      </c>
      <c r="EL46">
        <v>1.16736937716266E-2</v>
      </c>
      <c r="EM46">
        <v>1.14899312422862E-2</v>
      </c>
      <c r="EN46">
        <v>1.53080266509324</v>
      </c>
      <c r="EO46">
        <v>0.19216035760087899</v>
      </c>
      <c r="EP46">
        <v>7.9504965572214398E-2</v>
      </c>
      <c r="EQ46">
        <v>9.0627918108792695E-4</v>
      </c>
      <c r="ER46">
        <v>0.25020807271747703</v>
      </c>
      <c r="ES46">
        <v>-5.0253875118534498E-2</v>
      </c>
      <c r="ET46">
        <v>-3.9403676319273197E-2</v>
      </c>
      <c r="EU46">
        <v>0.60207507783935199</v>
      </c>
      <c r="EV46">
        <v>0.348670650059073</v>
      </c>
      <c r="EW46">
        <v>2.8615481422737701E-2</v>
      </c>
      <c r="EX46">
        <v>-0.120828198022062</v>
      </c>
      <c r="EY46">
        <v>0.107274106795262</v>
      </c>
      <c r="EZ46">
        <v>0.236940739724705</v>
      </c>
      <c r="FA46">
        <v>0.104426782977802</v>
      </c>
      <c r="FB46">
        <v>-0.173496945042527</v>
      </c>
      <c r="FC46">
        <v>-0.27422583848242599</v>
      </c>
      <c r="FD46">
        <v>0.29342968651698298</v>
      </c>
      <c r="FE46">
        <v>5.5794106655800597E-2</v>
      </c>
      <c r="FF46">
        <v>-0.13505774770498699</v>
      </c>
      <c r="FG46">
        <v>-2.5188593556367499E-2</v>
      </c>
      <c r="FH46">
        <v>-0.119145102010895</v>
      </c>
      <c r="FI46">
        <v>-1.9717353754690099E-2</v>
      </c>
      <c r="FJ46">
        <v>-0.17809132428802699</v>
      </c>
      <c r="FK46">
        <v>0.28148649140684801</v>
      </c>
      <c r="FL46">
        <v>0.118347872782942</v>
      </c>
      <c r="FM46">
        <v>0.62570799816268896</v>
      </c>
      <c r="FN46">
        <v>0.13539023940434</v>
      </c>
      <c r="FO46">
        <v>2.4299972303830498E-2</v>
      </c>
      <c r="FP46">
        <v>-0.129002381417478</v>
      </c>
      <c r="FQ46">
        <v>-7.8772993814914705E-2</v>
      </c>
      <c r="FR46">
        <v>-2.2415403234078E-2</v>
      </c>
      <c r="FS46">
        <v>-8.2622533019204802E-2</v>
      </c>
      <c r="FT46">
        <v>6.0495799897759002E-2</v>
      </c>
      <c r="FU46">
        <v>-0.18872368299731199</v>
      </c>
      <c r="FV46">
        <v>-3.1533930058586001E-3</v>
      </c>
      <c r="FW46">
        <v>0.255166238809583</v>
      </c>
      <c r="FX46">
        <v>-6.4849687944733003E-2</v>
      </c>
      <c r="FY46">
        <v>-0.27422583848242599</v>
      </c>
      <c r="FZ46">
        <v>0.180707587448971</v>
      </c>
      <c r="GA46">
        <v>9.3255209405191303E-2</v>
      </c>
      <c r="GB46">
        <v>-0.27422583848242599</v>
      </c>
      <c r="GC46">
        <v>6.5845286767122299E-2</v>
      </c>
      <c r="GD46">
        <v>9.7189456626036702E-2</v>
      </c>
      <c r="GE46">
        <v>-8.94899005276782E-3</v>
      </c>
      <c r="GF46">
        <v>4.9943714873415701E-2</v>
      </c>
      <c r="GG46">
        <v>-3.0427699621210402E-2</v>
      </c>
      <c r="GH46">
        <v>-0.10770943456687999</v>
      </c>
      <c r="GI46">
        <v>-0.115527005631011</v>
      </c>
      <c r="GJ46">
        <v>5.8234857533328499E-3</v>
      </c>
      <c r="GK46">
        <v>8.9902310348081493E-2</v>
      </c>
    </row>
    <row r="47" spans="1:193" x14ac:dyDescent="0.25">
      <c r="A47" t="s">
        <v>266</v>
      </c>
      <c r="B47" t="s">
        <v>631</v>
      </c>
      <c r="C47">
        <v>-1.8313683523811399</v>
      </c>
      <c r="D47">
        <v>-1.64078132945362</v>
      </c>
      <c r="E47">
        <v>-0.54657952138728605</v>
      </c>
      <c r="F47">
        <v>-0.77078594701429504</v>
      </c>
      <c r="G47">
        <v>-0.432542003429426</v>
      </c>
      <c r="H47">
        <v>-0.32015149350177702</v>
      </c>
      <c r="I47">
        <v>0.335629174929301</v>
      </c>
      <c r="J47">
        <v>-2.72254954952484E-2</v>
      </c>
      <c r="K47">
        <v>-6.1716623951872801E-2</v>
      </c>
      <c r="L47">
        <v>-0.57391643794316805</v>
      </c>
      <c r="M47">
        <v>-2.0035303488982099</v>
      </c>
      <c r="N47">
        <v>-1.9772703255158599</v>
      </c>
      <c r="O47">
        <v>-1.3530256273953001</v>
      </c>
      <c r="P47">
        <v>-0.75955860754266202</v>
      </c>
      <c r="Q47">
        <v>-0.65028596177063303</v>
      </c>
      <c r="R47">
        <v>-0.36854546024822399</v>
      </c>
      <c r="S47">
        <v>5.4907556237685402E-2</v>
      </c>
      <c r="T47">
        <v>-0.35359048635875301</v>
      </c>
      <c r="U47">
        <v>-0.41677450949608003</v>
      </c>
      <c r="V47">
        <v>-0.120585257140382</v>
      </c>
      <c r="W47">
        <v>0.30669490050604897</v>
      </c>
      <c r="X47">
        <v>-0.27045970394850599</v>
      </c>
      <c r="Y47">
        <v>-0.40454930416798401</v>
      </c>
      <c r="Z47">
        <v>6.8091587699893805E-2</v>
      </c>
      <c r="AA47">
        <v>-0.38291888498614302</v>
      </c>
      <c r="AB47">
        <v>0.13168212217845601</v>
      </c>
      <c r="AC47">
        <v>0.31810736398071399</v>
      </c>
      <c r="AD47">
        <v>-6.7397171007151799E-2</v>
      </c>
      <c r="AE47">
        <v>-6.7308213264419006E-2</v>
      </c>
      <c r="AF47">
        <v>0.220351488865423</v>
      </c>
      <c r="AG47">
        <v>-0.106911429482939</v>
      </c>
      <c r="AH47">
        <v>-0.36485919096945202</v>
      </c>
      <c r="AI47">
        <v>-0.253151869823804</v>
      </c>
      <c r="AJ47">
        <v>-0.38423235764916103</v>
      </c>
      <c r="AK47">
        <v>-0.12775289912694701</v>
      </c>
      <c r="AL47">
        <v>-0.73777596217986197</v>
      </c>
      <c r="AM47">
        <v>-0.169676612651015</v>
      </c>
      <c r="AN47">
        <v>-0.103487075806942</v>
      </c>
      <c r="AO47">
        <v>4.4020132714398096E-3</v>
      </c>
      <c r="AP47">
        <v>-0.73436721866747101</v>
      </c>
      <c r="AQ47">
        <v>-0.39508860166536602</v>
      </c>
      <c r="AR47">
        <v>-6.2231849378628898E-2</v>
      </c>
      <c r="AS47">
        <v>-0.69438416256188296</v>
      </c>
      <c r="AT47">
        <v>-0.90534726947272404</v>
      </c>
      <c r="AU47">
        <v>0.112106964183718</v>
      </c>
      <c r="AV47">
        <v>-0.72353919301314096</v>
      </c>
      <c r="AW47">
        <v>-0.79469252988773698</v>
      </c>
      <c r="AX47">
        <v>-0.46399273333367302</v>
      </c>
      <c r="AY47">
        <v>-0.86941306748843294</v>
      </c>
      <c r="AZ47">
        <v>-0.22669043461617899</v>
      </c>
      <c r="BA47">
        <v>-0.74528161565936102</v>
      </c>
      <c r="BB47">
        <v>-0.89269031289751199</v>
      </c>
      <c r="BC47">
        <v>-0.57824504308887203</v>
      </c>
      <c r="BD47">
        <v>-0.60886780553513697</v>
      </c>
      <c r="BE47">
        <v>-0.78454921054715998</v>
      </c>
      <c r="BF47">
        <v>-1.0073871638871801</v>
      </c>
      <c r="BG47">
        <v>-0.71140475930512403</v>
      </c>
      <c r="BH47">
        <v>-0.22556013906493</v>
      </c>
      <c r="BI47">
        <v>-0.56188329565924899</v>
      </c>
      <c r="BJ47">
        <v>-0.58631705829324199</v>
      </c>
      <c r="BK47">
        <v>-0.89983905627643201</v>
      </c>
      <c r="BL47">
        <v>-0.60779162222257799</v>
      </c>
      <c r="BM47">
        <v>-0.31886005900623299</v>
      </c>
      <c r="BN47">
        <v>1.71382181050015E-3</v>
      </c>
      <c r="BO47">
        <v>-0.37517472856544398</v>
      </c>
      <c r="BP47">
        <v>-0.12201191521553</v>
      </c>
      <c r="BQ47">
        <v>-0.59725318218690204</v>
      </c>
      <c r="BR47">
        <v>-0.87784989075278097</v>
      </c>
      <c r="BS47">
        <v>0.55700252043262599</v>
      </c>
      <c r="BT47">
        <v>0.46735789023207103</v>
      </c>
      <c r="BU47">
        <v>0.30071830579917003</v>
      </c>
      <c r="BV47">
        <v>3.1414346684671503E-2</v>
      </c>
      <c r="BW47">
        <v>-0.40755015869334499</v>
      </c>
      <c r="BX47">
        <v>-0.17519868828527099</v>
      </c>
      <c r="BY47">
        <v>0.180905640277647</v>
      </c>
      <c r="BZ47">
        <v>-0.14527639671182499</v>
      </c>
      <c r="CA47">
        <v>-0.21271542755352599</v>
      </c>
      <c r="CB47">
        <v>-0.62447554477567602</v>
      </c>
      <c r="CC47">
        <v>-0.57978220325484098</v>
      </c>
      <c r="CD47">
        <v>-0.44110592466276299</v>
      </c>
      <c r="CE47">
        <v>-0.24272110729892199</v>
      </c>
      <c r="CF47">
        <v>0.13045528711479801</v>
      </c>
      <c r="CG47">
        <v>-0.25343415667583802</v>
      </c>
      <c r="CH47">
        <v>0.27049774354407002</v>
      </c>
      <c r="CI47">
        <v>0.30243129249574402</v>
      </c>
      <c r="CJ47">
        <v>-0.148549729737595</v>
      </c>
      <c r="CK47">
        <v>-0.33649247435166502</v>
      </c>
      <c r="CL47">
        <v>1.0056948881705899E-3</v>
      </c>
      <c r="CM47">
        <v>0.43705503779669103</v>
      </c>
      <c r="CN47">
        <v>0.34002049057265799</v>
      </c>
      <c r="CO47">
        <v>0.53391177685397995</v>
      </c>
      <c r="CP47">
        <v>0.376796299470534</v>
      </c>
      <c r="CQ47">
        <v>0.99795477238929198</v>
      </c>
      <c r="CR47">
        <v>0.61993814765604704</v>
      </c>
      <c r="CS47">
        <v>0.63990039032271695</v>
      </c>
      <c r="CT47">
        <v>0.459849114616253</v>
      </c>
      <c r="CU47">
        <v>1.21303301022638</v>
      </c>
      <c r="CV47">
        <v>0.42591578627859999</v>
      </c>
      <c r="CW47">
        <v>0.75445394368752905</v>
      </c>
      <c r="CX47">
        <v>0.55811069049981399</v>
      </c>
      <c r="CY47">
        <v>1.45945773837353E-2</v>
      </c>
      <c r="CZ47">
        <v>0.26932647509011598</v>
      </c>
      <c r="DA47">
        <v>-0.384699676287593</v>
      </c>
      <c r="DB47">
        <v>0.11680702357579401</v>
      </c>
      <c r="DC47">
        <v>0.44752363897460001</v>
      </c>
      <c r="DD47">
        <v>0.598901841614217</v>
      </c>
      <c r="DE47">
        <v>0.28466087364223702</v>
      </c>
      <c r="DF47">
        <v>0.89595326603977199</v>
      </c>
      <c r="DG47">
        <v>-6.4045705536083103E-2</v>
      </c>
      <c r="DH47">
        <v>0.14421072213491301</v>
      </c>
      <c r="DI47">
        <v>0.67637200912837403</v>
      </c>
      <c r="DJ47">
        <v>0.22513181744556601</v>
      </c>
      <c r="DK47">
        <v>0.26312336325353602</v>
      </c>
      <c r="DL47">
        <v>0.282580856432947</v>
      </c>
      <c r="DM47">
        <v>-0.132986535046349</v>
      </c>
      <c r="DN47">
        <v>-1.0063964417000701E-3</v>
      </c>
      <c r="DO47">
        <v>0.79877899532610896</v>
      </c>
      <c r="DP47">
        <v>-0.289152705817185</v>
      </c>
      <c r="DQ47">
        <v>0.208155978451455</v>
      </c>
      <c r="DR47">
        <v>7.3681552603388198E-2</v>
      </c>
      <c r="DS47">
        <v>0.84927269312926001</v>
      </c>
      <c r="DT47">
        <v>0.89670394019976696</v>
      </c>
      <c r="DU47">
        <v>0.36837610906129398</v>
      </c>
      <c r="DV47">
        <v>0.69487480803520596</v>
      </c>
      <c r="DW47">
        <v>0.90245959329505898</v>
      </c>
      <c r="DX47">
        <v>0.76520505505297598</v>
      </c>
      <c r="DY47">
        <v>0.17310430417929301</v>
      </c>
      <c r="DZ47">
        <v>0.99243392373093098</v>
      </c>
      <c r="EA47">
        <v>1.2621574044967301</v>
      </c>
      <c r="EB47">
        <v>0.94297496801164504</v>
      </c>
      <c r="EC47">
        <v>4.0687063637662002E-2</v>
      </c>
      <c r="ED47">
        <v>0.76919305394116499</v>
      </c>
      <c r="EE47">
        <v>0.88736173856273404</v>
      </c>
      <c r="EF47">
        <v>0.80927706234788499</v>
      </c>
      <c r="EG47">
        <v>-2.5847938520101799E-2</v>
      </c>
      <c r="EH47">
        <v>0.78552053430396396</v>
      </c>
      <c r="EI47">
        <v>0.43609719834014998</v>
      </c>
      <c r="EJ47">
        <v>0.652585833611114</v>
      </c>
      <c r="EK47">
        <v>-0.22050493282982001</v>
      </c>
      <c r="EL47">
        <v>1.0473557481979101</v>
      </c>
      <c r="EM47">
        <v>-0.14844166132741299</v>
      </c>
      <c r="EN47">
        <v>-0.474832781158397</v>
      </c>
      <c r="EO47">
        <v>0.41679226575808798</v>
      </c>
      <c r="EP47">
        <v>0.17755393910797401</v>
      </c>
      <c r="EQ47">
        <v>0.45236675326182502</v>
      </c>
      <c r="ER47">
        <v>1.8923229349725901E-2</v>
      </c>
      <c r="ES47">
        <v>0.62995394337460897</v>
      </c>
      <c r="ET47">
        <v>5.8976175092033997E-2</v>
      </c>
      <c r="EU47">
        <v>0.69240348189878298</v>
      </c>
      <c r="EV47">
        <v>0.228422355912514</v>
      </c>
      <c r="EW47">
        <v>0.80479691971546896</v>
      </c>
      <c r="EX47">
        <v>0.50053331653404398</v>
      </c>
      <c r="EY47">
        <v>0.81272223956378897</v>
      </c>
      <c r="EZ47">
        <v>0.327438224469148</v>
      </c>
      <c r="FA47">
        <v>-0.53957047785624901</v>
      </c>
      <c r="FB47">
        <v>0.437142135419682</v>
      </c>
      <c r="FC47">
        <v>0.35939572718972501</v>
      </c>
      <c r="FD47">
        <v>5.8748800362834301E-2</v>
      </c>
      <c r="FE47">
        <v>0.164083071479247</v>
      </c>
      <c r="FF47">
        <v>-0.24448223151167001</v>
      </c>
      <c r="FG47">
        <v>-8.1285137447567699E-2</v>
      </c>
      <c r="FH47">
        <v>0.175347810310648</v>
      </c>
      <c r="FI47">
        <v>0.34861772651304901</v>
      </c>
      <c r="FJ47">
        <v>0.45337494367732201</v>
      </c>
      <c r="FK47">
        <v>-0.20685746178811801</v>
      </c>
      <c r="FL47">
        <v>0.77380437780893296</v>
      </c>
      <c r="FM47">
        <v>0.28038512000826998</v>
      </c>
      <c r="FN47">
        <v>0.10598520282375901</v>
      </c>
      <c r="FO47">
        <v>0.37303334584569497</v>
      </c>
      <c r="FP47">
        <v>8.8759072544279199E-2</v>
      </c>
      <c r="FQ47">
        <v>0.494826587721442</v>
      </c>
      <c r="FR47">
        <v>0.101636639623385</v>
      </c>
      <c r="FS47">
        <v>0.53364857319638703</v>
      </c>
      <c r="FT47">
        <v>0.80829447547491096</v>
      </c>
      <c r="FU47">
        <v>0.66424569832772995</v>
      </c>
      <c r="FV47">
        <v>0.25717174044670499</v>
      </c>
      <c r="FW47">
        <v>0.46435794059103302</v>
      </c>
      <c r="FX47">
        <v>0.25573400185696099</v>
      </c>
      <c r="FY47">
        <v>1.0166935540398401</v>
      </c>
      <c r="FZ47">
        <v>0.71714590969432701</v>
      </c>
      <c r="GA47">
        <v>0.59970597374962997</v>
      </c>
      <c r="GB47">
        <v>-0.35869879764393098</v>
      </c>
      <c r="GC47">
        <v>0.84935964550260601</v>
      </c>
      <c r="GD47">
        <v>0.50279523566396001</v>
      </c>
      <c r="GE47">
        <v>0.25374804250345201</v>
      </c>
      <c r="GF47">
        <v>0.60274519367605195</v>
      </c>
      <c r="GG47">
        <v>0.25708334261933602</v>
      </c>
      <c r="GH47">
        <v>0.74757573071375405</v>
      </c>
      <c r="GI47">
        <v>0.40293243837160198</v>
      </c>
      <c r="GJ47">
        <v>0.49609080620907497</v>
      </c>
      <c r="GK47">
        <v>0.33122873784759999</v>
      </c>
    </row>
    <row r="48" spans="1:193" x14ac:dyDescent="0.25">
      <c r="A48" t="s">
        <v>266</v>
      </c>
      <c r="B48" t="s">
        <v>596</v>
      </c>
      <c r="C48">
        <v>0.20179062432004</v>
      </c>
      <c r="D48">
        <v>0.31273095676868401</v>
      </c>
      <c r="E48">
        <v>-2.6902327322932601E-2</v>
      </c>
      <c r="F48">
        <v>4.2845201719355401E-2</v>
      </c>
      <c r="G48">
        <v>4.78009298612719E-2</v>
      </c>
      <c r="H48">
        <v>6.6526023491792999E-2</v>
      </c>
      <c r="I48">
        <v>-5.0018062675910399E-2</v>
      </c>
      <c r="J48">
        <v>-2.8739640393227701E-2</v>
      </c>
      <c r="K48">
        <v>-2.8788070699586499E-2</v>
      </c>
      <c r="L48">
        <v>8.0844240662138495E-2</v>
      </c>
      <c r="M48">
        <v>5.3519664594760701E-2</v>
      </c>
      <c r="N48">
        <v>5.2880709688066803E-2</v>
      </c>
      <c r="O48">
        <v>-5.0018062675910399E-2</v>
      </c>
      <c r="P48">
        <v>-5.0018062675910399E-2</v>
      </c>
      <c r="Q48">
        <v>2.4413998258977301E-2</v>
      </c>
      <c r="R48">
        <v>-5.0018062675910399E-2</v>
      </c>
      <c r="S48">
        <v>-5.0018062675910399E-2</v>
      </c>
      <c r="T48">
        <v>-5.0018062675910399E-2</v>
      </c>
      <c r="U48">
        <v>0.277743563704063</v>
      </c>
      <c r="V48">
        <v>-5.0018062675910399E-2</v>
      </c>
      <c r="W48">
        <v>-5.0018062675910399E-2</v>
      </c>
      <c r="X48">
        <v>0.114799456894009</v>
      </c>
      <c r="Y48">
        <v>-5.0018062675910399E-2</v>
      </c>
      <c r="Z48">
        <v>0.12068385995190301</v>
      </c>
      <c r="AA48">
        <v>0.108260291816991</v>
      </c>
      <c r="AB48">
        <v>-1.1598378482990499E-2</v>
      </c>
      <c r="AC48">
        <v>7.3248883458579004E-3</v>
      </c>
      <c r="AD48">
        <v>-5.0018062675910399E-2</v>
      </c>
      <c r="AE48">
        <v>0.115214560268686</v>
      </c>
      <c r="AF48">
        <v>-5.0018062675910399E-2</v>
      </c>
      <c r="AG48">
        <v>2.26339168875591E-3</v>
      </c>
      <c r="AH48">
        <v>-5.0018062675910399E-2</v>
      </c>
      <c r="AI48">
        <v>-5.0018062675910399E-2</v>
      </c>
      <c r="AJ48">
        <v>-5.0018062675910399E-2</v>
      </c>
      <c r="AK48">
        <v>3.38939030394977E-2</v>
      </c>
      <c r="AL48">
        <v>-5.0018062675910399E-2</v>
      </c>
      <c r="AM48">
        <v>8.7858233532814994E-2</v>
      </c>
      <c r="AN48">
        <v>6.5577499952081703E-2</v>
      </c>
      <c r="AO48">
        <v>5.8362228163987798E-2</v>
      </c>
      <c r="AP48">
        <v>9.2116343371728401E-2</v>
      </c>
      <c r="AQ48">
        <v>-5.0018062675910399E-2</v>
      </c>
      <c r="AR48">
        <v>0.15803264342148399</v>
      </c>
      <c r="AS48">
        <v>-5.0018062675910399E-2</v>
      </c>
      <c r="AT48">
        <v>-5.0018062675910399E-2</v>
      </c>
      <c r="AU48">
        <v>-5.0018062675910399E-2</v>
      </c>
      <c r="AV48">
        <v>8.1338193885336196E-2</v>
      </c>
      <c r="AW48">
        <v>-5.0018062675910399E-2</v>
      </c>
      <c r="AX48">
        <v>-5.0018062675910399E-2</v>
      </c>
      <c r="AY48">
        <v>-5.0018062675910399E-2</v>
      </c>
      <c r="AZ48">
        <v>-5.0018062675910399E-2</v>
      </c>
      <c r="BA48">
        <v>0.29760239207827499</v>
      </c>
      <c r="BB48">
        <v>0.20208664217363601</v>
      </c>
      <c r="BC48">
        <v>0.18799932931279301</v>
      </c>
      <c r="BD48">
        <v>-5.0018062675910399E-2</v>
      </c>
      <c r="BE48">
        <v>0.26026536110290999</v>
      </c>
      <c r="BF48">
        <v>5.9949114752179497E-2</v>
      </c>
      <c r="BG48">
        <v>8.1300940126221702E-2</v>
      </c>
      <c r="BH48">
        <v>-5.0018062675910399E-2</v>
      </c>
      <c r="BI48">
        <v>-5.0018062675910399E-2</v>
      </c>
      <c r="BJ48">
        <v>-5.0018062675910399E-2</v>
      </c>
      <c r="BK48">
        <v>-5.0018062675910399E-2</v>
      </c>
      <c r="BL48">
        <v>-5.0018062675910399E-2</v>
      </c>
      <c r="BM48">
        <v>-5.0018062675910399E-2</v>
      </c>
      <c r="BN48">
        <v>-5.0018062675910399E-2</v>
      </c>
      <c r="BO48">
        <v>-5.0018062675910399E-2</v>
      </c>
      <c r="BP48">
        <v>4.4776648337005003E-2</v>
      </c>
      <c r="BQ48">
        <v>-5.0018062675910399E-2</v>
      </c>
      <c r="BR48">
        <v>-5.0018062675910399E-2</v>
      </c>
      <c r="BS48">
        <v>-8.3476488060806597E-3</v>
      </c>
      <c r="BT48">
        <v>-2.5364128739108802E-2</v>
      </c>
      <c r="BU48">
        <v>-5.0018062675910399E-2</v>
      </c>
      <c r="BV48">
        <v>-5.0018062675910399E-2</v>
      </c>
      <c r="BW48">
        <v>-2.4872537735263999E-2</v>
      </c>
      <c r="BX48">
        <v>-3.5243016464117399E-2</v>
      </c>
      <c r="BY48">
        <v>-2.3719424490863598E-3</v>
      </c>
      <c r="BZ48">
        <v>3.0402687780839301E-2</v>
      </c>
      <c r="CA48">
        <v>-1.11979991317245E-2</v>
      </c>
      <c r="CB48">
        <v>-5.0018062675910399E-2</v>
      </c>
      <c r="CC48">
        <v>7.27922185704164E-2</v>
      </c>
      <c r="CD48">
        <v>8.8469310612859106E-2</v>
      </c>
      <c r="CE48">
        <v>0.16091250380628699</v>
      </c>
      <c r="CF48">
        <v>0.101989946063862</v>
      </c>
      <c r="CG48">
        <v>-5.0018062675910399E-2</v>
      </c>
      <c r="CH48">
        <v>-5.0018062675910399E-2</v>
      </c>
      <c r="CI48">
        <v>0.25760392317009201</v>
      </c>
      <c r="CJ48">
        <v>6.2359615444376897E-2</v>
      </c>
      <c r="CK48">
        <v>6.6562653519551901E-2</v>
      </c>
      <c r="CL48">
        <v>-5.0018062675910399E-2</v>
      </c>
      <c r="CM48">
        <v>-5.0018062675910399E-2</v>
      </c>
      <c r="CN48">
        <v>-5.0018062675910399E-2</v>
      </c>
      <c r="CO48">
        <v>7.1019990795712404E-2</v>
      </c>
      <c r="CP48">
        <v>0.103840330336835</v>
      </c>
      <c r="CQ48">
        <v>8.3691053826791401E-2</v>
      </c>
      <c r="CR48">
        <v>0.23859968745518001</v>
      </c>
      <c r="CS48">
        <v>-5.0018062675910399E-2</v>
      </c>
      <c r="CT48">
        <v>0.115178405501973</v>
      </c>
      <c r="CU48">
        <v>-5.0018062675910399E-2</v>
      </c>
      <c r="CV48">
        <v>0.121544073803234</v>
      </c>
      <c r="CW48">
        <v>-5.0018062675910399E-2</v>
      </c>
      <c r="CX48">
        <v>7.3013949322569299E-2</v>
      </c>
      <c r="CY48">
        <v>-5.0018062675910399E-2</v>
      </c>
      <c r="CZ48">
        <v>-5.0018062675910399E-2</v>
      </c>
      <c r="DA48">
        <v>-5.0018062675910399E-2</v>
      </c>
      <c r="DB48">
        <v>8.8919853862050299E-2</v>
      </c>
      <c r="DC48">
        <v>-5.0018062675910399E-2</v>
      </c>
      <c r="DD48">
        <v>0.109288316059028</v>
      </c>
      <c r="DE48">
        <v>-5.0018062675910399E-2</v>
      </c>
      <c r="DF48">
        <v>-5.0018062675910399E-2</v>
      </c>
      <c r="DG48">
        <v>-5.0018062675910399E-2</v>
      </c>
      <c r="DH48">
        <v>-5.0018062675910399E-2</v>
      </c>
      <c r="DI48">
        <v>-5.0018062675910399E-2</v>
      </c>
      <c r="DJ48">
        <v>9.2622391143549407E-2</v>
      </c>
      <c r="DK48">
        <v>-5.0018062675910399E-2</v>
      </c>
      <c r="DL48">
        <v>-5.0018062675910399E-2</v>
      </c>
      <c r="DM48">
        <v>-5.0018062675910399E-2</v>
      </c>
      <c r="DN48">
        <v>-5.0018062675910399E-2</v>
      </c>
      <c r="DO48">
        <v>-5.0018062675910399E-2</v>
      </c>
      <c r="DP48">
        <v>7.1819866770901505E-2</v>
      </c>
      <c r="DQ48">
        <v>-5.0018062675910399E-2</v>
      </c>
      <c r="DR48">
        <v>0.107736444579667</v>
      </c>
      <c r="DS48">
        <v>7.2961866026744898E-2</v>
      </c>
      <c r="DT48">
        <v>-5.0018062675910399E-2</v>
      </c>
      <c r="DU48">
        <v>8.7514284892373603E-2</v>
      </c>
      <c r="DV48">
        <v>-5.0018062675910399E-2</v>
      </c>
      <c r="DW48">
        <v>-5.0018062675910399E-2</v>
      </c>
      <c r="DX48">
        <v>-5.0018062675910399E-2</v>
      </c>
      <c r="DY48">
        <v>6.2809918787829197E-2</v>
      </c>
      <c r="DZ48">
        <v>6.7923410644632906E-2</v>
      </c>
      <c r="EA48">
        <v>0.105127914719623</v>
      </c>
      <c r="EB48">
        <v>-5.0018062675910399E-2</v>
      </c>
      <c r="EC48">
        <v>-5.0018062675910399E-2</v>
      </c>
      <c r="ED48">
        <v>-5.0018062675910399E-2</v>
      </c>
      <c r="EE48">
        <v>-5.0018062675910399E-2</v>
      </c>
      <c r="EF48">
        <v>5.7783762991007501E-2</v>
      </c>
      <c r="EG48">
        <v>0.326392728217963</v>
      </c>
      <c r="EH48">
        <v>7.2852402513546202E-2</v>
      </c>
      <c r="EI48">
        <v>0.28534215864244</v>
      </c>
      <c r="EJ48">
        <v>-5.0018062675910399E-2</v>
      </c>
      <c r="EK48">
        <v>5.5306391907555701E-2</v>
      </c>
      <c r="EL48">
        <v>-5.0018062675910399E-2</v>
      </c>
      <c r="EM48">
        <v>-5.0018062675910399E-2</v>
      </c>
      <c r="EN48">
        <v>9.9314200755778997E-3</v>
      </c>
      <c r="EO48">
        <v>-5.0018062675910399E-2</v>
      </c>
      <c r="EP48">
        <v>5.6474607548671001E-2</v>
      </c>
      <c r="EQ48">
        <v>-5.0018062675910399E-2</v>
      </c>
      <c r="ER48">
        <v>9.7738692909996899E-2</v>
      </c>
      <c r="ES48">
        <v>-5.0018062675910399E-2</v>
      </c>
      <c r="ET48">
        <v>-5.0018062675910399E-2</v>
      </c>
      <c r="EU48">
        <v>0.100721571026997</v>
      </c>
      <c r="EV48">
        <v>-5.0018062675910399E-2</v>
      </c>
      <c r="EW48">
        <v>0.15785470083268699</v>
      </c>
      <c r="EX48">
        <v>-5.0018062675910399E-2</v>
      </c>
      <c r="EY48">
        <v>0.33148188260177802</v>
      </c>
      <c r="EZ48">
        <v>-5.0018062675910399E-2</v>
      </c>
      <c r="FA48">
        <v>-5.0018062675910399E-2</v>
      </c>
      <c r="FB48">
        <v>0.33478505812033998</v>
      </c>
      <c r="FC48">
        <v>8.2951820254127603E-2</v>
      </c>
      <c r="FD48">
        <v>-5.0018062675910399E-2</v>
      </c>
      <c r="FE48">
        <v>-5.0018062675910399E-2</v>
      </c>
      <c r="FF48">
        <v>-5.0018062675910399E-2</v>
      </c>
      <c r="FG48">
        <v>-5.0018062675910399E-2</v>
      </c>
      <c r="FH48">
        <v>-5.0018062675910399E-2</v>
      </c>
      <c r="FI48">
        <v>0.123877516308826</v>
      </c>
      <c r="FJ48">
        <v>0.187900482631077</v>
      </c>
      <c r="FK48">
        <v>-5.0018062675910399E-2</v>
      </c>
      <c r="FL48">
        <v>0.16919417991906899</v>
      </c>
      <c r="FM48">
        <v>-5.0018062675910399E-2</v>
      </c>
      <c r="FN48">
        <v>-5.0018062675910399E-2</v>
      </c>
      <c r="FO48">
        <v>0.10615932532967901</v>
      </c>
      <c r="FP48">
        <v>-2.3238980219197599E-4</v>
      </c>
      <c r="FQ48">
        <v>-5.0018062675910399E-2</v>
      </c>
      <c r="FR48">
        <v>-5.0018062675910399E-2</v>
      </c>
      <c r="FS48">
        <v>-4.1971297075057102E-3</v>
      </c>
      <c r="FT48">
        <v>-5.0018062675910399E-2</v>
      </c>
      <c r="FU48">
        <v>-5.0018062675910399E-2</v>
      </c>
      <c r="FV48">
        <v>0.20011920024634</v>
      </c>
      <c r="FW48">
        <v>4.5788805592361301E-2</v>
      </c>
      <c r="FX48">
        <v>3.4213579913490402E-2</v>
      </c>
      <c r="FY48">
        <v>8.5320653747126204E-2</v>
      </c>
      <c r="FZ48">
        <v>-5.0018062675910399E-2</v>
      </c>
      <c r="GA48">
        <v>6.1093050710719701E-2</v>
      </c>
      <c r="GB48">
        <v>-5.0018062675910399E-2</v>
      </c>
      <c r="GC48">
        <v>-5.0018062675910399E-2</v>
      </c>
      <c r="GD48">
        <v>0.22608375535583899</v>
      </c>
      <c r="GE48">
        <v>-5.0018062675910399E-2</v>
      </c>
      <c r="GF48">
        <v>0.20624391589985</v>
      </c>
      <c r="GG48">
        <v>0.19378007618530499</v>
      </c>
      <c r="GH48">
        <v>5.6086800857733099E-2</v>
      </c>
      <c r="GI48">
        <v>5.08816892210395E-2</v>
      </c>
      <c r="GJ48">
        <v>-5.0018062675910399E-2</v>
      </c>
      <c r="GK48">
        <v>2.4119587907563099E-3</v>
      </c>
    </row>
    <row r="49" spans="1:206" x14ac:dyDescent="0.25">
      <c r="A49" t="s">
        <v>266</v>
      </c>
      <c r="B49" t="s">
        <v>627</v>
      </c>
      <c r="C49">
        <v>0</v>
      </c>
      <c r="D49">
        <v>0</v>
      </c>
      <c r="E49">
        <v>0</v>
      </c>
      <c r="F49">
        <v>3.35212422906635E-2</v>
      </c>
      <c r="G49">
        <v>0</v>
      </c>
      <c r="H49">
        <v>0</v>
      </c>
      <c r="I49">
        <v>0</v>
      </c>
      <c r="J49">
        <v>0</v>
      </c>
      <c r="K49">
        <v>0</v>
      </c>
      <c r="L49">
        <v>3.7446217014519702E-2</v>
      </c>
      <c r="M49">
        <v>4.0669532572012598E-2</v>
      </c>
      <c r="N49">
        <v>2.62600233823524E-2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1.49649452538641E-2</v>
      </c>
      <c r="AC49">
        <v>0</v>
      </c>
      <c r="AD49">
        <v>7.1979845082154797E-2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9.0583303987006106E-2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8.0059526113843399E-2</v>
      </c>
      <c r="BF49">
        <v>0.10996717742808999</v>
      </c>
      <c r="BG49">
        <v>0</v>
      </c>
      <c r="BH49">
        <v>0</v>
      </c>
      <c r="BI49">
        <v>0</v>
      </c>
      <c r="BJ49">
        <v>0</v>
      </c>
      <c r="BK49">
        <v>0.10473772768606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1.0225700161008501E-2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1.0259184641600401E-2</v>
      </c>
      <c r="CA49">
        <v>1.30242665088118E-2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1.26669282141058E-2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0.12906981867379999</v>
      </c>
      <c r="EK49">
        <v>0</v>
      </c>
      <c r="EL49">
        <v>0</v>
      </c>
      <c r="EM49">
        <v>0</v>
      </c>
      <c r="EN49">
        <v>5.9949482751488203E-2</v>
      </c>
      <c r="EO49">
        <v>0</v>
      </c>
      <c r="EP49">
        <v>0</v>
      </c>
      <c r="EQ49">
        <v>0.179113448495723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0.10719108652562501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4.9785672873718399E-2</v>
      </c>
      <c r="FQ49">
        <v>0</v>
      </c>
      <c r="FR49">
        <v>0</v>
      </c>
      <c r="FS49">
        <v>1.28943676002097E-2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1.7200256286971902E-2</v>
      </c>
      <c r="GJ49">
        <v>0</v>
      </c>
      <c r="GK49">
        <v>0</v>
      </c>
    </row>
    <row r="50" spans="1:206" x14ac:dyDescent="0.25">
      <c r="A50" t="s">
        <v>266</v>
      </c>
      <c r="B50" t="s">
        <v>602</v>
      </c>
      <c r="C50">
        <v>-4.6134417243401803E-2</v>
      </c>
      <c r="D50">
        <v>-4.1209834527184096E-3</v>
      </c>
      <c r="E50">
        <v>-2.0831084425873801E-2</v>
      </c>
      <c r="F50">
        <v>3.2917911018877102E-2</v>
      </c>
      <c r="G50">
        <v>0.100783880554088</v>
      </c>
      <c r="H50">
        <v>-1.79764866420269E-2</v>
      </c>
      <c r="I50">
        <v>0.192623940715376</v>
      </c>
      <c r="J50">
        <v>-7.1414153932098004E-2</v>
      </c>
      <c r="K50">
        <v>-0.113290580833406</v>
      </c>
      <c r="L50">
        <v>-9.7074355795210496E-2</v>
      </c>
      <c r="M50">
        <v>6.13348241616406E-2</v>
      </c>
      <c r="N50">
        <v>-6.7530202867900797E-3</v>
      </c>
      <c r="O50">
        <v>-0.13452057280973001</v>
      </c>
      <c r="P50">
        <v>5.5989271637336101E-2</v>
      </c>
      <c r="Q50">
        <v>1.0901380547252201E-2</v>
      </c>
      <c r="R50">
        <v>3.8381420957674203E-2</v>
      </c>
      <c r="S50">
        <v>-0.13452057280973001</v>
      </c>
      <c r="T50">
        <v>1.4053356815023701E-2</v>
      </c>
      <c r="U50">
        <v>-0.13452057280973001</v>
      </c>
      <c r="V50">
        <v>-0.13452057280973001</v>
      </c>
      <c r="W50">
        <v>3.7627374104766902E-2</v>
      </c>
      <c r="X50">
        <v>0.17950561778059801</v>
      </c>
      <c r="Y50">
        <v>-0.13452057280973001</v>
      </c>
      <c r="Z50">
        <v>-0.13452057280973001</v>
      </c>
      <c r="AA50">
        <v>-0.13452057280973001</v>
      </c>
      <c r="AB50">
        <v>-3.2401055201972201E-2</v>
      </c>
      <c r="AC50">
        <v>-0.13452057280973001</v>
      </c>
      <c r="AD50">
        <v>-0.13452057280973001</v>
      </c>
      <c r="AE50">
        <v>-0.13452057280973001</v>
      </c>
      <c r="AF50">
        <v>1.5329256492220099E-2</v>
      </c>
      <c r="AG50">
        <v>-2.6969416704856301E-3</v>
      </c>
      <c r="AH50">
        <v>7.6006045400563802E-3</v>
      </c>
      <c r="AI50">
        <v>-1.08684303284816E-2</v>
      </c>
      <c r="AJ50">
        <v>-5.5891996416468699E-2</v>
      </c>
      <c r="AK50">
        <v>2.9016629651854E-2</v>
      </c>
      <c r="AL50">
        <v>9.2099697264152805E-2</v>
      </c>
      <c r="AM50">
        <v>3.3557233989952402E-3</v>
      </c>
      <c r="AN50">
        <v>-0.13452057280973001</v>
      </c>
      <c r="AO50">
        <v>7.5262872170262493E-2</v>
      </c>
      <c r="AP50">
        <v>7.6138332379087703E-3</v>
      </c>
      <c r="AQ50">
        <v>-8.1285559754825498E-3</v>
      </c>
      <c r="AR50">
        <v>-0.13452057280973001</v>
      </c>
      <c r="AS50">
        <v>1.45899798720544E-2</v>
      </c>
      <c r="AT50">
        <v>-0.13452057280973001</v>
      </c>
      <c r="AU50">
        <v>0.170684581980622</v>
      </c>
      <c r="AV50">
        <v>-3.1643162484836702E-3</v>
      </c>
      <c r="AW50">
        <v>-4.3937268822724002E-2</v>
      </c>
      <c r="AX50">
        <v>-0.13452057280973001</v>
      </c>
      <c r="AY50">
        <v>-3.07225147953098E-2</v>
      </c>
      <c r="AZ50">
        <v>-0.13452057280973001</v>
      </c>
      <c r="BA50">
        <v>-9.8777454112052698E-3</v>
      </c>
      <c r="BB50">
        <v>-0.13452057280973001</v>
      </c>
      <c r="BC50">
        <v>-0.13452057280973001</v>
      </c>
      <c r="BD50">
        <v>-0.13452057280973001</v>
      </c>
      <c r="BE50">
        <v>-0.13452057280973001</v>
      </c>
      <c r="BF50">
        <v>-0.13452057280973001</v>
      </c>
      <c r="BG50">
        <v>-9.0846113214046106E-2</v>
      </c>
      <c r="BH50">
        <v>-0.13452057280973001</v>
      </c>
      <c r="BI50">
        <v>-4.1853241677275603E-2</v>
      </c>
      <c r="BJ50">
        <v>-2.9011520763085601E-2</v>
      </c>
      <c r="BK50">
        <v>-0.13452057280973001</v>
      </c>
      <c r="BL50">
        <v>-5.2008315130862397E-2</v>
      </c>
      <c r="BM50">
        <v>-3.7735904011999999E-2</v>
      </c>
      <c r="BN50">
        <v>-0.13452057280973001</v>
      </c>
      <c r="BO50">
        <v>0.120842153185285</v>
      </c>
      <c r="BP50">
        <v>4.9753043471095798E-2</v>
      </c>
      <c r="BQ50">
        <v>-0.13452057280973001</v>
      </c>
      <c r="BR50">
        <v>6.6423709394467595E-2</v>
      </c>
      <c r="BS50">
        <v>-6.1204380117437802E-3</v>
      </c>
      <c r="BT50">
        <v>7.7326725727627804E-2</v>
      </c>
      <c r="BU50">
        <v>-0.13452057280973001</v>
      </c>
      <c r="BV50">
        <v>-2.1845362285551999E-2</v>
      </c>
      <c r="BW50">
        <v>-8.4582622451401607E-2</v>
      </c>
      <c r="BX50">
        <v>-6.1662387452575601E-2</v>
      </c>
      <c r="BY50">
        <v>-2.9480433018933098E-2</v>
      </c>
      <c r="BZ50">
        <v>-5.1993267550685701E-2</v>
      </c>
      <c r="CA50">
        <v>-5.02775806225274E-2</v>
      </c>
      <c r="CB50">
        <v>2.3508401453976702E-2</v>
      </c>
      <c r="CC50">
        <v>-0.13452057280973001</v>
      </c>
      <c r="CD50">
        <v>3.9668004790395298E-3</v>
      </c>
      <c r="CE50">
        <v>0.12728980673094101</v>
      </c>
      <c r="CF50">
        <v>0.35355898973150002</v>
      </c>
      <c r="CG50">
        <v>-0.13452057280973001</v>
      </c>
      <c r="CH50">
        <v>1.76984470247093E-2</v>
      </c>
      <c r="CI50">
        <v>0.17310141303627199</v>
      </c>
      <c r="CJ50">
        <v>-7.4496677786896698E-2</v>
      </c>
      <c r="CK50">
        <v>1.15978430151119E-2</v>
      </c>
      <c r="CL50">
        <v>-0.13452057280973001</v>
      </c>
      <c r="CM50">
        <v>4.8922600689217298E-2</v>
      </c>
      <c r="CN50">
        <v>1.4325164235283599E-4</v>
      </c>
      <c r="CO50">
        <v>-0.13452057280973001</v>
      </c>
      <c r="CP50">
        <v>0.10284518994988</v>
      </c>
      <c r="CQ50">
        <v>-8.1145630702859201E-4</v>
      </c>
      <c r="CR50">
        <v>1.6385690612877101E-2</v>
      </c>
      <c r="CS50">
        <v>-0.13452057280973001</v>
      </c>
      <c r="CT50">
        <v>-0.13452057280973001</v>
      </c>
      <c r="CU50">
        <v>0.31384680231953199</v>
      </c>
      <c r="CV50">
        <v>-0.13452057280973001</v>
      </c>
      <c r="CW50">
        <v>-1.7070417742364799E-2</v>
      </c>
      <c r="CX50">
        <v>-1.14885608112504E-2</v>
      </c>
      <c r="CY50">
        <v>3.7297090055023602E-2</v>
      </c>
      <c r="CZ50">
        <v>-0.13452057280973001</v>
      </c>
      <c r="DA50">
        <v>-0.13452057280973001</v>
      </c>
      <c r="DB50">
        <v>-0.13452057280973001</v>
      </c>
      <c r="DC50">
        <v>0.13740908589918099</v>
      </c>
      <c r="DD50">
        <v>2.4785805925208401E-2</v>
      </c>
      <c r="DE50">
        <v>0.27102794625341098</v>
      </c>
      <c r="DF50">
        <v>3.0644113827995E-2</v>
      </c>
      <c r="DG50">
        <v>0.14583117714215699</v>
      </c>
      <c r="DH50">
        <v>8.2320768821156395E-2</v>
      </c>
      <c r="DI50">
        <v>0.28171300226900098</v>
      </c>
      <c r="DJ50">
        <v>-0.13452057280973001</v>
      </c>
      <c r="DK50">
        <v>9.1941347027958198E-2</v>
      </c>
      <c r="DL50">
        <v>-0.13452057280973001</v>
      </c>
      <c r="DM50">
        <v>-0.13452057280973001</v>
      </c>
      <c r="DN50">
        <v>2.3584442196672599E-2</v>
      </c>
      <c r="DO50">
        <v>2.8402738134996799E-2</v>
      </c>
      <c r="DP50">
        <v>0.162987741596791</v>
      </c>
      <c r="DQ50">
        <v>-0.13452057280973001</v>
      </c>
      <c r="DR50">
        <v>2.3233934445847499E-2</v>
      </c>
      <c r="DS50">
        <v>-1.1540644107075001E-2</v>
      </c>
      <c r="DT50">
        <v>1.2925455747327E-2</v>
      </c>
      <c r="DU50">
        <v>3.01177475855352E-3</v>
      </c>
      <c r="DV50">
        <v>-5.7520876472442403E-3</v>
      </c>
      <c r="DW50">
        <v>0.133168002717862</v>
      </c>
      <c r="DX50">
        <v>-0.13452057280973001</v>
      </c>
      <c r="DY50">
        <v>-0.13452057280973001</v>
      </c>
      <c r="DZ50">
        <v>0.25302925003464699</v>
      </c>
      <c r="EA50">
        <v>0.16176265243805199</v>
      </c>
      <c r="EB50">
        <v>1.8813106328341701E-2</v>
      </c>
      <c r="EC50">
        <v>0.107756484201459</v>
      </c>
      <c r="ED50">
        <v>6.4015799962782102E-2</v>
      </c>
      <c r="EE50">
        <v>0.240788256810095</v>
      </c>
      <c r="EF50">
        <v>-0.13452057280973001</v>
      </c>
      <c r="EG50">
        <v>-4.5005180919993601E-2</v>
      </c>
      <c r="EH50">
        <v>0.20893086577675199</v>
      </c>
      <c r="EI50">
        <v>-1.5134067140265E-2</v>
      </c>
      <c r="EJ50">
        <v>-0.13452057280973001</v>
      </c>
      <c r="EK50">
        <v>-2.9196118226264001E-2</v>
      </c>
      <c r="EL50">
        <v>0.151378959444323</v>
      </c>
      <c r="EM50">
        <v>1.4731751772454799E-2</v>
      </c>
      <c r="EN50">
        <v>-0.13452057280973001</v>
      </c>
      <c r="EO50">
        <v>9.7265844473864802E-3</v>
      </c>
      <c r="EP50">
        <v>7.2007832481325196E-2</v>
      </c>
      <c r="EQ50">
        <v>-0.13452057280973001</v>
      </c>
      <c r="ER50">
        <v>1.3236182776177E-2</v>
      </c>
      <c r="ES50">
        <v>-0.13452057280973001</v>
      </c>
      <c r="ET50">
        <v>-1.2871445764498999E-2</v>
      </c>
      <c r="EU50">
        <v>1.6219060893177598E-2</v>
      </c>
      <c r="EV50">
        <v>-1.25354840539571E-2</v>
      </c>
      <c r="EW50">
        <v>7.3352190698867004E-2</v>
      </c>
      <c r="EX50">
        <v>0.23536979957927801</v>
      </c>
      <c r="EY50">
        <v>-0.13452057280973001</v>
      </c>
      <c r="EZ50">
        <v>-8.4448127032276405E-3</v>
      </c>
      <c r="FA50">
        <v>-0.13452057280973001</v>
      </c>
      <c r="FB50">
        <v>-0.13452057280973001</v>
      </c>
      <c r="FC50">
        <v>0.121386875127849</v>
      </c>
      <c r="FD50">
        <v>-0.13452057280973001</v>
      </c>
      <c r="FE50">
        <v>-1.7051658845475399E-2</v>
      </c>
      <c r="FF50">
        <v>-0.13452057280973001</v>
      </c>
      <c r="FG50">
        <v>0.16596905914999099</v>
      </c>
      <c r="FH50">
        <v>9.3216421535059102E-2</v>
      </c>
      <c r="FI50">
        <v>4.7487390953103803E-3</v>
      </c>
      <c r="FJ50">
        <v>-3.8386058615331203E-2</v>
      </c>
      <c r="FK50">
        <v>0.13133784147098301</v>
      </c>
      <c r="FL50">
        <v>-0.13452057280973001</v>
      </c>
      <c r="FM50">
        <v>9.9703631623405398E-3</v>
      </c>
      <c r="FN50">
        <v>-0.13452057280973001</v>
      </c>
      <c r="FO50">
        <v>0.106437465525644</v>
      </c>
      <c r="FP50">
        <v>-8.4734899936011701E-2</v>
      </c>
      <c r="FQ50">
        <v>0.201292541393429</v>
      </c>
      <c r="FR50">
        <v>-0.13452057280973001</v>
      </c>
      <c r="FS50">
        <v>1.6714821320679901E-2</v>
      </c>
      <c r="FT50">
        <v>-1.5190115548050101E-2</v>
      </c>
      <c r="FU50">
        <v>-0.13452057280973001</v>
      </c>
      <c r="FV50">
        <v>-7.6732588178584901E-2</v>
      </c>
      <c r="FW50">
        <v>0.21928453615514401</v>
      </c>
      <c r="FX50">
        <v>2.97799051810505E-2</v>
      </c>
      <c r="FY50">
        <v>-0.13452057280973001</v>
      </c>
      <c r="FZ50">
        <v>-0.13452057280973001</v>
      </c>
      <c r="GA50">
        <v>-0.13452057280973001</v>
      </c>
      <c r="GB50">
        <v>-0.13452057280973001</v>
      </c>
      <c r="GC50">
        <v>0.15464215228021799</v>
      </c>
      <c r="GD50">
        <v>-0.13452057280973001</v>
      </c>
      <c r="GE50">
        <v>0.200675645864025</v>
      </c>
      <c r="GF50">
        <v>0.12174140576603</v>
      </c>
      <c r="GG50">
        <v>0.27951799162190699</v>
      </c>
      <c r="GH50">
        <v>0.104267692339244</v>
      </c>
      <c r="GI50">
        <v>-2.4068195370488401E-2</v>
      </c>
      <c r="GJ50">
        <v>-6.8579265807988303E-3</v>
      </c>
      <c r="GK50">
        <v>-3.1160349891001301E-2</v>
      </c>
    </row>
    <row r="51" spans="1:206" x14ac:dyDescent="0.25">
      <c r="A51" s="2" t="s">
        <v>266</v>
      </c>
      <c r="B51" s="2" t="s">
        <v>779</v>
      </c>
      <c r="C51" s="2">
        <v>0.26037267162005001</v>
      </c>
      <c r="D51" s="2">
        <v>0.34483763150478097</v>
      </c>
      <c r="E51" s="2">
        <v>2.2986119075599198</v>
      </c>
      <c r="F51" s="2">
        <v>2.0455020937930901</v>
      </c>
      <c r="G51" s="2">
        <v>0.110693752291554</v>
      </c>
      <c r="H51" s="2">
        <v>0.24744847288458499</v>
      </c>
      <c r="I51" s="2">
        <v>5.0043479407215301</v>
      </c>
      <c r="J51" s="2">
        <v>4.7423570868751002</v>
      </c>
      <c r="K51" s="2">
        <v>3.9096491600062699</v>
      </c>
      <c r="L51" s="2">
        <v>0.45518738442956702</v>
      </c>
      <c r="M51" s="2">
        <v>-1.5827506725391301E-2</v>
      </c>
      <c r="N51" s="2">
        <v>-2.7765778404879499E-2</v>
      </c>
      <c r="O51" s="2">
        <v>0.27822005103972203</v>
      </c>
      <c r="P51" s="2">
        <v>1.8288541291252701E-2</v>
      </c>
      <c r="Q51" s="2">
        <v>-5.4893606304218696E-3</v>
      </c>
      <c r="R51" s="2">
        <v>-7.9921421565309694E-2</v>
      </c>
      <c r="S51" s="2">
        <v>4.0565902155536397E-2</v>
      </c>
      <c r="T51" s="2">
        <v>0.44477617578497303</v>
      </c>
      <c r="U51" s="2">
        <v>5.5135542723731001E-2</v>
      </c>
      <c r="V51" s="2">
        <v>-7.9921421565309694E-2</v>
      </c>
      <c r="W51" s="2">
        <v>0.24745634574595701</v>
      </c>
      <c r="X51" s="2">
        <v>-7.9921421565309694E-2</v>
      </c>
      <c r="Y51" s="2">
        <v>-7.9921421565309694E-2</v>
      </c>
      <c r="Z51" s="2">
        <v>0.70260102977338301</v>
      </c>
      <c r="AA51" s="2">
        <v>7.8356932927591702E-2</v>
      </c>
      <c r="AB51" s="2">
        <v>-6.3669137599631099E-3</v>
      </c>
      <c r="AC51" s="2">
        <v>-2.25784705435415E-2</v>
      </c>
      <c r="AD51" s="2">
        <v>-7.9921421565309694E-2</v>
      </c>
      <c r="AE51" s="2">
        <v>3.2148156162139098E-2</v>
      </c>
      <c r="AF51" s="2">
        <v>-7.9921421565309694E-2</v>
      </c>
      <c r="AG51" s="2">
        <v>0.119762508797605</v>
      </c>
      <c r="AH51" s="2">
        <v>0.378936928094537</v>
      </c>
      <c r="AI51" s="2">
        <v>0.26529306779815898</v>
      </c>
      <c r="AJ51" s="2">
        <v>-1.29284517204832E-3</v>
      </c>
      <c r="AK51" s="2">
        <v>0.159386612477044</v>
      </c>
      <c r="AL51" s="2">
        <v>7.4747890442057999E-2</v>
      </c>
      <c r="AM51" s="2">
        <v>5.7954874643415699E-2</v>
      </c>
      <c r="AN51" s="2">
        <v>3.56741410626824E-2</v>
      </c>
      <c r="AO51" s="2">
        <v>-7.9921421565309694E-2</v>
      </c>
      <c r="AP51" s="2">
        <v>0.31296445857518101</v>
      </c>
      <c r="AQ51" s="2">
        <v>4.6470595268938E-2</v>
      </c>
      <c r="AR51" s="2">
        <v>-7.9921421565309694E-2</v>
      </c>
      <c r="AS51" s="2">
        <v>3.9383199932480101E-2</v>
      </c>
      <c r="AT51" s="2">
        <v>2.0010951509933199E-2</v>
      </c>
      <c r="AU51" s="2">
        <v>-7.9921421565309694E-2</v>
      </c>
      <c r="AV51" s="2">
        <v>5.14348349959367E-2</v>
      </c>
      <c r="AW51" s="2">
        <v>1.06618824216963E-2</v>
      </c>
      <c r="AX51" s="2">
        <v>0.180681182488034</v>
      </c>
      <c r="AY51" s="2">
        <v>0.12126649250610801</v>
      </c>
      <c r="AZ51" s="2">
        <v>9.1521197557268494E-2</v>
      </c>
      <c r="BA51" s="2">
        <v>0.16015666196386599</v>
      </c>
      <c r="BB51" s="2">
        <v>2.2468119615851601E-2</v>
      </c>
      <c r="BC51" s="2">
        <v>-7.9921421565309694E-2</v>
      </c>
      <c r="BD51" s="2">
        <v>5.6648524253259697E-2</v>
      </c>
      <c r="BE51" s="2">
        <v>4.51752591181925E-2</v>
      </c>
      <c r="BF51" s="2">
        <v>3.0045755862780101E-2</v>
      </c>
      <c r="BG51" s="2">
        <v>6.3449582647473503E-3</v>
      </c>
      <c r="BH51" s="2">
        <v>6.4669893054577501E-4</v>
      </c>
      <c r="BI51" s="2">
        <v>0.10025672126258001</v>
      </c>
      <c r="BJ51" s="2">
        <v>0.30591166980579898</v>
      </c>
      <c r="BK51" s="2">
        <v>2.48163061207505E-2</v>
      </c>
      <c r="BL51" s="2">
        <v>0.15582934670984999</v>
      </c>
      <c r="BM51" s="2">
        <v>1.68632472324204E-2</v>
      </c>
      <c r="BN51" s="2">
        <v>-7.9921421565309694E-2</v>
      </c>
      <c r="BO51" s="2">
        <v>0.21291564551035899</v>
      </c>
      <c r="BP51" s="2">
        <v>0.18910750850906599</v>
      </c>
      <c r="BQ51" s="2">
        <v>8.0892321185665004E-3</v>
      </c>
      <c r="BR51" s="2">
        <v>-7.9921421565309694E-2</v>
      </c>
      <c r="BS51" s="2">
        <v>2.43580785463794</v>
      </c>
      <c r="BT51" s="2">
        <v>2.32307401287198</v>
      </c>
      <c r="BU51" s="2">
        <v>3.3597156522591902</v>
      </c>
      <c r="BV51" s="2">
        <v>3.7151501207386901</v>
      </c>
      <c r="BW51" s="2">
        <v>3.4360856910639801</v>
      </c>
      <c r="BX51" s="2">
        <v>4.1143353324547203</v>
      </c>
      <c r="BY51" s="2">
        <v>3.5926252662885299</v>
      </c>
      <c r="BZ51" s="2">
        <v>2.3483755042880401</v>
      </c>
      <c r="CA51" s="2">
        <v>2.3293698212950602</v>
      </c>
      <c r="CB51" s="2">
        <v>-7.9921421565309694E-2</v>
      </c>
      <c r="CC51" s="2">
        <v>0.15689202334188501</v>
      </c>
      <c r="CD51" s="2">
        <v>5.8565951723459901E-2</v>
      </c>
      <c r="CE51" s="2">
        <v>0.181888957975361</v>
      </c>
      <c r="CF51" s="2">
        <v>7.2086587174462299E-2</v>
      </c>
      <c r="CG51" s="2">
        <v>6.6235133051005798E-2</v>
      </c>
      <c r="CH51" s="2">
        <v>0.211164696169579</v>
      </c>
      <c r="CI51" s="2">
        <v>-7.9921421565309694E-2</v>
      </c>
      <c r="CJ51" s="2">
        <v>-1.01344705843355E-2</v>
      </c>
      <c r="CK51" s="2">
        <v>-4.0185241013990597E-2</v>
      </c>
      <c r="CL51" s="2">
        <v>0.23529231833804701</v>
      </c>
      <c r="CM51" s="2">
        <v>-7.9921421565309694E-2</v>
      </c>
      <c r="CN51" s="2">
        <v>5.4742402886773303E-2</v>
      </c>
      <c r="CO51" s="2">
        <v>4.1116631906312998E-2</v>
      </c>
      <c r="CP51" s="2">
        <v>0.21413920228467301</v>
      </c>
      <c r="CQ51" s="2">
        <v>-7.9921421565309694E-2</v>
      </c>
      <c r="CR51" s="2">
        <v>7.0984841857297504E-2</v>
      </c>
      <c r="CS51" s="2">
        <v>0.15384769497508699</v>
      </c>
      <c r="CT51" s="2">
        <v>8.5275046612573402E-2</v>
      </c>
      <c r="CU51" s="2">
        <v>0.23237037571228</v>
      </c>
      <c r="CV51" s="2">
        <v>0.24635847606772401</v>
      </c>
      <c r="CW51" s="2">
        <v>0.14703169037545799</v>
      </c>
      <c r="CX51" s="2">
        <v>0.15735196090218501</v>
      </c>
      <c r="CY51" s="2">
        <v>-7.9921421565309694E-2</v>
      </c>
      <c r="CZ51" s="2">
        <v>1.2362442257871999</v>
      </c>
      <c r="DA51" s="2">
        <v>0.25813900946552398</v>
      </c>
      <c r="DB51" s="2">
        <v>0.30461521037912898</v>
      </c>
      <c r="DC51" s="2">
        <v>-7.9921421565309694E-2</v>
      </c>
      <c r="DD51" s="2">
        <v>-7.9921421565309694E-2</v>
      </c>
      <c r="DE51" s="2">
        <v>-7.9921421565309694E-2</v>
      </c>
      <c r="DF51" s="2">
        <v>0.37128446421660199</v>
      </c>
      <c r="DG51" s="2">
        <v>6.6543819228075896E-2</v>
      </c>
      <c r="DH51" s="2">
        <v>-7.9921421565309694E-2</v>
      </c>
      <c r="DI51" s="2">
        <v>-7.9921421565309694E-2</v>
      </c>
      <c r="DJ51" s="2">
        <v>-7.9921421565309694E-2</v>
      </c>
      <c r="DK51" s="2">
        <v>0.397822438034931</v>
      </c>
      <c r="DL51" s="2">
        <v>0.27264511244552497</v>
      </c>
      <c r="DM51" s="2">
        <v>0.216055249933395</v>
      </c>
      <c r="DN51" s="2">
        <v>-7.9921421565309694E-2</v>
      </c>
      <c r="DO51" s="2">
        <v>0.55862712628135303</v>
      </c>
      <c r="DP51" s="2">
        <v>0.414745150215656</v>
      </c>
      <c r="DQ51" s="2">
        <v>7.6747184290702999E-2</v>
      </c>
      <c r="DR51" s="2">
        <v>0.22116043433838301</v>
      </c>
      <c r="DS51" s="2">
        <v>-7.9921421565309694E-2</v>
      </c>
      <c r="DT51" s="2">
        <v>0.54978235716035195</v>
      </c>
      <c r="DU51" s="2">
        <v>-7.9921421565309694E-2</v>
      </c>
      <c r="DV51" s="2">
        <v>-7.9921421565309694E-2</v>
      </c>
      <c r="DW51" s="2">
        <v>-7.9921421565309694E-2</v>
      </c>
      <c r="DX51" s="2">
        <v>0.244082039741817</v>
      </c>
      <c r="DY51" s="2">
        <v>-7.9921421565309694E-2</v>
      </c>
      <c r="DZ51" s="2">
        <v>0.25047153084139201</v>
      </c>
      <c r="EA51" s="2">
        <v>-7.9921421565309694E-2</v>
      </c>
      <c r="EB51" s="2">
        <v>-7.9921421565309694E-2</v>
      </c>
      <c r="EC51" s="2">
        <v>4.58512988674602E-2</v>
      </c>
      <c r="ED51" s="2">
        <v>4.81704073317211E-2</v>
      </c>
      <c r="EE51" s="2">
        <v>-7.9921421565309694E-2</v>
      </c>
      <c r="EF51" s="2">
        <v>0.224173661162404</v>
      </c>
      <c r="EG51" s="2">
        <v>-7.9921421565309694E-2</v>
      </c>
      <c r="EH51" s="2">
        <v>0.26353001702117301</v>
      </c>
      <c r="EI51" s="2">
        <v>0.27258306445380498</v>
      </c>
      <c r="EJ51" s="2">
        <v>4.9148397108489603E-2</v>
      </c>
      <c r="EK51" s="2">
        <v>-7.9921421565309694E-2</v>
      </c>
      <c r="EL51" s="2">
        <v>6.9275647062352799E-2</v>
      </c>
      <c r="EM51" s="2">
        <v>0.20579434815940301</v>
      </c>
      <c r="EN51" s="2">
        <v>1.3574683559715499</v>
      </c>
      <c r="EO51" s="2">
        <v>6.4325735691806898E-2</v>
      </c>
      <c r="EP51" s="2">
        <v>-7.9921421565309694E-2</v>
      </c>
      <c r="EQ51" s="2">
        <v>9.9192026930413804E-2</v>
      </c>
      <c r="ER51" s="2">
        <v>-7.9921421565309694E-2</v>
      </c>
      <c r="ES51" s="2">
        <v>-7.9921421565309694E-2</v>
      </c>
      <c r="ET51" s="2">
        <v>0.15490074059784301</v>
      </c>
      <c r="EU51" s="2">
        <v>7.0818212137598105E-2</v>
      </c>
      <c r="EV51" s="2">
        <v>-7.9921421565309694E-2</v>
      </c>
      <c r="EW51" s="2">
        <v>2.7269664960315701E-2</v>
      </c>
      <c r="EX51" s="2">
        <v>7.3476218895054804E-2</v>
      </c>
      <c r="EY51" s="2">
        <v>0.18417946054060799</v>
      </c>
      <c r="EZ51" s="2">
        <v>0.27207405234457399</v>
      </c>
      <c r="FA51" s="2">
        <v>0.29873119989491898</v>
      </c>
      <c r="FB51" s="2">
        <v>-7.9921421565309694E-2</v>
      </c>
      <c r="FC51" s="2">
        <v>-7.9921421565309694E-2</v>
      </c>
      <c r="FD51" s="2">
        <v>-7.9921421565309694E-2</v>
      </c>
      <c r="FE51" s="2">
        <v>3.7547492398945198E-2</v>
      </c>
      <c r="FF51" s="2">
        <v>5.92466692121296E-2</v>
      </c>
      <c r="FG51" s="2">
        <v>2.0993712617318801E-2</v>
      </c>
      <c r="FH51" s="2">
        <v>-6.4698894822505699E-4</v>
      </c>
      <c r="FI51" s="2">
        <v>9.2948412679234801E-3</v>
      </c>
      <c r="FJ51" s="2">
        <v>1.62130926290894E-2</v>
      </c>
      <c r="FK51" s="2">
        <v>5.8466728548319399E-2</v>
      </c>
      <c r="FL51" s="2">
        <v>-7.9921421565309694E-2</v>
      </c>
      <c r="FM51" s="2">
        <v>-7.9921421565309694E-2</v>
      </c>
      <c r="FN51" s="2">
        <v>0.19625810184498901</v>
      </c>
      <c r="FO51" s="2">
        <v>-7.9921421565309694E-2</v>
      </c>
      <c r="FP51" s="2">
        <v>-3.0135748691591299E-2</v>
      </c>
      <c r="FQ51" s="2">
        <v>-7.9921421565309694E-2</v>
      </c>
      <c r="FR51" s="2">
        <v>0.17188901368303799</v>
      </c>
      <c r="FS51" s="2">
        <v>-1.63170768769118E-2</v>
      </c>
      <c r="FT51" s="2">
        <v>0.150617043155997</v>
      </c>
      <c r="FU51" s="2">
        <v>-7.9921421565309694E-2</v>
      </c>
      <c r="FV51" s="2">
        <v>8.7836729313544595E-2</v>
      </c>
      <c r="FW51" s="2">
        <v>1.5885446702961999E-2</v>
      </c>
      <c r="FX51" s="2">
        <v>8.4379056425471E-2</v>
      </c>
      <c r="FY51" s="2">
        <v>-7.9921421565309694E-2</v>
      </c>
      <c r="FZ51" s="2">
        <v>-7.9921421565309694E-2</v>
      </c>
      <c r="GA51" s="2">
        <v>-7.9921421565309694E-2</v>
      </c>
      <c r="GB51" s="2">
        <v>9.1288836112028801E-2</v>
      </c>
      <c r="GC51" s="2">
        <v>-7.9921421565309694E-2</v>
      </c>
      <c r="GD51" s="2">
        <v>-7.9921421565309694E-2</v>
      </c>
      <c r="GE51" s="2">
        <v>-7.9921421565309694E-2</v>
      </c>
      <c r="GF51" s="2">
        <v>-7.9921421565309694E-2</v>
      </c>
      <c r="GG51" s="2">
        <v>4.6566736345458097E-2</v>
      </c>
      <c r="GH51" s="2">
        <v>1.1397116321288399E-2</v>
      </c>
      <c r="GI51" s="2">
        <v>-9.2245206242723594E-3</v>
      </c>
      <c r="GJ51" s="2">
        <v>-1.4924128603378601E-2</v>
      </c>
      <c r="GK51" s="2">
        <v>-2.7491400098642999E-2</v>
      </c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</row>
    <row r="52" spans="1:206" x14ac:dyDescent="0.25">
      <c r="A52" t="s">
        <v>266</v>
      </c>
      <c r="B52" t="s">
        <v>611</v>
      </c>
      <c r="C52">
        <v>0.11785021166946801</v>
      </c>
      <c r="D52">
        <v>-3.5588859694707202E-3</v>
      </c>
      <c r="E52">
        <v>2.5096209960398599</v>
      </c>
      <c r="F52">
        <v>2.4612761264310401</v>
      </c>
      <c r="G52">
        <v>0.64214839178758298</v>
      </c>
      <c r="H52">
        <v>0.193411419123412</v>
      </c>
      <c r="I52">
        <v>3.2724220266984401</v>
      </c>
      <c r="J52">
        <v>1.0540305787204201</v>
      </c>
      <c r="K52">
        <v>5.5534368834104502</v>
      </c>
      <c r="L52">
        <v>0.45836423558752298</v>
      </c>
      <c r="M52">
        <v>8.2948800275146704E-3</v>
      </c>
      <c r="N52">
        <v>-0.133958475326482</v>
      </c>
      <c r="O52">
        <v>0.46006412379837902</v>
      </c>
      <c r="P52">
        <v>-0.133958475326482</v>
      </c>
      <c r="Q52">
        <v>7.9324661981627104E-2</v>
      </c>
      <c r="R52">
        <v>0.19450809287989401</v>
      </c>
      <c r="S52">
        <v>0.30024989585367801</v>
      </c>
      <c r="T52">
        <v>-0.133958475326482</v>
      </c>
      <c r="U52">
        <v>1.09848896255827E-3</v>
      </c>
      <c r="V52">
        <v>0.222999565180481</v>
      </c>
      <c r="W52">
        <v>-0.133958475326482</v>
      </c>
      <c r="X52">
        <v>3.08590442434372E-2</v>
      </c>
      <c r="Y52">
        <v>-0.133958475326482</v>
      </c>
      <c r="Z52">
        <v>0.19102190967437099</v>
      </c>
      <c r="AA52">
        <v>-0.133958475326482</v>
      </c>
      <c r="AB52">
        <v>4.3967114450136E-3</v>
      </c>
      <c r="AC52">
        <v>-2.1275183531521202E-2</v>
      </c>
      <c r="AD52">
        <v>0.25596240289314698</v>
      </c>
      <c r="AE52">
        <v>3.1274147618114201E-2</v>
      </c>
      <c r="AF52">
        <v>-5.7246102358209698E-2</v>
      </c>
      <c r="AG52">
        <v>1.8064223203525E-2</v>
      </c>
      <c r="AH52">
        <v>-0.133958475326482</v>
      </c>
      <c r="AI52">
        <v>0.31146057102271402</v>
      </c>
      <c r="AJ52">
        <v>9.0986572754569797E-2</v>
      </c>
      <c r="AK52">
        <v>-5.0046509611074499E-2</v>
      </c>
      <c r="AL52">
        <v>2.07108366808854E-2</v>
      </c>
      <c r="AM52">
        <v>0.13065090578709301</v>
      </c>
      <c r="AN52">
        <v>8.9293897525937596E-2</v>
      </c>
      <c r="AO52">
        <v>0.171130534806994</v>
      </c>
      <c r="AP52">
        <v>8.1759307211562993E-3</v>
      </c>
      <c r="AQ52">
        <v>-7.5664584922347303E-3</v>
      </c>
      <c r="AR52">
        <v>7.4092230770912204E-2</v>
      </c>
      <c r="AS52">
        <v>0.27697304629056801</v>
      </c>
      <c r="AT52">
        <v>0.14848721843666501</v>
      </c>
      <c r="AU52">
        <v>0.17124667946387001</v>
      </c>
      <c r="AV52">
        <v>-2.6022187652359999E-3</v>
      </c>
      <c r="AW52">
        <v>-0.133958475326482</v>
      </c>
      <c r="AX52">
        <v>9.3079962290428697E-2</v>
      </c>
      <c r="AY52">
        <v>-3.01604173120621E-2</v>
      </c>
      <c r="AZ52">
        <v>0.17606034793408201</v>
      </c>
      <c r="BA52">
        <v>-9.3156479279574798E-3</v>
      </c>
      <c r="BB52">
        <v>-0.133958475326482</v>
      </c>
      <c r="BC52">
        <v>0.31105150971483603</v>
      </c>
      <c r="BD52">
        <v>0.19727419035003699</v>
      </c>
      <c r="BE52">
        <v>-5.3898949212638998E-2</v>
      </c>
      <c r="BF52">
        <v>7.87370394396011E-2</v>
      </c>
      <c r="BG52">
        <v>-4.3816274588094999E-3</v>
      </c>
      <c r="BH52">
        <v>2.3284221525622501E-2</v>
      </c>
      <c r="BI52">
        <v>0.252307296437703</v>
      </c>
      <c r="BJ52">
        <v>0.16373472245936699</v>
      </c>
      <c r="BK52">
        <v>-0.133958475326482</v>
      </c>
      <c r="BL52">
        <v>-5.14462176476147E-2</v>
      </c>
      <c r="BM52">
        <v>0.34502084686683399</v>
      </c>
      <c r="BN52">
        <v>-2.1618494552391801E-2</v>
      </c>
      <c r="BO52">
        <v>6.7067957229889202E-2</v>
      </c>
      <c r="BP52">
        <v>5.03151409543438E-2</v>
      </c>
      <c r="BQ52">
        <v>-4.5947821642606301E-2</v>
      </c>
      <c r="BR52">
        <v>-3.0306696338087E-2</v>
      </c>
      <c r="BS52">
        <v>2.8304997319631999</v>
      </c>
      <c r="BT52">
        <v>4.6074432609559803</v>
      </c>
      <c r="BU52">
        <v>4.9252856958261004</v>
      </c>
      <c r="BV52">
        <v>0.42819032571521298</v>
      </c>
      <c r="BW52">
        <v>4.5976111093672198</v>
      </c>
      <c r="BX52">
        <v>0.31984197795957298</v>
      </c>
      <c r="BY52">
        <v>4.8632055649993404</v>
      </c>
      <c r="BZ52">
        <v>2.5509544622940701</v>
      </c>
      <c r="CA52">
        <v>3.8751377153819502</v>
      </c>
      <c r="CB52">
        <v>0.37246750892275399</v>
      </c>
      <c r="CC52">
        <v>-1.1148194080155801E-2</v>
      </c>
      <c r="CD52">
        <v>0.132136639770329</v>
      </c>
      <c r="CE52">
        <v>2.3690778415551101E-3</v>
      </c>
      <c r="CF52">
        <v>0.28404961427807002</v>
      </c>
      <c r="CG52">
        <v>1.2198079289832801E-2</v>
      </c>
      <c r="CH52">
        <v>1.82605445079571E-2</v>
      </c>
      <c r="CI52">
        <v>0.43165625055263801</v>
      </c>
      <c r="CJ52">
        <v>-6.1622381185535202E-2</v>
      </c>
      <c r="CK52">
        <v>-9.4222294775163307E-2</v>
      </c>
      <c r="CL52">
        <v>-0.133958475326482</v>
      </c>
      <c r="CM52">
        <v>-0.133958475326482</v>
      </c>
      <c r="CN52">
        <v>0.159217770288622</v>
      </c>
      <c r="CO52">
        <v>5.4060339213276298E-2</v>
      </c>
      <c r="CP52">
        <v>-0.133958475326482</v>
      </c>
      <c r="CQ52">
        <v>-0.133958475326482</v>
      </c>
      <c r="CR52">
        <v>0.351116455767158</v>
      </c>
      <c r="CS52">
        <v>-0.133958475326482</v>
      </c>
      <c r="CT52">
        <v>0.53918027649582001</v>
      </c>
      <c r="CU52">
        <v>2.9778460990957999E-2</v>
      </c>
      <c r="CV52">
        <v>0.33332987760058203</v>
      </c>
      <c r="CW52">
        <v>-0.133958475326482</v>
      </c>
      <c r="CX52">
        <v>0.26929815655119099</v>
      </c>
      <c r="CY52">
        <v>0.27690856515719903</v>
      </c>
      <c r="CZ52">
        <v>2.07762540433274</v>
      </c>
      <c r="DA52">
        <v>0.35731791468151503</v>
      </c>
      <c r="DB52">
        <v>-0.133958475326482</v>
      </c>
      <c r="DC52">
        <v>0.37047164896812901</v>
      </c>
      <c r="DD52">
        <v>0.37508000299485</v>
      </c>
      <c r="DE52">
        <v>0.22127007744000601</v>
      </c>
      <c r="DF52">
        <v>3.12062113112428E-2</v>
      </c>
      <c r="DG52">
        <v>0.21972551096700299</v>
      </c>
      <c r="DH52">
        <v>0.23559170083599401</v>
      </c>
      <c r="DI52">
        <v>0.32406351082827001</v>
      </c>
      <c r="DJ52">
        <v>0.43415710113230299</v>
      </c>
      <c r="DK52">
        <v>4.8136567761267297E-2</v>
      </c>
      <c r="DL52">
        <v>0.14537516813544599</v>
      </c>
      <c r="DM52">
        <v>2.09596388693482E-2</v>
      </c>
      <c r="DN52">
        <v>0.37183466118105901</v>
      </c>
      <c r="DO52">
        <v>0.17655278288846399</v>
      </c>
      <c r="DP52">
        <v>0.45091177698795998</v>
      </c>
      <c r="DQ52">
        <v>0.29639778609378598</v>
      </c>
      <c r="DR52">
        <v>0.16712338057721099</v>
      </c>
      <c r="DS52">
        <v>0.33986498192910802</v>
      </c>
      <c r="DT52">
        <v>0.49574530339917899</v>
      </c>
      <c r="DU52">
        <v>0.247493373529595</v>
      </c>
      <c r="DV52">
        <v>0.224960129128076</v>
      </c>
      <c r="DW52">
        <v>0.42540470655087098</v>
      </c>
      <c r="DX52">
        <v>0.19004498598064401</v>
      </c>
      <c r="DY52">
        <v>0.41313094384295201</v>
      </c>
      <c r="DZ52">
        <v>9.3744668747827706E-2</v>
      </c>
      <c r="EA52">
        <v>0.36300685767681801</v>
      </c>
      <c r="EB52">
        <v>0.235824748753757</v>
      </c>
      <c r="EC52">
        <v>0.21688211865946699</v>
      </c>
      <c r="ED52">
        <v>-0.133958475326482</v>
      </c>
      <c r="EE52">
        <v>0.35404779565285999</v>
      </c>
      <c r="EF52">
        <v>7.4930900911643505E-2</v>
      </c>
      <c r="EG52">
        <v>0.41196833078517098</v>
      </c>
      <c r="EH52">
        <v>-1.10880101370259E-2</v>
      </c>
      <c r="EI52">
        <v>-0.133958475326482</v>
      </c>
      <c r="EJ52">
        <v>-4.8886566526829102E-3</v>
      </c>
      <c r="EK52">
        <v>0.16384289784020001</v>
      </c>
      <c r="EL52">
        <v>0.15194105692757001</v>
      </c>
      <c r="EM52">
        <v>1.52938492557024E-2</v>
      </c>
      <c r="EN52">
        <v>0.61518447190025605</v>
      </c>
      <c r="EO52">
        <v>0.54435854563402197</v>
      </c>
      <c r="EP52">
        <v>-0.133958475326482</v>
      </c>
      <c r="EQ52">
        <v>0.205925250356609</v>
      </c>
      <c r="ER52">
        <v>0.27422905341722897</v>
      </c>
      <c r="ES52">
        <v>9.00134880374093E-2</v>
      </c>
      <c r="ET52">
        <v>0.100863686836671</v>
      </c>
      <c r="EU52">
        <v>0.40014209301210601</v>
      </c>
      <c r="EV52">
        <v>-0.133958475326482</v>
      </c>
      <c r="EW52">
        <v>0.13011587736883101</v>
      </c>
      <c r="EX52">
        <v>1.9439165133882101E-2</v>
      </c>
      <c r="EY52">
        <v>0.31248380809284798</v>
      </c>
      <c r="EZ52">
        <v>0.10901247284186499</v>
      </c>
      <c r="FA52">
        <v>0.24469414613374599</v>
      </c>
      <c r="FB52">
        <v>-3.3229581886583502E-2</v>
      </c>
      <c r="FC52">
        <v>-0.133958475326482</v>
      </c>
      <c r="FD52">
        <v>-0.133958475326482</v>
      </c>
      <c r="FE52">
        <v>9.3171472260124399E-2</v>
      </c>
      <c r="FF52">
        <v>-0.133958475326482</v>
      </c>
      <c r="FG52">
        <v>6.1962305112289097E-2</v>
      </c>
      <c r="FH52">
        <v>2.1122261145048799E-2</v>
      </c>
      <c r="FI52">
        <v>3.9937103658253897E-2</v>
      </c>
      <c r="FJ52">
        <v>5.3026588543776502E-2</v>
      </c>
      <c r="FK52">
        <v>4.4296747871468596E-3</v>
      </c>
      <c r="FL52">
        <v>7.7914040233403297E-3</v>
      </c>
      <c r="FM52">
        <v>0.14327100598593301</v>
      </c>
      <c r="FN52">
        <v>0.32781189293158802</v>
      </c>
      <c r="FO52">
        <v>-0.133958475326482</v>
      </c>
      <c r="FP52">
        <v>-8.4172802452763998E-2</v>
      </c>
      <c r="FQ52">
        <v>-0.133958475326482</v>
      </c>
      <c r="FR52">
        <v>-0.133958475326482</v>
      </c>
      <c r="FS52">
        <v>-8.8212685298879202E-3</v>
      </c>
      <c r="FT52">
        <v>-0.133958475326482</v>
      </c>
      <c r="FU52">
        <v>-0.133958475326482</v>
      </c>
      <c r="FV52">
        <v>-4.32622072740678E-2</v>
      </c>
      <c r="FW52">
        <v>-3.8151607058210697E-2</v>
      </c>
      <c r="FX52">
        <v>-4.97268327370817E-2</v>
      </c>
      <c r="FY52">
        <v>-0.133958475326482</v>
      </c>
      <c r="FZ52">
        <v>-7.8260107423899303E-3</v>
      </c>
      <c r="GA52">
        <v>8.1139631165174406E-2</v>
      </c>
      <c r="GB52">
        <v>0.11676953084545599</v>
      </c>
      <c r="GC52">
        <v>-3.1777333254100697E-2</v>
      </c>
      <c r="GD52">
        <v>0.14214334270526699</v>
      </c>
      <c r="GE52">
        <v>4.2162406110755101E-3</v>
      </c>
      <c r="GF52">
        <v>-0.133958475326482</v>
      </c>
      <c r="GG52">
        <v>0.21928112957557</v>
      </c>
      <c r="GH52">
        <v>5.8462086943027701E-2</v>
      </c>
      <c r="GI52">
        <v>-2.3506097887240701E-2</v>
      </c>
      <c r="GJ52">
        <v>5.42152198064417E-2</v>
      </c>
      <c r="GK52">
        <v>1.8924886431193898E-2</v>
      </c>
    </row>
    <row r="53" spans="1:206" x14ac:dyDescent="0.25">
      <c r="A53" t="s">
        <v>266</v>
      </c>
      <c r="B53" t="s">
        <v>584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2.62600233823524E-2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0.107801825666918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</row>
    <row r="54" spans="1:206" x14ac:dyDescent="0.25">
      <c r="A54" t="s">
        <v>266</v>
      </c>
      <c r="B54" t="s">
        <v>757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0.25648603597240299</v>
      </c>
      <c r="N54">
        <v>0.38884706134876701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1.10234094327239E-2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1.9982168763233998E-2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1.28943676002097E-2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</row>
    <row r="55" spans="1:206" x14ac:dyDescent="0.25">
      <c r="A55" t="s">
        <v>266</v>
      </c>
      <c r="B55" t="s">
        <v>591</v>
      </c>
      <c r="C55">
        <v>-3.8092569595874801</v>
      </c>
      <c r="D55">
        <v>-2.7941329945626698</v>
      </c>
      <c r="E55">
        <v>-1.83372688327635</v>
      </c>
      <c r="F55">
        <v>-1.6291237517263</v>
      </c>
      <c r="G55">
        <v>-0.39058633248691998</v>
      </c>
      <c r="H55">
        <v>-0.42793785516867699</v>
      </c>
      <c r="I55">
        <v>-3.11916638493966</v>
      </c>
      <c r="J55">
        <v>-3.80048535625563</v>
      </c>
      <c r="K55">
        <v>-3.8821095918300701</v>
      </c>
      <c r="L55">
        <v>-0.51537441566585196</v>
      </c>
      <c r="M55">
        <v>-5.6641735874505299</v>
      </c>
      <c r="N55">
        <v>-5.9518770073763596</v>
      </c>
      <c r="O55">
        <v>-2.5768839020201799</v>
      </c>
      <c r="P55">
        <v>0.42149036134893803</v>
      </c>
      <c r="Q55">
        <v>0.42650719068876097</v>
      </c>
      <c r="R55">
        <v>0.76996212254096397</v>
      </c>
      <c r="S55">
        <v>0.51066786187847601</v>
      </c>
      <c r="T55">
        <v>0.438819368342656</v>
      </c>
      <c r="U55">
        <v>0.66679998545625496</v>
      </c>
      <c r="V55">
        <v>0.86855011090760703</v>
      </c>
      <c r="W55">
        <v>0.46278359833077798</v>
      </c>
      <c r="X55">
        <v>0.67083616108958599</v>
      </c>
      <c r="Y55">
        <v>0.61682664515743202</v>
      </c>
      <c r="Z55">
        <v>0.51662133699425905</v>
      </c>
      <c r="AA55">
        <v>0.228549107530751</v>
      </c>
      <c r="AB55">
        <v>1.0315343083222599</v>
      </c>
      <c r="AC55">
        <v>1.27782660962082</v>
      </c>
      <c r="AD55">
        <v>1.28608934048918</v>
      </c>
      <c r="AE55">
        <v>1.1825302712719299</v>
      </c>
      <c r="AF55">
        <v>1.1677833936494499</v>
      </c>
      <c r="AG55">
        <v>1.09053411843491</v>
      </c>
      <c r="AH55">
        <v>0.93869001951293396</v>
      </c>
      <c r="AI55">
        <v>0.88548767422841901</v>
      </c>
      <c r="AJ55">
        <v>1.0466532647864399</v>
      </c>
      <c r="AK55">
        <v>1.21048221469867</v>
      </c>
      <c r="AL55">
        <v>1.0292199838755001</v>
      </c>
      <c r="AM55">
        <v>0.98340414171574297</v>
      </c>
      <c r="AN55">
        <v>1.00346555986968</v>
      </c>
      <c r="AO55">
        <v>1.01948217259236</v>
      </c>
      <c r="AP55">
        <v>0.84226546582240902</v>
      </c>
      <c r="AQ55">
        <v>0.91791189786260496</v>
      </c>
      <c r="AR55">
        <v>1.11517209117862</v>
      </c>
      <c r="AS55">
        <v>1.1380270660383001</v>
      </c>
      <c r="AT55">
        <v>1.0969904416958101</v>
      </c>
      <c r="AU55">
        <v>0.88029362939303502</v>
      </c>
      <c r="AV55">
        <v>1.0278831041068099</v>
      </c>
      <c r="AW55">
        <v>0.23538688948928399</v>
      </c>
      <c r="AX55">
        <v>0.73324072375513205</v>
      </c>
      <c r="AY55">
        <v>0.80412133892820503</v>
      </c>
      <c r="AZ55">
        <v>0.74736243810228498</v>
      </c>
      <c r="BA55">
        <v>0.87147790216332299</v>
      </c>
      <c r="BB55">
        <v>1.0092931630166899</v>
      </c>
      <c r="BC55">
        <v>0.69212744739897103</v>
      </c>
      <c r="BD55">
        <v>0.74190502447320805</v>
      </c>
      <c r="BE55">
        <v>0.62917070669129804</v>
      </c>
      <c r="BF55">
        <v>0.427413520686165</v>
      </c>
      <c r="BG55">
        <v>0.865357276053069</v>
      </c>
      <c r="BH55">
        <v>0.70512100025761604</v>
      </c>
      <c r="BI55">
        <v>0.99516316707961805</v>
      </c>
      <c r="BJ55">
        <v>0.91614063737236295</v>
      </c>
      <c r="BK55">
        <v>1.0593247457844801</v>
      </c>
      <c r="BL55">
        <v>1.00993399056356</v>
      </c>
      <c r="BM55">
        <v>0.96725742394487402</v>
      </c>
      <c r="BN55">
        <v>1.0031072506352801</v>
      </c>
      <c r="BO55">
        <v>0.98392495649092504</v>
      </c>
      <c r="BP55">
        <v>0.96555479465484195</v>
      </c>
      <c r="BQ55">
        <v>1.0381011311869801</v>
      </c>
      <c r="BR55">
        <v>0.88769390934445203</v>
      </c>
      <c r="BS55">
        <v>-0.20792352267282199</v>
      </c>
      <c r="BT55">
        <v>-0.43537654214875499</v>
      </c>
      <c r="BU55">
        <v>-1.0847035081708101</v>
      </c>
      <c r="BV55">
        <v>-0.86012991439376896</v>
      </c>
      <c r="BW55">
        <v>-0.75901056524479205</v>
      </c>
      <c r="BX55">
        <v>-1.0741144643045599</v>
      </c>
      <c r="BY55">
        <v>-1.36195225076542</v>
      </c>
      <c r="BZ55">
        <v>-0.48924304339605301</v>
      </c>
      <c r="CA55">
        <v>-1.9498518585932299E-2</v>
      </c>
      <c r="CB55">
        <v>0.68626810207324296</v>
      </c>
      <c r="CC55">
        <v>0.59960412513287598</v>
      </c>
      <c r="CD55">
        <v>0.24008656257038399</v>
      </c>
      <c r="CE55">
        <v>0.42181847785302901</v>
      </c>
      <c r="CF55">
        <v>0.18481071992918399</v>
      </c>
      <c r="CG55">
        <v>0.35098988047266899</v>
      </c>
      <c r="CH55">
        <v>0.16083084050360699</v>
      </c>
      <c r="CI55">
        <v>0.27624091527549999</v>
      </c>
      <c r="CJ55">
        <v>0.49720663669215298</v>
      </c>
      <c r="CK55">
        <v>0.56355154164943899</v>
      </c>
      <c r="CL55">
        <v>0.57580092086525703</v>
      </c>
      <c r="CM55">
        <v>0.72883754912838095</v>
      </c>
      <c r="CN55">
        <v>0.91422586400388395</v>
      </c>
      <c r="CO55">
        <v>0.23128764682184999</v>
      </c>
      <c r="CP55">
        <v>0.266293910583488</v>
      </c>
      <c r="CQ55">
        <v>0.27555770624902898</v>
      </c>
      <c r="CR55">
        <v>0.102029599130753</v>
      </c>
      <c r="CS55">
        <v>0.41154337657516399</v>
      </c>
      <c r="CT55">
        <v>4.4548503059534901E-2</v>
      </c>
      <c r="CU55">
        <v>7.3612746476120094E-2</v>
      </c>
      <c r="CV55">
        <v>9.7756788686405194E-2</v>
      </c>
      <c r="CW55">
        <v>0.22895077350913301</v>
      </c>
      <c r="CX55">
        <v>6.48502764361433E-2</v>
      </c>
      <c r="CY55">
        <v>0.112458944013759</v>
      </c>
      <c r="CZ55">
        <v>-0.15772414851359901</v>
      </c>
      <c r="DA55">
        <v>-0.15358061413047699</v>
      </c>
      <c r="DB55">
        <v>0.116337774062165</v>
      </c>
      <c r="DC55">
        <v>-9.2361347513451195E-2</v>
      </c>
      <c r="DD55">
        <v>-6.9277933626273299E-3</v>
      </c>
      <c r="DE55">
        <v>-0.18087424563660801</v>
      </c>
      <c r="DF55">
        <v>7.07876696001737E-2</v>
      </c>
      <c r="DG55">
        <v>-0.32328660679291199</v>
      </c>
      <c r="DH55">
        <v>-0.84431775854003199</v>
      </c>
      <c r="DI55">
        <v>-0.29586310884183498</v>
      </c>
      <c r="DJ55">
        <v>-0.23095017195645601</v>
      </c>
      <c r="DK55">
        <v>-0.33763220077588602</v>
      </c>
      <c r="DL55">
        <v>-0.12941768650177199</v>
      </c>
      <c r="DM55">
        <v>-4.8259260180119598E-2</v>
      </c>
      <c r="DN55">
        <v>-0.25786963763822002</v>
      </c>
      <c r="DO55">
        <v>5.6184166802734199E-2</v>
      </c>
      <c r="DP55">
        <v>-7.8534834181940599E-2</v>
      </c>
      <c r="DQ55">
        <v>6.7245906854873898E-3</v>
      </c>
      <c r="DR55">
        <v>-1.7136180826349601E-2</v>
      </c>
      <c r="DS55">
        <v>-0.33811424523504402</v>
      </c>
      <c r="DT55">
        <v>-0.184888101243884</v>
      </c>
      <c r="DU55">
        <v>-0.12983363561819</v>
      </c>
      <c r="DV55">
        <v>-0.27233216388745202</v>
      </c>
      <c r="DW55">
        <v>-6.0510360502507902E-2</v>
      </c>
      <c r="DX55">
        <v>-0.16878525344782899</v>
      </c>
      <c r="DY55">
        <v>3.3761479552449798E-2</v>
      </c>
      <c r="DZ55">
        <v>2.3328103726458602E-3</v>
      </c>
      <c r="EA55">
        <v>5.5479345358484297E-2</v>
      </c>
      <c r="EB55">
        <v>-2.7197773303273502E-3</v>
      </c>
      <c r="EC55">
        <v>-0.110901588791902</v>
      </c>
      <c r="ED55">
        <v>0.27108614588569702</v>
      </c>
      <c r="EE55">
        <v>5.8823908731361299E-2</v>
      </c>
      <c r="EF55">
        <v>4.3421304469935702E-2</v>
      </c>
      <c r="EG55">
        <v>3.03880134887369E-2</v>
      </c>
      <c r="EH55">
        <v>-0.184497239647362</v>
      </c>
      <c r="EI55">
        <v>-5.3958962958802398E-2</v>
      </c>
      <c r="EJ55">
        <v>0.27629667672581598</v>
      </c>
      <c r="EK55">
        <v>0.217956097303663</v>
      </c>
      <c r="EL55">
        <v>0.30361486063405901</v>
      </c>
      <c r="EM55">
        <v>0.27926965451438102</v>
      </c>
      <c r="EN55">
        <v>-0.119301349389039</v>
      </c>
      <c r="EO55">
        <v>0.12561388084379399</v>
      </c>
      <c r="EP55">
        <v>0.26025171030904098</v>
      </c>
      <c r="EQ55">
        <v>-1.4992426094978801E-2</v>
      </c>
      <c r="ER55">
        <v>0.14971895194162099</v>
      </c>
      <c r="ES55">
        <v>0.26436040446811299</v>
      </c>
      <c r="ET55">
        <v>0.24095755640114999</v>
      </c>
      <c r="EU55">
        <v>7.1371911516582495E-2</v>
      </c>
      <c r="EV55">
        <v>0.286658447227018</v>
      </c>
      <c r="EW55">
        <v>0.21877228121988601</v>
      </c>
      <c r="EX55">
        <v>0.32175782300581701</v>
      </c>
      <c r="EY55">
        <v>0.27482809227695898</v>
      </c>
      <c r="EZ55">
        <v>-2.33658859267173E-3</v>
      </c>
      <c r="FA55">
        <v>4.6492297579151597E-2</v>
      </c>
      <c r="FB55">
        <v>0.29142797245498703</v>
      </c>
      <c r="FC55">
        <v>0.35129385032489402</v>
      </c>
      <c r="FD55">
        <v>0.20034122745039001</v>
      </c>
      <c r="FE55">
        <v>0.22230500791520599</v>
      </c>
      <c r="FF55">
        <v>0.35441134571573701</v>
      </c>
      <c r="FG55">
        <v>0.37986053813709802</v>
      </c>
      <c r="FH55">
        <v>0.44071365426923698</v>
      </c>
      <c r="FI55">
        <v>0.50160951689728095</v>
      </c>
      <c r="FJ55">
        <v>0.447734750949706</v>
      </c>
      <c r="FK55">
        <v>0.419369090631386</v>
      </c>
      <c r="FL55">
        <v>0.54639333406443302</v>
      </c>
      <c r="FM55">
        <v>0.21541280997187501</v>
      </c>
      <c r="FN55">
        <v>0.30581261172242602</v>
      </c>
      <c r="FO55">
        <v>0.42666403637421102</v>
      </c>
      <c r="FP55">
        <v>0.40129820958637902</v>
      </c>
      <c r="FQ55">
        <v>0.32635539807125702</v>
      </c>
      <c r="FR55">
        <v>0.34204082103925398</v>
      </c>
      <c r="FS55">
        <v>0.54871236974161197</v>
      </c>
      <c r="FT55">
        <v>0.63320002014365395</v>
      </c>
      <c r="FU55">
        <v>0.62658602247670003</v>
      </c>
      <c r="FV55">
        <v>0.65638983569884302</v>
      </c>
      <c r="FW55">
        <v>0.44034999565300698</v>
      </c>
      <c r="FX55">
        <v>0.50386071928501097</v>
      </c>
      <c r="FY55">
        <v>0.47759762906727499</v>
      </c>
      <c r="FZ55">
        <v>0.26135415665400902</v>
      </c>
      <c r="GA55">
        <v>0.34590664295099799</v>
      </c>
      <c r="GB55">
        <v>0.21553671406045499</v>
      </c>
      <c r="GC55">
        <v>0.27776731360606199</v>
      </c>
      <c r="GD55">
        <v>0.42569313660950697</v>
      </c>
      <c r="GE55">
        <v>0.31640169259026901</v>
      </c>
      <c r="GF55">
        <v>0.34876359832584602</v>
      </c>
      <c r="GG55">
        <v>0.369994843879147</v>
      </c>
      <c r="GH55">
        <v>0.33889199920394403</v>
      </c>
      <c r="GI55">
        <v>0.32400980294834902</v>
      </c>
      <c r="GJ55">
        <v>0.43543840896990199</v>
      </c>
      <c r="GK55">
        <v>0.43656969346218799</v>
      </c>
    </row>
    <row r="56" spans="1:206" s="11" customFormat="1" ht="15.75" thickBot="1" x14ac:dyDescent="0.3">
      <c r="A56" s="11" t="s">
        <v>266</v>
      </c>
      <c r="B56" s="11" t="s">
        <v>587</v>
      </c>
      <c r="C56" s="11">
        <v>-3.7524539143920199</v>
      </c>
      <c r="D56" s="11">
        <v>-3.3085291522097302</v>
      </c>
      <c r="E56" s="11">
        <v>-1.3884802328230701</v>
      </c>
      <c r="F56" s="11">
        <v>-1.50976989221166</v>
      </c>
      <c r="G56" s="11">
        <v>-0.66765884947958698</v>
      </c>
      <c r="H56" s="11">
        <v>-0.77077866747160295</v>
      </c>
      <c r="I56" s="11">
        <v>-1.26777761269116</v>
      </c>
      <c r="J56" s="11">
        <v>-1.11094085459626</v>
      </c>
      <c r="K56" s="11">
        <v>-0.91617046840144001</v>
      </c>
      <c r="L56" s="11">
        <v>-1.06200906458689</v>
      </c>
      <c r="M56" s="11">
        <v>-5.5934057754285904</v>
      </c>
      <c r="N56" s="11">
        <v>-5.9391307160868401</v>
      </c>
      <c r="O56" s="11">
        <v>-2.6900758458073701</v>
      </c>
      <c r="P56" s="11">
        <v>0.111038288895818</v>
      </c>
      <c r="Q56" s="11">
        <v>0.23507256408714999</v>
      </c>
      <c r="R56" s="11">
        <v>0.18487872017427101</v>
      </c>
      <c r="S56" s="11">
        <v>0.13207158032323801</v>
      </c>
      <c r="T56" s="11">
        <v>0.13332766732456999</v>
      </c>
      <c r="U56" s="11">
        <v>5.9272527395417697E-2</v>
      </c>
      <c r="V56" s="11">
        <v>1.59876861495627E-2</v>
      </c>
      <c r="W56" s="11">
        <v>0.266253848680231</v>
      </c>
      <c r="X56" s="11">
        <v>0.185530906698683</v>
      </c>
      <c r="Y56" s="11">
        <v>0.26072622779531102</v>
      </c>
      <c r="Z56" s="11">
        <v>2.6611646809810801E-2</v>
      </c>
      <c r="AA56" s="11">
        <v>0.148346384992743</v>
      </c>
      <c r="AB56" s="11">
        <v>0.34401097181208501</v>
      </c>
      <c r="AC56" s="11">
        <v>0.135691922169412</v>
      </c>
      <c r="AD56" s="11">
        <v>0.19931887943366899</v>
      </c>
      <c r="AE56" s="11">
        <v>0.30390530436184099</v>
      </c>
      <c r="AF56" s="11">
        <v>0.19413983322427</v>
      </c>
      <c r="AG56" s="11">
        <v>0.234684249502221</v>
      </c>
      <c r="AH56" s="11">
        <v>9.0744418226226198E-2</v>
      </c>
      <c r="AI56" s="11">
        <v>0.19241709645743399</v>
      </c>
      <c r="AJ56" s="11">
        <v>0.33082801224512398</v>
      </c>
      <c r="AK56" s="11">
        <v>0.27961398433523099</v>
      </c>
      <c r="AL56" s="11">
        <v>0.150276058688668</v>
      </c>
      <c r="AM56" s="11">
        <v>0.24548051974454499</v>
      </c>
      <c r="AN56" s="11">
        <v>0.293362089952656</v>
      </c>
      <c r="AO56" s="11">
        <v>0.23820305878062101</v>
      </c>
      <c r="AP56" s="11">
        <v>4.0259004529110402E-2</v>
      </c>
      <c r="AQ56" s="11">
        <v>0.12673248161603901</v>
      </c>
      <c r="AR56" s="11">
        <v>3.06064452000544E-2</v>
      </c>
      <c r="AS56" s="11">
        <v>0.122237419160045</v>
      </c>
      <c r="AT56" s="11">
        <v>7.1986849746039305E-2</v>
      </c>
      <c r="AU56" s="11">
        <v>0.27061126707194499</v>
      </c>
      <c r="AV56" s="11">
        <v>0.20323368881961501</v>
      </c>
      <c r="AW56" s="11">
        <v>0.19175152114379099</v>
      </c>
      <c r="AX56" s="11">
        <v>0.21401627483812899</v>
      </c>
      <c r="AY56" s="11">
        <v>0.26135520450914301</v>
      </c>
      <c r="AZ56" s="11">
        <v>5.9696592329137703E-2</v>
      </c>
      <c r="BA56" s="11">
        <v>-2.0417872503436501E-2</v>
      </c>
      <c r="BB56" s="11">
        <v>0.14413688512682399</v>
      </c>
      <c r="BC56" s="11">
        <v>9.5466440571353894E-2</v>
      </c>
      <c r="BD56" s="11">
        <v>0.108872254912491</v>
      </c>
      <c r="BE56" s="11">
        <v>0.141125608944287</v>
      </c>
      <c r="BF56" s="11">
        <v>0.168463508007964</v>
      </c>
      <c r="BG56" s="11">
        <v>0.16082860263267201</v>
      </c>
      <c r="BH56" s="11">
        <v>0.160374581035407</v>
      </c>
      <c r="BI56" s="11">
        <v>0.15291849339385799</v>
      </c>
      <c r="BJ56" s="11">
        <v>-6.6230256343665E-2</v>
      </c>
      <c r="BK56" s="11">
        <v>0.129552861102427</v>
      </c>
      <c r="BL56" s="11">
        <v>0.193816011848264</v>
      </c>
      <c r="BM56" s="11">
        <v>0.26352991543584298</v>
      </c>
      <c r="BN56" s="11">
        <v>0.14545735455508599</v>
      </c>
      <c r="BO56" s="11">
        <v>0.30010063574630202</v>
      </c>
      <c r="BP56" s="11">
        <v>0.14920761566210999</v>
      </c>
      <c r="BQ56" s="11">
        <v>0.21228033220926701</v>
      </c>
      <c r="BR56" s="11">
        <v>0.118932944508613</v>
      </c>
      <c r="BS56" s="11">
        <v>-5.4700526223275703E-2</v>
      </c>
      <c r="BT56" s="11">
        <v>-1.13739463588018E-2</v>
      </c>
      <c r="BU56" s="11">
        <v>-0.30097941682637602</v>
      </c>
      <c r="BV56" s="11">
        <v>-0.40263177103132303</v>
      </c>
      <c r="BW56" s="11">
        <v>-0.38065497286086503</v>
      </c>
      <c r="BX56" s="11">
        <v>-0.72158615809761595</v>
      </c>
      <c r="BY56" s="11">
        <v>-0.446410143590449</v>
      </c>
      <c r="BZ56" s="11">
        <v>-0.430317453668632</v>
      </c>
      <c r="CA56" s="11">
        <v>-0.16244179477975801</v>
      </c>
      <c r="CB56" s="11">
        <v>4.15493437860599E-2</v>
      </c>
      <c r="CC56" s="11">
        <v>9.3982484643768099E-2</v>
      </c>
      <c r="CD56" s="11">
        <v>0.30057685658206101</v>
      </c>
      <c r="CE56" s="11">
        <v>0.24244529706020601</v>
      </c>
      <c r="CF56" s="11">
        <v>0.15147227720208301</v>
      </c>
      <c r="CG56" s="11">
        <v>0.17976064021072</v>
      </c>
      <c r="CH56" s="11">
        <v>2.3288404588415201E-2</v>
      </c>
      <c r="CI56" s="11">
        <v>0.36596760363766501</v>
      </c>
      <c r="CJ56" s="11">
        <v>0.115307590398117</v>
      </c>
      <c r="CK56" s="11">
        <v>0.22519539783685399</v>
      </c>
      <c r="CL56" s="11">
        <v>0.343696563318869</v>
      </c>
      <c r="CM56" s="11">
        <v>0.12866472469361101</v>
      </c>
      <c r="CN56" s="11">
        <v>0.32183788616564002</v>
      </c>
      <c r="CO56" s="11">
        <v>0.29433850061303402</v>
      </c>
      <c r="CP56" s="11">
        <v>0.15903567929611701</v>
      </c>
      <c r="CQ56" s="11">
        <v>0.23508872099903599</v>
      </c>
      <c r="CR56" s="11">
        <v>0.221448295313423</v>
      </c>
      <c r="CS56" s="11">
        <v>0.120021198743003</v>
      </c>
      <c r="CT56" s="11">
        <v>0.18874764905261901</v>
      </c>
      <c r="CU56" s="11">
        <v>-1.9579466804715499E-2</v>
      </c>
      <c r="CV56" s="11">
        <v>6.16956224065216E-2</v>
      </c>
      <c r="CW56" s="11">
        <v>0.123770467089066</v>
      </c>
      <c r="CX56" s="11">
        <v>0.13464963303078001</v>
      </c>
      <c r="CY56" s="11">
        <v>-0.28543527903633098</v>
      </c>
      <c r="CZ56" s="11">
        <v>-0.120549619892294</v>
      </c>
      <c r="DA56" s="11">
        <v>5.0876527509214099E-3</v>
      </c>
      <c r="DB56" s="11">
        <v>5.78004271149858E-2</v>
      </c>
      <c r="DC56" s="11">
        <v>1.9976025422654201E-2</v>
      </c>
      <c r="DD56" s="11">
        <v>-8.2292363546472194E-2</v>
      </c>
      <c r="DE56" s="11">
        <v>-0.16286724504269601</v>
      </c>
      <c r="DF56" s="11">
        <v>6.4848533090415203E-2</v>
      </c>
      <c r="DG56" s="11">
        <v>-4.2754905673334197E-2</v>
      </c>
      <c r="DH56" s="11">
        <v>-0.25070935386485399</v>
      </c>
      <c r="DI56" s="11">
        <v>-0.114213880258592</v>
      </c>
      <c r="DJ56" s="11">
        <v>-5.0697627874767698E-2</v>
      </c>
      <c r="DK56" s="11">
        <v>-5.2396855887019901E-2</v>
      </c>
      <c r="DL56" s="11">
        <v>-2.4449959090038501E-2</v>
      </c>
      <c r="DM56" s="11">
        <v>-2.0371874222139999E-2</v>
      </c>
      <c r="DN56" s="11">
        <v>-0.25051217404681703</v>
      </c>
      <c r="DO56" s="11">
        <v>9.0420997608035899E-3</v>
      </c>
      <c r="DP56" s="11">
        <v>-0.25916956850978201</v>
      </c>
      <c r="DQ56" s="11">
        <v>-7.7761690698506997E-2</v>
      </c>
      <c r="DR56" s="11">
        <v>-0.17918608614738901</v>
      </c>
      <c r="DS56" s="11">
        <v>-7.7825186201169197E-2</v>
      </c>
      <c r="DT56" s="11">
        <v>-9.9643933579939795E-2</v>
      </c>
      <c r="DU56" s="11">
        <v>5.4934078138492097E-2</v>
      </c>
      <c r="DV56" s="11">
        <v>-9.6257747067064706E-2</v>
      </c>
      <c r="DW56" s="11">
        <v>8.8486832774732193E-3</v>
      </c>
      <c r="DX56" s="11">
        <v>-8.9728930774556306E-2</v>
      </c>
      <c r="DY56" s="11">
        <v>0.234901809921431</v>
      </c>
      <c r="DZ56" s="11">
        <v>0.119706043435587</v>
      </c>
      <c r="EA56" s="11">
        <v>0.237603596704899</v>
      </c>
      <c r="EB56" s="11">
        <v>8.6946685288009196E-2</v>
      </c>
      <c r="EC56" s="11">
        <v>0.15581343985648999</v>
      </c>
      <c r="ED56" s="11">
        <v>0.13380215516182101</v>
      </c>
      <c r="EE56" s="11">
        <v>1.6330915731707502E-2</v>
      </c>
      <c r="EF56" s="11">
        <v>9.1962036670153E-2</v>
      </c>
      <c r="EG56" s="11">
        <v>-1.9943672124696499E-2</v>
      </c>
      <c r="EH56" s="11">
        <v>0.13272987871907699</v>
      </c>
      <c r="EI56" s="11">
        <v>0.140404579367883</v>
      </c>
      <c r="EJ56" s="11">
        <v>-9.8683914018334908E-3</v>
      </c>
      <c r="EK56" s="11">
        <v>-5.7239859252850703E-2</v>
      </c>
      <c r="EL56" s="11">
        <v>0.165315908626331</v>
      </c>
      <c r="EM56" s="11">
        <v>0.11335729090713299</v>
      </c>
      <c r="EN56" s="11">
        <v>-0.18433417484450301</v>
      </c>
      <c r="EO56" s="11">
        <v>-6.5134820246743205E-2</v>
      </c>
      <c r="EP56" s="11">
        <v>6.5660767054980307E-2</v>
      </c>
      <c r="EQ56" s="11">
        <v>0.124901332900466</v>
      </c>
      <c r="ER56" s="11">
        <v>4.9689170808513402E-3</v>
      </c>
      <c r="ES56" s="11">
        <v>-9.2002730802181396E-2</v>
      </c>
      <c r="ET56" s="11">
        <v>3.2959074318590499E-2</v>
      </c>
      <c r="EU56" s="11">
        <v>5.6774591706802997E-2</v>
      </c>
      <c r="EV56" s="11">
        <v>0.112135085633634</v>
      </c>
      <c r="EW56" s="11">
        <v>0.14713153126674</v>
      </c>
      <c r="EX56" s="11">
        <v>0.15616438741327901</v>
      </c>
      <c r="EY56" s="11">
        <v>7.5512235866848396E-2</v>
      </c>
      <c r="EZ56" s="11">
        <v>0.12409345201743199</v>
      </c>
      <c r="FA56" s="11">
        <v>9.3296037686301501E-4</v>
      </c>
      <c r="FB56" s="11">
        <v>6.6803240154010804E-2</v>
      </c>
      <c r="FC56" s="11">
        <v>-2.8322449123040702E-3</v>
      </c>
      <c r="FD56" s="11">
        <v>0.21402682258349801</v>
      </c>
      <c r="FE56" s="11">
        <v>-1.8794649775367299E-3</v>
      </c>
      <c r="FF56" s="11">
        <v>0.130854387102632</v>
      </c>
      <c r="FG56" s="11">
        <v>0.28896857601103598</v>
      </c>
      <c r="FH56" s="11">
        <v>0.208978814467948</v>
      </c>
      <c r="FI56" s="11">
        <v>0.15931526554856801</v>
      </c>
      <c r="FJ56" s="11">
        <v>-1.98807866424042E-2</v>
      </c>
      <c r="FK56" s="11">
        <v>0.19284023273870399</v>
      </c>
      <c r="FL56" s="11">
        <v>0.15406560123455601</v>
      </c>
      <c r="FM56" s="11">
        <v>1.7396973849369599E-2</v>
      </c>
      <c r="FN56" s="11">
        <v>0.18333736226438599</v>
      </c>
      <c r="FO56" s="11">
        <v>8.2178754871896506E-2</v>
      </c>
      <c r="FP56" s="11">
        <v>0.15787001012010801</v>
      </c>
      <c r="FQ56" s="11">
        <v>0.190617556726114</v>
      </c>
      <c r="FR56" s="11">
        <v>0.122433976961778</v>
      </c>
      <c r="FS56" s="11">
        <v>0.28966306172480399</v>
      </c>
      <c r="FT56" s="11">
        <v>0.168196694831801</v>
      </c>
      <c r="FU56" s="11">
        <v>0.14298430847396501</v>
      </c>
      <c r="FV56" s="11">
        <v>0.30492140590203598</v>
      </c>
      <c r="FW56" s="11">
        <v>0.27619358558726298</v>
      </c>
      <c r="FX56" s="11">
        <v>0.273417222775729</v>
      </c>
      <c r="FY56" s="11">
        <v>0.289492209656876</v>
      </c>
      <c r="FZ56" s="11">
        <v>0.18030291355140399</v>
      </c>
      <c r="GA56" s="11">
        <v>0.32620888486053201</v>
      </c>
      <c r="GB56" s="11">
        <v>0.27101785830596098</v>
      </c>
      <c r="GC56" s="11">
        <v>0.30458188471152098</v>
      </c>
      <c r="GD56" s="11">
        <v>0.1667704291114</v>
      </c>
      <c r="GE56" s="11">
        <v>0.28211529768979399</v>
      </c>
      <c r="GF56" s="11">
        <v>0.28560440053203001</v>
      </c>
      <c r="GG56" s="11">
        <v>0.22710560503728</v>
      </c>
      <c r="GH56" s="11">
        <v>0.38505060826973198</v>
      </c>
      <c r="GI56" s="11">
        <v>8.8487568235203207E-2</v>
      </c>
      <c r="GJ56" s="11">
        <v>0.21124963088541199</v>
      </c>
      <c r="GK56" s="11">
        <v>0.18866819453133199</v>
      </c>
    </row>
    <row r="57" spans="1:206" x14ac:dyDescent="0.25">
      <c r="A57" t="s">
        <v>267</v>
      </c>
      <c r="B57" t="s">
        <v>606</v>
      </c>
      <c r="C57">
        <v>0.21782426524322701</v>
      </c>
      <c r="D57">
        <v>0.91453993527278099</v>
      </c>
      <c r="E57">
        <v>0.27983881212287798</v>
      </c>
      <c r="F57">
        <v>0.67468793719960096</v>
      </c>
      <c r="G57">
        <v>0.78676094851108203</v>
      </c>
      <c r="H57">
        <v>1.11880090656994</v>
      </c>
      <c r="I57">
        <v>0.19410002975989299</v>
      </c>
      <c r="J57">
        <v>0.20180534069897699</v>
      </c>
      <c r="K57">
        <v>0.42333386139655999</v>
      </c>
      <c r="L57">
        <v>0.28772770000515302</v>
      </c>
      <c r="M57">
        <v>1.5181050651082699</v>
      </c>
      <c r="N57">
        <v>1.6561590892271101</v>
      </c>
      <c r="O57">
        <v>0.87330638145177497</v>
      </c>
      <c r="P57">
        <v>0.40014681851661799</v>
      </c>
      <c r="Q57">
        <v>0.26766919093401698</v>
      </c>
      <c r="R57">
        <v>-0.29286645676291301</v>
      </c>
      <c r="S57">
        <v>0.88952869997516504</v>
      </c>
      <c r="T57">
        <v>0.70541132406104001</v>
      </c>
      <c r="U57">
        <v>0.36388647835745103</v>
      </c>
      <c r="V57">
        <v>0.154663607912502</v>
      </c>
      <c r="W57">
        <v>0.181066446427184</v>
      </c>
      <c r="X57">
        <v>0.37870153216121599</v>
      </c>
      <c r="Y57">
        <v>-0.17387676532861601</v>
      </c>
      <c r="Z57">
        <v>0.344832419044728</v>
      </c>
      <c r="AA57">
        <v>-0.31166846614165</v>
      </c>
      <c r="AB57">
        <v>-4.3541777033889797E-2</v>
      </c>
      <c r="AC57">
        <v>-0.60837340525768902</v>
      </c>
      <c r="AD57">
        <v>-0.135052046367578</v>
      </c>
      <c r="AE57">
        <v>-7.3098337750301806E-2</v>
      </c>
      <c r="AF57">
        <v>-0.42689920486115202</v>
      </c>
      <c r="AG57">
        <v>-0.102603482566618</v>
      </c>
      <c r="AH57">
        <v>0.378943107861268</v>
      </c>
      <c r="AI57">
        <v>-0.42966833389547499</v>
      </c>
      <c r="AJ57">
        <v>-0.62834043270742301</v>
      </c>
      <c r="AK57">
        <v>-0.47183596657017501</v>
      </c>
      <c r="AL57">
        <v>-0.16236152106103999</v>
      </c>
      <c r="AM57">
        <v>-7.7253168987250598E-2</v>
      </c>
      <c r="AN57">
        <v>-0.226436562803461</v>
      </c>
      <c r="AO57">
        <v>0.35596252938733203</v>
      </c>
      <c r="AP57">
        <v>-0.440167903524255</v>
      </c>
      <c r="AQ57">
        <v>-0.116358216844422</v>
      </c>
      <c r="AR57">
        <v>0.38672769652157402</v>
      </c>
      <c r="AS57">
        <v>-0.47710497173324201</v>
      </c>
      <c r="AT57">
        <v>-1.6420678797629699E-2</v>
      </c>
      <c r="AU57">
        <v>-0.229080119438727</v>
      </c>
      <c r="AV57">
        <v>-0.54166506897949296</v>
      </c>
      <c r="AW57">
        <v>0.50835555170981295</v>
      </c>
      <c r="AX57">
        <v>0.40676196725179398</v>
      </c>
      <c r="AY57">
        <v>0.583381420374113</v>
      </c>
      <c r="AZ57">
        <v>-0.24950642289056699</v>
      </c>
      <c r="BA57">
        <v>-9.7764458949443495E-3</v>
      </c>
      <c r="BB57">
        <v>-0.12503839123521701</v>
      </c>
      <c r="BC57">
        <v>-0.30580644344583802</v>
      </c>
      <c r="BD57">
        <v>-8.1334399913876407E-2</v>
      </c>
      <c r="BE57">
        <v>-0.14278496899263199</v>
      </c>
      <c r="BF57">
        <v>0.44399663367376002</v>
      </c>
      <c r="BG57">
        <v>2.5224563310942399E-2</v>
      </c>
      <c r="BH57">
        <v>0.44274835109573601</v>
      </c>
      <c r="BI57">
        <v>-0.47325140768565299</v>
      </c>
      <c r="BJ57">
        <v>0.23108144746686701</v>
      </c>
      <c r="BK57">
        <v>-0.56129771272141704</v>
      </c>
      <c r="BL57">
        <v>0.33273030213635701</v>
      </c>
      <c r="BM57">
        <v>-0.22927857583661501</v>
      </c>
      <c r="BN57">
        <v>0.308576193289815</v>
      </c>
      <c r="BO57">
        <v>-7.0472501006738603E-2</v>
      </c>
      <c r="BP57">
        <v>-0.37227160577274698</v>
      </c>
      <c r="BQ57">
        <v>0.127217368864327</v>
      </c>
      <c r="BR57">
        <v>0.45540981679749998</v>
      </c>
      <c r="BS57">
        <v>-7.10344436456678E-2</v>
      </c>
      <c r="BT57">
        <v>-3.1801867735733501E-3</v>
      </c>
      <c r="BU57">
        <v>9.5929542822921002E-2</v>
      </c>
      <c r="BV57">
        <v>-0.19892613740624401</v>
      </c>
      <c r="BW57">
        <v>0.13637275714960101</v>
      </c>
      <c r="BX57">
        <v>0.321061987540954</v>
      </c>
      <c r="BY57">
        <v>0.224415314100158</v>
      </c>
      <c r="BZ57">
        <v>0.14402823046785099</v>
      </c>
      <c r="CA57">
        <v>5.8365758158805202E-2</v>
      </c>
      <c r="CB57">
        <v>-3.99342182649721E-2</v>
      </c>
      <c r="CC57">
        <v>0.40591037144998898</v>
      </c>
      <c r="CD57">
        <v>0.82544908313549203</v>
      </c>
      <c r="CE57">
        <v>0.32394470438612499</v>
      </c>
      <c r="CF57">
        <v>0.55187521910349302</v>
      </c>
      <c r="CG57">
        <v>-0.14688130211709999</v>
      </c>
      <c r="CH57">
        <v>0.22631401482056199</v>
      </c>
      <c r="CI57">
        <v>0.491742007638027</v>
      </c>
      <c r="CJ57">
        <v>6.3310439076660605E-2</v>
      </c>
      <c r="CK57">
        <v>0.39342237999476298</v>
      </c>
      <c r="CL57">
        <v>-0.66915020505162104</v>
      </c>
      <c r="CM57">
        <v>-2.14995322939131E-2</v>
      </c>
      <c r="CN57">
        <v>-0.33717475848943601</v>
      </c>
      <c r="CO57">
        <v>-0.28154965251206099</v>
      </c>
      <c r="CP57">
        <v>-0.31404952965897398</v>
      </c>
      <c r="CQ57">
        <v>-0.122764818634382</v>
      </c>
      <c r="CR57">
        <v>-0.32002306588346002</v>
      </c>
      <c r="CS57">
        <v>-0.78182860340275095</v>
      </c>
      <c r="CT57">
        <v>-0.957043717697171</v>
      </c>
      <c r="CU57">
        <v>-0.22915247612207201</v>
      </c>
      <c r="CV57">
        <v>-0.65289985724650301</v>
      </c>
      <c r="CW57">
        <v>-0.48560010773622903</v>
      </c>
      <c r="CX57">
        <v>-0.15640884814126299</v>
      </c>
      <c r="CY57">
        <v>-0.258927397675</v>
      </c>
      <c r="CZ57">
        <v>-8.9715786069328694E-3</v>
      </c>
      <c r="DA57">
        <v>0.66302555593536605</v>
      </c>
      <c r="DB57">
        <v>-0.16064457128676601</v>
      </c>
      <c r="DC57">
        <v>3.1731919846743201E-3</v>
      </c>
      <c r="DD57">
        <v>-0.316417711289045</v>
      </c>
      <c r="DE57">
        <v>-0.43825801954835297</v>
      </c>
      <c r="DF57">
        <v>-0.80351548580473298</v>
      </c>
      <c r="DG57">
        <v>-0.461171803593876</v>
      </c>
      <c r="DH57">
        <v>-0.70749025355110196</v>
      </c>
      <c r="DI57">
        <v>-0.90349289870540395</v>
      </c>
      <c r="DJ57">
        <v>5.66846735378288E-2</v>
      </c>
      <c r="DK57">
        <v>0.17915386293350699</v>
      </c>
      <c r="DL57">
        <v>-0.30584298843801</v>
      </c>
      <c r="DM57">
        <v>-0.94075612724046997</v>
      </c>
      <c r="DN57">
        <v>-0.32166146091160203</v>
      </c>
      <c r="DO57">
        <v>-1.0407225719708</v>
      </c>
      <c r="DP57">
        <v>7.5337042176343405E-2</v>
      </c>
      <c r="DQ57">
        <v>-0.44487774678276798</v>
      </c>
      <c r="DR57">
        <v>-2.2222144294244E-2</v>
      </c>
      <c r="DS57">
        <v>-0.67806816554829497</v>
      </c>
      <c r="DT57">
        <v>-0.68436811565773703</v>
      </c>
      <c r="DU57">
        <v>-1.7364672964589701E-2</v>
      </c>
      <c r="DV57">
        <v>3.41412020085161E-2</v>
      </c>
      <c r="DW57">
        <v>-1.05251787992765</v>
      </c>
      <c r="DX57">
        <v>-0.79251493138035101</v>
      </c>
      <c r="DY57">
        <v>-0.32020823744572802</v>
      </c>
      <c r="DZ57">
        <v>-0.30719506112787998</v>
      </c>
      <c r="EA57">
        <v>-0.28025067699803202</v>
      </c>
      <c r="EB57">
        <v>-0.570784428280256</v>
      </c>
      <c r="EC57">
        <v>-0.76911846554579799</v>
      </c>
      <c r="ED57">
        <v>-0.61542710149566204</v>
      </c>
      <c r="EE57">
        <v>-0.21139086906662999</v>
      </c>
      <c r="EF57">
        <v>-0.372413311169427</v>
      </c>
      <c r="EG57">
        <v>-0.74596016432984902</v>
      </c>
      <c r="EH57">
        <v>-0.419076117759835</v>
      </c>
      <c r="EI57">
        <v>-0.81921491972983396</v>
      </c>
      <c r="EJ57">
        <v>-0.153718862549345</v>
      </c>
      <c r="EK57">
        <v>7.7240662263680496E-2</v>
      </c>
      <c r="EL57">
        <v>-0.65582873596119096</v>
      </c>
      <c r="EM57">
        <v>0.25957848990002103</v>
      </c>
      <c r="EN57">
        <v>-0.14911996189990201</v>
      </c>
      <c r="EO57">
        <v>-0.469093625925316</v>
      </c>
      <c r="EP57">
        <v>0.30603551924023098</v>
      </c>
      <c r="EQ57">
        <v>0.43730963645799498</v>
      </c>
      <c r="ER57">
        <v>-0.24117556873393001</v>
      </c>
      <c r="ES57">
        <v>-0.71821564136765403</v>
      </c>
      <c r="ET57">
        <v>-0.34596546385714799</v>
      </c>
      <c r="EU57">
        <v>-0.41092913403980502</v>
      </c>
      <c r="EV57">
        <v>-0.65286126279634604</v>
      </c>
      <c r="EW57">
        <v>-0.19570663530579699</v>
      </c>
      <c r="EX57">
        <v>7.4026060626380896E-2</v>
      </c>
      <c r="EY57">
        <v>0.28328075565322097</v>
      </c>
      <c r="EZ57">
        <v>-0.42721040124744702</v>
      </c>
      <c r="FA57">
        <v>-0.18768692778944401</v>
      </c>
      <c r="FB57">
        <v>-0.13789651952516599</v>
      </c>
      <c r="FC57">
        <v>-0.55845387023289605</v>
      </c>
      <c r="FD57">
        <v>0.40154373967171902</v>
      </c>
      <c r="FE57">
        <v>0.29047193500558</v>
      </c>
      <c r="FF57">
        <v>-0.40089943087987501</v>
      </c>
      <c r="FG57">
        <v>-0.27785065045885299</v>
      </c>
      <c r="FH57">
        <v>-0.13314187483578699</v>
      </c>
      <c r="FI57">
        <v>-0.177792616684013</v>
      </c>
      <c r="FJ57">
        <v>-0.80094203810553199</v>
      </c>
      <c r="FK57">
        <v>-0.23007678014824201</v>
      </c>
      <c r="FL57">
        <v>7.0960615687079107E-2</v>
      </c>
      <c r="FM57">
        <v>-0.68762116676028395</v>
      </c>
      <c r="FN57">
        <v>-0.62077459090592901</v>
      </c>
      <c r="FO57">
        <v>0.61505385826097603</v>
      </c>
      <c r="FP57">
        <v>-0.355323398377834</v>
      </c>
      <c r="FQ57">
        <v>-0.94250719776296799</v>
      </c>
      <c r="FR57">
        <v>0.122852938471166</v>
      </c>
      <c r="FS57">
        <v>-0.12031510407273199</v>
      </c>
      <c r="FT57">
        <v>-5.4416899593253402E-2</v>
      </c>
      <c r="FU57">
        <v>-0.672784616925304</v>
      </c>
      <c r="FV57">
        <v>-0.73910544288709501</v>
      </c>
      <c r="FW57">
        <v>-0.12655936984316599</v>
      </c>
      <c r="FX57">
        <v>-0.45321474087011498</v>
      </c>
      <c r="FY57">
        <v>0.22995111260784501</v>
      </c>
      <c r="FZ57">
        <v>2.7826456105730601E-2</v>
      </c>
      <c r="GA57">
        <v>-0.59197259574317096</v>
      </c>
      <c r="GB57">
        <v>-0.33113395999617701</v>
      </c>
      <c r="GC57">
        <v>-0.161329751158302</v>
      </c>
      <c r="GD57">
        <v>-1.1120078201964501</v>
      </c>
      <c r="GE57">
        <v>-0.21982931001150599</v>
      </c>
      <c r="GF57">
        <v>-0.166644195667355</v>
      </c>
      <c r="GG57">
        <v>0.106499555531474</v>
      </c>
      <c r="GH57">
        <v>-0.36560654895377798</v>
      </c>
      <c r="GI57">
        <v>-5.1248819754541201E-2</v>
      </c>
      <c r="GJ57">
        <v>-0.49464532865234401</v>
      </c>
      <c r="GK57">
        <v>-0.30960632576369801</v>
      </c>
    </row>
    <row r="58" spans="1:206" x14ac:dyDescent="0.25">
      <c r="A58" t="s">
        <v>267</v>
      </c>
      <c r="B58" t="s">
        <v>754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0.134663073546504</v>
      </c>
      <c r="J58">
        <v>0</v>
      </c>
      <c r="K58">
        <v>2.12299919763239E-2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0.13656994581856999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2.5145524940646299E-2</v>
      </c>
      <c r="BX58">
        <v>0</v>
      </c>
      <c r="BY58">
        <v>1.33877998882381E-2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0.16373693631744099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0.15491811419583101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</row>
    <row r="59" spans="1:206" x14ac:dyDescent="0.25">
      <c r="A59" t="s">
        <v>267</v>
      </c>
      <c r="B59" t="s">
        <v>601</v>
      </c>
      <c r="C59">
        <v>0</v>
      </c>
      <c r="D59">
        <v>0.13039958935701201</v>
      </c>
      <c r="E59">
        <v>0</v>
      </c>
      <c r="F59">
        <v>0.13508449587749</v>
      </c>
      <c r="G59">
        <v>4.9575455585375301E-2</v>
      </c>
      <c r="H59">
        <v>0.22532472823674399</v>
      </c>
      <c r="I59">
        <v>0.25877762085183997</v>
      </c>
      <c r="J59">
        <v>0</v>
      </c>
      <c r="K59">
        <v>0</v>
      </c>
      <c r="L59">
        <v>0</v>
      </c>
      <c r="M59">
        <v>8.05551273486423E-2</v>
      </c>
      <c r="N59">
        <v>0.42846345225009003</v>
      </c>
      <c r="O59">
        <v>0</v>
      </c>
      <c r="P59">
        <v>0.19050984444706601</v>
      </c>
      <c r="Q59">
        <v>0</v>
      </c>
      <c r="R59">
        <v>0</v>
      </c>
      <c r="S59">
        <v>0.120487323720846</v>
      </c>
      <c r="T59">
        <v>0</v>
      </c>
      <c r="U59">
        <v>0</v>
      </c>
      <c r="V59">
        <v>0</v>
      </c>
      <c r="W59">
        <v>0</v>
      </c>
      <c r="X59">
        <v>0.16481751956992</v>
      </c>
      <c r="Y59">
        <v>0</v>
      </c>
      <c r="Z59">
        <v>0.170701922627814</v>
      </c>
      <c r="AA59">
        <v>0</v>
      </c>
      <c r="AB59">
        <v>1.49649452538641E-2</v>
      </c>
      <c r="AC59">
        <v>5.7342951021768201E-2</v>
      </c>
      <c r="AD59">
        <v>0</v>
      </c>
      <c r="AE59">
        <v>5.7039412078962501E-2</v>
      </c>
      <c r="AF59">
        <v>0</v>
      </c>
      <c r="AG59">
        <v>5.2281454364666198E-2</v>
      </c>
      <c r="AH59">
        <v>0.14212117734978699</v>
      </c>
      <c r="AI59">
        <v>0</v>
      </c>
      <c r="AJ59">
        <v>0</v>
      </c>
      <c r="AK59">
        <v>8.3911965715407794E-2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0.107456739476538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0.10379805801442001</v>
      </c>
      <c r="AZ59">
        <v>0.11035237928076</v>
      </c>
      <c r="BA59">
        <v>0</v>
      </c>
      <c r="BB59">
        <v>0</v>
      </c>
      <c r="BC59">
        <v>0.123487377432111</v>
      </c>
      <c r="BD59">
        <v>0</v>
      </c>
      <c r="BE59">
        <v>0</v>
      </c>
      <c r="BF59">
        <v>0</v>
      </c>
      <c r="BG59">
        <v>1.10234094327239E-2</v>
      </c>
      <c r="BH59">
        <v>0</v>
      </c>
      <c r="BI59">
        <v>0</v>
      </c>
      <c r="BJ59">
        <v>0</v>
      </c>
      <c r="BK59">
        <v>0</v>
      </c>
      <c r="BL59">
        <v>8.2512257678867704E-2</v>
      </c>
      <c r="BM59">
        <v>0</v>
      </c>
      <c r="BN59">
        <v>0.11233998077409101</v>
      </c>
      <c r="BO59">
        <v>0</v>
      </c>
      <c r="BP59">
        <v>0</v>
      </c>
      <c r="BQ59">
        <v>0</v>
      </c>
      <c r="BR59">
        <v>0</v>
      </c>
      <c r="BS59">
        <v>1.0225700161008501E-2</v>
      </c>
      <c r="BT59">
        <v>0</v>
      </c>
      <c r="BU59">
        <v>3.0868238711586601E-2</v>
      </c>
      <c r="BV59">
        <v>0</v>
      </c>
      <c r="BW59">
        <v>2.5145524940646299E-2</v>
      </c>
      <c r="BX59">
        <v>1.47750462117931E-2</v>
      </c>
      <c r="BY59">
        <v>0</v>
      </c>
      <c r="BZ59">
        <v>0</v>
      </c>
      <c r="CA59">
        <v>1.30242665088118E-2</v>
      </c>
      <c r="CB59">
        <v>0</v>
      </c>
      <c r="CC59">
        <v>0</v>
      </c>
      <c r="CD59">
        <v>0.21433697743973201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1.26669282141058E-2</v>
      </c>
      <c r="CK59">
        <v>1.9982168763233998E-2</v>
      </c>
      <c r="CL59">
        <v>0</v>
      </c>
      <c r="CM59">
        <v>0</v>
      </c>
      <c r="CN59">
        <v>0</v>
      </c>
      <c r="CO59">
        <v>0.121038053471623</v>
      </c>
      <c r="CP59">
        <v>0</v>
      </c>
      <c r="CQ59">
        <v>0</v>
      </c>
      <c r="CR59">
        <v>0</v>
      </c>
      <c r="CS59">
        <v>0</v>
      </c>
      <c r="CT59">
        <v>0.165196468177883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0.102323575091971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0.14424715725711601</v>
      </c>
      <c r="EP59">
        <v>0.20652840529105501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0.112506289360221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5.7787984631145102E-2</v>
      </c>
      <c r="FW59">
        <v>0</v>
      </c>
      <c r="FX59">
        <v>0</v>
      </c>
      <c r="FY59">
        <v>0.13533871642303699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1.7200256286971902E-2</v>
      </c>
      <c r="GJ59">
        <v>0</v>
      </c>
      <c r="GK59">
        <v>0</v>
      </c>
    </row>
    <row r="60" spans="1:206" x14ac:dyDescent="0.25">
      <c r="A60" t="s">
        <v>267</v>
      </c>
      <c r="B60" t="s">
        <v>607</v>
      </c>
      <c r="C60">
        <v>-0.141290481987771</v>
      </c>
      <c r="D60">
        <v>0.109533360301177</v>
      </c>
      <c r="E60">
        <v>1.24266039172406</v>
      </c>
      <c r="F60">
        <v>0.90167190887238002</v>
      </c>
      <c r="G60">
        <v>0.49676022801606201</v>
      </c>
      <c r="H60">
        <v>0.50800211609549395</v>
      </c>
      <c r="I60">
        <v>1.35102841004366</v>
      </c>
      <c r="J60">
        <v>1.7979758850032399</v>
      </c>
      <c r="K60">
        <v>1.76928809039848</v>
      </c>
      <c r="L60">
        <v>0.27029038405724698</v>
      </c>
      <c r="M60">
        <v>1.0699197732888099</v>
      </c>
      <c r="N60">
        <v>0.86597610959771898</v>
      </c>
      <c r="O60">
        <v>1.25272230795569</v>
      </c>
      <c r="P60">
        <v>0.29701639579347699</v>
      </c>
      <c r="Q60">
        <v>4.1314713692113102E-3</v>
      </c>
      <c r="R60">
        <v>-0.141290481987771</v>
      </c>
      <c r="S60">
        <v>-0.141290481987771</v>
      </c>
      <c r="T60">
        <v>0.14290677150738601</v>
      </c>
      <c r="U60">
        <v>0.11807018155445601</v>
      </c>
      <c r="V60">
        <v>0.14162603365109</v>
      </c>
      <c r="W60">
        <v>0.327553855106058</v>
      </c>
      <c r="X60">
        <v>2.35270375821484E-2</v>
      </c>
      <c r="Y60">
        <v>-0.141290481987771</v>
      </c>
      <c r="Z60">
        <v>0.183689903013082</v>
      </c>
      <c r="AA60">
        <v>-0.141290481987771</v>
      </c>
      <c r="AB60">
        <v>-9.6781463582596303E-2</v>
      </c>
      <c r="AC60">
        <v>2.48720180804251E-2</v>
      </c>
      <c r="AD60">
        <v>-4.59543694545322E-4</v>
      </c>
      <c r="AE60">
        <v>-5.1826051354939402E-2</v>
      </c>
      <c r="AF60">
        <v>-6.4578109019498495E-2</v>
      </c>
      <c r="AG60">
        <v>-3.8370013151851998E-2</v>
      </c>
      <c r="AH60">
        <v>8.3069536201545895E-4</v>
      </c>
      <c r="AI60">
        <v>-0.141290481987771</v>
      </c>
      <c r="AJ60">
        <v>0.12399766512126199</v>
      </c>
      <c r="AK60">
        <v>-0.141290481987771</v>
      </c>
      <c r="AL60">
        <v>-6.2038868457818898E-2</v>
      </c>
      <c r="AM60">
        <v>-3.4141857790459598E-3</v>
      </c>
      <c r="AN60">
        <v>-0.141290481987771</v>
      </c>
      <c r="AO60">
        <v>6.8492962992221504E-2</v>
      </c>
      <c r="AP60">
        <v>-0.141290481987771</v>
      </c>
      <c r="AQ60">
        <v>0.102151117158274</v>
      </c>
      <c r="AR60">
        <v>-3.3833742511233202E-2</v>
      </c>
      <c r="AS60">
        <v>-6.4973037760505295E-2</v>
      </c>
      <c r="AT60">
        <v>0.190761980397681</v>
      </c>
      <c r="AU60">
        <v>-0.141290481987771</v>
      </c>
      <c r="AV60">
        <v>0.57180117377338702</v>
      </c>
      <c r="AW60">
        <v>3.4930866536613599E-2</v>
      </c>
      <c r="AX60">
        <v>-4.9494272954792001E-2</v>
      </c>
      <c r="AY60">
        <v>-0.141290481987771</v>
      </c>
      <c r="AZ60">
        <v>-0.141290481987771</v>
      </c>
      <c r="BA60">
        <v>0.16258143486811</v>
      </c>
      <c r="BB60">
        <v>-3.8900940806609802E-2</v>
      </c>
      <c r="BC60">
        <v>-0.141290481987771</v>
      </c>
      <c r="BD60">
        <v>-4.7205361692017004E-3</v>
      </c>
      <c r="BE60">
        <v>5.7986751544354502E-2</v>
      </c>
      <c r="BF60">
        <v>-0.141290481987771</v>
      </c>
      <c r="BG60">
        <v>8.6814275762625605E-3</v>
      </c>
      <c r="BH60">
        <v>-6.0722361491915497E-2</v>
      </c>
      <c r="BI60">
        <v>-4.8623150855316599E-2</v>
      </c>
      <c r="BJ60">
        <v>-0.141290481987771</v>
      </c>
      <c r="BK60">
        <v>-3.6552754301711003E-2</v>
      </c>
      <c r="BL60">
        <v>9.4460286287388395E-2</v>
      </c>
      <c r="BM60">
        <v>-0.141290481987771</v>
      </c>
      <c r="BN60">
        <v>-2.8950501213680601E-2</v>
      </c>
      <c r="BO60">
        <v>-3.7623080047108903E-2</v>
      </c>
      <c r="BP60">
        <v>-4.6495770974855903E-2</v>
      </c>
      <c r="BQ60">
        <v>-5.3279828303895098E-2</v>
      </c>
      <c r="BR60">
        <v>0.11393117143733</v>
      </c>
      <c r="BS60">
        <v>0.84201683566572705</v>
      </c>
      <c r="BT60">
        <v>0.96555239589912401</v>
      </c>
      <c r="BU60">
        <v>1.09582055789188</v>
      </c>
      <c r="BV60">
        <v>1.0263270011566601</v>
      </c>
      <c r="BW60">
        <v>1.5419497818469601</v>
      </c>
      <c r="BX60">
        <v>1.0808392565784899</v>
      </c>
      <c r="BY60">
        <v>1.4343765493674701</v>
      </c>
      <c r="BZ60">
        <v>0.74215648749518603</v>
      </c>
      <c r="CA60">
        <v>0.97051711294778698</v>
      </c>
      <c r="CB60">
        <v>1.6738492275935699E-2</v>
      </c>
      <c r="CC60">
        <v>-1.8480200741444599E-2</v>
      </c>
      <c r="CD60">
        <v>-0.141290481987771</v>
      </c>
      <c r="CE60">
        <v>0.1205198975529</v>
      </c>
      <c r="CF60">
        <v>-0.141290481987771</v>
      </c>
      <c r="CG60">
        <v>-0.141290481987771</v>
      </c>
      <c r="CH60">
        <v>-0.141290481987771</v>
      </c>
      <c r="CI60">
        <v>0.30045908106710201</v>
      </c>
      <c r="CJ60">
        <v>-2.28971176590827E-2</v>
      </c>
      <c r="CK60">
        <v>-5.15086164663121E-2</v>
      </c>
      <c r="CL60">
        <v>0.17392325791558599</v>
      </c>
      <c r="CM60">
        <v>-0.141290481987771</v>
      </c>
      <c r="CN60">
        <v>-6.6266575356882899E-3</v>
      </c>
      <c r="CO60">
        <v>-0.141290481987771</v>
      </c>
      <c r="CP60">
        <v>-0.141290481987771</v>
      </c>
      <c r="CQ60">
        <v>0.11591428235284799</v>
      </c>
      <c r="CR60">
        <v>-0.141290481987771</v>
      </c>
      <c r="CS60">
        <v>-0.141290481987771</v>
      </c>
      <c r="CT60">
        <v>-0.141290481987771</v>
      </c>
      <c r="CU60">
        <v>-0.141290481987771</v>
      </c>
      <c r="CV60">
        <v>3.0271654491372899E-2</v>
      </c>
      <c r="CW60">
        <v>-2.3840326920405899E-2</v>
      </c>
      <c r="CX60">
        <v>-1.8258469989291402E-2</v>
      </c>
      <c r="CY60">
        <v>-0.141290481987771</v>
      </c>
      <c r="CZ60">
        <v>-0.141290481987771</v>
      </c>
      <c r="DA60">
        <v>0.154094670557091</v>
      </c>
      <c r="DB60">
        <v>-2.3525654498104099E-3</v>
      </c>
      <c r="DC60">
        <v>4.69330198792005E-4</v>
      </c>
      <c r="DD60">
        <v>1.8015896747167401E-2</v>
      </c>
      <c r="DE60">
        <v>-0.141290481987771</v>
      </c>
      <c r="DF60">
        <v>-0.141290481987771</v>
      </c>
      <c r="DG60">
        <v>5.1747588056143198E-3</v>
      </c>
      <c r="DH60">
        <v>0.173615188289198</v>
      </c>
      <c r="DI60">
        <v>-0.141290481987771</v>
      </c>
      <c r="DJ60">
        <v>-0.141290481987771</v>
      </c>
      <c r="DK60">
        <v>-2.3946959859588599E-2</v>
      </c>
      <c r="DL60">
        <v>0.13804316147415799</v>
      </c>
      <c r="DM60">
        <v>-0.141290481987771</v>
      </c>
      <c r="DN60">
        <v>1.6814533018631599E-2</v>
      </c>
      <c r="DO60">
        <v>-0.141290481987771</v>
      </c>
      <c r="DP60">
        <v>9.3629250105231807E-2</v>
      </c>
      <c r="DQ60">
        <v>0.28906577943249701</v>
      </c>
      <c r="DR60">
        <v>-0.141290481987771</v>
      </c>
      <c r="DS60">
        <v>-1.8310553285116E-2</v>
      </c>
      <c r="DT60">
        <v>6.1555465692858602E-3</v>
      </c>
      <c r="DU60">
        <v>-3.75813441948736E-3</v>
      </c>
      <c r="DV60">
        <v>-1.2521996825285301E-2</v>
      </c>
      <c r="DW60">
        <v>0.12639809353982101</v>
      </c>
      <c r="DX60">
        <v>2.8965425612220298E-2</v>
      </c>
      <c r="DY60">
        <v>-2.84625005240315E-2</v>
      </c>
      <c r="DZ60">
        <v>0.18910247041893</v>
      </c>
      <c r="EA60">
        <v>1.3855495407762101E-2</v>
      </c>
      <c r="EB60">
        <v>1.20431971503008E-2</v>
      </c>
      <c r="EC60">
        <v>-1.5517761555001199E-2</v>
      </c>
      <c r="ED60">
        <v>-0.141290481987771</v>
      </c>
      <c r="EE60">
        <v>0.23401834763205401</v>
      </c>
      <c r="EF60">
        <v>-3.3488656320853301E-2</v>
      </c>
      <c r="EG60">
        <v>3.3221362070377701E-2</v>
      </c>
      <c r="EH60">
        <v>-0.141290481987771</v>
      </c>
      <c r="EI60">
        <v>-0.141290481987771</v>
      </c>
      <c r="EJ60">
        <v>-1.2220663313971701E-2</v>
      </c>
      <c r="EK60">
        <v>6.3047377992568002E-2</v>
      </c>
      <c r="EL60">
        <v>7.9065866398911298E-3</v>
      </c>
      <c r="EM60">
        <v>-0.141290481987771</v>
      </c>
      <c r="EN60">
        <v>0.363015294687491</v>
      </c>
      <c r="EO60">
        <v>2.95667526934521E-3</v>
      </c>
      <c r="EP60">
        <v>-3.4797811763189697E-2</v>
      </c>
      <c r="EQ60">
        <v>0.716736393657184</v>
      </c>
      <c r="ER60">
        <v>-0.141290481987771</v>
      </c>
      <c r="ES60">
        <v>-2.5440796254150799E-2</v>
      </c>
      <c r="ET60">
        <v>-1.96413549425399E-2</v>
      </c>
      <c r="EU60">
        <v>-0.141290481987771</v>
      </c>
      <c r="EV60">
        <v>-0.141290481987771</v>
      </c>
      <c r="EW60">
        <v>-3.4099395462145798E-2</v>
      </c>
      <c r="EX60">
        <v>-0.141290481987771</v>
      </c>
      <c r="EY60">
        <v>-0.141290481987771</v>
      </c>
      <c r="EZ60">
        <v>0.101680466180576</v>
      </c>
      <c r="FA60">
        <v>-4.8393357615744504E-3</v>
      </c>
      <c r="FB60">
        <v>-0.141290481987771</v>
      </c>
      <c r="FC60">
        <v>-8.3205990577333092E-3</v>
      </c>
      <c r="FD60">
        <v>1.35751618342854E-2</v>
      </c>
      <c r="FE60">
        <v>0.28569180792500198</v>
      </c>
      <c r="FF60">
        <v>-2.1223912103318101E-3</v>
      </c>
      <c r="FG60">
        <v>-0.141290481987771</v>
      </c>
      <c r="FH60">
        <v>-0.141290481987771</v>
      </c>
      <c r="FI60">
        <v>-0.141290481987771</v>
      </c>
      <c r="FJ60">
        <v>-0.141290481987771</v>
      </c>
      <c r="FK60">
        <v>-2.9023318741421399E-3</v>
      </c>
      <c r="FL60">
        <v>4.59397362051583E-4</v>
      </c>
      <c r="FM60">
        <v>0.13593899932464401</v>
      </c>
      <c r="FN60">
        <v>-2.8784192627550002E-2</v>
      </c>
      <c r="FO60">
        <v>-0.141290481987771</v>
      </c>
      <c r="FP60">
        <v>-9.1504809114052704E-2</v>
      </c>
      <c r="FQ60">
        <v>-0.141290481987771</v>
      </c>
      <c r="FR60">
        <v>0.32850299370380598</v>
      </c>
      <c r="FS60">
        <v>-0.102870325441306</v>
      </c>
      <c r="FT60">
        <v>8.9247982733535403E-2</v>
      </c>
      <c r="FU60">
        <v>-0.141290481987771</v>
      </c>
      <c r="FV60">
        <v>-2.7627273968306599E-2</v>
      </c>
      <c r="FW60">
        <v>-4.5483613719499397E-2</v>
      </c>
      <c r="FX60">
        <v>-5.7058839398370503E-2</v>
      </c>
      <c r="FY60">
        <v>-0.141290481987771</v>
      </c>
      <c r="FZ60">
        <v>-1.51580174036786E-2</v>
      </c>
      <c r="GA60">
        <v>7.3807624503885394E-2</v>
      </c>
      <c r="GB60">
        <v>-0.141290481987771</v>
      </c>
      <c r="GC60">
        <v>-0.141290481987771</v>
      </c>
      <c r="GD60">
        <v>-0.141290481987771</v>
      </c>
      <c r="GE60">
        <v>-3.1157660502132501E-3</v>
      </c>
      <c r="GF60">
        <v>-8.0923390222485507E-3</v>
      </c>
      <c r="GG60">
        <v>0.167409694439901</v>
      </c>
      <c r="GH60">
        <v>-6.4878274098133099E-2</v>
      </c>
      <c r="GI60">
        <v>-1.46189465933743E-2</v>
      </c>
      <c r="GJ60">
        <v>-7.6293189025839994E-2</v>
      </c>
      <c r="GK60">
        <v>-8.8860460521104301E-2</v>
      </c>
    </row>
    <row r="61" spans="1:206" x14ac:dyDescent="0.25">
      <c r="A61" t="s">
        <v>267</v>
      </c>
      <c r="B61" t="s">
        <v>625</v>
      </c>
      <c r="C61">
        <v>-0.18943291978233601</v>
      </c>
      <c r="D61">
        <v>-2.6995233059716298E-2</v>
      </c>
      <c r="E61">
        <v>6.1332726801580001E-2</v>
      </c>
      <c r="F61">
        <v>-8.3462950218035105E-3</v>
      </c>
      <c r="G61">
        <v>4.3747485077535703E-2</v>
      </c>
      <c r="H61">
        <v>-0.161274989180961</v>
      </c>
      <c r="I61">
        <v>9.6125069541506195E-2</v>
      </c>
      <c r="J61">
        <v>9.2859650697396504E-2</v>
      </c>
      <c r="K61">
        <v>0.34830922600393499</v>
      </c>
      <c r="L61">
        <v>6.6593119401642101E-2</v>
      </c>
      <c r="M61">
        <v>0.15141501488485701</v>
      </c>
      <c r="N61">
        <v>0.23359684856143501</v>
      </c>
      <c r="O61">
        <v>-0.27781907534866401</v>
      </c>
      <c r="P61">
        <v>8.2208215771007898E-2</v>
      </c>
      <c r="Q61">
        <v>0.18059204433944401</v>
      </c>
      <c r="R61">
        <v>-0.10491708158125999</v>
      </c>
      <c r="S61">
        <v>-0.27781907534866401</v>
      </c>
      <c r="T61">
        <v>-0.12924514572390999</v>
      </c>
      <c r="U61">
        <v>-1.84584118064367E-2</v>
      </c>
      <c r="V61">
        <v>0.24528491953766199</v>
      </c>
      <c r="W61">
        <v>0.19102526174516499</v>
      </c>
      <c r="X61">
        <v>-0.113001555778744</v>
      </c>
      <c r="Y61">
        <v>-0.12740226151680301</v>
      </c>
      <c r="Z61">
        <v>-0.10711715272085</v>
      </c>
      <c r="AA61">
        <v>-0.11954072085576301</v>
      </c>
      <c r="AB61">
        <v>-2.4249121218319299E-2</v>
      </c>
      <c r="AC61">
        <v>1.8826289223115598E-2</v>
      </c>
      <c r="AD61">
        <v>-0.136988137055438</v>
      </c>
      <c r="AE61">
        <v>8.3765769027869696E-2</v>
      </c>
      <c r="AF61">
        <v>-0.127969246046714</v>
      </c>
      <c r="AG61">
        <v>-0.12579637681865699</v>
      </c>
      <c r="AH61">
        <v>0.114743418289507</v>
      </c>
      <c r="AI61">
        <v>-0.15416693286741501</v>
      </c>
      <c r="AJ61">
        <v>-5.2874027267611701E-2</v>
      </c>
      <c r="AK61">
        <v>-3.8511041306310598E-2</v>
      </c>
      <c r="AL61">
        <v>-1.0588902307832901E-2</v>
      </c>
      <c r="AM61">
        <v>0.16893245919885699</v>
      </c>
      <c r="AN61">
        <v>-5.45667024962442E-2</v>
      </c>
      <c r="AO61">
        <v>-6.8035630368671399E-2</v>
      </c>
      <c r="AP61">
        <v>-0.27781907534866401</v>
      </c>
      <c r="AQ61">
        <v>-0.27781907534866401</v>
      </c>
      <c r="AR61">
        <v>-6.9768369251269502E-2</v>
      </c>
      <c r="AS61">
        <v>-0.20150163112139799</v>
      </c>
      <c r="AT61">
        <v>-0.12226939055243</v>
      </c>
      <c r="AU61">
        <v>-1.14690799433021E-2</v>
      </c>
      <c r="AV61">
        <v>-2.5317186788540599E-2</v>
      </c>
      <c r="AW61">
        <v>-0.10159772682427901</v>
      </c>
      <c r="AX61">
        <v>-9.9341863692617494E-2</v>
      </c>
      <c r="AY61">
        <v>-0.27781907534866401</v>
      </c>
      <c r="AZ61">
        <v>-0.27781907534866401</v>
      </c>
      <c r="BA61">
        <v>-0.15317624795013901</v>
      </c>
      <c r="BB61">
        <v>-7.9325422640270205E-2</v>
      </c>
      <c r="BC61">
        <v>-0.27781907534866401</v>
      </c>
      <c r="BD61">
        <v>-0.141249129530095</v>
      </c>
      <c r="BE61">
        <v>2.0920637617579101E-2</v>
      </c>
      <c r="BF61">
        <v>-6.5123560582580495E-2</v>
      </c>
      <c r="BG61">
        <v>-0.149986133114098</v>
      </c>
      <c r="BH61">
        <v>-0.197250954852808</v>
      </c>
      <c r="BI61">
        <v>-9.7640932520773993E-2</v>
      </c>
      <c r="BJ61">
        <v>0.10801401602244499</v>
      </c>
      <c r="BK61">
        <v>-7.4810286654127603E-2</v>
      </c>
      <c r="BL61">
        <v>2.94012529266248E-2</v>
      </c>
      <c r="BM61">
        <v>-8.9725138179958502E-2</v>
      </c>
      <c r="BN61">
        <v>3.7984823459298697E-2</v>
      </c>
      <c r="BO61">
        <v>0.18441452547456999</v>
      </c>
      <c r="BP61">
        <v>-8.7901452742879804E-3</v>
      </c>
      <c r="BQ61">
        <v>-0.18980842166478801</v>
      </c>
      <c r="BR61">
        <v>-2.2597421923562701E-2</v>
      </c>
      <c r="BS61">
        <v>8.5424752715755406E-2</v>
      </c>
      <c r="BT61">
        <v>9.7288139969448406E-2</v>
      </c>
      <c r="BU61">
        <v>0.22997182403390001</v>
      </c>
      <c r="BV61">
        <v>9.7336967017975201E-2</v>
      </c>
      <c r="BW61">
        <v>0.119926729439177</v>
      </c>
      <c r="BX61">
        <v>0.12562377276363201</v>
      </c>
      <c r="BY61">
        <v>0.16422615652486799</v>
      </c>
      <c r="BZ61">
        <v>6.6333079563817302E-2</v>
      </c>
      <c r="CA61">
        <v>-6.0226753913871001E-2</v>
      </c>
      <c r="CB61">
        <v>-0.27781907534866401</v>
      </c>
      <c r="CC61">
        <v>0.165270229270157</v>
      </c>
      <c r="CD61">
        <v>-1.17239602518524E-2</v>
      </c>
      <c r="CE61">
        <v>-0.27781907534866401</v>
      </c>
      <c r="CF61">
        <v>-0.12581106660889199</v>
      </c>
      <c r="CG61">
        <v>-0.13166252073234899</v>
      </c>
      <c r="CH61">
        <v>1.32670423862248E-2</v>
      </c>
      <c r="CI61">
        <v>2.9802910497338402E-2</v>
      </c>
      <c r="CJ61">
        <v>4.4089002173320499E-2</v>
      </c>
      <c r="CK61">
        <v>-4.16397009444439E-2</v>
      </c>
      <c r="CL61">
        <v>0.33945810310350999</v>
      </c>
      <c r="CM61">
        <v>-0.27781907534866401</v>
      </c>
      <c r="CN61">
        <v>3.9388198931366199E-2</v>
      </c>
      <c r="CO61">
        <v>0.34617919079326698</v>
      </c>
      <c r="CP61">
        <v>-0.123960682335918</v>
      </c>
      <c r="CQ61">
        <v>0.15782365828646699</v>
      </c>
      <c r="CR61">
        <v>-0.27781907534866401</v>
      </c>
      <c r="CS61">
        <v>-4.4049958808267502E-2</v>
      </c>
      <c r="CT61">
        <v>-0.27781907534866401</v>
      </c>
      <c r="CU61">
        <v>0.29618482973297</v>
      </c>
      <c r="CV61">
        <v>0.43914632742938498</v>
      </c>
      <c r="CW61">
        <v>-0.27781907534866401</v>
      </c>
      <c r="CX61">
        <v>-4.0545692881169E-2</v>
      </c>
      <c r="CY61">
        <v>4.89420117626281E-2</v>
      </c>
      <c r="CZ61">
        <v>-4.8825334932345102E-2</v>
      </c>
      <c r="DA61">
        <v>6.0241355682170199E-2</v>
      </c>
      <c r="DB61">
        <v>-0.13888115881070301</v>
      </c>
      <c r="DC61">
        <v>-0.13605926316210101</v>
      </c>
      <c r="DD61">
        <v>2.60835403246195E-2</v>
      </c>
      <c r="DE61">
        <v>0.41017394805251201</v>
      </c>
      <c r="DF61">
        <v>-0.112654388710939</v>
      </c>
      <c r="DG61">
        <v>0.34712737717354902</v>
      </c>
      <c r="DH61">
        <v>-6.0977733717777503E-2</v>
      </c>
      <c r="DI61">
        <v>0.27660272702307398</v>
      </c>
      <c r="DJ61">
        <v>0.116134421663405</v>
      </c>
      <c r="DK61">
        <v>-0.16047555322048199</v>
      </c>
      <c r="DL61">
        <v>-0.27781907534866401</v>
      </c>
      <c r="DM61">
        <v>-0.27781907534866401</v>
      </c>
      <c r="DN61">
        <v>2.3942913513038799E-2</v>
      </c>
      <c r="DO61">
        <v>0.292150147269782</v>
      </c>
      <c r="DP61">
        <v>0.16164704164530699</v>
      </c>
      <c r="DQ61">
        <v>-0.121150469492651</v>
      </c>
      <c r="DR61">
        <v>2.3262780555028999E-2</v>
      </c>
      <c r="DS61">
        <v>0.25901510592712301</v>
      </c>
      <c r="DT61">
        <v>-0.13037304679160699</v>
      </c>
      <c r="DU61">
        <v>-0.27781907534866401</v>
      </c>
      <c r="DV61">
        <v>-0.149050590186178</v>
      </c>
      <c r="DW61">
        <v>-1.0130499821071301E-2</v>
      </c>
      <c r="DX61">
        <v>-0.107563167748673</v>
      </c>
      <c r="DY61">
        <v>-0.102550065944783</v>
      </c>
      <c r="DZ61">
        <v>1.0750562748576799E-2</v>
      </c>
      <c r="EA61">
        <v>0.14799963375067501</v>
      </c>
      <c r="EB61">
        <v>1.5420266848240599E-2</v>
      </c>
      <c r="EC61">
        <v>-0.15204635491589399</v>
      </c>
      <c r="ED61">
        <v>0.280337508198723</v>
      </c>
      <c r="EE61">
        <v>-0.175495500256693</v>
      </c>
      <c r="EF61">
        <v>-0.170017249681746</v>
      </c>
      <c r="EG61">
        <v>5.4931838288128497E-2</v>
      </c>
      <c r="EH61">
        <v>-0.15494861015920799</v>
      </c>
      <c r="EI61">
        <v>0.43595434047975801</v>
      </c>
      <c r="EJ61">
        <v>-2.9184553042281999E-2</v>
      </c>
      <c r="EK61">
        <v>-0.172494620765198</v>
      </c>
      <c r="EL61">
        <v>-0.27781907534866401</v>
      </c>
      <c r="EM61">
        <v>0.13368376616375</v>
      </c>
      <c r="EN61">
        <v>-1.8565490143079101E-2</v>
      </c>
      <c r="EO61">
        <v>0.34126262569249</v>
      </c>
      <c r="EP61">
        <v>-0.27781907534866401</v>
      </c>
      <c r="EQ61">
        <v>-9.8705626852940501E-2</v>
      </c>
      <c r="ER61">
        <v>5.3290472393320298E-3</v>
      </c>
      <c r="ES61">
        <v>0.14310894798069301</v>
      </c>
      <c r="ET61">
        <v>-0.156169948303433</v>
      </c>
      <c r="EU61">
        <v>-0.12707944164575599</v>
      </c>
      <c r="EV61">
        <v>6.3360855820654594E-2</v>
      </c>
      <c r="EW61">
        <v>-0.17062798882303901</v>
      </c>
      <c r="EX61">
        <v>0.26358621422317702</v>
      </c>
      <c r="EY61">
        <v>0.168623208070666</v>
      </c>
      <c r="EZ61">
        <v>2.9810263638734302E-2</v>
      </c>
      <c r="FA61">
        <v>-0.14136792912246701</v>
      </c>
      <c r="FB61">
        <v>0.29533388291874202</v>
      </c>
      <c r="FC61">
        <v>-2.1911627411085401E-2</v>
      </c>
      <c r="FD61">
        <v>-0.122953431526607</v>
      </c>
      <c r="FE61">
        <v>-0.160350161384409</v>
      </c>
      <c r="FF61">
        <v>-0.13865098457122499</v>
      </c>
      <c r="FG61">
        <v>7.8891740539670102E-3</v>
      </c>
      <c r="FH61">
        <v>-0.12273833887713299</v>
      </c>
      <c r="FI61">
        <v>-2.3310590620927898E-2</v>
      </c>
      <c r="FJ61">
        <v>-9.0834011478405099E-2</v>
      </c>
      <c r="FK61">
        <v>0.17169634893435901</v>
      </c>
      <c r="FL61">
        <v>0.28937528451182598</v>
      </c>
      <c r="FM61">
        <v>-5.8959403624887199E-4</v>
      </c>
      <c r="FN61">
        <v>3.8634478477226397E-2</v>
      </c>
      <c r="FO61">
        <v>-0.27781907534866401</v>
      </c>
      <c r="FP61">
        <v>-1.65506165475846E-2</v>
      </c>
      <c r="FQ61">
        <v>7.5174863411823197E-3</v>
      </c>
      <c r="FR61">
        <v>-0.14699969678248201</v>
      </c>
      <c r="FS61">
        <v>-4.1063626223227703E-3</v>
      </c>
      <c r="FT61">
        <v>-0.158488618086984</v>
      </c>
      <c r="FU61">
        <v>4.0621911749955303E-2</v>
      </c>
      <c r="FV61">
        <v>0.227477538601633</v>
      </c>
      <c r="FW61">
        <v>-5.6501667367094104E-3</v>
      </c>
      <c r="FX61">
        <v>-3.7198021610937E-2</v>
      </c>
      <c r="FY61">
        <v>-0.27781907534866401</v>
      </c>
      <c r="FZ61">
        <v>-3.4637709807837598E-2</v>
      </c>
      <c r="GA61">
        <v>-6.2720968857007398E-2</v>
      </c>
      <c r="GB61">
        <v>1.7764661121221399E-2</v>
      </c>
      <c r="GC61">
        <v>-7.9487751954425895E-2</v>
      </c>
      <c r="GD61">
        <v>0.131576621894999</v>
      </c>
      <c r="GE61">
        <v>-1.25422269190057E-2</v>
      </c>
      <c r="GF61">
        <v>-0.144620932383141</v>
      </c>
      <c r="GG61">
        <v>-0.15133091743789601</v>
      </c>
      <c r="GH61">
        <v>8.9006586929222198E-2</v>
      </c>
      <c r="GI61">
        <v>-9.1736263467726495E-2</v>
      </c>
      <c r="GJ61">
        <v>8.0461880164923102E-2</v>
      </c>
      <c r="GK61">
        <v>-2.8622756477016298E-3</v>
      </c>
    </row>
    <row r="62" spans="1:206" x14ac:dyDescent="0.25">
      <c r="A62" t="s">
        <v>267</v>
      </c>
      <c r="B62" t="s">
        <v>621</v>
      </c>
      <c r="C62">
        <v>0</v>
      </c>
      <c r="D62">
        <v>0</v>
      </c>
      <c r="E62">
        <v>3.8458673839091101E-2</v>
      </c>
      <c r="F62">
        <v>3.35212422906635E-2</v>
      </c>
      <c r="G62">
        <v>0</v>
      </c>
      <c r="H62">
        <v>0.116544086167703</v>
      </c>
      <c r="I62">
        <v>0</v>
      </c>
      <c r="J62">
        <v>2.1278422282682698E-2</v>
      </c>
      <c r="K62">
        <v>2.12299919763239E-2</v>
      </c>
      <c r="L62">
        <v>0</v>
      </c>
      <c r="M62">
        <v>0.119692666695599</v>
      </c>
      <c r="N62">
        <v>0.21434253849803001</v>
      </c>
      <c r="O62">
        <v>0.35814147260503099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0.131356256561247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8.8010653683876103E-2</v>
      </c>
      <c r="BR62">
        <v>0</v>
      </c>
      <c r="BS62">
        <v>5.1148782783308503E-3</v>
      </c>
      <c r="BT62">
        <v>0</v>
      </c>
      <c r="BU62">
        <v>0</v>
      </c>
      <c r="BV62">
        <v>2.3041534389871499E-2</v>
      </c>
      <c r="BW62">
        <v>7.4388125713090794E-2</v>
      </c>
      <c r="BX62">
        <v>0</v>
      </c>
      <c r="BY62">
        <v>2.6699766372818699E-2</v>
      </c>
      <c r="BZ62">
        <v>5.13145536178004E-3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0.29931709407226798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0.13936365853892499</v>
      </c>
      <c r="DX62">
        <v>0</v>
      </c>
      <c r="DY62">
        <v>0.11282798146374</v>
      </c>
      <c r="DZ62">
        <v>0</v>
      </c>
      <c r="EA62">
        <v>0</v>
      </c>
      <c r="EB62">
        <v>0</v>
      </c>
      <c r="EC62">
        <v>0</v>
      </c>
      <c r="ED62">
        <v>0.128091828897031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1.28943676002097E-2</v>
      </c>
      <c r="FT62">
        <v>0</v>
      </c>
      <c r="FU62">
        <v>0</v>
      </c>
      <c r="FV62">
        <v>5.7787984631145102E-2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1.5541176929860401E-2</v>
      </c>
      <c r="GI62">
        <v>0</v>
      </c>
      <c r="GJ62">
        <v>0</v>
      </c>
      <c r="GK62">
        <v>0</v>
      </c>
    </row>
    <row r="63" spans="1:206" x14ac:dyDescent="0.25">
      <c r="A63" t="s">
        <v>267</v>
      </c>
      <c r="B63" t="s">
        <v>769</v>
      </c>
      <c r="C63">
        <v>-4.0841946737962098E-2</v>
      </c>
      <c r="D63">
        <v>-0.12922810230428999</v>
      </c>
      <c r="E63">
        <v>0.112689751027858</v>
      </c>
      <c r="F63">
        <v>-5.28241211595918E-2</v>
      </c>
      <c r="G63">
        <v>1.55803767821773E-2</v>
      </c>
      <c r="H63">
        <v>-0.12922810230428999</v>
      </c>
      <c r="I63">
        <v>0.12954951854755001</v>
      </c>
      <c r="J63">
        <v>0.28632028121111802</v>
      </c>
      <c r="K63">
        <v>0.23868957115963901</v>
      </c>
      <c r="L63">
        <v>-3.3947994017947E-2</v>
      </c>
      <c r="M63">
        <v>-4.86729749556482E-2</v>
      </c>
      <c r="N63">
        <v>-2.6329329940313201E-2</v>
      </c>
      <c r="O63">
        <v>5.9962487323004902E-2</v>
      </c>
      <c r="P63">
        <v>-0.12922810230428999</v>
      </c>
      <c r="Q63">
        <v>-5.4796041369402602E-2</v>
      </c>
      <c r="R63">
        <v>0.19923846590208599</v>
      </c>
      <c r="S63">
        <v>-8.7407785834442801E-3</v>
      </c>
      <c r="T63">
        <v>1.9345827320463398E-2</v>
      </c>
      <c r="U63">
        <v>5.8288619847501003E-3</v>
      </c>
      <c r="V63">
        <v>1.85507153073395E-2</v>
      </c>
      <c r="W63">
        <v>-0.12922810230428999</v>
      </c>
      <c r="X63">
        <v>3.5589417265629301E-2</v>
      </c>
      <c r="Y63">
        <v>2.1188711527570101E-2</v>
      </c>
      <c r="Z63">
        <v>0.41375691641029799</v>
      </c>
      <c r="AA63">
        <v>-0.12922810230428999</v>
      </c>
      <c r="AB63">
        <v>0.135091554128799</v>
      </c>
      <c r="AC63">
        <v>-7.1885151282522194E-2</v>
      </c>
      <c r="AD63">
        <v>7.7597845848626695E-2</v>
      </c>
      <c r="AE63">
        <v>3.6004520640306403E-2</v>
      </c>
      <c r="AF63">
        <v>2.062172699766E-2</v>
      </c>
      <c r="AG63">
        <v>-7.6946647939624205E-2</v>
      </c>
      <c r="AH63">
        <v>0.32963024735555602</v>
      </c>
      <c r="AI63">
        <v>0.109071118959107</v>
      </c>
      <c r="AJ63">
        <v>9.5716945776761805E-2</v>
      </c>
      <c r="AK63">
        <v>0.11007993173806301</v>
      </c>
      <c r="AL63">
        <v>-4.9976488774338003E-2</v>
      </c>
      <c r="AM63">
        <v>0.13538127880928499</v>
      </c>
      <c r="AN63">
        <v>0.19480304151619501</v>
      </c>
      <c r="AO63">
        <v>-2.08478114643924E-2</v>
      </c>
      <c r="AP63">
        <v>1.29063037433485E-2</v>
      </c>
      <c r="AQ63">
        <v>0.22326364407150201</v>
      </c>
      <c r="AR63">
        <v>-2.1771362827752501E-2</v>
      </c>
      <c r="AS63">
        <v>-9.9234808065004794E-3</v>
      </c>
      <c r="AT63">
        <v>-2.9295729229047499E-2</v>
      </c>
      <c r="AU63">
        <v>-2.0756250744464799E-2</v>
      </c>
      <c r="AV63">
        <v>0.123273786255833</v>
      </c>
      <c r="AW63">
        <v>-3.86447983172842E-2</v>
      </c>
      <c r="AX63">
        <v>0.13137450174905399</v>
      </c>
      <c r="AY63">
        <v>7.1959811767127693E-2</v>
      </c>
      <c r="AZ63">
        <v>-0.12922810230428999</v>
      </c>
      <c r="BA63">
        <v>-4.58527490576558E-3</v>
      </c>
      <c r="BB63">
        <v>-2.6838561123129101E-2</v>
      </c>
      <c r="BC63">
        <v>-5.740724872179E-3</v>
      </c>
      <c r="BD63">
        <v>-0.12922810230428999</v>
      </c>
      <c r="BE63">
        <v>0.140966514950636</v>
      </c>
      <c r="BF63">
        <v>8.3467412461793095E-2</v>
      </c>
      <c r="BG63">
        <v>1.9020264679553499E-2</v>
      </c>
      <c r="BH63">
        <v>-4.86599818084349E-2</v>
      </c>
      <c r="BI63">
        <v>5.09500405235997E-2</v>
      </c>
      <c r="BJ63">
        <v>0.34021899227486802</v>
      </c>
      <c r="BK63">
        <v>0.38373457586764298</v>
      </c>
      <c r="BL63">
        <v>-4.6715844625422699E-2</v>
      </c>
      <c r="BM63">
        <v>-0.12922810230428999</v>
      </c>
      <c r="BN63">
        <v>-0.12922810230428999</v>
      </c>
      <c r="BO63">
        <v>-0.12922810230428999</v>
      </c>
      <c r="BP63">
        <v>5.50455139765356E-2</v>
      </c>
      <c r="BQ63">
        <v>0.16603236381265801</v>
      </c>
      <c r="BR63">
        <v>0.163418156195723</v>
      </c>
      <c r="BS63">
        <v>9.8001806003901404E-2</v>
      </c>
      <c r="BT63">
        <v>0.16133898732445001</v>
      </c>
      <c r="BU63">
        <v>0.25386346691693901</v>
      </c>
      <c r="BV63">
        <v>0.19528561084344501</v>
      </c>
      <c r="BW63">
        <v>0.16400335114477699</v>
      </c>
      <c r="BX63">
        <v>0.116727893646594</v>
      </c>
      <c r="BY63">
        <v>0.163320488176249</v>
      </c>
      <c r="BZ63">
        <v>6.7900374265478403E-2</v>
      </c>
      <c r="CA63">
        <v>-1.4952584584924201E-2</v>
      </c>
      <c r="CB63">
        <v>-0.12922810230428999</v>
      </c>
      <c r="CC63">
        <v>-0.12922810230428999</v>
      </c>
      <c r="CD63">
        <v>-0.12922810230428999</v>
      </c>
      <c r="CE63">
        <v>-0.12922810230428999</v>
      </c>
      <c r="CF63">
        <v>2.2779906435481698E-2</v>
      </c>
      <c r="CG63">
        <v>0.34189465242339201</v>
      </c>
      <c r="CH63">
        <v>0.28962035306081202</v>
      </c>
      <c r="CI63">
        <v>3.2018424435513303E-2</v>
      </c>
      <c r="CJ63">
        <v>-2.3510239844529001E-3</v>
      </c>
      <c r="CK63">
        <v>-1.26473861088282E-2</v>
      </c>
      <c r="CL63">
        <v>2.1570648313142901E-4</v>
      </c>
      <c r="CM63">
        <v>5.4215071194657301E-2</v>
      </c>
      <c r="CN63">
        <v>6.8661958897771103E-2</v>
      </c>
      <c r="CO63">
        <v>0.210730644869353</v>
      </c>
      <c r="CP63">
        <v>-0.12922810230428999</v>
      </c>
      <c r="CQ63">
        <v>4.4810141984111297E-3</v>
      </c>
      <c r="CR63">
        <v>-0.12922810230428999</v>
      </c>
      <c r="CS63">
        <v>5.8711345717289601E-2</v>
      </c>
      <c r="CT63">
        <v>3.5968365873592499E-2</v>
      </c>
      <c r="CU63">
        <v>3.4508834013150101E-2</v>
      </c>
      <c r="CV63">
        <v>-0.12922810230428999</v>
      </c>
      <c r="CW63">
        <v>-0.12922810230428999</v>
      </c>
      <c r="CX63">
        <v>-6.1960903058106802E-3</v>
      </c>
      <c r="CY63">
        <v>4.2589560560463299E-2</v>
      </c>
      <c r="CZ63">
        <v>0.300339373048983</v>
      </c>
      <c r="DA63">
        <v>-0.12922810230428999</v>
      </c>
      <c r="DB63">
        <v>0.255308529640148</v>
      </c>
      <c r="DC63">
        <v>0.26311486282812202</v>
      </c>
      <c r="DD63">
        <v>-0.12922810230428999</v>
      </c>
      <c r="DE63">
        <v>1.7782761612134299E-2</v>
      </c>
      <c r="DF63">
        <v>-0.12922810230428999</v>
      </c>
      <c r="DG63">
        <v>0.224455883989195</v>
      </c>
      <c r="DH63">
        <v>-1.7025802875237601E-2</v>
      </c>
      <c r="DI63">
        <v>-0.12922810230428999</v>
      </c>
      <c r="DJ63">
        <v>1.34123515151692E-2</v>
      </c>
      <c r="DK63">
        <v>0.19924356182022801</v>
      </c>
      <c r="DL63">
        <v>1.65777968609323E-2</v>
      </c>
      <c r="DM63">
        <v>0.166748569194414</v>
      </c>
      <c r="DN63">
        <v>2.8876912702112401E-2</v>
      </c>
      <c r="DO63">
        <v>-0.12922810230428999</v>
      </c>
      <c r="DP63">
        <v>0.10569162978871301</v>
      </c>
      <c r="DQ63">
        <v>-0.12922810230428999</v>
      </c>
      <c r="DR63">
        <v>2.8526404951287099E-2</v>
      </c>
      <c r="DS63">
        <v>0.21412369949982801</v>
      </c>
      <c r="DT63">
        <v>-0.12922810230428999</v>
      </c>
      <c r="DU63">
        <v>0.13489218714409901</v>
      </c>
      <c r="DV63">
        <v>0.22969050215026801</v>
      </c>
      <c r="DW63">
        <v>1.0135556234634699E-2</v>
      </c>
      <c r="DX63">
        <v>-0.12922810230428999</v>
      </c>
      <c r="DY63">
        <v>8.8896267555649403E-2</v>
      </c>
      <c r="DZ63">
        <v>0.15934153579295099</v>
      </c>
      <c r="EA63">
        <v>-0.12922810230428999</v>
      </c>
      <c r="EB63">
        <v>0.16401123989261401</v>
      </c>
      <c r="EC63">
        <v>-3.45538187152046E-3</v>
      </c>
      <c r="ED63">
        <v>-1.1362734072596699E-3</v>
      </c>
      <c r="EE63">
        <v>-0.12922810230428999</v>
      </c>
      <c r="EF63">
        <v>7.9661273933835597E-2</v>
      </c>
      <c r="EG63">
        <v>-0.12922810230428999</v>
      </c>
      <c r="EH63">
        <v>-0.12922810230428999</v>
      </c>
      <c r="EI63">
        <v>0.20613211901405901</v>
      </c>
      <c r="EJ63">
        <v>-1.5828363049092699E-4</v>
      </c>
      <c r="EK63">
        <v>-2.39036477208244E-2</v>
      </c>
      <c r="EL63">
        <v>-0.12922810230428999</v>
      </c>
      <c r="EM63">
        <v>-0.12922810230428999</v>
      </c>
      <c r="EN63">
        <v>4.4708669675534198E-2</v>
      </c>
      <c r="EO63">
        <v>0.14734098767802301</v>
      </c>
      <c r="EP63">
        <v>0.27573693500618401</v>
      </c>
      <c r="EQ63">
        <v>-0.12922810230428999</v>
      </c>
      <c r="ER63">
        <v>1.8528653281616899E-2</v>
      </c>
      <c r="ES63">
        <v>9.4743861059601295E-2</v>
      </c>
      <c r="ET63">
        <v>-0.12922810230428999</v>
      </c>
      <c r="EU63">
        <v>-0.12922810230428999</v>
      </c>
      <c r="EV63">
        <v>0.106082446100354</v>
      </c>
      <c r="EW63">
        <v>0.173613217600874</v>
      </c>
      <c r="EX63">
        <v>2.41695381560743E-2</v>
      </c>
      <c r="EY63">
        <v>8.2644167892436896E-3</v>
      </c>
      <c r="EZ63">
        <v>-0.12922810230428999</v>
      </c>
      <c r="FA63">
        <v>7.2230439219064203E-3</v>
      </c>
      <c r="FB63">
        <v>6.6436559698424102E-2</v>
      </c>
      <c r="FC63">
        <v>0.126679345633288</v>
      </c>
      <c r="FD63">
        <v>2.5637541517766399E-2</v>
      </c>
      <c r="FE63">
        <v>-0.12922810230428999</v>
      </c>
      <c r="FF63">
        <v>0.25717450997386698</v>
      </c>
      <c r="FG63">
        <v>-2.8312968121662001E-2</v>
      </c>
      <c r="FH63">
        <v>2.5852634167240901E-2</v>
      </c>
      <c r="FI63">
        <v>-4.0011839471057201E-2</v>
      </c>
      <c r="FJ63">
        <v>0.225863992400686</v>
      </c>
      <c r="FK63">
        <v>0.136630311976422</v>
      </c>
      <c r="FL63">
        <v>1.25217770455324E-2</v>
      </c>
      <c r="FM63">
        <v>-0.12922810230428999</v>
      </c>
      <c r="FN63">
        <v>-1.6721812944069301E-2</v>
      </c>
      <c r="FO63">
        <v>2.69492857012993E-2</v>
      </c>
      <c r="FP63">
        <v>1.5995354760657301E-2</v>
      </c>
      <c r="FQ63">
        <v>-2.8670653501067199E-2</v>
      </c>
      <c r="FR63">
        <v>1.5912762618916099E-3</v>
      </c>
      <c r="FS63">
        <v>-4.0908955076959996E-3</v>
      </c>
      <c r="FT63">
        <v>0.10131036241701601</v>
      </c>
      <c r="FU63">
        <v>3.75782884063256E-2</v>
      </c>
      <c r="FV63">
        <v>0.170926695760652</v>
      </c>
      <c r="FW63">
        <v>0.14294080630766401</v>
      </c>
      <c r="FX63">
        <v>-4.4996459714889601E-2</v>
      </c>
      <c r="FY63">
        <v>0.13098151732431701</v>
      </c>
      <c r="FZ63">
        <v>-3.0956377201978298E-3</v>
      </c>
      <c r="GA63">
        <v>0.183640123131106</v>
      </c>
      <c r="GB63">
        <v>-0.12922810230428999</v>
      </c>
      <c r="GC63">
        <v>-2.7046960231908699E-2</v>
      </c>
      <c r="GD63">
        <v>0.18711189712474599</v>
      </c>
      <c r="GE63">
        <v>8.9466136332673699E-3</v>
      </c>
      <c r="GF63">
        <v>0.127033876271469</v>
      </c>
      <c r="GG63">
        <v>-0.12922810230428999</v>
      </c>
      <c r="GH63" s="10">
        <v>7.2003526456391402E-5</v>
      </c>
      <c r="GI63">
        <v>2.9470730547124301E-2</v>
      </c>
      <c r="GJ63">
        <v>0.117460475242611</v>
      </c>
      <c r="GK63">
        <v>0.14572869739667199</v>
      </c>
    </row>
    <row r="64" spans="1:206" x14ac:dyDescent="0.25">
      <c r="A64" t="s">
        <v>267</v>
      </c>
      <c r="B64" t="s">
        <v>649</v>
      </c>
      <c r="C64">
        <v>0.13084304944387001</v>
      </c>
      <c r="D64">
        <v>-6.6493212569725596E-2</v>
      </c>
      <c r="E64">
        <v>3.5891255757540902E-2</v>
      </c>
      <c r="F64">
        <v>-3.2192824275582503E-2</v>
      </c>
      <c r="G64">
        <v>3.8411651437080398E-2</v>
      </c>
      <c r="H64">
        <v>-0.196892801926737</v>
      </c>
      <c r="I64">
        <v>-0.196892801926737</v>
      </c>
      <c r="J64">
        <v>-7.2775403162907495E-2</v>
      </c>
      <c r="K64" s="31">
        <v>7.4616658351104301E-2</v>
      </c>
      <c r="L64" s="31">
        <v>-0.159446584912217</v>
      </c>
      <c r="M64">
        <v>0.108366733244629</v>
      </c>
      <c r="N64">
        <v>0.30260243336508702</v>
      </c>
      <c r="O64">
        <v>9.3292558894573704E-2</v>
      </c>
      <c r="P64">
        <v>-9.8682839070174902E-2</v>
      </c>
      <c r="Q64">
        <v>5.4746537953937198E-2</v>
      </c>
      <c r="R64">
        <v>-0.196892801926737</v>
      </c>
      <c r="S64">
        <v>-0.196892801926737</v>
      </c>
      <c r="T64">
        <v>-0.196892801926737</v>
      </c>
      <c r="U64">
        <v>-6.1835837637696602E-2</v>
      </c>
      <c r="V64">
        <v>8.6023713712124403E-2</v>
      </c>
      <c r="W64">
        <v>-0.196892801926737</v>
      </c>
      <c r="X64">
        <v>0.11713338866359101</v>
      </c>
      <c r="Y64">
        <v>-4.6475988094876797E-2</v>
      </c>
      <c r="Z64">
        <v>0.26896742165663101</v>
      </c>
      <c r="AA64">
        <v>0.104947375807573</v>
      </c>
      <c r="AB64">
        <v>-9.4773284318979301E-2</v>
      </c>
      <c r="AC64">
        <v>-0.13954985090496899</v>
      </c>
      <c r="AD64">
        <v>-0.196892801926737</v>
      </c>
      <c r="AE64">
        <v>1.9763312830169501E-2</v>
      </c>
      <c r="AF64">
        <v>-0.196892801926737</v>
      </c>
      <c r="AG64">
        <v>7.5590935784176694E-2</v>
      </c>
      <c r="AH64">
        <v>-0.196892801926737</v>
      </c>
      <c r="AI64">
        <v>-7.3240659445488701E-2</v>
      </c>
      <c r="AJ64">
        <v>-0.118264225533476</v>
      </c>
      <c r="AK64">
        <v>0.114701738766899</v>
      </c>
      <c r="AL64">
        <v>-4.2223489919369597E-2</v>
      </c>
      <c r="AM64">
        <v>-0.196892801926737</v>
      </c>
      <c r="AN64">
        <v>2.6359570925682502E-2</v>
      </c>
      <c r="AO64">
        <v>-8.8512511086839302E-2</v>
      </c>
      <c r="AP64">
        <v>-0.196892801926737</v>
      </c>
      <c r="AQ64">
        <v>4.6548797219307297E-2</v>
      </c>
      <c r="AR64">
        <v>-0.196892801926737</v>
      </c>
      <c r="AS64">
        <v>-0.120575357699471</v>
      </c>
      <c r="AT64">
        <v>-3.0483979118092501E-3</v>
      </c>
      <c r="AU64">
        <v>-0.196892801926737</v>
      </c>
      <c r="AV64">
        <v>-6.5536545365490806E-2</v>
      </c>
      <c r="AW64">
        <v>6.0554091722072899E-2</v>
      </c>
      <c r="AX64">
        <v>-0.105096592893758</v>
      </c>
      <c r="AY64">
        <v>-0.196892801926737</v>
      </c>
      <c r="AZ64">
        <v>1.6484476089800401E-2</v>
      </c>
      <c r="BA64">
        <v>-0.196892801926737</v>
      </c>
      <c r="BB64">
        <v>-0.196892801926737</v>
      </c>
      <c r="BC64">
        <v>-7.3405424494626004E-2</v>
      </c>
      <c r="BD64">
        <v>-6.0322856108167899E-2</v>
      </c>
      <c r="BE64">
        <v>-0.196892801926737</v>
      </c>
      <c r="BF64">
        <v>-0.196892801926737</v>
      </c>
      <c r="BG64">
        <v>-0.16403313184934001</v>
      </c>
      <c r="BH64">
        <v>-0.116324681430882</v>
      </c>
      <c r="BI64">
        <v>-0.104225470794283</v>
      </c>
      <c r="BJ64">
        <v>-9.1383749880092902E-2</v>
      </c>
      <c r="BK64">
        <v>-0.196892801926737</v>
      </c>
      <c r="BL64">
        <v>-0.11438054424787</v>
      </c>
      <c r="BM64">
        <v>-0.196892801926737</v>
      </c>
      <c r="BN64">
        <v>2.0396290786561799E-2</v>
      </c>
      <c r="BO64">
        <v>-9.3225399986075194E-2</v>
      </c>
      <c r="BP64">
        <v>-1.2619185645911401E-2</v>
      </c>
      <c r="BQ64">
        <v>-0.196892801926737</v>
      </c>
      <c r="BR64">
        <v>4.0514802774607199E-3</v>
      </c>
      <c r="BS64">
        <v>-3.9668372080921201E-2</v>
      </c>
      <c r="BT64">
        <v>-8.6240933636448594E-2</v>
      </c>
      <c r="BU64">
        <v>-7.6249115837144305E-2</v>
      </c>
      <c r="BV64">
        <v>-5.8726643993830097E-2</v>
      </c>
      <c r="BW64">
        <v>-0.108356740888602</v>
      </c>
      <c r="BX64">
        <v>-0.109759617217148</v>
      </c>
      <c r="BY64">
        <v>-2.1152755685664101E-2</v>
      </c>
      <c r="BZ64">
        <v>-1.39246693917532E-2</v>
      </c>
      <c r="CA64">
        <v>-2.1813644049098701E-2</v>
      </c>
      <c r="CB64">
        <v>0.104940045913127</v>
      </c>
      <c r="CC64">
        <v>3.99206429804577E-2</v>
      </c>
      <c r="CD64">
        <v>-5.8405428637967598E-2</v>
      </c>
      <c r="CE64">
        <v>-6.05652487586998E-2</v>
      </c>
      <c r="CF64">
        <v>-4.4884793186965297E-2</v>
      </c>
      <c r="CG64">
        <v>-5.0736247310421902E-2</v>
      </c>
      <c r="CH64">
        <v>0.34033721221174301</v>
      </c>
      <c r="CI64">
        <v>0.11072918391926501</v>
      </c>
      <c r="CJ64">
        <v>-6.3026751662003902E-2</v>
      </c>
      <c r="CK64">
        <v>-8.0312085731275198E-2</v>
      </c>
      <c r="CL64">
        <v>-6.7448993139315599E-2</v>
      </c>
      <c r="CM64">
        <v>-0.196892801926737</v>
      </c>
      <c r="CN64">
        <v>-0.12811106480333501</v>
      </c>
      <c r="CO64">
        <v>-7.5854748455114696E-2</v>
      </c>
      <c r="CP64">
        <v>-0.196892801926737</v>
      </c>
      <c r="CQ64">
        <v>0.12844245693643599</v>
      </c>
      <c r="CR64">
        <v>-4.5986538504130002E-2</v>
      </c>
      <c r="CS64">
        <v>3.68763146136592E-2</v>
      </c>
      <c r="CT64">
        <v>-3.1696333748854298E-2</v>
      </c>
      <c r="CU64">
        <v>-3.31558656092968E-2</v>
      </c>
      <c r="CV64">
        <v>-0.196892801926737</v>
      </c>
      <c r="CW64">
        <v>-7.9442646859371996E-2</v>
      </c>
      <c r="CX64">
        <v>-7.3860789928257606E-2</v>
      </c>
      <c r="CY64">
        <v>-2.5075139061983401E-2</v>
      </c>
      <c r="CZ64">
        <v>3.21009384895816E-2</v>
      </c>
      <c r="DA64">
        <v>3.6327344418466599E-2</v>
      </c>
      <c r="DB64">
        <v>6.9631100216285796E-2</v>
      </c>
      <c r="DC64">
        <v>7.5036856782174005E-2</v>
      </c>
      <c r="DD64">
        <v>0.107009813746546</v>
      </c>
      <c r="DE64">
        <v>-0.196892801926737</v>
      </c>
      <c r="DF64">
        <v>-3.1728115289012301E-2</v>
      </c>
      <c r="DG64">
        <v>8.3458948025149499E-2</v>
      </c>
      <c r="DH64">
        <v>1.99485397041494E-2</v>
      </c>
      <c r="DI64">
        <v>4.87604824054075E-2</v>
      </c>
      <c r="DJ64">
        <v>-5.4252348107277602E-2</v>
      </c>
      <c r="DK64">
        <v>0.53003305293002301</v>
      </c>
      <c r="DL64">
        <v>-5.1086902761514501E-2</v>
      </c>
      <c r="DM64">
        <v>-4.19746877309067E-2</v>
      </c>
      <c r="DN64">
        <v>0.23659442677005199</v>
      </c>
      <c r="DO64">
        <v>-0.196892801926737</v>
      </c>
      <c r="DP64">
        <v>-7.5054872479925497E-2</v>
      </c>
      <c r="DQ64">
        <v>0.102424292145531</v>
      </c>
      <c r="DR64">
        <v>-3.9138294671159701E-2</v>
      </c>
      <c r="DS64">
        <v>0.24612543316383301</v>
      </c>
      <c r="DT64">
        <v>-0.196892801926737</v>
      </c>
      <c r="DU64">
        <v>0.136893763822167</v>
      </c>
      <c r="DV64">
        <v>2.65584789978422E-3</v>
      </c>
      <c r="DW64">
        <v>-0.196892801926737</v>
      </c>
      <c r="DX64">
        <v>0.46753907015745999</v>
      </c>
      <c r="DY64">
        <v>2.1231567933202501E-2</v>
      </c>
      <c r="DZ64">
        <v>3.0810342147572702E-2</v>
      </c>
      <c r="EA64">
        <v>9.9390423321045002E-2</v>
      </c>
      <c r="EB64">
        <v>-0.196892801926737</v>
      </c>
      <c r="EC64">
        <v>-7.1120081493967299E-2</v>
      </c>
      <c r="ED64">
        <v>-6.88009730297066E-2</v>
      </c>
      <c r="EE64">
        <v>-9.4569226834766401E-2</v>
      </c>
      <c r="EF64">
        <v>0.160446734168711</v>
      </c>
      <c r="EG64">
        <v>-0.10737741003700101</v>
      </c>
      <c r="EH64">
        <v>4.0051060896160298E-2</v>
      </c>
      <c r="EI64">
        <v>3.3925181177088197E-2</v>
      </c>
      <c r="EJ64">
        <v>-0.196892801926737</v>
      </c>
      <c r="EK64">
        <v>-9.1568347343271198E-2</v>
      </c>
      <c r="EL64">
        <v>0.21525888031340201</v>
      </c>
      <c r="EM64">
        <v>-4.7640477344552401E-2</v>
      </c>
      <c r="EN64">
        <v>-0.196892801926737</v>
      </c>
      <c r="EO64">
        <v>7.9676288055576402E-2</v>
      </c>
      <c r="EP64">
        <v>-0.196892801926737</v>
      </c>
      <c r="EQ64">
        <v>-0.196892801926737</v>
      </c>
      <c r="ER64">
        <v>-4.9136046340830103E-2</v>
      </c>
      <c r="ES64">
        <v>-0.196892801926737</v>
      </c>
      <c r="ET64">
        <v>0.100678410935181</v>
      </c>
      <c r="EU64">
        <v>9.1778974959890403E-2</v>
      </c>
      <c r="EV64">
        <v>3.8417746477906897E-2</v>
      </c>
      <c r="EW64">
        <v>6.7181550768576306E-2</v>
      </c>
      <c r="EX64">
        <v>-0.196892801926737</v>
      </c>
      <c r="EY64">
        <v>-0.196892801926737</v>
      </c>
      <c r="EZ64">
        <v>-0.196892801926737</v>
      </c>
      <c r="FA64">
        <v>-6.0441655700540699E-2</v>
      </c>
      <c r="FB64">
        <v>0.22179107599535899</v>
      </c>
      <c r="FC64">
        <v>0.34002924226019798</v>
      </c>
      <c r="FD64">
        <v>-0.196892801926737</v>
      </c>
      <c r="FE64">
        <v>3.02371456598696E-2</v>
      </c>
      <c r="FF64">
        <v>-0.196892801926737</v>
      </c>
      <c r="FG64">
        <v>8.8815447475893594E-2</v>
      </c>
      <c r="FH64">
        <v>-0.117618369309653</v>
      </c>
      <c r="FI64">
        <v>0.147299710910864</v>
      </c>
      <c r="FJ64">
        <v>-9.9077380564784791E-3</v>
      </c>
      <c r="FK64">
        <v>-0.196892801926737</v>
      </c>
      <c r="FL64">
        <v>-0.196892801926737</v>
      </c>
      <c r="FM64">
        <v>-5.2401865954666602E-2</v>
      </c>
      <c r="FN64">
        <v>-8.4386512566516206E-2</v>
      </c>
      <c r="FO64">
        <v>-0.196892801926737</v>
      </c>
      <c r="FP64">
        <v>6.4375656874341894E-2</v>
      </c>
      <c r="FQ64">
        <v>-1.4399572592258699E-3</v>
      </c>
      <c r="FR64">
        <v>-0.196892801926737</v>
      </c>
      <c r="FS64">
        <v>-5.2894964635159299E-3</v>
      </c>
      <c r="FT64">
        <v>-7.7562344665057195E-2</v>
      </c>
      <c r="FU64">
        <v>9.1184410907030403E-2</v>
      </c>
      <c r="FV64">
        <v>-5.13778959476811E-2</v>
      </c>
      <c r="FW64">
        <v>-1.0558565493169201E-2</v>
      </c>
      <c r="FX64">
        <v>4.3728251810989799E-2</v>
      </c>
      <c r="FY64">
        <v>-6.1554085503700999E-2</v>
      </c>
      <c r="FZ64">
        <v>0.155544270880972</v>
      </c>
      <c r="GA64">
        <v>7.6100877471614398E-2</v>
      </c>
      <c r="GB64">
        <v>-0.10911081805612401</v>
      </c>
      <c r="GC64">
        <v>1.43852146750083E-3</v>
      </c>
      <c r="GD64">
        <v>2.0745679937030401E-2</v>
      </c>
      <c r="GE64">
        <v>-0.196892801926737</v>
      </c>
      <c r="GF64">
        <v>0.29834346331968198</v>
      </c>
      <c r="GG64">
        <v>-0.196892801926737</v>
      </c>
      <c r="GH64">
        <v>-6.7592696095990695E-2</v>
      </c>
      <c r="GI64">
        <v>-2.8927773766370901E-2</v>
      </c>
      <c r="GJ64">
        <v>-0.13189550896480601</v>
      </c>
      <c r="GK64">
        <v>-1.56584921555732E-2</v>
      </c>
    </row>
    <row r="65" spans="1:206" x14ac:dyDescent="0.25">
      <c r="A65" t="s">
        <v>267</v>
      </c>
      <c r="B65" t="s">
        <v>759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4.0669532572012598E-2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</row>
    <row r="66" spans="1:206" x14ac:dyDescent="0.25">
      <c r="A66" t="s">
        <v>267</v>
      </c>
      <c r="B66" t="s">
        <v>752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</row>
    <row r="67" spans="1:206" x14ac:dyDescent="0.25">
      <c r="A67" t="s">
        <v>267</v>
      </c>
      <c r="B67" t="s">
        <v>620</v>
      </c>
      <c r="C67">
        <v>0.152692381429094</v>
      </c>
      <c r="D67">
        <v>0.35355779984310498</v>
      </c>
      <c r="E67">
        <v>0.11538323735561699</v>
      </c>
      <c r="F67">
        <v>4.2028467949652197E-2</v>
      </c>
      <c r="G67">
        <v>0.186984965996568</v>
      </c>
      <c r="H67">
        <v>0.42941246221610901</v>
      </c>
      <c r="I67">
        <v>1.7507084289452701E-2</v>
      </c>
      <c r="J67">
        <v>-1.8166406045657599E-2</v>
      </c>
      <c r="K67">
        <v>-0.13604961642181701</v>
      </c>
      <c r="L67">
        <v>0.20170523147105099</v>
      </c>
      <c r="M67">
        <v>0.50685953331160005</v>
      </c>
      <c r="N67">
        <v>0.34423218674362599</v>
      </c>
      <c r="O67">
        <v>1.7044120043138401E-3</v>
      </c>
      <c r="P67">
        <v>0.12590082866560101</v>
      </c>
      <c r="Q67">
        <v>-0.170957381956306</v>
      </c>
      <c r="R67">
        <v>-0.356437060600718</v>
      </c>
      <c r="S67">
        <v>-1.9943197545208902E-2</v>
      </c>
      <c r="T67">
        <v>5.2582882112479898E-2</v>
      </c>
      <c r="U67">
        <v>-9.7076397058490194E-2</v>
      </c>
      <c r="V67">
        <v>-7.3520544961855894E-2</v>
      </c>
      <c r="W67">
        <v>-0.18428911368622</v>
      </c>
      <c r="X67">
        <v>9.4000169746324899E-2</v>
      </c>
      <c r="Y67">
        <v>-0.206020246768857</v>
      </c>
      <c r="Z67">
        <v>-0.356437060600718</v>
      </c>
      <c r="AA67">
        <v>-0.198158706107816</v>
      </c>
      <c r="AB67">
        <v>-0.113682696034328</v>
      </c>
      <c r="AC67">
        <v>-5.9791696028937899E-2</v>
      </c>
      <c r="AD67">
        <v>-5.0288762580682003E-2</v>
      </c>
      <c r="AE67">
        <v>-0.13120728447753299</v>
      </c>
      <c r="AF67">
        <v>-0.136693225923434</v>
      </c>
      <c r="AG67">
        <v>-0.110445785645055</v>
      </c>
      <c r="AH67">
        <v>3.6125433037453497E-2</v>
      </c>
      <c r="AI67">
        <v>0.32240332655281301</v>
      </c>
      <c r="AJ67">
        <v>-9.1148913491684302E-2</v>
      </c>
      <c r="AK67">
        <v>2.42789019358387E-2</v>
      </c>
      <c r="AL67">
        <v>-2.2118390476089898E-2</v>
      </c>
      <c r="AM67">
        <v>-9.1827679487142294E-2</v>
      </c>
      <c r="AN67">
        <v>6.2356297921571102E-2</v>
      </c>
      <c r="AO67">
        <v>-0.248056769760819</v>
      </c>
      <c r="AP67">
        <v>-0.356437060600718</v>
      </c>
      <c r="AQ67">
        <v>5.6574198440377803E-2</v>
      </c>
      <c r="AR67">
        <v>0.16757932717485</v>
      </c>
      <c r="AS67">
        <v>0.14747598731217801</v>
      </c>
      <c r="AT67">
        <v>-0.25650468752547501</v>
      </c>
      <c r="AU67">
        <v>-3.5595052009422E-2</v>
      </c>
      <c r="AV67">
        <v>-0.356437060600718</v>
      </c>
      <c r="AW67">
        <v>0.30191950081539098</v>
      </c>
      <c r="AX67">
        <v>-0.17795984894467101</v>
      </c>
      <c r="AY67">
        <v>-0.19494493911782401</v>
      </c>
      <c r="AZ67">
        <v>7.4688111357387897E-3</v>
      </c>
      <c r="BA67">
        <v>-0.16324237513057899</v>
      </c>
      <c r="BB67">
        <v>-0.254047519419556</v>
      </c>
      <c r="BC67">
        <v>-0.118419668612014</v>
      </c>
      <c r="BD67">
        <v>0.13038945524235401</v>
      </c>
      <c r="BE67">
        <v>-0.356437060600718</v>
      </c>
      <c r="BF67">
        <v>6.4597666749487796E-3</v>
      </c>
      <c r="BG67">
        <v>-0.18630643896374399</v>
      </c>
      <c r="BH67">
        <v>-8.4743228273278196E-2</v>
      </c>
      <c r="BI67">
        <v>-0.356437060600718</v>
      </c>
      <c r="BJ67">
        <v>-9.6781866088446994E-2</v>
      </c>
      <c r="BK67">
        <v>-0.25169933291465701</v>
      </c>
      <c r="BL67">
        <v>-0.120686292325558</v>
      </c>
      <c r="BM67">
        <v>2.2407938405002401E-4</v>
      </c>
      <c r="BN67">
        <v>-4.0633161792754703E-2</v>
      </c>
      <c r="BO67">
        <v>-0.356437060600718</v>
      </c>
      <c r="BP67">
        <v>-0.208695602138571</v>
      </c>
      <c r="BQ67">
        <v>-0.18503638753464699</v>
      </c>
      <c r="BR67">
        <v>-0.15549277839652001</v>
      </c>
      <c r="BS67">
        <v>-3.3259119802472203E-2</v>
      </c>
      <c r="BT67">
        <v>2.2189405575514399E-2</v>
      </c>
      <c r="BU67">
        <v>-0.18996576163189499</v>
      </c>
      <c r="BV67">
        <v>2.4943963987196699E-2</v>
      </c>
      <c r="BW67">
        <v>-5.06674849095217E-2</v>
      </c>
      <c r="BX67">
        <v>-2.5073635023968598E-2</v>
      </c>
      <c r="BY67">
        <v>-8.0794801378523601E-2</v>
      </c>
      <c r="BZ67">
        <v>-9.54199891246785E-2</v>
      </c>
      <c r="CA67">
        <v>-8.0968341534523203E-2</v>
      </c>
      <c r="CB67">
        <v>7.7436237145167397E-2</v>
      </c>
      <c r="CC67">
        <v>-0.233626779354391</v>
      </c>
      <c r="CD67">
        <v>-0.356437060600718</v>
      </c>
      <c r="CE67">
        <v>-0.22010950743268001</v>
      </c>
      <c r="CF67">
        <v>-0.20442905186094501</v>
      </c>
      <c r="CG67">
        <v>4.6740797627252501E-2</v>
      </c>
      <c r="CH67">
        <v>-6.5350942865828904E-2</v>
      </c>
      <c r="CI67">
        <v>-0.19519053386091401</v>
      </c>
      <c r="CJ67">
        <v>-0.14639212132193299</v>
      </c>
      <c r="CK67">
        <v>-0.16318491602122601</v>
      </c>
      <c r="CL67">
        <v>-0.22699325181329599</v>
      </c>
      <c r="CM67">
        <v>-8.6673266683718001E-3</v>
      </c>
      <c r="CN67">
        <v>-9.7762309960998606E-2</v>
      </c>
      <c r="CO67">
        <v>-5.9669772003199797E-2</v>
      </c>
      <c r="CP67">
        <v>0.29693500325209699</v>
      </c>
      <c r="CQ67">
        <v>0.223745964258415</v>
      </c>
      <c r="CR67">
        <v>5.8906405227927103E-2</v>
      </c>
      <c r="CS67">
        <v>-0.122667944060321</v>
      </c>
      <c r="CT67">
        <v>9.5254909402738105E-2</v>
      </c>
      <c r="CU67">
        <v>0.28686551050637399</v>
      </c>
      <c r="CV67">
        <v>-3.01571629676834E-2</v>
      </c>
      <c r="CW67">
        <v>0.17604975530989</v>
      </c>
      <c r="CX67">
        <v>8.7626156874429803E-2</v>
      </c>
      <c r="CY67">
        <v>-0.184619397735964</v>
      </c>
      <c r="CZ67">
        <v>0.50113754013821998</v>
      </c>
      <c r="DA67">
        <v>-1.8376629569883299E-2</v>
      </c>
      <c r="DB67">
        <v>-0.217499144062757</v>
      </c>
      <c r="DC67">
        <v>3.5905904531694802E-2</v>
      </c>
      <c r="DD67">
        <v>0.26967466971730902</v>
      </c>
      <c r="DE67">
        <v>-7.49254357705844E-2</v>
      </c>
      <c r="DF67">
        <v>3.9493755826623199E-2</v>
      </c>
      <c r="DG67">
        <v>-7.6085310648830701E-2</v>
      </c>
      <c r="DH67">
        <v>-4.1531390323748002E-2</v>
      </c>
      <c r="DI67">
        <v>-0.110783776268573</v>
      </c>
      <c r="DJ67">
        <v>-8.3118070968115201E-2</v>
      </c>
      <c r="DK67">
        <v>0.121306798999523</v>
      </c>
      <c r="DL67">
        <v>4.6138186389141099E-2</v>
      </c>
      <c r="DM67">
        <v>6.9109284355647699E-2</v>
      </c>
      <c r="DN67">
        <v>-0.356437060600718</v>
      </c>
      <c r="DO67">
        <v>-0.193513749655991</v>
      </c>
      <c r="DP67">
        <v>-1.5969037067806498E-2</v>
      </c>
      <c r="DQ67">
        <v>-0.199768454744705</v>
      </c>
      <c r="DR67">
        <v>7.6055920095302695E-2</v>
      </c>
      <c r="DS67">
        <v>0.142123655385063</v>
      </c>
      <c r="DT67">
        <v>0.27326671812494402</v>
      </c>
      <c r="DU67">
        <v>0.13441553386562999</v>
      </c>
      <c r="DV67">
        <v>-0.108494368738579</v>
      </c>
      <c r="DW67">
        <v>-0.21707340206179199</v>
      </c>
      <c r="DX67">
        <v>0.30799481148348001</v>
      </c>
      <c r="DY67">
        <v>-0.356437060600718</v>
      </c>
      <c r="DZ67">
        <v>0.124366125836573</v>
      </c>
      <c r="EA67">
        <v>-6.0153835352935302E-2</v>
      </c>
      <c r="EB67">
        <v>-0.356437060600718</v>
      </c>
      <c r="EC67">
        <v>5.4660888159448903E-2</v>
      </c>
      <c r="ED67">
        <v>6.2146880719482697E-2</v>
      </c>
      <c r="EE67">
        <v>-0.15791967098524101</v>
      </c>
      <c r="EF67">
        <v>0.123057481568649</v>
      </c>
      <c r="EG67">
        <v>0.32909732619315901</v>
      </c>
      <c r="EH67">
        <v>-0.356437060600718</v>
      </c>
      <c r="EI67">
        <v>-6.3688913755756596E-2</v>
      </c>
      <c r="EJ67">
        <v>-0.107802538294336</v>
      </c>
      <c r="EK67">
        <v>-9.6795917586093502E-2</v>
      </c>
      <c r="EL67">
        <v>-0.20723999197305501</v>
      </c>
      <c r="EM67">
        <v>4.04186591903771E-3</v>
      </c>
      <c r="EN67">
        <v>-4.5407840885996399E-2</v>
      </c>
      <c r="EO67">
        <v>4.24392764664209E-2</v>
      </c>
      <c r="EP67">
        <v>-5.5543011425624102E-2</v>
      </c>
      <c r="EQ67">
        <v>0.12941461120588099</v>
      </c>
      <c r="ER67">
        <v>-0.20868030501481</v>
      </c>
      <c r="ES67">
        <v>-3.1049392484392101E-2</v>
      </c>
      <c r="ET67">
        <v>-0.23478793355548599</v>
      </c>
      <c r="EU67">
        <v>-6.77652837140897E-2</v>
      </c>
      <c r="EV67">
        <v>-5.8358499094909297E-2</v>
      </c>
      <c r="EW67">
        <v>-0.14856429709211999</v>
      </c>
      <c r="EX67">
        <v>-6.3099644392368606E-2</v>
      </c>
      <c r="EY67">
        <v>-0.356437060600718</v>
      </c>
      <c r="EZ67">
        <v>-0.356437060600718</v>
      </c>
      <c r="FA67">
        <v>-0.356437060600718</v>
      </c>
      <c r="FB67">
        <v>6.2246817321379398E-2</v>
      </c>
      <c r="FC67">
        <v>0.18048498358621801</v>
      </c>
      <c r="FD67">
        <v>-0.356437060600718</v>
      </c>
      <c r="FE67">
        <v>-0.356437060600718</v>
      </c>
      <c r="FF67">
        <v>2.9965551677440298E-2</v>
      </c>
      <c r="FG67">
        <v>1.44172824839831E-2</v>
      </c>
      <c r="FH67">
        <v>6.7033690334472096E-2</v>
      </c>
      <c r="FI67">
        <v>-0.134919458304607</v>
      </c>
      <c r="FJ67">
        <v>-0.16945199673045899</v>
      </c>
      <c r="FK67">
        <v>0.137978385834058</v>
      </c>
      <c r="FL67">
        <v>-8.44334337728396E-2</v>
      </c>
      <c r="FM67">
        <v>-6.2422223782037404E-3</v>
      </c>
      <c r="FN67">
        <v>-0.356437060600718</v>
      </c>
      <c r="FO67">
        <v>1.9916273186851699E-2</v>
      </c>
      <c r="FP67">
        <v>-0.18426818562402</v>
      </c>
      <c r="FQ67">
        <v>-0.160984215933206</v>
      </c>
      <c r="FR67">
        <v>7.9818255037689897E-3</v>
      </c>
      <c r="FS67">
        <v>-5.3948073934453798E-2</v>
      </c>
      <c r="FT67">
        <v>0.16897532450163599</v>
      </c>
      <c r="FU67">
        <v>-0.14384640742885099</v>
      </c>
      <c r="FV67">
        <v>-3.5940091801177902E-2</v>
      </c>
      <c r="FW67">
        <v>-8.4268151988763002E-2</v>
      </c>
      <c r="FX67">
        <v>6.6487886365108398E-2</v>
      </c>
      <c r="FY67">
        <v>-9.6227440972110306E-2</v>
      </c>
      <c r="FZ67">
        <v>-4.8470451183279702E-2</v>
      </c>
      <c r="GA67">
        <v>-0.24532594721408699</v>
      </c>
      <c r="GB67">
        <v>4.30580388999732E-2</v>
      </c>
      <c r="GC67">
        <v>6.7212192906434001E-2</v>
      </c>
      <c r="GD67">
        <v>0.30421602987956198</v>
      </c>
      <c r="GE67">
        <v>-0.356437060600718</v>
      </c>
      <c r="GF67">
        <v>-0.22323891763519499</v>
      </c>
      <c r="GG67">
        <v>0.15663844814809</v>
      </c>
      <c r="GH67">
        <v>-0.13376075700204401</v>
      </c>
      <c r="GI67">
        <v>-9.3374893995127398E-2</v>
      </c>
      <c r="GJ67">
        <v>-5.3088373753231798E-2</v>
      </c>
      <c r="GK67">
        <v>-0.19527215561379499</v>
      </c>
    </row>
    <row r="68" spans="1:206" x14ac:dyDescent="0.25">
      <c r="A68" t="s">
        <v>267</v>
      </c>
      <c r="B68" t="s">
        <v>588</v>
      </c>
      <c r="C68">
        <v>8.8386155566328201E-2</v>
      </c>
      <c r="D68">
        <v>0</v>
      </c>
      <c r="E68">
        <v>7.7188836482941598E-3</v>
      </c>
      <c r="F68">
        <v>9.9673628611320203E-2</v>
      </c>
      <c r="G68">
        <v>4.9575455585375301E-2</v>
      </c>
      <c r="H68">
        <v>0.22532472823674399</v>
      </c>
      <c r="I68">
        <v>0</v>
      </c>
      <c r="J68">
        <v>2.1278422282682698E-2</v>
      </c>
      <c r="K68">
        <v>5.4353271861798301E-2</v>
      </c>
      <c r="L68">
        <v>0</v>
      </c>
      <c r="M68">
        <v>0.158115649353884</v>
      </c>
      <c r="N68">
        <v>7.76982655657424E-2</v>
      </c>
      <c r="O68">
        <v>0</v>
      </c>
      <c r="P68">
        <v>0</v>
      </c>
      <c r="Q68">
        <v>0</v>
      </c>
      <c r="R68">
        <v>0</v>
      </c>
      <c r="S68">
        <v>0.120487323720846</v>
      </c>
      <c r="T68">
        <v>0</v>
      </c>
      <c r="U68">
        <v>0.25936066354222698</v>
      </c>
      <c r="V68">
        <v>0</v>
      </c>
      <c r="W68">
        <v>0.26478105029972099</v>
      </c>
      <c r="X68">
        <v>0</v>
      </c>
      <c r="Y68">
        <v>0</v>
      </c>
      <c r="Z68">
        <v>0</v>
      </c>
      <c r="AA68">
        <v>0</v>
      </c>
      <c r="AB68">
        <v>8.7895979704687405E-2</v>
      </c>
      <c r="AC68">
        <v>5.7342951021768201E-2</v>
      </c>
      <c r="AD68">
        <v>0.14083093829322599</v>
      </c>
      <c r="AE68">
        <v>5.7039412078962501E-2</v>
      </c>
      <c r="AF68">
        <v>0</v>
      </c>
      <c r="AG68">
        <v>5.2281454364666198E-2</v>
      </c>
      <c r="AH68">
        <v>0</v>
      </c>
      <c r="AI68">
        <v>0</v>
      </c>
      <c r="AJ68">
        <v>0</v>
      </c>
      <c r="AK68">
        <v>0</v>
      </c>
      <c r="AL68">
        <v>7.9251613529952303E-2</v>
      </c>
      <c r="AM68">
        <v>0.13787629620872499</v>
      </c>
      <c r="AN68">
        <v>0</v>
      </c>
      <c r="AO68">
        <v>0</v>
      </c>
      <c r="AP68">
        <v>0</v>
      </c>
      <c r="AQ68">
        <v>0.126392016834248</v>
      </c>
      <c r="AR68">
        <v>0</v>
      </c>
      <c r="AS68">
        <v>0.11930462149779</v>
      </c>
      <c r="AT68">
        <v>9.9932373075242997E-2</v>
      </c>
      <c r="AU68">
        <v>0.108471851559825</v>
      </c>
      <c r="AV68">
        <v>0</v>
      </c>
      <c r="AW68">
        <v>0</v>
      </c>
      <c r="AX68">
        <v>0</v>
      </c>
      <c r="AY68">
        <v>0.10379805801442001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0.22908919147142701</v>
      </c>
      <c r="BF68">
        <v>0</v>
      </c>
      <c r="BG68">
        <v>0</v>
      </c>
      <c r="BH68">
        <v>0</v>
      </c>
      <c r="BI68">
        <v>0</v>
      </c>
      <c r="BJ68">
        <v>0.164138739636359</v>
      </c>
      <c r="BK68">
        <v>0.10473772768606</v>
      </c>
      <c r="BL68">
        <v>0</v>
      </c>
      <c r="BM68">
        <v>0</v>
      </c>
      <c r="BN68">
        <v>0</v>
      </c>
      <c r="BO68">
        <v>0.103667401940662</v>
      </c>
      <c r="BP68">
        <v>0</v>
      </c>
      <c r="BQ68">
        <v>0</v>
      </c>
      <c r="BR68">
        <v>0</v>
      </c>
      <c r="BS68">
        <v>3.0628773153498101E-2</v>
      </c>
      <c r="BT68">
        <v>4.9010421329556901E-2</v>
      </c>
      <c r="BU68">
        <v>3.0868238711586601E-2</v>
      </c>
      <c r="BV68">
        <v>2.3041534389871499E-2</v>
      </c>
      <c r="BW68">
        <v>2.5145524940646299E-2</v>
      </c>
      <c r="BX68">
        <v>5.8486524718111201E-2</v>
      </c>
      <c r="BY68">
        <v>6.6191747029010206E-2</v>
      </c>
      <c r="BZ68">
        <v>4.9033144381831699E-2</v>
      </c>
      <c r="CA68">
        <v>3.8820063544185802E-2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0.15221901983444</v>
      </c>
      <c r="CI68">
        <v>0</v>
      </c>
      <c r="CJ68">
        <v>2.2651136531903201E-2</v>
      </c>
      <c r="CK68">
        <v>0</v>
      </c>
      <c r="CL68">
        <v>0</v>
      </c>
      <c r="CM68">
        <v>0</v>
      </c>
      <c r="CN68">
        <v>0</v>
      </c>
      <c r="CO68">
        <v>0.121038053471623</v>
      </c>
      <c r="CP68">
        <v>0</v>
      </c>
      <c r="CQ68">
        <v>0</v>
      </c>
      <c r="CR68">
        <v>0</v>
      </c>
      <c r="CS68">
        <v>0.121082330084458</v>
      </c>
      <c r="CT68">
        <v>0</v>
      </c>
      <c r="CU68">
        <v>0</v>
      </c>
      <c r="CV68">
        <v>0</v>
      </c>
      <c r="CW68">
        <v>0</v>
      </c>
      <c r="CX68">
        <v>0.12303201199848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0.14264045381946</v>
      </c>
      <c r="DK68">
        <v>0.117343522128182</v>
      </c>
      <c r="DL68">
        <v>0</v>
      </c>
      <c r="DM68">
        <v>0</v>
      </c>
      <c r="DN68">
        <v>0.24371522795195699</v>
      </c>
      <c r="DO68">
        <v>0</v>
      </c>
      <c r="DP68">
        <v>0</v>
      </c>
      <c r="DQ68">
        <v>0</v>
      </c>
      <c r="DR68">
        <v>0.15775450725557799</v>
      </c>
      <c r="DS68">
        <v>0</v>
      </c>
      <c r="DT68">
        <v>0</v>
      </c>
      <c r="DU68">
        <v>0</v>
      </c>
      <c r="DV68">
        <v>0.12876848516248601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0.12577272043276999</v>
      </c>
      <c r="ED68">
        <v>0.128091828897031</v>
      </c>
      <c r="EE68">
        <v>0</v>
      </c>
      <c r="EF68">
        <v>0.107801825666918</v>
      </c>
      <c r="EG68">
        <v>8.9515391889736701E-2</v>
      </c>
      <c r="EH68">
        <v>0</v>
      </c>
      <c r="EI68">
        <v>0</v>
      </c>
      <c r="EJ68">
        <v>0</v>
      </c>
      <c r="EK68">
        <v>0.20433785998033899</v>
      </c>
      <c r="EL68">
        <v>0</v>
      </c>
      <c r="EM68">
        <v>0</v>
      </c>
      <c r="EN68">
        <v>5.9949482751488203E-2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0.15073963370290799</v>
      </c>
      <c r="EV68">
        <v>0</v>
      </c>
      <c r="EW68">
        <v>0</v>
      </c>
      <c r="EX68">
        <v>0.153397640460365</v>
      </c>
      <c r="EY68">
        <v>0</v>
      </c>
      <c r="EZ68">
        <v>0</v>
      </c>
      <c r="FA68">
        <v>0</v>
      </c>
      <c r="FB68">
        <v>0.10072889343989901</v>
      </c>
      <c r="FC68">
        <v>0</v>
      </c>
      <c r="FD68">
        <v>0</v>
      </c>
      <c r="FE68">
        <v>0</v>
      </c>
      <c r="FF68">
        <v>0.139168090777439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0.141749879349823</v>
      </c>
      <c r="FM68">
        <v>0</v>
      </c>
      <c r="FN68">
        <v>0</v>
      </c>
      <c r="FO68">
        <v>0</v>
      </c>
      <c r="FP68">
        <v>0</v>
      </c>
      <c r="FQ68">
        <v>0.15671062717096501</v>
      </c>
      <c r="FR68">
        <v>0</v>
      </c>
      <c r="FS68">
        <v>2.57006288734303E-2</v>
      </c>
      <c r="FT68">
        <v>0.11933045726168</v>
      </c>
      <c r="FU68">
        <v>0</v>
      </c>
      <c r="FV68">
        <v>5.7787984631145102E-2</v>
      </c>
      <c r="FW68">
        <v>0</v>
      </c>
      <c r="FX68">
        <v>0.16430047799078101</v>
      </c>
      <c r="FY68">
        <v>0</v>
      </c>
      <c r="FZ68">
        <v>0</v>
      </c>
      <c r="GA68">
        <v>0</v>
      </c>
      <c r="GB68">
        <v>0</v>
      </c>
      <c r="GC68">
        <v>0.10218114207238201</v>
      </c>
      <c r="GD68">
        <v>0.112510136703816</v>
      </c>
      <c r="GE68">
        <v>0</v>
      </c>
      <c r="GF68">
        <v>0.13319814296552299</v>
      </c>
      <c r="GG68">
        <v>0</v>
      </c>
      <c r="GH68">
        <v>5.5109781416202597E-2</v>
      </c>
      <c r="GI68">
        <v>5.1130888461842702E-2</v>
      </c>
      <c r="GJ68">
        <v>0</v>
      </c>
      <c r="GK68">
        <v>0</v>
      </c>
    </row>
    <row r="69" spans="1:206" x14ac:dyDescent="0.25">
      <c r="A69" t="s">
        <v>267</v>
      </c>
      <c r="B69" t="s">
        <v>630</v>
      </c>
      <c r="C69">
        <v>0.46979044184320701</v>
      </c>
      <c r="D69">
        <v>0.13039958935701201</v>
      </c>
      <c r="E69">
        <v>2.3115735352977899E-2</v>
      </c>
      <c r="F69">
        <v>1.6798706203704501E-2</v>
      </c>
      <c r="G69">
        <v>0</v>
      </c>
      <c r="H69">
        <v>0</v>
      </c>
      <c r="I69">
        <v>0.25877762085183997</v>
      </c>
      <c r="J69">
        <v>2.1278422282682698E-2</v>
      </c>
      <c r="K69">
        <v>0</v>
      </c>
      <c r="L69">
        <v>3.7446217014519702E-2</v>
      </c>
      <c r="M69">
        <v>0.158115649353884</v>
      </c>
      <c r="N69">
        <v>5.21556431604304E-2</v>
      </c>
      <c r="O69">
        <v>0</v>
      </c>
      <c r="P69">
        <v>0</v>
      </c>
      <c r="Q69">
        <v>0</v>
      </c>
      <c r="R69">
        <v>0</v>
      </c>
      <c r="S69">
        <v>0.120487323720846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7.3554507805346503E-2</v>
      </c>
      <c r="AC69">
        <v>5.7342951021768201E-2</v>
      </c>
      <c r="AD69">
        <v>0</v>
      </c>
      <c r="AE69">
        <v>0</v>
      </c>
      <c r="AF69">
        <v>7.6712372968272602E-2</v>
      </c>
      <c r="AG69">
        <v>0.15202269853000699</v>
      </c>
      <c r="AH69">
        <v>0.14212117734978699</v>
      </c>
      <c r="AI69">
        <v>0.12365214248124901</v>
      </c>
      <c r="AJ69">
        <v>0</v>
      </c>
      <c r="AK69">
        <v>8.3911965715407794E-2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0.107456739476538</v>
      </c>
      <c r="AS69">
        <v>0</v>
      </c>
      <c r="AT69">
        <v>9.9932373075242997E-2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0.15931810536695101</v>
      </c>
      <c r="BC69">
        <v>0.123487377432111</v>
      </c>
      <c r="BD69">
        <v>0</v>
      </c>
      <c r="BE69">
        <v>8.0059526113843399E-2</v>
      </c>
      <c r="BF69">
        <v>0</v>
      </c>
      <c r="BG69">
        <v>1.10234094327239E-2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9.6784668797729997E-2</v>
      </c>
      <c r="BN69">
        <v>0</v>
      </c>
      <c r="BO69">
        <v>0</v>
      </c>
      <c r="BP69">
        <v>9.4794711012915298E-2</v>
      </c>
      <c r="BQ69">
        <v>0.13731883763514</v>
      </c>
      <c r="BR69">
        <v>0</v>
      </c>
      <c r="BS69">
        <v>2.8514735094563599E-2</v>
      </c>
      <c r="BT69">
        <v>0</v>
      </c>
      <c r="BU69">
        <v>0</v>
      </c>
      <c r="BV69">
        <v>2.3041534389871499E-2</v>
      </c>
      <c r="BW69">
        <v>0</v>
      </c>
      <c r="BX69">
        <v>1.47750462117931E-2</v>
      </c>
      <c r="BY69">
        <v>0</v>
      </c>
      <c r="BZ69">
        <v>1.0259184641600401E-2</v>
      </c>
      <c r="CA69">
        <v>3.8820063544185802E-2</v>
      </c>
      <c r="CB69">
        <v>0</v>
      </c>
      <c r="CC69">
        <v>0.12281028124632699</v>
      </c>
      <c r="CD69">
        <v>0</v>
      </c>
      <c r="CE69">
        <v>0.13632755316803799</v>
      </c>
      <c r="CF69">
        <v>0</v>
      </c>
      <c r="CG69">
        <v>0</v>
      </c>
      <c r="CH69">
        <v>0</v>
      </c>
      <c r="CI69">
        <v>0</v>
      </c>
      <c r="CJ69">
        <v>6.3430452216666801E-3</v>
      </c>
      <c r="CK69">
        <v>8.97818655214591E-2</v>
      </c>
      <c r="CL69">
        <v>0</v>
      </c>
      <c r="CM69">
        <v>0</v>
      </c>
      <c r="CN69">
        <v>6.8781737123402506E-2</v>
      </c>
      <c r="CO69">
        <v>0.121038053471623</v>
      </c>
      <c r="CP69">
        <v>0</v>
      </c>
      <c r="CQ69">
        <v>0</v>
      </c>
      <c r="CR69">
        <v>0</v>
      </c>
      <c r="CS69">
        <v>0.121082330084458</v>
      </c>
      <c r="CT69">
        <v>0.165196468177883</v>
      </c>
      <c r="CU69">
        <v>0</v>
      </c>
      <c r="CV69">
        <v>0</v>
      </c>
      <c r="CW69">
        <v>0.182396656690405</v>
      </c>
      <c r="CX69">
        <v>0</v>
      </c>
      <c r="CY69">
        <v>0</v>
      </c>
      <c r="CZ69">
        <v>0</v>
      </c>
      <c r="DA69">
        <v>0.187583583677605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0.11220229942905301</v>
      </c>
      <c r="DI69">
        <v>0.12765562509730199</v>
      </c>
      <c r="DJ69">
        <v>0.27331898963260198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0.18896483856351401</v>
      </c>
      <c r="DQ69">
        <v>0</v>
      </c>
      <c r="DR69">
        <v>0</v>
      </c>
      <c r="DS69">
        <v>0</v>
      </c>
      <c r="DT69">
        <v>0.14744602855705699</v>
      </c>
      <c r="DU69">
        <v>0</v>
      </c>
      <c r="DV69">
        <v>0</v>
      </c>
      <c r="DW69">
        <v>0.13936365853892499</v>
      </c>
      <c r="DX69">
        <v>0</v>
      </c>
      <c r="DY69">
        <v>0</v>
      </c>
      <c r="DZ69">
        <v>0.22770314407431</v>
      </c>
      <c r="EA69">
        <v>0</v>
      </c>
      <c r="EB69">
        <v>0</v>
      </c>
      <c r="EC69">
        <v>0</v>
      </c>
      <c r="ED69">
        <v>0</v>
      </c>
      <c r="EE69">
        <v>0.102323575091971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0.136451146226197</v>
      </c>
      <c r="FB69">
        <v>0</v>
      </c>
      <c r="FC69">
        <v>0</v>
      </c>
      <c r="FD69">
        <v>0</v>
      </c>
      <c r="FE69">
        <v>0</v>
      </c>
      <c r="FF69">
        <v>0.21539212380367001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0.141749879349823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1.28943676002097E-2</v>
      </c>
      <c r="FT69">
        <v>0.36691764893553303</v>
      </c>
      <c r="FU69">
        <v>0.244332661557259</v>
      </c>
      <c r="FV69">
        <v>5.7787984631145102E-2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3.09505197425816E-2</v>
      </c>
      <c r="GI69">
        <v>6.7867710270260104E-2</v>
      </c>
      <c r="GJ69">
        <v>0.127662646228931</v>
      </c>
      <c r="GK69">
        <v>5.2430021466666699E-2</v>
      </c>
    </row>
    <row r="70" spans="1:206" x14ac:dyDescent="0.25">
      <c r="A70" t="s">
        <v>267</v>
      </c>
      <c r="B70" t="s">
        <v>603</v>
      </c>
      <c r="C70">
        <v>8.8386155566328201E-2</v>
      </c>
      <c r="D70">
        <v>0</v>
      </c>
      <c r="E70">
        <v>1.54240964864584E-2</v>
      </c>
      <c r="F70">
        <v>1.6798706203704501E-2</v>
      </c>
      <c r="G70">
        <v>0</v>
      </c>
      <c r="H70">
        <v>0</v>
      </c>
      <c r="I70">
        <v>0</v>
      </c>
      <c r="J70">
        <v>0</v>
      </c>
      <c r="K70">
        <v>0</v>
      </c>
      <c r="L70">
        <v>3.7446217014519702E-2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0.115595562627992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0.11035237928076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5.1148782783308503E-3</v>
      </c>
      <c r="BT70">
        <v>2.46539339368015E-2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5.13145536178004E-3</v>
      </c>
      <c r="CA70">
        <v>0</v>
      </c>
      <c r="CB70">
        <v>0</v>
      </c>
      <c r="CC70">
        <v>0</v>
      </c>
      <c r="CD70">
        <v>0.13848737328877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0.19068222878482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0.12906981867379999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0.100557448803223</v>
      </c>
      <c r="FR70">
        <v>0</v>
      </c>
      <c r="FS70">
        <v>1.28943676002097E-2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1.5541176929860401E-2</v>
      </c>
      <c r="GI70">
        <v>1.7200256286971902E-2</v>
      </c>
      <c r="GJ70">
        <v>0</v>
      </c>
      <c r="GK70">
        <v>0</v>
      </c>
    </row>
    <row r="71" spans="1:206" x14ac:dyDescent="0.25">
      <c r="A71" t="s">
        <v>267</v>
      </c>
      <c r="B71" t="s">
        <v>618</v>
      </c>
      <c r="C71">
        <v>-3.6031681583525302E-3</v>
      </c>
      <c r="D71">
        <v>-3.8658081315031102E-2</v>
      </c>
      <c r="E71">
        <v>-0.117862163081749</v>
      </c>
      <c r="F71">
        <v>-0.13161517952959401</v>
      </c>
      <c r="G71">
        <v>-0.32528214590393301</v>
      </c>
      <c r="H71">
        <v>-0.111605690968482</v>
      </c>
      <c r="I71">
        <v>-0.16653914010533999</v>
      </c>
      <c r="J71">
        <v>-0.23353986195398399</v>
      </c>
      <c r="K71">
        <v>-0.31758937644674101</v>
      </c>
      <c r="L71">
        <v>-3.4381056965938302E-2</v>
      </c>
      <c r="M71">
        <v>-0.52366346065140201</v>
      </c>
      <c r="N71">
        <v>-0.43769036453745802</v>
      </c>
      <c r="O71">
        <v>-0.314033227178733</v>
      </c>
      <c r="P71">
        <v>0.294124391298073</v>
      </c>
      <c r="Q71">
        <v>-5.8421027191583E-2</v>
      </c>
      <c r="R71">
        <v>-0.27575201979366798</v>
      </c>
      <c r="S71">
        <v>-0.15399574077502401</v>
      </c>
      <c r="T71">
        <v>-7.9520990649761605E-2</v>
      </c>
      <c r="U71">
        <v>-0.21089593998276801</v>
      </c>
      <c r="V71">
        <v>-0.32130207236118302</v>
      </c>
      <c r="W71">
        <v>-0.13537425090621599</v>
      </c>
      <c r="X71">
        <v>0.21533957347645699</v>
      </c>
      <c r="Y71">
        <v>-0.45380177416818401</v>
      </c>
      <c r="Z71">
        <v>0.22400517490918101</v>
      </c>
      <c r="AA71">
        <v>0.16803734848832799</v>
      </c>
      <c r="AB71">
        <v>-1.40195834685438E-2</v>
      </c>
      <c r="AC71">
        <v>-0.205658604575125</v>
      </c>
      <c r="AD71">
        <v>-0.33401518188926099</v>
      </c>
      <c r="AE71">
        <v>4.2294697711991402E-2</v>
      </c>
      <c r="AF71">
        <v>-0.253303960227862</v>
      </c>
      <c r="AG71">
        <v>-0.10845263104639</v>
      </c>
      <c r="AH71">
        <v>0.48846993818779</v>
      </c>
      <c r="AI71">
        <v>7.4621799153486199E-2</v>
      </c>
      <c r="AJ71">
        <v>0.20017214715540399</v>
      </c>
      <c r="AK71">
        <v>-0.32222420649483202</v>
      </c>
      <c r="AL71">
        <v>-0.44954927599267702</v>
      </c>
      <c r="AM71">
        <v>0.276574876840399</v>
      </c>
      <c r="AN71">
        <v>-9.5970350171830296E-2</v>
      </c>
      <c r="AO71">
        <v>-2.9794852851197502E-2</v>
      </c>
      <c r="AP71">
        <v>-9.9370579987502594E-2</v>
      </c>
      <c r="AQ71">
        <v>-0.360776988854</v>
      </c>
      <c r="AR71">
        <v>-0.21228517337348701</v>
      </c>
      <c r="AS71">
        <v>-7.6814140193059599E-2</v>
      </c>
      <c r="AT71">
        <v>2.0419381812075699E-3</v>
      </c>
      <c r="AU71">
        <v>0.46594603660092798</v>
      </c>
      <c r="AV71">
        <v>-0.47286233143879802</v>
      </c>
      <c r="AW71">
        <v>-0.26950755299458901</v>
      </c>
      <c r="AX71">
        <v>-1.37202751610745E-2</v>
      </c>
      <c r="AY71">
        <v>-1.9711134747658898E-2</v>
      </c>
      <c r="AZ71">
        <v>0.418146929325939</v>
      </c>
      <c r="BA71">
        <v>-6.1181499609222798E-2</v>
      </c>
      <c r="BB71">
        <v>0.31437301856618699</v>
      </c>
      <c r="BC71">
        <v>-6.4906180124911006E-2</v>
      </c>
      <c r="BD71">
        <v>-1.59250905220302E-2</v>
      </c>
      <c r="BE71">
        <v>-0.266079603705004</v>
      </c>
      <c r="BF71">
        <v>0.41711155332984701</v>
      </c>
      <c r="BG71">
        <v>-9.4011716782152505E-2</v>
      </c>
      <c r="BH71">
        <v>-0.110492653201473</v>
      </c>
      <c r="BI71">
        <v>9.3003887084700504E-2</v>
      </c>
      <c r="BJ71">
        <v>-0.39974572795601299</v>
      </c>
      <c r="BK71">
        <v>0.151532882967951</v>
      </c>
      <c r="BL71">
        <v>-0.256609203891491</v>
      </c>
      <c r="BM71">
        <v>0.15949106038786601</v>
      </c>
      <c r="BN71">
        <v>2.26054063690172E-2</v>
      </c>
      <c r="BO71">
        <v>0.255862721948873</v>
      </c>
      <c r="BP71">
        <v>0.19523046077855799</v>
      </c>
      <c r="BQ71">
        <v>-9.7717308231087999E-2</v>
      </c>
      <c r="BR71">
        <v>-9.6198568905637605E-2</v>
      </c>
      <c r="BS71">
        <v>1.03645966476104E-2</v>
      </c>
      <c r="BT71">
        <v>7.2576178059841304E-2</v>
      </c>
      <c r="BU71">
        <v>-0.106503585844518</v>
      </c>
      <c r="BV71">
        <v>-0.32315529797181602</v>
      </c>
      <c r="BW71">
        <v>-0.1042455741802</v>
      </c>
      <c r="BX71">
        <v>3.5976629104214198E-3</v>
      </c>
      <c r="BY71">
        <v>-0.17344035495377699</v>
      </c>
      <c r="BZ71">
        <v>6.4118046648570806E-2</v>
      </c>
      <c r="CA71">
        <v>-5.39688580658182E-2</v>
      </c>
      <c r="CB71">
        <v>8.4098765645447396E-2</v>
      </c>
      <c r="CC71">
        <v>0.44684569115897499</v>
      </c>
      <c r="CD71">
        <v>-0.33812347290323302</v>
      </c>
      <c r="CE71">
        <v>0.38304683388761801</v>
      </c>
      <c r="CF71">
        <v>-0.60421858800004402</v>
      </c>
      <c r="CG71">
        <v>0.12054900752401</v>
      </c>
      <c r="CH71">
        <v>-0.313132470265156</v>
      </c>
      <c r="CI71">
        <v>9.5327746313808304E-2</v>
      </c>
      <c r="CJ71">
        <v>0.11791422091642401</v>
      </c>
      <c r="CK71">
        <v>2.397022745556E-2</v>
      </c>
      <c r="CL71">
        <v>-4.1618420214213699E-2</v>
      </c>
      <c r="CM71">
        <v>-0.60421858800004402</v>
      </c>
      <c r="CN71">
        <v>0.31692425145456199</v>
      </c>
      <c r="CO71">
        <v>0.232923147380662</v>
      </c>
      <c r="CP71">
        <v>0.49455441974699399</v>
      </c>
      <c r="CQ71">
        <v>-0.12486828972928</v>
      </c>
      <c r="CR71">
        <v>0.394166538222607</v>
      </c>
      <c r="CS71">
        <v>-0.37044947145964802</v>
      </c>
      <c r="CT71">
        <v>0.25157280690841699</v>
      </c>
      <c r="CU71">
        <v>-3.0214682918411E-2</v>
      </c>
      <c r="CV71">
        <v>-0.43265645152090099</v>
      </c>
      <c r="CW71">
        <v>0.29046057270943398</v>
      </c>
      <c r="CX71">
        <v>-0.16015537052489701</v>
      </c>
      <c r="CY71">
        <v>0.13337286813376101</v>
      </c>
      <c r="CZ71">
        <v>0.64474399745199895</v>
      </c>
      <c r="DA71">
        <v>-0.16779741678875601</v>
      </c>
      <c r="DB71">
        <v>-0.26759614084962902</v>
      </c>
      <c r="DC71">
        <v>0.53793126780144895</v>
      </c>
      <c r="DD71">
        <v>0.233346268205819</v>
      </c>
      <c r="DE71">
        <v>0.44330124972226298</v>
      </c>
      <c r="DF71">
        <v>0.73500155008873402</v>
      </c>
      <c r="DG71">
        <v>-2.27282923833401E-2</v>
      </c>
      <c r="DH71">
        <v>0.16857044323013401</v>
      </c>
      <c r="DI71">
        <v>0.29961696322493497</v>
      </c>
      <c r="DJ71">
        <v>0.46064033048165098</v>
      </c>
      <c r="DK71">
        <v>7.7057956347279605E-2</v>
      </c>
      <c r="DL71">
        <v>0.17631708173083099</v>
      </c>
      <c r="DM71">
        <v>0.15733268826253499</v>
      </c>
      <c r="DN71">
        <v>0.50181346840081398</v>
      </c>
      <c r="DO71">
        <v>0.56150215565616002</v>
      </c>
      <c r="DP71">
        <v>-0.10955201621907899</v>
      </c>
      <c r="DQ71">
        <v>0.35946828343730503</v>
      </c>
      <c r="DR71">
        <v>-5.0322806042985897E-2</v>
      </c>
      <c r="DS71">
        <v>0.55687218890603096</v>
      </c>
      <c r="DT71">
        <v>0.12652980776306799</v>
      </c>
      <c r="DU71">
        <v>0.22804508730282799</v>
      </c>
      <c r="DV71">
        <v>0.185084718890591</v>
      </c>
      <c r="DW71">
        <v>0.20359933676900999</v>
      </c>
      <c r="DX71">
        <v>0.70282848717612101</v>
      </c>
      <c r="DY71">
        <v>-5.7129168830610498E-2</v>
      </c>
      <c r="DZ71">
        <v>-0.177310502895167</v>
      </c>
      <c r="EA71">
        <v>0.64214126408960004</v>
      </c>
      <c r="EB71">
        <v>-4.3475653241030102E-2</v>
      </c>
      <c r="EC71">
        <v>-9.5050268302102503E-2</v>
      </c>
      <c r="ED71">
        <v>0.52441334434827602</v>
      </c>
      <c r="EE71">
        <v>5.0446448009857101E-3</v>
      </c>
      <c r="EF71">
        <v>3.40498628443364E-2</v>
      </c>
      <c r="EG71">
        <v>0.44952839279578999</v>
      </c>
      <c r="EH71">
        <v>0.26413427199073197</v>
      </c>
      <c r="EI71">
        <v>3.8921831473550703E-2</v>
      </c>
      <c r="EJ71">
        <v>0.223236830394308</v>
      </c>
      <c r="EK71">
        <v>0.13816621149607899</v>
      </c>
      <c r="EL71">
        <v>0.75323088115374104</v>
      </c>
      <c r="EM71">
        <v>0.19226323362155801</v>
      </c>
      <c r="EN71">
        <v>-1.04906046374956E-2</v>
      </c>
      <c r="EO71">
        <v>7.4098432960459898E-2</v>
      </c>
      <c r="EP71">
        <v>0.35600893359494501</v>
      </c>
      <c r="EQ71">
        <v>-0.26433486231695302</v>
      </c>
      <c r="ER71">
        <v>-0.19603105925633299</v>
      </c>
      <c r="ES71">
        <v>7.4393839321882205E-2</v>
      </c>
      <c r="ET71">
        <v>0.27361555034115698</v>
      </c>
      <c r="EU71">
        <v>0.40108447668048097</v>
      </c>
      <c r="EV71">
        <v>0.80589863156082298</v>
      </c>
      <c r="EW71">
        <v>-3.1222695214080599E-2</v>
      </c>
      <c r="EX71">
        <v>0.110189853369754</v>
      </c>
      <c r="EY71">
        <v>0.26424137815373</v>
      </c>
      <c r="EZ71">
        <v>0.44249557771352999</v>
      </c>
      <c r="FA71">
        <v>0.38579805827344099</v>
      </c>
      <c r="FB71">
        <v>-6.7382167199771703E-4</v>
      </c>
      <c r="FC71">
        <v>0.490978774549306</v>
      </c>
      <c r="FD71">
        <v>0.54752016220157596</v>
      </c>
      <c r="FE71">
        <v>0.17675632393236701</v>
      </c>
      <c r="FF71">
        <v>-0.21781597572188699</v>
      </c>
      <c r="FG71">
        <v>-1.26045795215485E-3</v>
      </c>
      <c r="FH71">
        <v>0.33239908627741299</v>
      </c>
      <c r="FI71">
        <v>-6.0689874786917702E-2</v>
      </c>
      <c r="FJ71">
        <v>0.27094750160315501</v>
      </c>
      <c r="FK71">
        <v>0.161170971860879</v>
      </c>
      <c r="FL71">
        <v>0.21357104757432199</v>
      </c>
      <c r="FM71">
        <v>0.22927286734397301</v>
      </c>
      <c r="FN71">
        <v>0.21830470432741</v>
      </c>
      <c r="FO71">
        <v>5.9392572233440397E-2</v>
      </c>
      <c r="FP71">
        <v>0.56632209800920796</v>
      </c>
      <c r="FQ71">
        <v>0.15204904258854399</v>
      </c>
      <c r="FR71">
        <v>0.244905954192284</v>
      </c>
      <c r="FS71">
        <v>0.173420772754484</v>
      </c>
      <c r="FT71">
        <v>0.60818736531669804</v>
      </c>
      <c r="FU71">
        <v>-4.3814370933341597E-2</v>
      </c>
      <c r="FV71">
        <v>0.38887675698059798</v>
      </c>
      <c r="FW71">
        <v>1.3612976730616099E-2</v>
      </c>
      <c r="FX71">
        <v>4.2537750385844099E-2</v>
      </c>
      <c r="FY71">
        <v>0.168730517341946</v>
      </c>
      <c r="FZ71">
        <v>-0.25178151519233499</v>
      </c>
      <c r="GA71">
        <v>-0.19905267489293699</v>
      </c>
      <c r="GB71">
        <v>-9.5253764057491197E-2</v>
      </c>
      <c r="GC71">
        <v>0.51878237642626801</v>
      </c>
      <c r="GD71">
        <v>-0.10676611831937199</v>
      </c>
      <c r="GE71">
        <v>0.19451931527403199</v>
      </c>
      <c r="GF71">
        <v>-2.5947966400488302E-2</v>
      </c>
      <c r="GG71">
        <v>-5.1705073888487101E-2</v>
      </c>
      <c r="GH71">
        <v>9.9538260798451794E-2</v>
      </c>
      <c r="GI71">
        <v>0.138764104557625</v>
      </c>
      <c r="GJ71">
        <v>-9.0417483917161298E-2</v>
      </c>
      <c r="GK71">
        <v>-2.7503798177778701E-2</v>
      </c>
    </row>
    <row r="72" spans="1:206" x14ac:dyDescent="0.25">
      <c r="A72" s="2" t="s">
        <v>267</v>
      </c>
      <c r="B72" s="2" t="s">
        <v>586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</row>
    <row r="73" spans="1:206" x14ac:dyDescent="0.25">
      <c r="A73" t="s">
        <v>267</v>
      </c>
      <c r="B73" t="s">
        <v>647</v>
      </c>
      <c r="C73">
        <v>8.8386155566328201E-2</v>
      </c>
      <c r="D73">
        <v>0</v>
      </c>
      <c r="E73">
        <v>6.5828056107745503E-2</v>
      </c>
      <c r="F73">
        <v>0.25641400899389899</v>
      </c>
      <c r="G73">
        <v>0.17174293926714099</v>
      </c>
      <c r="H73">
        <v>0.22532472823674399</v>
      </c>
      <c r="I73">
        <v>0</v>
      </c>
      <c r="J73">
        <v>2.1278422282682698E-2</v>
      </c>
      <c r="K73">
        <v>2.12299919763239E-2</v>
      </c>
      <c r="L73">
        <v>7.4145423426999105E-2</v>
      </c>
      <c r="M73">
        <v>0.71157860626753699</v>
      </c>
      <c r="N73">
        <v>0.99752118257939504</v>
      </c>
      <c r="O73">
        <v>0</v>
      </c>
      <c r="P73">
        <v>9.8209962856562194E-2</v>
      </c>
      <c r="Q73">
        <v>7.44320609348878E-2</v>
      </c>
      <c r="R73">
        <v>0</v>
      </c>
      <c r="S73">
        <v>0.120487323720846</v>
      </c>
      <c r="T73">
        <v>0</v>
      </c>
      <c r="U73">
        <v>0</v>
      </c>
      <c r="V73">
        <v>0.14777881761163</v>
      </c>
      <c r="W73">
        <v>0</v>
      </c>
      <c r="X73">
        <v>0</v>
      </c>
      <c r="Y73">
        <v>0</v>
      </c>
      <c r="Z73">
        <v>0</v>
      </c>
      <c r="AA73">
        <v>0</v>
      </c>
      <c r="AB73">
        <v>1.49649452538641E-2</v>
      </c>
      <c r="AC73">
        <v>0</v>
      </c>
      <c r="AD73">
        <v>0</v>
      </c>
      <c r="AE73">
        <v>5.7039412078962501E-2</v>
      </c>
      <c r="AF73">
        <v>7.6712372968272602E-2</v>
      </c>
      <c r="AG73">
        <v>0</v>
      </c>
      <c r="AH73">
        <v>0</v>
      </c>
      <c r="AI73">
        <v>0.12365214248124901</v>
      </c>
      <c r="AJ73">
        <v>0</v>
      </c>
      <c r="AK73">
        <v>0</v>
      </c>
      <c r="AL73">
        <v>0</v>
      </c>
      <c r="AM73">
        <v>0.13787629620872499</v>
      </c>
      <c r="AN73">
        <v>0.17946128520295301</v>
      </c>
      <c r="AO73">
        <v>0</v>
      </c>
      <c r="AP73">
        <v>0</v>
      </c>
      <c r="AQ73">
        <v>0.308128876823488</v>
      </c>
      <c r="AR73">
        <v>0</v>
      </c>
      <c r="AS73">
        <v>7.6317444227265996E-2</v>
      </c>
      <c r="AT73">
        <v>9.9932373075242997E-2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0.11035237928076</v>
      </c>
      <c r="BA73">
        <v>0.124642827398525</v>
      </c>
      <c r="BB73">
        <v>0</v>
      </c>
      <c r="BC73">
        <v>0</v>
      </c>
      <c r="BD73">
        <v>0</v>
      </c>
      <c r="BE73">
        <v>8.0059526113843399E-2</v>
      </c>
      <c r="BF73">
        <v>0.17087433565680199</v>
      </c>
      <c r="BG73">
        <v>1.10234094327239E-2</v>
      </c>
      <c r="BH73">
        <v>0</v>
      </c>
      <c r="BI73">
        <v>0</v>
      </c>
      <c r="BJ73">
        <v>0.20447286004403201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5.1148782783308503E-3</v>
      </c>
      <c r="BT73">
        <v>0</v>
      </c>
      <c r="BU73">
        <v>0</v>
      </c>
      <c r="BV73">
        <v>2.3041534389871499E-2</v>
      </c>
      <c r="BW73">
        <v>0</v>
      </c>
      <c r="BX73">
        <v>1.47750462117931E-2</v>
      </c>
      <c r="BY73">
        <v>0</v>
      </c>
      <c r="BZ73">
        <v>0</v>
      </c>
      <c r="CA73">
        <v>2.59638545864442E-2</v>
      </c>
      <c r="CB73">
        <v>0</v>
      </c>
      <c r="CC73">
        <v>0</v>
      </c>
      <c r="CD73">
        <v>0</v>
      </c>
      <c r="CE73">
        <v>0.26181037954067099</v>
      </c>
      <c r="CF73">
        <v>0</v>
      </c>
      <c r="CG73">
        <v>0</v>
      </c>
      <c r="CH73">
        <v>0</v>
      </c>
      <c r="CI73">
        <v>0.161246526739804</v>
      </c>
      <c r="CJ73">
        <v>1.26669282141058E-2</v>
      </c>
      <c r="CK73">
        <v>0</v>
      </c>
      <c r="CL73">
        <v>0</v>
      </c>
      <c r="CM73">
        <v>0</v>
      </c>
      <c r="CN73">
        <v>6.8781737123402506E-2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0.159306378734938</v>
      </c>
      <c r="DE73">
        <v>0.14701086391642501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0.15514597739553301</v>
      </c>
      <c r="EB73">
        <v>0</v>
      </c>
      <c r="EC73">
        <v>0</v>
      </c>
      <c r="ED73">
        <v>0</v>
      </c>
      <c r="EE73">
        <v>0</v>
      </c>
      <c r="EF73">
        <v>0.16769219437287899</v>
      </c>
      <c r="EG73">
        <v>0.139751943082526</v>
      </c>
      <c r="EH73">
        <v>0</v>
      </c>
      <c r="EI73">
        <v>0</v>
      </c>
      <c r="EJ73">
        <v>0</v>
      </c>
      <c r="EK73">
        <v>0.31317854938740802</v>
      </c>
      <c r="EL73">
        <v>0</v>
      </c>
      <c r="EM73">
        <v>0</v>
      </c>
      <c r="EN73">
        <v>0</v>
      </c>
      <c r="EO73">
        <v>0.14424715725711601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0.154865643822057</v>
      </c>
      <c r="FE73">
        <v>0</v>
      </c>
      <c r="FF73">
        <v>0.21539212380367001</v>
      </c>
      <c r="FG73">
        <v>0</v>
      </c>
      <c r="FH73">
        <v>7.9274432617084598E-2</v>
      </c>
      <c r="FI73">
        <v>0</v>
      </c>
      <c r="FJ73">
        <v>9.6134514194398904E-2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2.0396156740611598E-2</v>
      </c>
      <c r="FT73">
        <v>0</v>
      </c>
      <c r="FU73">
        <v>8.55021554851145E-2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8.7781983870613298E-2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1.7200256286971902E-2</v>
      </c>
      <c r="GJ73">
        <v>0</v>
      </c>
      <c r="GK73">
        <v>0</v>
      </c>
    </row>
    <row r="74" spans="1:206" x14ac:dyDescent="0.25">
      <c r="A74" t="s">
        <v>267</v>
      </c>
      <c r="B74" t="s">
        <v>762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1.5541176929860401E-2</v>
      </c>
      <c r="GI74">
        <v>0</v>
      </c>
      <c r="GJ74">
        <v>0</v>
      </c>
      <c r="GK74">
        <v>0</v>
      </c>
    </row>
    <row r="75" spans="1:206" x14ac:dyDescent="0.25">
      <c r="A75" t="s">
        <v>267</v>
      </c>
      <c r="B75" t="s">
        <v>761</v>
      </c>
      <c r="C75">
        <v>8.8386155566328201E-2</v>
      </c>
      <c r="D75">
        <v>0.13039958935701201</v>
      </c>
      <c r="E75">
        <v>0</v>
      </c>
      <c r="F75">
        <v>0</v>
      </c>
      <c r="G75">
        <v>0</v>
      </c>
      <c r="H75">
        <v>0.116544086167703</v>
      </c>
      <c r="I75">
        <v>0</v>
      </c>
      <c r="J75">
        <v>0</v>
      </c>
      <c r="K75">
        <v>0</v>
      </c>
      <c r="L75">
        <v>3.7446217014519702E-2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1.10234094327239E-2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5.1148782783308503E-3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0.161246526739804</v>
      </c>
      <c r="CJ75">
        <v>6.3430452216666801E-3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0.12765562509730199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0.139168090777439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4.6230529724273203E-2</v>
      </c>
      <c r="GI75">
        <v>0</v>
      </c>
      <c r="GJ75">
        <v>0</v>
      </c>
      <c r="GK75">
        <v>0</v>
      </c>
    </row>
    <row r="76" spans="1:206" x14ac:dyDescent="0.25">
      <c r="A76" t="s">
        <v>267</v>
      </c>
      <c r="B76" t="s">
        <v>648</v>
      </c>
      <c r="C76">
        <v>0.41323511305987198</v>
      </c>
      <c r="D76">
        <v>0.43064991657288398</v>
      </c>
      <c r="E76">
        <v>0.26115683609889701</v>
      </c>
      <c r="F76">
        <v>0.216981087410233</v>
      </c>
      <c r="G76">
        <v>5.55277098832982E-2</v>
      </c>
      <c r="H76">
        <v>0.21520207157332699</v>
      </c>
      <c r="I76">
        <v>0.65325551004708304</v>
      </c>
      <c r="J76">
        <v>0.27382389333711699</v>
      </c>
      <c r="K76">
        <v>0.242029435924383</v>
      </c>
      <c r="L76">
        <v>-0.14994697067784701</v>
      </c>
      <c r="M76">
        <v>0.426237188429061</v>
      </c>
      <c r="N76">
        <v>0.668798172720793</v>
      </c>
      <c r="O76">
        <v>0.61227068211060698</v>
      </c>
      <c r="P76">
        <v>4.4765943389757798E-2</v>
      </c>
      <c r="Q76">
        <v>-0.13828502554171901</v>
      </c>
      <c r="R76">
        <v>-0.41713685665582201</v>
      </c>
      <c r="S76">
        <v>0.53350689102730797</v>
      </c>
      <c r="T76">
        <v>-0.33658348214900102</v>
      </c>
      <c r="U76">
        <v>-0.61054646057315798</v>
      </c>
      <c r="V76">
        <v>0.271988741826033</v>
      </c>
      <c r="W76">
        <v>-0.12560831511906001</v>
      </c>
      <c r="X76">
        <v>-0.10017761580740001</v>
      </c>
      <c r="Y76">
        <v>-0.26238273537900503</v>
      </c>
      <c r="Z76">
        <v>-0.27974320127883001</v>
      </c>
      <c r="AA76">
        <v>-1.6146617669596401E-2</v>
      </c>
      <c r="AB76">
        <v>-0.27320101313356399</v>
      </c>
      <c r="AC76">
        <v>-0.46920629373817402</v>
      </c>
      <c r="AD76">
        <v>-0.21299855328258799</v>
      </c>
      <c r="AE76">
        <v>-0.26893162246436503</v>
      </c>
      <c r="AF76">
        <v>-0.16076919286512301</v>
      </c>
      <c r="AG76">
        <v>-0.12638519201325599</v>
      </c>
      <c r="AH76">
        <v>1.56529731024222E-2</v>
      </c>
      <c r="AI76">
        <v>-0.244340814013319</v>
      </c>
      <c r="AJ76">
        <v>-0.17180340180052001</v>
      </c>
      <c r="AK76">
        <v>-0.12923922376484101</v>
      </c>
      <c r="AL76">
        <v>-0.38425557043619801</v>
      </c>
      <c r="AM76">
        <v>0.100317399588497</v>
      </c>
      <c r="AN76">
        <v>-0.52235105200977805</v>
      </c>
      <c r="AO76">
        <v>0.25116600450249899</v>
      </c>
      <c r="AP76">
        <v>-0.35271754472170802</v>
      </c>
      <c r="AQ76">
        <v>-0.61921140802795105</v>
      </c>
      <c r="AR76">
        <v>-0.26908505350370998</v>
      </c>
      <c r="AS76">
        <v>-0.26552682583973303</v>
      </c>
      <c r="AT76">
        <v>-0.46315773109905101</v>
      </c>
      <c r="AU76">
        <v>-0.63713157330237302</v>
      </c>
      <c r="AV76">
        <v>-0.12225641197529501</v>
      </c>
      <c r="AW76">
        <v>-0.134492360847008</v>
      </c>
      <c r="AX76">
        <v>-0.249809032121842</v>
      </c>
      <c r="AY76">
        <v>-3.6665749541012399E-2</v>
      </c>
      <c r="AZ76">
        <v>-0.24432322091991099</v>
      </c>
      <c r="BA76">
        <v>-2.83953069086894E-2</v>
      </c>
      <c r="BB76">
        <v>0.112224893196958</v>
      </c>
      <c r="BC76">
        <v>0.10598829266418799</v>
      </c>
      <c r="BD76">
        <v>-0.74560342486219799</v>
      </c>
      <c r="BE76">
        <v>-8.1636147958885602E-2</v>
      </c>
      <c r="BF76">
        <v>1.5337222825792101E-2</v>
      </c>
      <c r="BG76">
        <v>-0.29141060724322798</v>
      </c>
      <c r="BH76">
        <v>-0.19220704081583001</v>
      </c>
      <c r="BI76">
        <v>-0.17676360708296701</v>
      </c>
      <c r="BJ76">
        <v>-7.7859711141830004E-2</v>
      </c>
      <c r="BK76">
        <v>-8.2259922995102902E-2</v>
      </c>
      <c r="BL76">
        <v>-0.43838309658690999</v>
      </c>
      <c r="BM76">
        <v>2.7635530032575201E-2</v>
      </c>
      <c r="BN76">
        <v>-0.46995939292939298</v>
      </c>
      <c r="BO76">
        <v>-0.365873599529914</v>
      </c>
      <c r="BP76">
        <v>5.3845623916404503E-2</v>
      </c>
      <c r="BQ76">
        <v>0.14705413055257199</v>
      </c>
      <c r="BR76">
        <v>-0.23758340576779099</v>
      </c>
      <c r="BS76">
        <v>-0.19876880558920099</v>
      </c>
      <c r="BT76">
        <v>-0.109883867637321</v>
      </c>
      <c r="BU76">
        <v>-7.6718885697767798E-4</v>
      </c>
      <c r="BV76">
        <v>-0.17744060694452701</v>
      </c>
      <c r="BW76">
        <v>1.0659874974911601E-2</v>
      </c>
      <c r="BX76">
        <v>0.34294551152682701</v>
      </c>
      <c r="BY76">
        <v>-1.9809385926129498E-2</v>
      </c>
      <c r="BZ76">
        <v>-1.3933707209430801E-2</v>
      </c>
      <c r="CA76">
        <v>2.4250157379453199E-2</v>
      </c>
      <c r="CB76">
        <v>-4.0845426176571303E-2</v>
      </c>
      <c r="CC76">
        <v>-6.9571828726515697E-2</v>
      </c>
      <c r="CD76">
        <v>4.3199458110610101E-2</v>
      </c>
      <c r="CE76">
        <v>-8.4732680508072297E-2</v>
      </c>
      <c r="CF76">
        <v>0.191601836921031</v>
      </c>
      <c r="CG76">
        <v>0.44899343216443399</v>
      </c>
      <c r="CH76">
        <v>-9.8021053321747306E-2</v>
      </c>
      <c r="CI76">
        <v>-0.43798143901619602</v>
      </c>
      <c r="CJ76">
        <v>-0.23078900445668599</v>
      </c>
      <c r="CK76">
        <v>-0.28659653316933897</v>
      </c>
      <c r="CL76">
        <v>0.12684587683852899</v>
      </c>
      <c r="CM76">
        <v>1.32985047446545E-2</v>
      </c>
      <c r="CN76">
        <v>-0.33983280948272698</v>
      </c>
      <c r="CO76">
        <v>-7.1139326876221695E-2</v>
      </c>
      <c r="CP76">
        <v>-9.2231361009384005E-2</v>
      </c>
      <c r="CQ76">
        <v>-1.7027983767062001E-2</v>
      </c>
      <c r="CR76">
        <v>-0.147888349113273</v>
      </c>
      <c r="CS76">
        <v>-0.16126691142952401</v>
      </c>
      <c r="CT76">
        <v>-0.25220497775619799</v>
      </c>
      <c r="CU76">
        <v>-0.433311627584609</v>
      </c>
      <c r="CV76">
        <v>0.37970316129147402</v>
      </c>
      <c r="CW76">
        <v>-1.28370627130869E-2</v>
      </c>
      <c r="CX76">
        <v>-0.24569812402788799</v>
      </c>
      <c r="CY76">
        <v>0.24780376667130399</v>
      </c>
      <c r="CZ76">
        <v>0.45411064894464498</v>
      </c>
      <c r="DA76">
        <v>-3.2010757459793801E-2</v>
      </c>
      <c r="DB76">
        <v>-5.18990813829808E-2</v>
      </c>
      <c r="DC76">
        <v>-0.47367376615328699</v>
      </c>
      <c r="DD76">
        <v>-7.3292364355454998E-2</v>
      </c>
      <c r="DE76">
        <v>0.146933780680163</v>
      </c>
      <c r="DF76">
        <v>-0.29439753908028599</v>
      </c>
      <c r="DG76">
        <v>0.177551683111946</v>
      </c>
      <c r="DH76">
        <v>0.35953036970216001</v>
      </c>
      <c r="DI76">
        <v>-4.9357989278804401E-2</v>
      </c>
      <c r="DJ76">
        <v>-0.47228443522959601</v>
      </c>
      <c r="DK76">
        <v>0.20860179984118499</v>
      </c>
      <c r="DL76">
        <v>-0.14162418744739799</v>
      </c>
      <c r="DM76">
        <v>-0.37256527879989498</v>
      </c>
      <c r="DN76">
        <v>2.8576667935661E-2</v>
      </c>
      <c r="DO76">
        <v>0.38511230489141601</v>
      </c>
      <c r="DP76">
        <v>0.15726616241587399</v>
      </c>
      <c r="DQ76">
        <v>0.35716164697375402</v>
      </c>
      <c r="DR76">
        <v>0.23471935883623099</v>
      </c>
      <c r="DS76">
        <v>-0.120122775112598</v>
      </c>
      <c r="DT76">
        <v>-0.125632958760832</v>
      </c>
      <c r="DU76">
        <v>-0.19399972457732001</v>
      </c>
      <c r="DV76">
        <v>-0.18509126197491399</v>
      </c>
      <c r="DW76">
        <v>-0.126752110865922</v>
      </c>
      <c r="DX76">
        <v>0.24189590219301299</v>
      </c>
      <c r="DY76">
        <v>-0.527479055002259</v>
      </c>
      <c r="DZ76">
        <v>-9.2940714485209103E-2</v>
      </c>
      <c r="EA76">
        <v>-0.319784715762859</v>
      </c>
      <c r="EB76">
        <v>-0.204301365307718</v>
      </c>
      <c r="EC76">
        <v>6.0015131919748298E-2</v>
      </c>
      <c r="ED76">
        <v>-0.13301364942101301</v>
      </c>
      <c r="EE76">
        <v>-5.3315604743682299E-2</v>
      </c>
      <c r="EF76">
        <v>0.182806962996234</v>
      </c>
      <c r="EG76">
        <v>6.95231983207385E-2</v>
      </c>
      <c r="EH76">
        <v>0.122749435128578</v>
      </c>
      <c r="EI76">
        <v>-0.130030237842264</v>
      </c>
      <c r="EJ76">
        <v>-0.49696890255581599</v>
      </c>
      <c r="EK76">
        <v>-0.118225767413713</v>
      </c>
      <c r="EL76">
        <v>-0.106308138998004</v>
      </c>
      <c r="EM76">
        <v>0.106029884508446</v>
      </c>
      <c r="EN76">
        <v>-0.35548399183846302</v>
      </c>
      <c r="EO76">
        <v>0.33670469831642602</v>
      </c>
      <c r="EP76">
        <v>-2.6156822558737702E-2</v>
      </c>
      <c r="EQ76">
        <v>-0.10431232479151301</v>
      </c>
      <c r="ER76">
        <v>-0.112484439782044</v>
      </c>
      <c r="ES76">
        <v>0.16868656838830601</v>
      </c>
      <c r="ET76">
        <v>9.5279995147447404E-3</v>
      </c>
      <c r="EU76">
        <v>-0.14604174187545499</v>
      </c>
      <c r="EV76">
        <v>-3.8551398689199302E-2</v>
      </c>
      <c r="EW76">
        <v>-2.1551936848097801E-2</v>
      </c>
      <c r="EX76">
        <v>1.1283544271092899E-2</v>
      </c>
      <c r="EY76">
        <v>0.17160260375029601</v>
      </c>
      <c r="EZ76">
        <v>3.05714038186027E-2</v>
      </c>
      <c r="FA76">
        <v>-9.9525638801662902E-2</v>
      </c>
      <c r="FB76">
        <v>-0.17245046659479299</v>
      </c>
      <c r="FC76">
        <v>-0.111435900875456</v>
      </c>
      <c r="FD76">
        <v>8.0702383769191005E-2</v>
      </c>
      <c r="FE76">
        <v>-0.31862113494942501</v>
      </c>
      <c r="FF76">
        <v>-0.143908986806984</v>
      </c>
      <c r="FG76">
        <v>7.2371910651978205E-2</v>
      </c>
      <c r="FH76">
        <v>-0.31620257784890399</v>
      </c>
      <c r="FI76">
        <v>-0.163578383042881</v>
      </c>
      <c r="FJ76">
        <v>-5.81096000453378E-2</v>
      </c>
      <c r="FK76">
        <v>4.2689827354650701E-3</v>
      </c>
      <c r="FL76">
        <v>-0.35302971359683</v>
      </c>
      <c r="FM76">
        <v>-0.23108077572109201</v>
      </c>
      <c r="FN76">
        <v>-0.52792821482811902</v>
      </c>
      <c r="FO76">
        <v>0.114458392809589</v>
      </c>
      <c r="FP76">
        <v>0.16784225892610699</v>
      </c>
      <c r="FQ76">
        <v>-0.12876375902429599</v>
      </c>
      <c r="FR76">
        <v>0.31341670713394598</v>
      </c>
      <c r="FS76">
        <v>-8.5406117168690607E-2</v>
      </c>
      <c r="FT76">
        <v>-0.25802670242458797</v>
      </c>
      <c r="FU76">
        <v>-0.211533224753889</v>
      </c>
      <c r="FV76">
        <v>-8.2750841507014297E-2</v>
      </c>
      <c r="FW76">
        <v>-8.8297063771850995E-2</v>
      </c>
      <c r="FX76">
        <v>-0.36221181171391198</v>
      </c>
      <c r="FY76">
        <v>-0.26105493958484499</v>
      </c>
      <c r="FZ76">
        <v>-5.1487264347150001E-2</v>
      </c>
      <c r="GA76">
        <v>-0.34043751175509102</v>
      </c>
      <c r="GB76">
        <v>-3.6118403597010101E-2</v>
      </c>
      <c r="GC76">
        <v>-0.16632089593650801</v>
      </c>
      <c r="GD76">
        <v>-0.42926342543316198</v>
      </c>
      <c r="GE76">
        <v>7.6678110210625402E-4</v>
      </c>
      <c r="GF76">
        <v>-0.31146579092683702</v>
      </c>
      <c r="GG76">
        <v>0.152168621469186</v>
      </c>
      <c r="GH76">
        <v>-0.24154039657538601</v>
      </c>
      <c r="GI76">
        <v>-9.6710275043098107E-2</v>
      </c>
      <c r="GJ76">
        <v>-0.40991927721031302</v>
      </c>
      <c r="GK76">
        <v>-1.9162149240734901E-2</v>
      </c>
    </row>
    <row r="77" spans="1:206" x14ac:dyDescent="0.25">
      <c r="A77" t="s">
        <v>267</v>
      </c>
      <c r="B77" t="s">
        <v>612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2.1278422282682698E-2</v>
      </c>
      <c r="K77">
        <v>0</v>
      </c>
      <c r="L77">
        <v>3.7446217014519702E-2</v>
      </c>
      <c r="M77">
        <v>0</v>
      </c>
      <c r="N77">
        <v>2.62600233823524E-2</v>
      </c>
      <c r="O77">
        <v>0</v>
      </c>
      <c r="P77">
        <v>9.8209962856562194E-2</v>
      </c>
      <c r="Q77">
        <v>0</v>
      </c>
      <c r="R77">
        <v>0</v>
      </c>
      <c r="S77">
        <v>0.120487323720846</v>
      </c>
      <c r="T77">
        <v>0.28419725349515701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7.6712372968272602E-2</v>
      </c>
      <c r="AG77">
        <v>5.2281454364666198E-2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0.21324214674993799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9.1796209032979206E-2</v>
      </c>
      <c r="AY77">
        <v>0</v>
      </c>
      <c r="AZ77">
        <v>0</v>
      </c>
      <c r="BA77">
        <v>0.19319468547013799</v>
      </c>
      <c r="BB77">
        <v>0</v>
      </c>
      <c r="BC77">
        <v>0</v>
      </c>
      <c r="BD77">
        <v>0</v>
      </c>
      <c r="BE77">
        <v>8.0059526113843399E-2</v>
      </c>
      <c r="BF77">
        <v>0</v>
      </c>
      <c r="BG77">
        <v>1.10234094327239E-2</v>
      </c>
      <c r="BH77">
        <v>8.0568120495855405E-2</v>
      </c>
      <c r="BI77">
        <v>0</v>
      </c>
      <c r="BJ77">
        <v>0.105509052046644</v>
      </c>
      <c r="BK77">
        <v>0</v>
      </c>
      <c r="BL77">
        <v>8.2512257678867704E-2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5.1148782783308503E-3</v>
      </c>
      <c r="BT77">
        <v>0</v>
      </c>
      <c r="BU77">
        <v>3.0868238711586601E-2</v>
      </c>
      <c r="BV77">
        <v>0</v>
      </c>
      <c r="BW77">
        <v>0</v>
      </c>
      <c r="BX77">
        <v>0</v>
      </c>
      <c r="BY77">
        <v>1.33877998882381E-2</v>
      </c>
      <c r="BZ77">
        <v>3.0733157865468399E-2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1.26669282141058E-2</v>
      </c>
      <c r="CK77">
        <v>1.9982168763233998E-2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0.23322014634520399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0.11220229942905301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0.12297992870265501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0.153333679138072</v>
      </c>
      <c r="EC77">
        <v>0</v>
      </c>
      <c r="ED77">
        <v>0.128091828897031</v>
      </c>
      <c r="EE77">
        <v>0</v>
      </c>
      <c r="EF77">
        <v>0</v>
      </c>
      <c r="EG77">
        <v>8.9515391889736701E-2</v>
      </c>
      <c r="EH77">
        <v>0.122870465189456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0.11788056843795799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0.12607576010650301</v>
      </c>
      <c r="FA77">
        <v>0</v>
      </c>
      <c r="FB77">
        <v>0</v>
      </c>
      <c r="FC77">
        <v>0</v>
      </c>
      <c r="FD77">
        <v>0.154865643822057</v>
      </c>
      <c r="FE77">
        <v>0</v>
      </c>
      <c r="FF77">
        <v>0.139168090777439</v>
      </c>
      <c r="FG77">
        <v>0</v>
      </c>
      <c r="FH77">
        <v>7.9274432617084598E-2</v>
      </c>
      <c r="FI77">
        <v>0</v>
      </c>
      <c r="FJ77">
        <v>9.6134514194398904E-2</v>
      </c>
      <c r="FK77">
        <v>0</v>
      </c>
      <c r="FL77">
        <v>0</v>
      </c>
      <c r="FM77">
        <v>0.14449093597207099</v>
      </c>
      <c r="FN77">
        <v>0</v>
      </c>
      <c r="FO77">
        <v>0</v>
      </c>
      <c r="FP77">
        <v>7.8251113401314507E-2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5.2430021466666699E-2</v>
      </c>
    </row>
    <row r="78" spans="1:206" x14ac:dyDescent="0.25">
      <c r="A78" t="s">
        <v>267</v>
      </c>
      <c r="B78" t="s">
        <v>598</v>
      </c>
      <c r="C78">
        <v>-0.89308399349057699</v>
      </c>
      <c r="D78">
        <v>-0.69113247246707799</v>
      </c>
      <c r="E78">
        <v>-0.111215864408286</v>
      </c>
      <c r="F78">
        <v>-9.0335033272855206E-2</v>
      </c>
      <c r="G78">
        <v>-0.13972138394362499</v>
      </c>
      <c r="H78">
        <v>-0.41577962280979802</v>
      </c>
      <c r="I78">
        <v>-4.0907617259278703E-2</v>
      </c>
      <c r="J78">
        <v>-0.35301970140708</v>
      </c>
      <c r="K78">
        <v>-2.5477262113781401E-2</v>
      </c>
      <c r="L78">
        <v>-4.1307088634738302E-2</v>
      </c>
      <c r="M78">
        <v>-0.89308399349057699</v>
      </c>
      <c r="N78">
        <v>-0.86682397010822498</v>
      </c>
      <c r="O78">
        <v>-0.24257927198766399</v>
      </c>
      <c r="P78">
        <v>-8.7863053444611101E-3</v>
      </c>
      <c r="Q78">
        <v>0.29513609159718301</v>
      </c>
      <c r="R78">
        <v>0.32142584265549701</v>
      </c>
      <c r="S78">
        <v>0.106478570343711</v>
      </c>
      <c r="T78">
        <v>-6.4435921649630898E-2</v>
      </c>
      <c r="U78">
        <v>-0.310541808550578</v>
      </c>
      <c r="V78">
        <v>-0.61016747785171599</v>
      </c>
      <c r="W78">
        <v>-0.72093604657608001</v>
      </c>
      <c r="X78">
        <v>-0.20024345664808299</v>
      </c>
      <c r="Y78">
        <v>-1.8228187399710999E-3</v>
      </c>
      <c r="Z78">
        <v>4.0463209605383202E-2</v>
      </c>
      <c r="AA78">
        <v>0.158707609660454</v>
      </c>
      <c r="AB78">
        <v>-0.39976536401654</v>
      </c>
      <c r="AC78">
        <v>-0.28826773915167903</v>
      </c>
      <c r="AD78">
        <v>-0.22923893483265001</v>
      </c>
      <c r="AE78">
        <v>-0.67642787873367005</v>
      </c>
      <c r="AF78">
        <v>-0.33100317718941002</v>
      </c>
      <c r="AG78">
        <v>-0.410004452653704</v>
      </c>
      <c r="AH78">
        <v>-0.28445386034793402</v>
      </c>
      <c r="AI78">
        <v>0.120801480099683</v>
      </c>
      <c r="AJ78">
        <v>-0.138137875094237</v>
      </c>
      <c r="AK78">
        <v>-0.22898903694418901</v>
      </c>
      <c r="AL78">
        <v>-0.34893699221260899</v>
      </c>
      <c r="AM78">
        <v>-2.6479231531928101E-2</v>
      </c>
      <c r="AN78">
        <v>-0.51293864537940603</v>
      </c>
      <c r="AO78">
        <v>0.11956254937411299</v>
      </c>
      <c r="AP78">
        <v>-0.75094958744293805</v>
      </c>
      <c r="AQ78">
        <v>0.15164326424603899</v>
      </c>
      <c r="AR78">
        <v>-0.48646015554392003</v>
      </c>
      <c r="AS78">
        <v>-0.31043403055612601</v>
      </c>
      <c r="AT78">
        <v>-0.29881172373909998</v>
      </c>
      <c r="AU78">
        <v>-0.36517198215765201</v>
      </c>
      <c r="AV78">
        <v>-0.144161058256531</v>
      </c>
      <c r="AW78">
        <v>0.140449441427796</v>
      </c>
      <c r="AX78">
        <v>-0.177604460689088</v>
      </c>
      <c r="AY78">
        <v>-0.35270682300852202</v>
      </c>
      <c r="AZ78">
        <v>-0.246698174333256</v>
      </c>
      <c r="BA78">
        <v>-0.26061375585001201</v>
      </c>
      <c r="BB78">
        <v>-0.43704956697380398</v>
      </c>
      <c r="BC78">
        <v>-5.4420610745270499E-2</v>
      </c>
      <c r="BD78">
        <v>0.137544824324069</v>
      </c>
      <c r="BE78">
        <v>-0.40164613343553002</v>
      </c>
      <c r="BF78">
        <v>-0.17394326493967199</v>
      </c>
      <c r="BG78">
        <v>-0.14721859570627599</v>
      </c>
      <c r="BH78">
        <v>-0.30576225269827101</v>
      </c>
      <c r="BI78">
        <v>-0.29675860304597901</v>
      </c>
      <c r="BJ78">
        <v>-0.34408026159531202</v>
      </c>
      <c r="BK78">
        <v>-0.18821734417554301</v>
      </c>
      <c r="BL78">
        <v>-0.25933549998143401</v>
      </c>
      <c r="BM78">
        <v>7.2995249394374406E-2</v>
      </c>
      <c r="BN78">
        <v>-0.48441736404472702</v>
      </c>
      <c r="BO78">
        <v>-0.51335416815829304</v>
      </c>
      <c r="BP78">
        <v>-0.39350568753320803</v>
      </c>
      <c r="BQ78">
        <v>-0.721683320424507</v>
      </c>
      <c r="BR78">
        <v>0.187165136708212</v>
      </c>
      <c r="BS78">
        <v>-1.18234101422684E-2</v>
      </c>
      <c r="BT78">
        <v>-0.43320587359422702</v>
      </c>
      <c r="BU78">
        <v>-0.40965150893177399</v>
      </c>
      <c r="BV78">
        <v>-0.418640407176121</v>
      </c>
      <c r="BW78">
        <v>-9.7792989382919998E-2</v>
      </c>
      <c r="BX78">
        <v>0.24923030248942399</v>
      </c>
      <c r="BY78">
        <v>8.8863938842558596E-2</v>
      </c>
      <c r="BZ78">
        <v>0.40304824087817598</v>
      </c>
      <c r="CA78">
        <v>2.0842946978061001E-2</v>
      </c>
      <c r="CB78">
        <v>9.3322556644543406E-2</v>
      </c>
      <c r="CC78">
        <v>0.44215416251860701</v>
      </c>
      <c r="CD78">
        <v>-0.196700295081185</v>
      </c>
      <c r="CE78">
        <v>1.49351959821299E-2</v>
      </c>
      <c r="CF78">
        <v>0.213262520439116</v>
      </c>
      <c r="CG78">
        <v>0.301512863536055</v>
      </c>
      <c r="CH78">
        <v>0.65692598429526705</v>
      </c>
      <c r="CI78">
        <v>0.44071912756479797</v>
      </c>
      <c r="CJ78">
        <v>0.137774047487459</v>
      </c>
      <c r="CK78">
        <v>3.5107684363613403E-2</v>
      </c>
      <c r="CL78">
        <v>-2.0634691789849901E-2</v>
      </c>
      <c r="CM78">
        <v>-6.4818718006262696E-2</v>
      </c>
      <c r="CN78">
        <v>-0.20929476045074599</v>
      </c>
      <c r="CO78">
        <v>0.192686100663789</v>
      </c>
      <c r="CP78">
        <v>0.22574546513717</v>
      </c>
      <c r="CQ78">
        <v>6.0417256722841697E-3</v>
      </c>
      <c r="CR78">
        <v>-0.40800906239693702</v>
      </c>
      <c r="CS78">
        <v>-9.4641485925196903E-2</v>
      </c>
      <c r="CT78">
        <v>-2.7756223504287102E-2</v>
      </c>
      <c r="CU78">
        <v>0.26388048471975001</v>
      </c>
      <c r="CV78">
        <v>-0.176118590712528</v>
      </c>
      <c r="CW78">
        <v>5.9751613935804498E-2</v>
      </c>
      <c r="CX78">
        <v>0.446788918204298</v>
      </c>
      <c r="CY78">
        <v>0.98626300546397905</v>
      </c>
      <c r="CZ78">
        <v>0.51437596090579196</v>
      </c>
      <c r="DA78">
        <v>1.0642272535980799</v>
      </c>
      <c r="DB78">
        <v>7.3617094432623195E-2</v>
      </c>
      <c r="DC78">
        <v>0.52339843929497298</v>
      </c>
      <c r="DD78">
        <v>-0.114579282484572</v>
      </c>
      <c r="DE78">
        <v>-0.26485789398951998</v>
      </c>
      <c r="DF78">
        <v>0.299725250909122</v>
      </c>
      <c r="DG78">
        <v>0.99794391868437005</v>
      </c>
      <c r="DH78">
        <v>1.0655026923543001</v>
      </c>
      <c r="DI78">
        <v>1.0751557734401699E-2</v>
      </c>
      <c r="DJ78">
        <v>0.20332530948366101</v>
      </c>
      <c r="DK78">
        <v>0.81726777277547202</v>
      </c>
      <c r="DL78">
        <v>0.14870421657406299</v>
      </c>
      <c r="DM78">
        <v>0.512888350111256</v>
      </c>
      <c r="DN78">
        <v>0.126805727085714</v>
      </c>
      <c r="DO78">
        <v>0.81228787030800198</v>
      </c>
      <c r="DP78">
        <v>-0.27220060645208799</v>
      </c>
      <c r="DQ78">
        <v>0.69267684812005204</v>
      </c>
      <c r="DR78">
        <v>-0.22630999729197701</v>
      </c>
      <c r="DS78">
        <v>1.0880195134609401</v>
      </c>
      <c r="DT78">
        <v>0.62124073422174197</v>
      </c>
      <c r="DU78">
        <v>0.30617472881956498</v>
      </c>
      <c r="DV78">
        <v>0.66922380335917597</v>
      </c>
      <c r="DW78">
        <v>0.56241223031631404</v>
      </c>
      <c r="DX78">
        <v>1.02935922867416</v>
      </c>
      <c r="DY78">
        <v>0.55288261402468497</v>
      </c>
      <c r="DZ78">
        <v>0.36865536729410697</v>
      </c>
      <c r="EA78">
        <v>0.19529673430390099</v>
      </c>
      <c r="EB78">
        <v>0.67092766683122695</v>
      </c>
      <c r="EC78">
        <v>-0.22647278179260599</v>
      </c>
      <c r="ED78">
        <v>-0.10669607713875499</v>
      </c>
      <c r="EE78">
        <v>-0.20079617337206099</v>
      </c>
      <c r="EF78">
        <v>-0.13873151996250099</v>
      </c>
      <c r="EG78">
        <v>1.2996626361711801</v>
      </c>
      <c r="EH78">
        <v>0.159049271444759</v>
      </c>
      <c r="EI78">
        <v>-0.19324202976590901</v>
      </c>
      <c r="EJ78">
        <v>0.103400795810752</v>
      </c>
      <c r="EK78">
        <v>0.62850582656785303</v>
      </c>
      <c r="EL78">
        <v>1.2146630206986101E-3</v>
      </c>
      <c r="EM78">
        <v>-9.6602171868974407E-2</v>
      </c>
      <c r="EN78">
        <v>0.19696032300748301</v>
      </c>
      <c r="EO78">
        <v>0.33967175957540902</v>
      </c>
      <c r="EP78">
        <v>0.31634702433452</v>
      </c>
      <c r="EQ78">
        <v>0.70283125189121798</v>
      </c>
      <c r="ER78">
        <v>0.32275718436043499</v>
      </c>
      <c r="ES78">
        <v>0.21837944053604399</v>
      </c>
      <c r="ET78">
        <v>0.65759036158344897</v>
      </c>
      <c r="EU78">
        <v>0.76273078097761304</v>
      </c>
      <c r="EV78">
        <v>0.35489151466799301</v>
      </c>
      <c r="EW78">
        <v>0.16075023526648299</v>
      </c>
      <c r="EX78">
        <v>-7.8096762286743296E-2</v>
      </c>
      <c r="EY78">
        <v>0.392873899057682</v>
      </c>
      <c r="EZ78">
        <v>0.31478508820760598</v>
      </c>
      <c r="FA78">
        <v>1.5139228718875399</v>
      </c>
      <c r="FB78">
        <v>0.18999859889258</v>
      </c>
      <c r="FC78">
        <v>-4.4556850825931901E-2</v>
      </c>
      <c r="FD78">
        <v>0.173600951668196</v>
      </c>
      <c r="FE78">
        <v>3.5314896932210398E-2</v>
      </c>
      <c r="FF78">
        <v>-0.17702891870537299</v>
      </c>
      <c r="FG78">
        <v>0.46559768037726701</v>
      </c>
      <c r="FH78">
        <v>1.49046180855965E-2</v>
      </c>
      <c r="FI78">
        <v>0.12499898822514199</v>
      </c>
      <c r="FJ78">
        <v>0.32826065365616097</v>
      </c>
      <c r="FK78">
        <v>-0.29520282105187601</v>
      </c>
      <c r="FL78">
        <v>0.43523878527003301</v>
      </c>
      <c r="FM78">
        <v>0.19658563134586701</v>
      </c>
      <c r="FN78">
        <v>0.156096515237932</v>
      </c>
      <c r="FO78">
        <v>-0.123621366298481</v>
      </c>
      <c r="FP78">
        <v>0.229958466685494</v>
      </c>
      <c r="FQ78">
        <v>0.43248459988869498</v>
      </c>
      <c r="FR78">
        <v>9.9146701326352601E-2</v>
      </c>
      <c r="FS78">
        <v>8.2366819992907396E-3</v>
      </c>
      <c r="FT78">
        <v>-0.55836235511039201</v>
      </c>
      <c r="FU78">
        <v>-0.43547682753124201</v>
      </c>
      <c r="FV78">
        <v>-0.29506077762821598</v>
      </c>
      <c r="FW78">
        <v>-0.18125589494722499</v>
      </c>
      <c r="FX78">
        <v>-2.6997377473020698E-2</v>
      </c>
      <c r="FY78">
        <v>-0.250052045303161</v>
      </c>
      <c r="FZ78">
        <v>-0.16351205969542401</v>
      </c>
      <c r="GA78">
        <v>-0.27058065986965502</v>
      </c>
      <c r="GB78">
        <v>-0.193798088587748</v>
      </c>
      <c r="GC78">
        <v>-3.9485524084659503E-2</v>
      </c>
      <c r="GD78">
        <v>0.154221465724699</v>
      </c>
      <c r="GE78">
        <v>-0.200784348421987</v>
      </c>
      <c r="GF78">
        <v>-0.102125622495294</v>
      </c>
      <c r="GG78">
        <v>-1.2156865562000501E-3</v>
      </c>
      <c r="GH78">
        <v>-2.9016025185173201E-2</v>
      </c>
      <c r="GI78">
        <v>0.60859973592670702</v>
      </c>
      <c r="GJ78">
        <v>-1.12724388213911E-2</v>
      </c>
      <c r="GK78">
        <v>0.21029950635554401</v>
      </c>
    </row>
    <row r="79" spans="1:206" x14ac:dyDescent="0.25">
      <c r="A79" t="s">
        <v>267</v>
      </c>
      <c r="B79" t="s">
        <v>644</v>
      </c>
      <c r="C79">
        <v>-0.32321818679028602</v>
      </c>
      <c r="D79">
        <v>-7.0621130237263394E-2</v>
      </c>
      <c r="E79">
        <v>0.35401948400392202</v>
      </c>
      <c r="F79">
        <v>-0.18814691429687699</v>
      </c>
      <c r="G79">
        <v>-5.7777053788858803E-3</v>
      </c>
      <c r="H79">
        <v>0.38345464677744401</v>
      </c>
      <c r="I79">
        <v>-0.36071710976085097</v>
      </c>
      <c r="J79">
        <v>-0.41171181285773001</v>
      </c>
      <c r="K79">
        <v>-0.371735916229604</v>
      </c>
      <c r="L79">
        <v>-4.1209250656558297E-2</v>
      </c>
      <c r="M79">
        <v>0.32788291596603603</v>
      </c>
      <c r="N79">
        <v>-0.14056158815476</v>
      </c>
      <c r="O79">
        <v>-0.30618959368005899</v>
      </c>
      <c r="P79">
        <v>-0.21778996938822801</v>
      </c>
      <c r="Q79">
        <v>-0.154704862443512</v>
      </c>
      <c r="R79">
        <v>0.10442402203829</v>
      </c>
      <c r="S79">
        <v>0.27844113108705099</v>
      </c>
      <c r="T79">
        <v>0.238186358312764</v>
      </c>
      <c r="U79">
        <v>8.7162001632644898E-2</v>
      </c>
      <c r="V79">
        <v>-0.21246366766849301</v>
      </c>
      <c r="W79">
        <v>-0.16800241599608801</v>
      </c>
      <c r="X79">
        <v>0.15004562574744501</v>
      </c>
      <c r="Y79">
        <v>-0.49538018330735401</v>
      </c>
      <c r="Z79">
        <v>0.100221106273946</v>
      </c>
      <c r="AA79">
        <v>-0.337101828814453</v>
      </c>
      <c r="AB79">
        <v>-2.3183797676971801E-2</v>
      </c>
      <c r="AC79">
        <v>-0.15096845570752701</v>
      </c>
      <c r="AD79">
        <v>-0.16420700587208101</v>
      </c>
      <c r="AE79">
        <v>0.204941706548189</v>
      </c>
      <c r="AF79">
        <v>-0.108056715205557</v>
      </c>
      <c r="AG79">
        <v>0.21561889074721999</v>
      </c>
      <c r="AH79">
        <v>-0.102817689669184</v>
      </c>
      <c r="AI79">
        <v>-0.15016569394388601</v>
      </c>
      <c r="AJ79">
        <v>0.365028855347723</v>
      </c>
      <c r="AK79">
        <v>-3.7444977980584597E-2</v>
      </c>
      <c r="AL79">
        <v>-0.22815001026652301</v>
      </c>
      <c r="AM79">
        <v>1.36666193526744E-2</v>
      </c>
      <c r="AN79">
        <v>0.44937403836314099</v>
      </c>
      <c r="AO79">
        <v>0.142745180979202</v>
      </c>
      <c r="AP79">
        <v>-0.35324577725971501</v>
      </c>
      <c r="AQ79">
        <v>-0.368988166473107</v>
      </c>
      <c r="AR79">
        <v>-1.8861811948865499E-2</v>
      </c>
      <c r="AS79">
        <v>-8.4448661690303697E-2</v>
      </c>
      <c r="AT79">
        <v>2.6467810664215101E-2</v>
      </c>
      <c r="AU79">
        <v>-0.136981712837842</v>
      </c>
      <c r="AV79">
        <v>-0.13041678170805701</v>
      </c>
      <c r="AW79">
        <v>-8.6981097077811001E-2</v>
      </c>
      <c r="AX79">
        <v>-0.11281287573552801</v>
      </c>
      <c r="AY79">
        <v>0.33637947155111902</v>
      </c>
      <c r="AZ79">
        <v>0.363693205172055</v>
      </c>
      <c r="BA79">
        <v>-0.49538018330735401</v>
      </c>
      <c r="BB79">
        <v>-3.9345756790581103E-2</v>
      </c>
      <c r="BC79">
        <v>0.59696321390823603</v>
      </c>
      <c r="BD79">
        <v>-0.35881023748878499</v>
      </c>
      <c r="BE79">
        <v>-0.19664047034111101</v>
      </c>
      <c r="BF79">
        <v>-9.4555310600187206E-3</v>
      </c>
      <c r="BG79">
        <v>-8.0771015796207907E-2</v>
      </c>
      <c r="BH79">
        <v>6.7943441533628704E-2</v>
      </c>
      <c r="BI79">
        <v>0.13891263567176901</v>
      </c>
      <c r="BJ79">
        <v>0.21413258155006201</v>
      </c>
      <c r="BK79">
        <v>0.52798164828683203</v>
      </c>
      <c r="BL79">
        <v>-0.14777079919880101</v>
      </c>
      <c r="BM79">
        <v>-4.7569692753107899E-2</v>
      </c>
      <c r="BN79">
        <v>-0.27809109059405501</v>
      </c>
      <c r="BO79">
        <v>0.120420817228516</v>
      </c>
      <c r="BP79">
        <v>-2.5823832276085201E-2</v>
      </c>
      <c r="BQ79">
        <v>-9.7052716595878205E-2</v>
      </c>
      <c r="BR79">
        <v>-0.29443590110315598</v>
      </c>
      <c r="BS79">
        <v>-1.5007336115286801E-2</v>
      </c>
      <c r="BT79">
        <v>-0.14980275929767101</v>
      </c>
      <c r="BU79">
        <v>-0.27254548899028802</v>
      </c>
      <c r="BV79">
        <v>-0.16265505777042799</v>
      </c>
      <c r="BW79">
        <v>-0.23655915499717101</v>
      </c>
      <c r="BX79">
        <v>-0.25491876102700001</v>
      </c>
      <c r="BY79">
        <v>-0.26815036200289299</v>
      </c>
      <c r="BZ79">
        <v>-0.15223044343235301</v>
      </c>
      <c r="CA79">
        <v>-0.139602307224828</v>
      </c>
      <c r="CB79">
        <v>-6.1506885561469597E-2</v>
      </c>
      <c r="CC79">
        <v>-0.25856673840015898</v>
      </c>
      <c r="CD79">
        <v>-0.49538018330735401</v>
      </c>
      <c r="CE79">
        <v>-8.8322904807828593E-3</v>
      </c>
      <c r="CF79">
        <v>0.105829297470369</v>
      </c>
      <c r="CG79">
        <v>0.32385657060140099</v>
      </c>
      <c r="CH79">
        <v>0.152202188233097</v>
      </c>
      <c r="CI79">
        <v>-5.3630620252481401E-2</v>
      </c>
      <c r="CJ79">
        <v>-0.11954829700113399</v>
      </c>
      <c r="CK79">
        <v>-0.140316086381535</v>
      </c>
      <c r="CL79">
        <v>-0.49538018330735401</v>
      </c>
      <c r="CM79">
        <v>1.3556142893152801E-3</v>
      </c>
      <c r="CN79">
        <v>0.28474429578203497</v>
      </c>
      <c r="CO79">
        <v>0.26222885758354297</v>
      </c>
      <c r="CP79">
        <v>0.11278132269571201</v>
      </c>
      <c r="CQ79">
        <v>8.4802841551778002E-2</v>
      </c>
      <c r="CR79">
        <v>-8.0036717478709898E-2</v>
      </c>
      <c r="CS79">
        <v>0.12519015308818801</v>
      </c>
      <c r="CT79">
        <v>0.26457129403733398</v>
      </c>
      <c r="CU79">
        <v>-4.7012808178092197E-2</v>
      </c>
      <c r="CV79">
        <v>-0.32381804682821003</v>
      </c>
      <c r="CW79">
        <v>0.12292680485618999</v>
      </c>
      <c r="CX79">
        <v>0.13227365279001699</v>
      </c>
      <c r="CY79">
        <v>0.222632421864527</v>
      </c>
      <c r="CZ79">
        <v>-6.5812707954081298E-2</v>
      </c>
      <c r="DA79">
        <v>3.3712235547658502E-2</v>
      </c>
      <c r="DB79">
        <v>0.57996677808786201</v>
      </c>
      <c r="DC79">
        <v>-0.10303721817494201</v>
      </c>
      <c r="DD79">
        <v>-0.19147756763407101</v>
      </c>
      <c r="DE79">
        <v>0.32881767808415502</v>
      </c>
      <c r="DF79">
        <v>-4.4174297525442302E-2</v>
      </c>
      <c r="DG79">
        <v>0.188885180870006</v>
      </c>
      <c r="DH79">
        <v>-8.8178254321515798E-2</v>
      </c>
      <c r="DI79">
        <v>-7.9146608228623003E-2</v>
      </c>
      <c r="DJ79">
        <v>-0.22206119367475199</v>
      </c>
      <c r="DK79">
        <v>0.18589636103997001</v>
      </c>
      <c r="DL79">
        <v>8.5117453041194904E-2</v>
      </c>
      <c r="DM79">
        <v>0.419322740016287</v>
      </c>
      <c r="DN79">
        <v>0.235709616341017</v>
      </c>
      <c r="DO79">
        <v>0.35792990519923701</v>
      </c>
      <c r="DP79">
        <v>3.7336484744998198E-2</v>
      </c>
      <c r="DQ79">
        <v>-0.196063089235086</v>
      </c>
      <c r="DR79">
        <v>0.171393812891246</v>
      </c>
      <c r="DS79">
        <v>-0.152028381503235</v>
      </c>
      <c r="DT79">
        <v>-8.8768393557807301E-2</v>
      </c>
      <c r="DU79">
        <v>-4.52758884100653E-3</v>
      </c>
      <c r="DV79">
        <v>6.5131979579930499E-2</v>
      </c>
      <c r="DW79">
        <v>0.29716841013685003</v>
      </c>
      <c r="DX79">
        <v>-0.17137672200022799</v>
      </c>
      <c r="DY79">
        <v>0.35406599713863401</v>
      </c>
      <c r="DZ79">
        <v>0.41481337687652398</v>
      </c>
      <c r="EA79">
        <v>0.26588324363774002</v>
      </c>
      <c r="EB79">
        <v>0.111906008099989</v>
      </c>
      <c r="EC79">
        <v>-4.2855368810908498E-2</v>
      </c>
      <c r="ED79">
        <v>-7.6796241987154096E-2</v>
      </c>
      <c r="EE79">
        <v>0.535926395353572</v>
      </c>
      <c r="EF79">
        <v>3.2117328738945197E-2</v>
      </c>
      <c r="EG79">
        <v>-0.16262926967056199</v>
      </c>
      <c r="EH79">
        <v>0.40216849971612201</v>
      </c>
      <c r="EI79">
        <v>0.16997053367468001</v>
      </c>
      <c r="EJ79">
        <v>-0.36631036463355499</v>
      </c>
      <c r="EK79">
        <v>0.131997474141132</v>
      </c>
      <c r="EL79">
        <v>0.30465394343850699</v>
      </c>
      <c r="EM79">
        <v>-0.20966441358264201</v>
      </c>
      <c r="EN79">
        <v>-0.11357433524374499</v>
      </c>
      <c r="EO79">
        <v>0.18293683765315</v>
      </c>
      <c r="EP79">
        <v>-0.10513915002375999</v>
      </c>
      <c r="EQ79">
        <v>0.426297513900119</v>
      </c>
      <c r="ER79">
        <v>-0.347623427721447</v>
      </c>
      <c r="ES79">
        <v>0.183232244014573</v>
      </c>
      <c r="ET79">
        <v>3.8705145337337099E-2</v>
      </c>
      <c r="EU79">
        <v>0.25281059125002098</v>
      </c>
      <c r="EV79">
        <v>-5.48178965047776E-2</v>
      </c>
      <c r="EW79">
        <v>0.39544669881175798</v>
      </c>
      <c r="EX79">
        <v>0.111998868267559</v>
      </c>
      <c r="EY79">
        <v>-0.113880238029666</v>
      </c>
      <c r="EZ79">
        <v>-0.143384709397471</v>
      </c>
      <c r="FA79">
        <v>5.2355865946353101E-2</v>
      </c>
      <c r="FB79">
        <v>-0.209900946530092</v>
      </c>
      <c r="FC79">
        <v>0.51270407133905105</v>
      </c>
      <c r="FD79">
        <v>-6.8542801983032295E-2</v>
      </c>
      <c r="FE79">
        <v>0.124779953815095</v>
      </c>
      <c r="FF79">
        <v>2.09863412753372E-3</v>
      </c>
      <c r="FG79">
        <v>-0.29945940286858302</v>
      </c>
      <c r="FH79">
        <v>-3.4803289611874998E-3</v>
      </c>
      <c r="FI79">
        <v>-7.9769363724225707E-3</v>
      </c>
      <c r="FJ79">
        <v>-0.14028808860237801</v>
      </c>
      <c r="FK79">
        <v>-4.5864759024331903E-2</v>
      </c>
      <c r="FL79">
        <v>0.213584060140834</v>
      </c>
      <c r="FM79">
        <v>-9.5292762930406699E-2</v>
      </c>
      <c r="FN79">
        <v>0.13329836812572701</v>
      </c>
      <c r="FO79">
        <v>-0.196854372521098</v>
      </c>
      <c r="FP79">
        <v>-4.5392107059683502E-2</v>
      </c>
      <c r="FQ79">
        <v>0.10910045985820301</v>
      </c>
      <c r="FR79">
        <v>-0.243569748059006</v>
      </c>
      <c r="FS79">
        <v>0.20776485252934301</v>
      </c>
      <c r="FT79">
        <v>-6.2610811655566104E-2</v>
      </c>
      <c r="FU79">
        <v>-3.7773017348018301E-2</v>
      </c>
      <c r="FV79">
        <v>-0.126825951977384</v>
      </c>
      <c r="FW79">
        <v>0.43428013683767402</v>
      </c>
      <c r="FX79">
        <v>0.20888128086395999</v>
      </c>
      <c r="FY79">
        <v>0.32851448782060599</v>
      </c>
      <c r="FZ79">
        <v>0.234191750487799</v>
      </c>
      <c r="GA79">
        <v>8.0338325750298298E-2</v>
      </c>
      <c r="GB79">
        <v>0.29688598592509002</v>
      </c>
      <c r="GC79">
        <v>0.19785954124129501</v>
      </c>
      <c r="GD79">
        <v>-0.123964888198891</v>
      </c>
      <c r="GE79">
        <v>0.100180226974178</v>
      </c>
      <c r="GF79">
        <v>0.55606352186761998</v>
      </c>
      <c r="GG79">
        <v>-8.13416188757176E-2</v>
      </c>
      <c r="GH79">
        <v>0.25556615801313298</v>
      </c>
      <c r="GI79">
        <v>0.119270851490514</v>
      </c>
      <c r="GJ79">
        <v>5.5575812559596503E-2</v>
      </c>
      <c r="GK79">
        <v>-0.26668287138886598</v>
      </c>
    </row>
    <row r="80" spans="1:206" x14ac:dyDescent="0.25">
      <c r="A80" t="s">
        <v>267</v>
      </c>
      <c r="B80" t="s">
        <v>637</v>
      </c>
      <c r="C80">
        <v>1.9292298046842401E-2</v>
      </c>
      <c r="D80">
        <v>-6.9093857519485699E-2</v>
      </c>
      <c r="E80">
        <v>0.33164724120553302</v>
      </c>
      <c r="F80">
        <v>0.618204367216732</v>
      </c>
      <c r="G80">
        <v>0.37484511483063598</v>
      </c>
      <c r="H80">
        <v>0.156230870717258</v>
      </c>
      <c r="I80">
        <v>6.5569216027017804E-2</v>
      </c>
      <c r="J80">
        <v>-5.9874386418537701E-3</v>
      </c>
      <c r="K80">
        <v>1.43059814350152E-2</v>
      </c>
      <c r="L80">
        <v>0.13096358417673301</v>
      </c>
      <c r="M80">
        <v>0.91323491976528803</v>
      </c>
      <c r="N80">
        <v>0.68650518111565595</v>
      </c>
      <c r="O80">
        <v>0.82928172835155101</v>
      </c>
      <c r="P80">
        <v>0.257249634487145</v>
      </c>
      <c r="Q80">
        <v>-6.9093857519485699E-2</v>
      </c>
      <c r="R80">
        <v>0.103808136247919</v>
      </c>
      <c r="S80">
        <v>-6.9093857519485699E-2</v>
      </c>
      <c r="T80">
        <v>-6.9093857519485699E-2</v>
      </c>
      <c r="U80">
        <v>6.5963106769554802E-2</v>
      </c>
      <c r="V80">
        <v>7.8684960092143999E-2</v>
      </c>
      <c r="W80">
        <v>-6.9093857519485699E-2</v>
      </c>
      <c r="X80">
        <v>-6.9093857519485699E-2</v>
      </c>
      <c r="Y80">
        <v>0.21852075508263999</v>
      </c>
      <c r="Z80">
        <v>-6.9093857519485699E-2</v>
      </c>
      <c r="AA80">
        <v>0.36417440075392299</v>
      </c>
      <c r="AB80">
        <v>-2.4584839114310999E-2</v>
      </c>
      <c r="AC80">
        <v>-6.9093857519485699E-2</v>
      </c>
      <c r="AD80">
        <v>2.8859875626692198E-3</v>
      </c>
      <c r="AE80">
        <v>-1.2054445440523301E-2</v>
      </c>
      <c r="AF80">
        <v>8.0755971782464506E-2</v>
      </c>
      <c r="AG80">
        <v>-1.6812403154819602E-2</v>
      </c>
      <c r="AH80">
        <v>-6.9093857519485699E-2</v>
      </c>
      <c r="AI80">
        <v>5.4558284961762703E-2</v>
      </c>
      <c r="AJ80">
        <v>-6.9093857519485699E-2</v>
      </c>
      <c r="AK80">
        <v>1.48181081959221E-2</v>
      </c>
      <c r="AL80">
        <v>-6.9093857519485699E-2</v>
      </c>
      <c r="AM80">
        <v>0.195515523594089</v>
      </c>
      <c r="AN80">
        <v>0.15415851533293401</v>
      </c>
      <c r="AO80">
        <v>-6.9093857519485699E-2</v>
      </c>
      <c r="AP80">
        <v>7.3040548528153004E-2</v>
      </c>
      <c r="AQ80">
        <v>0.12680869645096801</v>
      </c>
      <c r="AR80">
        <v>-6.9093857519485699E-2</v>
      </c>
      <c r="AS80">
        <v>-6.9093857519485699E-2</v>
      </c>
      <c r="AT80">
        <v>-6.9093857519485699E-2</v>
      </c>
      <c r="AU80">
        <v>-6.9093857519485699E-2</v>
      </c>
      <c r="AV80">
        <v>-6.9093857519485699E-2</v>
      </c>
      <c r="AW80">
        <v>2.14894464675205E-2</v>
      </c>
      <c r="AX80">
        <v>-6.9093857519485699E-2</v>
      </c>
      <c r="AY80">
        <v>3.4704200494934397E-2</v>
      </c>
      <c r="AZ80">
        <v>-6.9093857519485699E-2</v>
      </c>
      <c r="BA80">
        <v>5.5548969879038998E-2</v>
      </c>
      <c r="BB80">
        <v>0.12939979518890801</v>
      </c>
      <c r="BC80">
        <v>-6.9093857519485699E-2</v>
      </c>
      <c r="BD80">
        <v>-6.9093857519485699E-2</v>
      </c>
      <c r="BE80">
        <v>1.09656685943575E-2</v>
      </c>
      <c r="BF80">
        <v>4.0873319908604003E-2</v>
      </c>
      <c r="BG80">
        <v>-4.7117551147008198E-2</v>
      </c>
      <c r="BH80">
        <v>-6.9093857519485699E-2</v>
      </c>
      <c r="BI80">
        <v>0.111084285308404</v>
      </c>
      <c r="BJ80">
        <v>3.6415194527158697E-2</v>
      </c>
      <c r="BK80">
        <v>3.5643870166574401E-2</v>
      </c>
      <c r="BL80">
        <v>1.3418400159381999E-2</v>
      </c>
      <c r="BM80">
        <v>-6.9093857519485699E-2</v>
      </c>
      <c r="BN80">
        <v>-6.9093857519485699E-2</v>
      </c>
      <c r="BO80">
        <v>0.22374320955618299</v>
      </c>
      <c r="BP80">
        <v>-6.9093857519485699E-2</v>
      </c>
      <c r="BQ80">
        <v>-6.9093857519485699E-2</v>
      </c>
      <c r="BR80">
        <v>0.131850424684712</v>
      </c>
      <c r="BS80">
        <v>-5.3761374326953097E-2</v>
      </c>
      <c r="BT80">
        <v>-4.4439923582684303E-2</v>
      </c>
      <c r="BU80">
        <v>9.7169539708042204E-3</v>
      </c>
      <c r="BV80">
        <v>-2.3270841527522099E-2</v>
      </c>
      <c r="BW80">
        <v>-4.3948332578839497E-2</v>
      </c>
      <c r="BX80">
        <v>-5.4318811307692803E-2</v>
      </c>
      <c r="BY80">
        <v>-6.9093857519485699E-2</v>
      </c>
      <c r="BZ80">
        <v>-4.85903290061293E-2</v>
      </c>
      <c r="CA80">
        <v>-4.31300029330417E-2</v>
      </c>
      <c r="CB80">
        <v>8.8935116744220902E-2</v>
      </c>
      <c r="CC80">
        <v>0.16771958738770901</v>
      </c>
      <c r="CD80">
        <v>-6.9093857519485699E-2</v>
      </c>
      <c r="CE80">
        <v>6.7233695648551597E-2</v>
      </c>
      <c r="CF80">
        <v>-6.9093857519485699E-2</v>
      </c>
      <c r="CG80">
        <v>-6.9093857519485699E-2</v>
      </c>
      <c r="CH80">
        <v>0.221992260215403</v>
      </c>
      <c r="CI80">
        <v>-6.9093857519485699E-2</v>
      </c>
      <c r="CJ80">
        <v>-2.7673571916043398E-2</v>
      </c>
      <c r="CK80">
        <v>-4.9111688756251701E-2</v>
      </c>
      <c r="CL80">
        <v>6.0349951267935999E-2</v>
      </c>
      <c r="CM80">
        <v>-6.9093857519485699E-2</v>
      </c>
      <c r="CN80">
        <v>-3.1212039608309399E-4</v>
      </c>
      <c r="CO80">
        <v>5.1944195952137E-2</v>
      </c>
      <c r="CP80">
        <v>8.4764535493259893E-2</v>
      </c>
      <c r="CQ80">
        <v>6.4615258983215698E-2</v>
      </c>
      <c r="CR80">
        <v>-6.9093857519485699E-2</v>
      </c>
      <c r="CS80">
        <v>-6.9093857519485699E-2</v>
      </c>
      <c r="CT80">
        <v>-6.9093857519485699E-2</v>
      </c>
      <c r="CU80">
        <v>-6.9093857519485699E-2</v>
      </c>
      <c r="CV80">
        <v>0.102468278959658</v>
      </c>
      <c r="CW80">
        <v>-6.9093857519485699E-2</v>
      </c>
      <c r="CX80">
        <v>-6.9093857519485699E-2</v>
      </c>
      <c r="CY80">
        <v>-6.9093857519485699E-2</v>
      </c>
      <c r="CZ80">
        <v>-6.9093857519485699E-2</v>
      </c>
      <c r="DA80">
        <v>5.1839660638763198E-2</v>
      </c>
      <c r="DB80">
        <v>6.9844059018474902E-2</v>
      </c>
      <c r="DC80">
        <v>-6.9093857519485699E-2</v>
      </c>
      <c r="DD80">
        <v>-6.9093857519485699E-2</v>
      </c>
      <c r="DE80">
        <v>-6.9093857519485699E-2</v>
      </c>
      <c r="DF80">
        <v>-6.9093857519485699E-2</v>
      </c>
      <c r="DG80">
        <v>-6.9093857519485699E-2</v>
      </c>
      <c r="DH80">
        <v>4.31084419095671E-2</v>
      </c>
      <c r="DI80">
        <v>-6.9093857519485699E-2</v>
      </c>
      <c r="DJ80">
        <v>-6.9093857519485699E-2</v>
      </c>
      <c r="DK80">
        <v>4.8249664608696799E-2</v>
      </c>
      <c r="DL80">
        <v>7.6712041645736903E-2</v>
      </c>
      <c r="DM80">
        <v>-6.9093857519485699E-2</v>
      </c>
      <c r="DN80">
        <v>0.232668131342217</v>
      </c>
      <c r="DO80">
        <v>-6.9093857519485699E-2</v>
      </c>
      <c r="DP80">
        <v>-6.9093857519485699E-2</v>
      </c>
      <c r="DQ80">
        <v>-6.9093857519485699E-2</v>
      </c>
      <c r="DR80">
        <v>-6.9093857519485699E-2</v>
      </c>
      <c r="DS80">
        <v>-6.9093857519485699E-2</v>
      </c>
      <c r="DT80">
        <v>-6.9093857519485699E-2</v>
      </c>
      <c r="DU80">
        <v>-6.9093857519485699E-2</v>
      </c>
      <c r="DV80">
        <v>5.9674627643000203E-2</v>
      </c>
      <c r="DW80">
        <v>-6.9093857519485699E-2</v>
      </c>
      <c r="DX80">
        <v>-6.9093857519485699E-2</v>
      </c>
      <c r="DY80">
        <v>4.3734123944253897E-2</v>
      </c>
      <c r="DZ80">
        <v>-6.9093857519485699E-2</v>
      </c>
      <c r="EA80">
        <v>-6.9093857519485699E-2</v>
      </c>
      <c r="EB80">
        <v>-6.9093857519485699E-2</v>
      </c>
      <c r="EC80">
        <v>-6.9093857519485699E-2</v>
      </c>
      <c r="ED80">
        <v>0.17762134479896899</v>
      </c>
      <c r="EE80">
        <v>3.3229717572485301E-2</v>
      </c>
      <c r="EF80">
        <v>-6.9093857519485699E-2</v>
      </c>
      <c r="EG80">
        <v>-6.9093857519485699E-2</v>
      </c>
      <c r="EH80">
        <v>-6.9093857519485699E-2</v>
      </c>
      <c r="EI80">
        <v>-6.9093857519485699E-2</v>
      </c>
      <c r="EJ80">
        <v>-6.9093857519485699E-2</v>
      </c>
      <c r="EK80">
        <v>-6.9093857519485699E-2</v>
      </c>
      <c r="EL80">
        <v>-6.9093857519485699E-2</v>
      </c>
      <c r="EM80">
        <v>-6.9093857519485699E-2</v>
      </c>
      <c r="EN80">
        <v>-6.9093857519485699E-2</v>
      </c>
      <c r="EO80">
        <v>-6.9093857519485699E-2</v>
      </c>
      <c r="EP80">
        <v>-6.9093857519485699E-2</v>
      </c>
      <c r="EQ80">
        <v>-6.9093857519485699E-2</v>
      </c>
      <c r="ER80">
        <v>-6.9093857519485699E-2</v>
      </c>
      <c r="ES80">
        <v>-6.9093857519485699E-2</v>
      </c>
      <c r="ET80">
        <v>-6.9093857519485699E-2</v>
      </c>
      <c r="EU80">
        <v>-6.9093857519485699E-2</v>
      </c>
      <c r="EV80">
        <v>5.2891231236287202E-2</v>
      </c>
      <c r="EW80">
        <v>3.8097229006139502E-2</v>
      </c>
      <c r="EX80">
        <v>-6.9093857519485699E-2</v>
      </c>
      <c r="EY80">
        <v>-6.9093857519485699E-2</v>
      </c>
      <c r="EZ80">
        <v>5.6981902587016603E-2</v>
      </c>
      <c r="FA80">
        <v>-6.9093857519485699E-2</v>
      </c>
      <c r="FB80">
        <v>-6.9093857519485699E-2</v>
      </c>
      <c r="FC80">
        <v>6.3876025410551998E-2</v>
      </c>
      <c r="FD80">
        <v>-6.9093857519485699E-2</v>
      </c>
      <c r="FE80">
        <v>-6.9093857519485699E-2</v>
      </c>
      <c r="FF80">
        <v>-6.9093857519485699E-2</v>
      </c>
      <c r="FG80">
        <v>-6.9093857519485699E-2</v>
      </c>
      <c r="FH80">
        <v>-6.9093857519485699E-2</v>
      </c>
      <c r="FI80">
        <v>2.01224053137475E-2</v>
      </c>
      <c r="FJ80">
        <v>-6.9093857519485699E-2</v>
      </c>
      <c r="FK80">
        <v>0.19676455676122701</v>
      </c>
      <c r="FL80">
        <v>-6.9093857519485699E-2</v>
      </c>
      <c r="FM80">
        <v>-6.9093857519485699E-2</v>
      </c>
      <c r="FN80">
        <v>4.3412431840735198E-2</v>
      </c>
      <c r="FO80">
        <v>-6.9093857519485699E-2</v>
      </c>
      <c r="FP80">
        <v>-6.9093857519485699E-2</v>
      </c>
      <c r="FQ80">
        <v>-6.9093857519485699E-2</v>
      </c>
      <c r="FR80">
        <v>-6.9093857519485699E-2</v>
      </c>
      <c r="FS80">
        <v>-3.5942339993082301E-2</v>
      </c>
      <c r="FT80">
        <v>-6.9093857519485699E-2</v>
      </c>
      <c r="FU80">
        <v>1.6408297965628701E-2</v>
      </c>
      <c r="FV80">
        <v>-1.1305872888340601E-2</v>
      </c>
      <c r="FW80">
        <v>2.67130107487859E-2</v>
      </c>
      <c r="FX80">
        <v>1.51377850699148E-2</v>
      </c>
      <c r="FY80">
        <v>-6.9093857519485699E-2</v>
      </c>
      <c r="FZ80">
        <v>-6.9093857519485699E-2</v>
      </c>
      <c r="GA80">
        <v>4.2017255867144297E-2</v>
      </c>
      <c r="GB80">
        <v>-6.9093857519485699E-2</v>
      </c>
      <c r="GC80">
        <v>-6.9093857519485699E-2</v>
      </c>
      <c r="GD80">
        <v>4.3416279184329998E-2</v>
      </c>
      <c r="GE80">
        <v>-6.9093857519485699E-2</v>
      </c>
      <c r="GF80">
        <v>6.4104285446036802E-2</v>
      </c>
      <c r="GG80">
        <v>-6.9093857519485699E-2</v>
      </c>
      <c r="GH80">
        <v>7.3183503701520804E-3</v>
      </c>
      <c r="GI80">
        <v>-5.1893601232513797E-2</v>
      </c>
      <c r="GJ80">
        <v>-4.0965645575546704E-3</v>
      </c>
      <c r="GK80">
        <v>-6.9093857519485699E-2</v>
      </c>
    </row>
    <row r="81" spans="1:193" x14ac:dyDescent="0.25">
      <c r="A81" t="s">
        <v>267</v>
      </c>
      <c r="B81" t="s">
        <v>774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0.10218114207238201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</row>
    <row r="82" spans="1:193" x14ac:dyDescent="0.25">
      <c r="A82" t="s">
        <v>267</v>
      </c>
      <c r="B82" t="s">
        <v>593</v>
      </c>
      <c r="C82">
        <v>0.271440659584615</v>
      </c>
      <c r="D82">
        <v>-5.6295191785992398E-2</v>
      </c>
      <c r="E82">
        <v>-2.55012956392432E-2</v>
      </c>
      <c r="F82">
        <v>-3.9496485582287702E-2</v>
      </c>
      <c r="G82">
        <v>0.13431998207087101</v>
      </c>
      <c r="H82">
        <v>0.169029536450752</v>
      </c>
      <c r="I82">
        <v>-5.6295191785992398E-2</v>
      </c>
      <c r="J82">
        <v>-3.50167695033098E-2</v>
      </c>
      <c r="K82">
        <v>-1.40930422786615E-2</v>
      </c>
      <c r="L82">
        <v>1.78502316410067E-2</v>
      </c>
      <c r="M82">
        <v>2.4259935562649899E-2</v>
      </c>
      <c r="N82">
        <v>4.6603580577984902E-2</v>
      </c>
      <c r="O82">
        <v>-5.6295191785992398E-2</v>
      </c>
      <c r="P82">
        <v>4.1914771070569998E-2</v>
      </c>
      <c r="Q82">
        <v>0.22199293418705601</v>
      </c>
      <c r="R82">
        <v>0.27217137642038403</v>
      </c>
      <c r="S82">
        <v>0.175951242911461</v>
      </c>
      <c r="T82">
        <v>-5.6295191785992398E-2</v>
      </c>
      <c r="U82">
        <v>7.8761772503048097E-2</v>
      </c>
      <c r="V82">
        <v>9.1483625825637599E-2</v>
      </c>
      <c r="W82">
        <v>-5.6295191785992398E-2</v>
      </c>
      <c r="X82">
        <v>-5.6295191785992398E-2</v>
      </c>
      <c r="Y82">
        <v>0.23131942081613299</v>
      </c>
      <c r="Z82">
        <v>-5.6295191785992398E-2</v>
      </c>
      <c r="AA82">
        <v>0.245544985948318</v>
      </c>
      <c r="AB82">
        <v>-2.64947157652154E-2</v>
      </c>
      <c r="AC82">
        <v>0.10986730828220399</v>
      </c>
      <c r="AD82">
        <v>-5.6295191785992398E-2</v>
      </c>
      <c r="AE82">
        <v>7.4422029297003796E-4</v>
      </c>
      <c r="AF82">
        <v>2.0417181182280201E-2</v>
      </c>
      <c r="AG82">
        <v>-4.0137374213260798E-3</v>
      </c>
      <c r="AH82">
        <v>-5.6295191785992398E-2</v>
      </c>
      <c r="AI82">
        <v>6.7356950695256199E-2</v>
      </c>
      <c r="AJ82">
        <v>-5.6295191785992398E-2</v>
      </c>
      <c r="AK82">
        <v>-5.6295191785992398E-2</v>
      </c>
      <c r="AL82">
        <v>-5.6295191785992398E-2</v>
      </c>
      <c r="AM82">
        <v>-5.6295191785992398E-2</v>
      </c>
      <c r="AN82">
        <v>-5.6295191785992398E-2</v>
      </c>
      <c r="AO82">
        <v>-5.6295191785992398E-2</v>
      </c>
      <c r="AP82">
        <v>8.5839214261646396E-2</v>
      </c>
      <c r="AQ82">
        <v>7.0096825048255304E-2</v>
      </c>
      <c r="AR82">
        <v>-5.6295191785992398E-2</v>
      </c>
      <c r="AS82">
        <v>0.16240877961658401</v>
      </c>
      <c r="AT82">
        <v>-5.6295191785992398E-2</v>
      </c>
      <c r="AU82">
        <v>-5.6295191785992398E-2</v>
      </c>
      <c r="AV82">
        <v>-5.6295191785992398E-2</v>
      </c>
      <c r="AW82">
        <v>-5.6295191785992398E-2</v>
      </c>
      <c r="AX82">
        <v>-5.6295191785992398E-2</v>
      </c>
      <c r="AY82">
        <v>4.7502866228427802E-2</v>
      </c>
      <c r="AZ82">
        <v>5.4057187494767303E-2</v>
      </c>
      <c r="BA82">
        <v>-5.6295191785992398E-2</v>
      </c>
      <c r="BB82">
        <v>4.6094349395169001E-2</v>
      </c>
      <c r="BC82">
        <v>-5.6295191785992398E-2</v>
      </c>
      <c r="BD82">
        <v>-5.6295191785992398E-2</v>
      </c>
      <c r="BE82">
        <v>-5.6295191785992398E-2</v>
      </c>
      <c r="BF82">
        <v>5.3671985642097499E-2</v>
      </c>
      <c r="BG82">
        <v>-2.3435521708595499E-2</v>
      </c>
      <c r="BH82">
        <v>0.100947505066113</v>
      </c>
      <c r="BI82">
        <v>-5.6295191785992398E-2</v>
      </c>
      <c r="BJ82">
        <v>0.107843547850367</v>
      </c>
      <c r="BK82">
        <v>-5.6295191785992398E-2</v>
      </c>
      <c r="BL82">
        <v>-5.6295191785992398E-2</v>
      </c>
      <c r="BM82">
        <v>-5.6295191785992398E-2</v>
      </c>
      <c r="BN82">
        <v>5.6044788988098102E-2</v>
      </c>
      <c r="BO82">
        <v>-5.6295191785992398E-2</v>
      </c>
      <c r="BP82">
        <v>-5.6295191785992398E-2</v>
      </c>
      <c r="BQ82">
        <v>-5.6295191785992398E-2</v>
      </c>
      <c r="BR82">
        <v>-5.6295191785992398E-2</v>
      </c>
      <c r="BS82">
        <v>-1.54887689935886E-2</v>
      </c>
      <c r="BT82">
        <v>-5.6295191785992398E-2</v>
      </c>
      <c r="BU82">
        <v>-2.54269530744059E-2</v>
      </c>
      <c r="BV82">
        <v>2.7363674936807399E-3</v>
      </c>
      <c r="BW82">
        <v>1.80929339270984E-2</v>
      </c>
      <c r="BX82">
        <v>3.0837992923596999E-2</v>
      </c>
      <c r="BY82">
        <v>9.8965552430177808E-3</v>
      </c>
      <c r="BZ82">
        <v>2.8338066452573901E-2</v>
      </c>
      <c r="CA82">
        <v>7.99220330187741E-3</v>
      </c>
      <c r="CB82">
        <v>-5.6295191785992398E-2</v>
      </c>
      <c r="CC82">
        <v>-5.6295191785992398E-2</v>
      </c>
      <c r="CD82">
        <v>8.2192181502777198E-2</v>
      </c>
      <c r="CE82">
        <v>8.0032361382045003E-2</v>
      </c>
      <c r="CF82">
        <v>9.57128169537797E-2</v>
      </c>
      <c r="CG82">
        <v>-5.6295191785992398E-2</v>
      </c>
      <c r="CH82">
        <v>-5.6295191785992398E-2</v>
      </c>
      <c r="CI82">
        <v>0.25132679406001002</v>
      </c>
      <c r="CJ82">
        <v>5.8581270658731303E-2</v>
      </c>
      <c r="CK82">
        <v>3.34866737354668E-2</v>
      </c>
      <c r="CL82">
        <v>7.31486170014293E-2</v>
      </c>
      <c r="CM82">
        <v>-5.6295191785992398E-2</v>
      </c>
      <c r="CN82">
        <v>1.24865453374102E-2</v>
      </c>
      <c r="CO82">
        <v>6.4742861685630093E-2</v>
      </c>
      <c r="CP82">
        <v>9.7563201226753299E-2</v>
      </c>
      <c r="CQ82">
        <v>-5.6295191785992398E-2</v>
      </c>
      <c r="CR82">
        <v>9.4611071636614794E-2</v>
      </c>
      <c r="CS82">
        <v>-5.6295191785992398E-2</v>
      </c>
      <c r="CT82">
        <v>-5.6295191785992398E-2</v>
      </c>
      <c r="CU82">
        <v>0.107441744531448</v>
      </c>
      <c r="CV82">
        <v>-5.6295191785992398E-2</v>
      </c>
      <c r="CW82">
        <v>-5.6295191785992398E-2</v>
      </c>
      <c r="CX82">
        <v>0.180978190681503</v>
      </c>
      <c r="CY82">
        <v>-5.6295191785992398E-2</v>
      </c>
      <c r="CZ82">
        <v>-5.6295191785992398E-2</v>
      </c>
      <c r="DA82">
        <v>0.17692495455921101</v>
      </c>
      <c r="DB82">
        <v>0.28032725536442299</v>
      </c>
      <c r="DC82">
        <v>8.5464620400570804E-2</v>
      </c>
      <c r="DD82">
        <v>-5.6295191785992398E-2</v>
      </c>
      <c r="DE82">
        <v>9.0715672130432398E-2</v>
      </c>
      <c r="DF82">
        <v>0.108869494851733</v>
      </c>
      <c r="DG82">
        <v>0.41536897512190901</v>
      </c>
      <c r="DH82">
        <v>0.350906737199846</v>
      </c>
      <c r="DI82">
        <v>-5.6295191785992398E-2</v>
      </c>
      <c r="DJ82">
        <v>8.6345262033467193E-2</v>
      </c>
      <c r="DK82">
        <v>6.1048330342190101E-2</v>
      </c>
      <c r="DL82">
        <v>8.9510707379230295E-2</v>
      </c>
      <c r="DM82">
        <v>-5.6295191785992398E-2</v>
      </c>
      <c r="DN82">
        <v>0.10180982322041</v>
      </c>
      <c r="DO82">
        <v>0.10662811915873401</v>
      </c>
      <c r="DP82">
        <v>-5.6295191785992398E-2</v>
      </c>
      <c r="DQ82">
        <v>0.24302190228627599</v>
      </c>
      <c r="DR82">
        <v>0.101459315469585</v>
      </c>
      <c r="DS82">
        <v>0.18071471402691699</v>
      </c>
      <c r="DT82">
        <v>9.1150836771064697E-2</v>
      </c>
      <c r="DU82">
        <v>8.1237155782291501E-2</v>
      </c>
      <c r="DV82">
        <v>7.24732933764934E-2</v>
      </c>
      <c r="DW82">
        <v>8.3068466752932502E-2</v>
      </c>
      <c r="DX82">
        <v>-5.6295191785992398E-2</v>
      </c>
      <c r="DY82">
        <v>0.220332808191571</v>
      </c>
      <c r="DZ82">
        <v>-5.6295191785992398E-2</v>
      </c>
      <c r="EA82">
        <v>-5.6295191785992398E-2</v>
      </c>
      <c r="EB82">
        <v>9.70384873520794E-2</v>
      </c>
      <c r="EC82">
        <v>6.94775286467776E-2</v>
      </c>
      <c r="ED82">
        <v>-5.6295191785992398E-2</v>
      </c>
      <c r="EE82">
        <v>-5.6295191785992398E-2</v>
      </c>
      <c r="EF82">
        <v>0.15259418445213399</v>
      </c>
      <c r="EG82">
        <v>0.27645572185079997</v>
      </c>
      <c r="EH82">
        <v>-5.6295191785992398E-2</v>
      </c>
      <c r="EI82">
        <v>6.3091313883472597E-2</v>
      </c>
      <c r="EJ82">
        <v>-5.6295191785992398E-2</v>
      </c>
      <c r="EK82">
        <v>4.9029262797473598E-2</v>
      </c>
      <c r="EL82">
        <v>9.2901876841669895E-2</v>
      </c>
      <c r="EM82">
        <v>9.2957132796192499E-2</v>
      </c>
      <c r="EN82">
        <v>9.4595178502495395E-2</v>
      </c>
      <c r="EO82">
        <v>0.22027389819632101</v>
      </c>
      <c r="EP82">
        <v>-5.6295191785992398E-2</v>
      </c>
      <c r="EQ82">
        <v>0.122818256709731</v>
      </c>
      <c r="ER82">
        <v>-5.6295191785992398E-2</v>
      </c>
      <c r="ES82">
        <v>-5.6295191785992398E-2</v>
      </c>
      <c r="ET82">
        <v>0.43945317047412402</v>
      </c>
      <c r="EU82">
        <v>-5.6295191785992398E-2</v>
      </c>
      <c r="EV82">
        <v>-5.6295191785992398E-2</v>
      </c>
      <c r="EW82">
        <v>0.151577571722605</v>
      </c>
      <c r="EX82">
        <v>0.23704222442235701</v>
      </c>
      <c r="EY82">
        <v>8.1197327307541603E-2</v>
      </c>
      <c r="EZ82">
        <v>-5.6295191785992398E-2</v>
      </c>
      <c r="FA82">
        <v>-5.6295191785992398E-2</v>
      </c>
      <c r="FB82">
        <v>-5.6295191785992398E-2</v>
      </c>
      <c r="FC82">
        <v>-5.6295191785992398E-2</v>
      </c>
      <c r="FD82">
        <v>-5.6295191785992398E-2</v>
      </c>
      <c r="FE82">
        <v>6.1173722178262301E-2</v>
      </c>
      <c r="FF82">
        <v>-5.6295191785992398E-2</v>
      </c>
      <c r="FG82">
        <v>4.4619942396635803E-2</v>
      </c>
      <c r="FH82">
        <v>-5.6295191785992398E-2</v>
      </c>
      <c r="FI82">
        <v>0.11760038719874399</v>
      </c>
      <c r="FJ82">
        <v>-5.6295191785992398E-2</v>
      </c>
      <c r="FK82">
        <v>-5.6295191785992398E-2</v>
      </c>
      <c r="FL82">
        <v>-5.6295191785992398E-2</v>
      </c>
      <c r="FM82">
        <v>0.16713846587478401</v>
      </c>
      <c r="FN82">
        <v>-5.6295191785992398E-2</v>
      </c>
      <c r="FO82">
        <v>9.9882196219597305E-2</v>
      </c>
      <c r="FP82">
        <v>2.19559216153223E-2</v>
      </c>
      <c r="FQ82">
        <v>-5.6295191785992398E-2</v>
      </c>
      <c r="FR82">
        <v>0.19551524346235599</v>
      </c>
      <c r="FS82">
        <v>2.11053428504056E-3</v>
      </c>
      <c r="FT82">
        <v>-5.6295191785992398E-2</v>
      </c>
      <c r="FU82">
        <v>2.92069636991222E-2</v>
      </c>
      <c r="FV82">
        <v>5.7368016233472E-2</v>
      </c>
      <c r="FW82">
        <v>-5.6295191785992398E-2</v>
      </c>
      <c r="FX82">
        <v>0.184325861951735</v>
      </c>
      <c r="FY82">
        <v>0.27275421369887298</v>
      </c>
      <c r="FZ82">
        <v>-5.6295191785992398E-2</v>
      </c>
      <c r="GA82">
        <v>-5.6295191785992398E-2</v>
      </c>
      <c r="GB82">
        <v>-5.6295191785992398E-2</v>
      </c>
      <c r="GC82">
        <v>-5.6295191785992398E-2</v>
      </c>
      <c r="GD82">
        <v>5.6214944917823403E-2</v>
      </c>
      <c r="GE82">
        <v>-5.6295191785992398E-2</v>
      </c>
      <c r="GF82">
        <v>0.26787436156984901</v>
      </c>
      <c r="GG82">
        <v>-5.6295191785992398E-2</v>
      </c>
      <c r="GH82">
        <v>5.0884461645136804E-3</v>
      </c>
      <c r="GI82">
        <v>7.7067253120306697E-2</v>
      </c>
      <c r="GJ82">
        <v>0.13187850334693199</v>
      </c>
      <c r="GK82">
        <v>-5.6295191785992398E-2</v>
      </c>
    </row>
    <row r="83" spans="1:193" x14ac:dyDescent="0.25">
      <c r="A83" t="s">
        <v>267</v>
      </c>
      <c r="B83" t="s">
        <v>766</v>
      </c>
      <c r="C83">
        <v>0</v>
      </c>
      <c r="D83">
        <v>0</v>
      </c>
      <c r="E83">
        <v>3.8458673839091101E-2</v>
      </c>
      <c r="F83">
        <v>1.6798706203704501E-2</v>
      </c>
      <c r="G83">
        <v>0</v>
      </c>
      <c r="H83">
        <v>0.116544086167703</v>
      </c>
      <c r="I83">
        <v>0</v>
      </c>
      <c r="J83">
        <v>0</v>
      </c>
      <c r="K83">
        <v>0</v>
      </c>
      <c r="L83">
        <v>3.7446217014519702E-2</v>
      </c>
      <c r="M83">
        <v>0.217626798355568</v>
      </c>
      <c r="N83">
        <v>0.200480631604354</v>
      </c>
      <c r="O83">
        <v>0</v>
      </c>
      <c r="P83">
        <v>0</v>
      </c>
      <c r="Q83">
        <v>0</v>
      </c>
      <c r="R83">
        <v>0.172901993767405</v>
      </c>
      <c r="S83">
        <v>0</v>
      </c>
      <c r="T83">
        <v>0</v>
      </c>
      <c r="U83">
        <v>0</v>
      </c>
      <c r="V83">
        <v>0</v>
      </c>
      <c r="W83">
        <v>0.172147946914497</v>
      </c>
      <c r="X83">
        <v>0</v>
      </c>
      <c r="Y83">
        <v>0</v>
      </c>
      <c r="Z83">
        <v>0</v>
      </c>
      <c r="AA83">
        <v>0</v>
      </c>
      <c r="AB83">
        <v>7.3554507805346503E-2</v>
      </c>
      <c r="AC83">
        <v>5.7342951021768201E-2</v>
      </c>
      <c r="AD83">
        <v>0</v>
      </c>
      <c r="AE83">
        <v>0.143386129196165</v>
      </c>
      <c r="AF83">
        <v>0</v>
      </c>
      <c r="AG83">
        <v>5.2281454364666198E-2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0.115595562627992</v>
      </c>
      <c r="AO83">
        <v>0</v>
      </c>
      <c r="AP83">
        <v>0</v>
      </c>
      <c r="AQ83">
        <v>0</v>
      </c>
      <c r="AR83">
        <v>0.107456739476538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0.124642827398525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4.3674459595683897E-2</v>
      </c>
      <c r="BH83">
        <v>8.0568120495855405E-2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9.4794711012915298E-2</v>
      </c>
      <c r="BQ83">
        <v>0</v>
      </c>
      <c r="BR83">
        <v>0.103651778988395</v>
      </c>
      <c r="BS83">
        <v>5.39375410305966E-2</v>
      </c>
      <c r="BT83">
        <v>3.8937120890723799E-2</v>
      </c>
      <c r="BU83">
        <v>6.1253491451790203E-2</v>
      </c>
      <c r="BV83">
        <v>4.5823015991963797E-2</v>
      </c>
      <c r="BW83">
        <v>2.5145524940646299E-2</v>
      </c>
      <c r="BX83">
        <v>1.47750462117931E-2</v>
      </c>
      <c r="BY83">
        <v>1.33877998882381E-2</v>
      </c>
      <c r="BZ83">
        <v>2.56201746675363E-2</v>
      </c>
      <c r="CA83">
        <v>3.8820063544185802E-2</v>
      </c>
      <c r="CB83">
        <v>0</v>
      </c>
      <c r="CC83">
        <v>0.12281028124632699</v>
      </c>
      <c r="CD83">
        <v>0</v>
      </c>
      <c r="CE83">
        <v>0</v>
      </c>
      <c r="CF83">
        <v>0</v>
      </c>
      <c r="CG83">
        <v>0.14615655461631499</v>
      </c>
      <c r="CH83">
        <v>0.15221901983444</v>
      </c>
      <c r="CI83">
        <v>0.161246526739804</v>
      </c>
      <c r="CJ83">
        <v>3.1525009355874399E-2</v>
      </c>
      <c r="CK83">
        <v>3.9736180551319E-2</v>
      </c>
      <c r="CL83">
        <v>0</v>
      </c>
      <c r="CM83">
        <v>0.18344317349894801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0.26652390214302302</v>
      </c>
      <c r="DC83">
        <v>0.271929658708911</v>
      </c>
      <c r="DD83">
        <v>0.159306378734938</v>
      </c>
      <c r="DE83">
        <v>0</v>
      </c>
      <c r="DF83">
        <v>0</v>
      </c>
      <c r="DG83">
        <v>0.14646524079338599</v>
      </c>
      <c r="DH83">
        <v>0</v>
      </c>
      <c r="DI83">
        <v>0.12765562509730199</v>
      </c>
      <c r="DJ83">
        <v>0</v>
      </c>
      <c r="DK83">
        <v>0</v>
      </c>
      <c r="DL83">
        <v>0.35256653401083499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0.12577272043276999</v>
      </c>
      <c r="ED83">
        <v>0.128091828897031</v>
      </c>
      <c r="EE83">
        <v>0</v>
      </c>
      <c r="EF83">
        <v>0</v>
      </c>
      <c r="EG83">
        <v>0</v>
      </c>
      <c r="EH83">
        <v>0.122870465189456</v>
      </c>
      <c r="EI83">
        <v>0.119386505669465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0.12198508875577301</v>
      </c>
      <c r="EW83">
        <v>0</v>
      </c>
      <c r="EX83">
        <v>0</v>
      </c>
      <c r="EY83">
        <v>0</v>
      </c>
      <c r="EZ83">
        <v>0.12607576010650301</v>
      </c>
      <c r="FA83">
        <v>0</v>
      </c>
      <c r="FB83">
        <v>0.10072889343989901</v>
      </c>
      <c r="FC83">
        <v>0.132969882930038</v>
      </c>
      <c r="FD83">
        <v>0.23911659881196901</v>
      </c>
      <c r="FE83">
        <v>0</v>
      </c>
      <c r="FF83">
        <v>0.139168090777439</v>
      </c>
      <c r="FG83">
        <v>0.100915134182628</v>
      </c>
      <c r="FH83">
        <v>7.9274432617084598E-2</v>
      </c>
      <c r="FI83">
        <v>0.13926931190503999</v>
      </c>
      <c r="FJ83">
        <v>0</v>
      </c>
      <c r="FK83">
        <v>0</v>
      </c>
      <c r="FL83">
        <v>0</v>
      </c>
      <c r="FM83">
        <v>0</v>
      </c>
      <c r="FN83">
        <v>0.112506289360221</v>
      </c>
      <c r="FO83">
        <v>0</v>
      </c>
      <c r="FP83">
        <v>0</v>
      </c>
      <c r="FQ83">
        <v>0</v>
      </c>
      <c r="FR83">
        <v>0</v>
      </c>
      <c r="FS83">
        <v>5.1054291690787103E-2</v>
      </c>
      <c r="FT83">
        <v>0</v>
      </c>
      <c r="FU83">
        <v>8.55021554851145E-2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8.7781983870613298E-2</v>
      </c>
      <c r="GC83">
        <v>0</v>
      </c>
      <c r="GD83">
        <v>0</v>
      </c>
      <c r="GE83">
        <v>0.13817471593755801</v>
      </c>
      <c r="GF83">
        <v>0</v>
      </c>
      <c r="GG83">
        <v>0.12648815791076801</v>
      </c>
      <c r="GH83">
        <v>0.149765275845577</v>
      </c>
      <c r="GI83">
        <v>5.1130888461842702E-2</v>
      </c>
      <c r="GJ83">
        <v>0</v>
      </c>
      <c r="GK83">
        <v>0</v>
      </c>
    </row>
    <row r="84" spans="1:193" x14ac:dyDescent="0.25">
      <c r="A84" t="s">
        <v>267</v>
      </c>
      <c r="B84" t="s">
        <v>767</v>
      </c>
      <c r="C84">
        <v>0</v>
      </c>
      <c r="D84">
        <v>0</v>
      </c>
      <c r="E84">
        <v>9.6169625370351799E-2</v>
      </c>
      <c r="F84">
        <v>5.0168825518705301E-2</v>
      </c>
      <c r="G84">
        <v>0</v>
      </c>
      <c r="H84">
        <v>0</v>
      </c>
      <c r="I84">
        <v>0</v>
      </c>
      <c r="J84">
        <v>0</v>
      </c>
      <c r="K84">
        <v>2.12299919763239E-2</v>
      </c>
      <c r="L84">
        <v>0</v>
      </c>
      <c r="M84">
        <v>0.195855396971371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0.14857392962475399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0.10473772768606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1.0259184641600401E-2</v>
      </c>
      <c r="CA84">
        <v>0</v>
      </c>
      <c r="CB84">
        <v>0.15802897426370699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6.8781737123402506E-2</v>
      </c>
      <c r="CO84">
        <v>0</v>
      </c>
      <c r="CP84">
        <v>0.15385839301274601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0.11282798146374</v>
      </c>
      <c r="DZ84">
        <v>0</v>
      </c>
      <c r="EA84">
        <v>0</v>
      </c>
      <c r="EB84">
        <v>0.153333679138072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0.11111111338663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1.5541176929860401E-2</v>
      </c>
      <c r="GI84">
        <v>0</v>
      </c>
      <c r="GJ84">
        <v>0</v>
      </c>
      <c r="GK84">
        <v>0</v>
      </c>
    </row>
    <row r="85" spans="1:193" x14ac:dyDescent="0.25">
      <c r="A85" t="s">
        <v>267</v>
      </c>
      <c r="B85" t="s">
        <v>777</v>
      </c>
      <c r="C85">
        <v>0</v>
      </c>
      <c r="D85">
        <v>0</v>
      </c>
      <c r="E85">
        <v>0</v>
      </c>
      <c r="F85">
        <v>0</v>
      </c>
      <c r="G85">
        <v>7.7952645575643104E-2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0.166528223462586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0.15491811419583101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8.7781983870613298E-2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</row>
    <row r="86" spans="1:193" x14ac:dyDescent="0.25">
      <c r="A86" t="s">
        <v>267</v>
      </c>
      <c r="B86" t="s">
        <v>776</v>
      </c>
      <c r="C86">
        <v>0</v>
      </c>
      <c r="D86">
        <v>0</v>
      </c>
      <c r="E86">
        <v>0</v>
      </c>
      <c r="F86">
        <v>1.6798706203704501E-2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5.7342951021768201E-2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1.47750462117931E-2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6.3430452216666801E-3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0.117343522128182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0.112510136703816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</row>
    <row r="87" spans="1:193" s="11" customFormat="1" ht="15.75" thickBot="1" x14ac:dyDescent="0.3">
      <c r="A87" s="11" t="s">
        <v>267</v>
      </c>
      <c r="B87" s="11" t="s">
        <v>756</v>
      </c>
      <c r="C87" s="11">
        <v>0</v>
      </c>
      <c r="D87" s="11">
        <v>0</v>
      </c>
      <c r="E87" s="11">
        <v>1.54240964864584E-2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6.4093914839918498E-2</v>
      </c>
      <c r="N87" s="11">
        <v>2.62600233823524E-2</v>
      </c>
      <c r="O87" s="11">
        <v>0.51092729882185595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1.0259184641600401E-2</v>
      </c>
      <c r="CA87" s="11">
        <v>0</v>
      </c>
      <c r="CB87" s="11">
        <v>0</v>
      </c>
      <c r="CC87" s="11">
        <v>0</v>
      </c>
      <c r="CD87" s="11">
        <v>0</v>
      </c>
      <c r="CE87" s="11">
        <v>0</v>
      </c>
      <c r="CF87" s="11">
        <v>0</v>
      </c>
      <c r="CG87" s="11">
        <v>0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0</v>
      </c>
      <c r="CN87" s="11">
        <v>0</v>
      </c>
      <c r="CO87" s="11">
        <v>0</v>
      </c>
      <c r="CP87" s="11">
        <v>0.15385839301274601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0</v>
      </c>
      <c r="DD87" s="11">
        <v>0</v>
      </c>
      <c r="DE87" s="11">
        <v>0</v>
      </c>
      <c r="DF87" s="11">
        <v>0</v>
      </c>
      <c r="DG87" s="11">
        <v>0</v>
      </c>
      <c r="DH87" s="11">
        <v>0</v>
      </c>
      <c r="DI87" s="11">
        <v>0</v>
      </c>
      <c r="DJ87" s="11">
        <v>0</v>
      </c>
      <c r="DK87" s="11">
        <v>0</v>
      </c>
      <c r="DL87" s="11">
        <v>0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0</v>
      </c>
      <c r="DS87" s="11">
        <v>0</v>
      </c>
      <c r="DT87" s="11">
        <v>0</v>
      </c>
      <c r="DU87" s="11">
        <v>0</v>
      </c>
      <c r="DV87" s="11">
        <v>0</v>
      </c>
      <c r="DW87" s="11">
        <v>0</v>
      </c>
      <c r="DX87" s="11">
        <v>0</v>
      </c>
      <c r="DY87" s="11">
        <v>0</v>
      </c>
      <c r="DZ87" s="11">
        <v>0</v>
      </c>
      <c r="EA87" s="11">
        <v>0</v>
      </c>
      <c r="EB87" s="11">
        <v>0</v>
      </c>
      <c r="EC87" s="11">
        <v>0</v>
      </c>
      <c r="ED87" s="11">
        <v>0</v>
      </c>
      <c r="EE87" s="11">
        <v>0</v>
      </c>
      <c r="EF87" s="11">
        <v>0</v>
      </c>
      <c r="EG87" s="11">
        <v>0</v>
      </c>
      <c r="EH87" s="11">
        <v>0</v>
      </c>
      <c r="EI87" s="11">
        <v>0</v>
      </c>
      <c r="EJ87" s="11">
        <v>0</v>
      </c>
      <c r="EK87" s="11">
        <v>0</v>
      </c>
      <c r="EL87" s="11">
        <v>0</v>
      </c>
      <c r="EM87" s="11">
        <v>0</v>
      </c>
      <c r="EN87" s="11">
        <v>0</v>
      </c>
      <c r="EO87" s="11">
        <v>0</v>
      </c>
      <c r="EP87" s="11">
        <v>0</v>
      </c>
      <c r="EQ87" s="11">
        <v>0</v>
      </c>
      <c r="ER87" s="11">
        <v>0</v>
      </c>
      <c r="ES87" s="11">
        <v>0</v>
      </c>
      <c r="ET87" s="11">
        <v>0</v>
      </c>
      <c r="EU87" s="11">
        <v>0</v>
      </c>
      <c r="EV87" s="11">
        <v>0</v>
      </c>
      <c r="EW87" s="11">
        <v>0</v>
      </c>
      <c r="EX87" s="11">
        <v>0</v>
      </c>
      <c r="EY87" s="11">
        <v>0</v>
      </c>
      <c r="EZ87" s="11">
        <v>0</v>
      </c>
      <c r="FA87" s="11">
        <v>0</v>
      </c>
      <c r="FB87" s="11">
        <v>0</v>
      </c>
      <c r="FC87" s="11">
        <v>0</v>
      </c>
      <c r="FD87" s="11">
        <v>0</v>
      </c>
      <c r="FE87" s="11">
        <v>0</v>
      </c>
      <c r="FF87" s="11">
        <v>0</v>
      </c>
      <c r="FG87" s="11">
        <v>0</v>
      </c>
      <c r="FH87" s="11">
        <v>0</v>
      </c>
      <c r="FI87" s="11">
        <v>0</v>
      </c>
      <c r="FJ87" s="11">
        <v>0</v>
      </c>
      <c r="FK87" s="11">
        <v>0</v>
      </c>
      <c r="FL87" s="11">
        <v>0</v>
      </c>
      <c r="FM87" s="11">
        <v>0</v>
      </c>
      <c r="FN87" s="11">
        <v>0</v>
      </c>
      <c r="FO87" s="11">
        <v>0</v>
      </c>
      <c r="FP87" s="11">
        <v>0</v>
      </c>
      <c r="FQ87" s="11">
        <v>0</v>
      </c>
      <c r="FR87" s="11">
        <v>0</v>
      </c>
      <c r="FS87" s="11">
        <v>1.28943676002097E-2</v>
      </c>
      <c r="FT87" s="11">
        <v>0</v>
      </c>
      <c r="FU87" s="11">
        <v>0</v>
      </c>
      <c r="FV87" s="11">
        <v>0</v>
      </c>
      <c r="FW87" s="11">
        <v>0</v>
      </c>
      <c r="FX87" s="11">
        <v>0</v>
      </c>
      <c r="FY87" s="11">
        <v>0</v>
      </c>
      <c r="FZ87" s="11">
        <v>0</v>
      </c>
      <c r="GA87" s="11">
        <v>0</v>
      </c>
      <c r="GB87" s="11">
        <v>0</v>
      </c>
      <c r="GC87" s="11">
        <v>0</v>
      </c>
      <c r="GD87" s="11">
        <v>0</v>
      </c>
      <c r="GE87" s="11">
        <v>0</v>
      </c>
      <c r="GF87" s="11">
        <v>0</v>
      </c>
      <c r="GG87" s="11">
        <v>0</v>
      </c>
      <c r="GH87" s="11">
        <v>0</v>
      </c>
      <c r="GI87" s="11">
        <v>0</v>
      </c>
      <c r="GJ87" s="11">
        <v>0</v>
      </c>
      <c r="GK87" s="11">
        <v>0</v>
      </c>
    </row>
    <row r="89" spans="1:193" x14ac:dyDescent="0.25">
      <c r="A89" s="231" t="s">
        <v>81</v>
      </c>
      <c r="B89" s="231"/>
      <c r="C89">
        <f>AVERAGE(C2:C87)</f>
        <v>-0.43889811969938797</v>
      </c>
      <c r="D89">
        <f t="shared" ref="D89:BO89" si="0">AVERAGE(D2:D87)</f>
        <v>-0.33914011605840821</v>
      </c>
      <c r="E89">
        <f t="shared" si="0"/>
        <v>0.17643488490293008</v>
      </c>
      <c r="F89">
        <f t="shared" si="0"/>
        <v>0.11123289831373705</v>
      </c>
      <c r="G89">
        <f t="shared" si="0"/>
        <v>3.9686443411013482E-2</v>
      </c>
      <c r="H89">
        <f t="shared" si="0"/>
        <v>1.1618081604857763E-2</v>
      </c>
      <c r="I89">
        <f t="shared" si="0"/>
        <v>0.16331006968174178</v>
      </c>
      <c r="J89">
        <f t="shared" si="0"/>
        <v>0.19668534442572894</v>
      </c>
      <c r="K89">
        <f t="shared" si="0"/>
        <v>0.23660536606147853</v>
      </c>
      <c r="L89">
        <f t="shared" si="0"/>
        <v>2.3975900272086854E-2</v>
      </c>
      <c r="M89">
        <f t="shared" si="0"/>
        <v>-0.52966283449672291</v>
      </c>
      <c r="N89">
        <f t="shared" si="0"/>
        <v>-0.52866961355058262</v>
      </c>
      <c r="O89">
        <f t="shared" si="0"/>
        <v>-0.18492203713506689</v>
      </c>
      <c r="P89">
        <f t="shared" si="0"/>
        <v>8.1827465936189211E-2</v>
      </c>
      <c r="Q89">
        <f t="shared" si="0"/>
        <v>7.2601344437691603E-2</v>
      </c>
      <c r="R89">
        <f t="shared" si="0"/>
        <v>7.6171179682716167E-2</v>
      </c>
      <c r="S89">
        <f t="shared" si="0"/>
        <v>8.2854270995656801E-2</v>
      </c>
      <c r="T89">
        <f t="shared" si="0"/>
        <v>0.10528670382784511</v>
      </c>
      <c r="U89">
        <f t="shared" si="0"/>
        <v>7.2846160860740042E-2</v>
      </c>
      <c r="V89">
        <f t="shared" si="0"/>
        <v>0.11394252778313251</v>
      </c>
      <c r="W89">
        <f t="shared" si="0"/>
        <v>9.0832609515668003E-2</v>
      </c>
      <c r="X89">
        <f t="shared" si="0"/>
        <v>0.11796667605274586</v>
      </c>
      <c r="Y89">
        <f t="shared" si="0"/>
        <v>5.4064411765510238E-2</v>
      </c>
      <c r="Z89">
        <f t="shared" si="0"/>
        <v>0.10951989437665084</v>
      </c>
      <c r="AA89">
        <f t="shared" si="0"/>
        <v>1.5381873509124835E-2</v>
      </c>
      <c r="AB89">
        <f t="shared" si="0"/>
        <v>0.12649314544946547</v>
      </c>
      <c r="AC89">
        <f t="shared" si="0"/>
        <v>0.14273362450885196</v>
      </c>
      <c r="AD89">
        <f t="shared" si="0"/>
        <v>0.13604111497665672</v>
      </c>
      <c r="AE89">
        <f t="shared" si="0"/>
        <v>0.11399532706809956</v>
      </c>
      <c r="AF89">
        <f t="shared" si="0"/>
        <v>0.10319247219910123</v>
      </c>
      <c r="AG89">
        <f t="shared" si="0"/>
        <v>0.11743026382563229</v>
      </c>
      <c r="AH89">
        <f t="shared" si="0"/>
        <v>0.11677438330353203</v>
      </c>
      <c r="AI89">
        <f t="shared" si="0"/>
        <v>0.14731488916002275</v>
      </c>
      <c r="AJ89">
        <f t="shared" si="0"/>
        <v>0.10221821034928018</v>
      </c>
      <c r="AK89">
        <f t="shared" si="0"/>
        <v>0.11136622110425386</v>
      </c>
      <c r="AL89">
        <f t="shared" si="0"/>
        <v>9.3865538991283512E-2</v>
      </c>
      <c r="AM89">
        <f t="shared" si="0"/>
        <v>0.13880614768238403</v>
      </c>
      <c r="AN89">
        <f t="shared" si="0"/>
        <v>0.11016202836284146</v>
      </c>
      <c r="AO89">
        <f t="shared" si="0"/>
        <v>0.13371714323905964</v>
      </c>
      <c r="AP89">
        <f t="shared" si="0"/>
        <v>7.4182655847327181E-2</v>
      </c>
      <c r="AQ89">
        <f t="shared" si="0"/>
        <v>0.11239431799873535</v>
      </c>
      <c r="AR89">
        <f t="shared" si="0"/>
        <v>0.13015580348191866</v>
      </c>
      <c r="AS89">
        <f t="shared" si="0"/>
        <v>0.13710376534912336</v>
      </c>
      <c r="AT89">
        <f t="shared" si="0"/>
        <v>6.941992258140775E-2</v>
      </c>
      <c r="AU89">
        <f t="shared" si="0"/>
        <v>0.10162935158175403</v>
      </c>
      <c r="AV89">
        <f t="shared" si="0"/>
        <v>5.4699070694525405E-2</v>
      </c>
      <c r="AW89">
        <f t="shared" si="0"/>
        <v>3.540094474364875E-2</v>
      </c>
      <c r="AX89">
        <f t="shared" si="0"/>
        <v>7.6622706207446545E-2</v>
      </c>
      <c r="AY89">
        <f t="shared" si="0"/>
        <v>8.7195829359005841E-2</v>
      </c>
      <c r="AZ89">
        <f t="shared" si="0"/>
        <v>8.6708160219238231E-2</v>
      </c>
      <c r="BA89">
        <f t="shared" si="0"/>
        <v>0.11790410947344535</v>
      </c>
      <c r="BB89">
        <f t="shared" si="0"/>
        <v>0.11286044757299481</v>
      </c>
      <c r="BC89">
        <f t="shared" si="0"/>
        <v>9.6717849871336886E-2</v>
      </c>
      <c r="BD89">
        <f t="shared" si="0"/>
        <v>8.4741548756559093E-2</v>
      </c>
      <c r="BE89">
        <f t="shared" si="0"/>
        <v>7.098635230578032E-2</v>
      </c>
      <c r="BF89">
        <f t="shared" si="0"/>
        <v>7.0452826663706961E-2</v>
      </c>
      <c r="BG89">
        <f t="shared" si="0"/>
        <v>9.3652744497496665E-2</v>
      </c>
      <c r="BH89">
        <f t="shared" si="0"/>
        <v>9.2326917292700067E-2</v>
      </c>
      <c r="BI89">
        <f t="shared" si="0"/>
        <v>0.10363192463798052</v>
      </c>
      <c r="BJ89">
        <f t="shared" si="0"/>
        <v>0.14433071616185403</v>
      </c>
      <c r="BK89">
        <f t="shared" si="0"/>
        <v>0.10753163499359536</v>
      </c>
      <c r="BL89">
        <f t="shared" si="0"/>
        <v>0.14043633361273519</v>
      </c>
      <c r="BM89">
        <f t="shared" si="0"/>
        <v>9.650883562891531E-2</v>
      </c>
      <c r="BN89">
        <f t="shared" si="0"/>
        <v>0.13605824133649957</v>
      </c>
      <c r="BO89">
        <f t="shared" si="0"/>
        <v>0.10888685607989912</v>
      </c>
      <c r="BP89">
        <f t="shared" ref="BP89:EA89" si="1">AVERAGE(BP2:BP87)</f>
        <v>0.11557207110515247</v>
      </c>
      <c r="BQ89">
        <f t="shared" si="1"/>
        <v>0.11099408727156709</v>
      </c>
      <c r="BR89">
        <f t="shared" si="1"/>
        <v>0.11206683770755486</v>
      </c>
      <c r="BS89">
        <f t="shared" si="1"/>
        <v>0.34766500656912674</v>
      </c>
      <c r="BT89">
        <f t="shared" si="1"/>
        <v>0.35119403546713762</v>
      </c>
      <c r="BU89">
        <f t="shared" si="1"/>
        <v>0.35315385612869704</v>
      </c>
      <c r="BV89">
        <f t="shared" si="1"/>
        <v>0.28248765963566397</v>
      </c>
      <c r="BW89">
        <f t="shared" si="1"/>
        <v>0.37293413021190092</v>
      </c>
      <c r="BX89">
        <f t="shared" si="1"/>
        <v>0.2981335441478089</v>
      </c>
      <c r="BY89">
        <f t="shared" si="1"/>
        <v>0.36576126683514143</v>
      </c>
      <c r="BZ89">
        <f t="shared" si="1"/>
        <v>0.2792308380119613</v>
      </c>
      <c r="CA89">
        <f t="shared" si="1"/>
        <v>0.34867358557022338</v>
      </c>
      <c r="CB89">
        <f t="shared" si="1"/>
        <v>9.0232352325365486E-2</v>
      </c>
      <c r="CC89">
        <f t="shared" si="1"/>
        <v>8.6648586703876762E-2</v>
      </c>
      <c r="CD89">
        <f t="shared" si="1"/>
        <v>3.8846452840247576E-2</v>
      </c>
      <c r="CE89">
        <f t="shared" si="1"/>
        <v>6.2749045610724238E-2</v>
      </c>
      <c r="CF89">
        <f t="shared" si="1"/>
        <v>7.349540668351888E-2</v>
      </c>
      <c r="CG89">
        <f t="shared" si="1"/>
        <v>2.6985470311471284E-2</v>
      </c>
      <c r="CH89">
        <f t="shared" si="1"/>
        <v>6.1982208208115411E-2</v>
      </c>
      <c r="CI89">
        <f t="shared" si="1"/>
        <v>0.10610935580770765</v>
      </c>
      <c r="CJ89">
        <f t="shared" si="1"/>
        <v>8.8101584851085546E-2</v>
      </c>
      <c r="CK89">
        <f t="shared" si="1"/>
        <v>7.4028846500476045E-2</v>
      </c>
      <c r="CL89">
        <f t="shared" si="1"/>
        <v>5.9967408085252923E-2</v>
      </c>
      <c r="CM89">
        <f t="shared" si="1"/>
        <v>7.1845825484548376E-2</v>
      </c>
      <c r="CN89">
        <f t="shared" si="1"/>
        <v>0.10661254013344833</v>
      </c>
      <c r="CO89">
        <f t="shared" si="1"/>
        <v>4.9886577019186404E-2</v>
      </c>
      <c r="CP89">
        <f t="shared" si="1"/>
        <v>6.7773573007778545E-2</v>
      </c>
      <c r="CQ89">
        <f t="shared" si="1"/>
        <v>8.8244168362486358E-2</v>
      </c>
      <c r="CR89">
        <f t="shared" si="1"/>
        <v>3.6731932286029778E-2</v>
      </c>
      <c r="CS89">
        <f t="shared" si="1"/>
        <v>3.0313597182649057E-2</v>
      </c>
      <c r="CT89">
        <f t="shared" si="1"/>
        <v>4.7531721030515318E-2</v>
      </c>
      <c r="CU89">
        <f t="shared" si="1"/>
        <v>5.2028157106948171E-2</v>
      </c>
      <c r="CV89">
        <f t="shared" si="1"/>
        <v>6.4702930596037142E-2</v>
      </c>
      <c r="CW89">
        <f t="shared" si="1"/>
        <v>2.3829530416401092E-2</v>
      </c>
      <c r="CX89">
        <f t="shared" si="1"/>
        <v>4.7254673799522945E-2</v>
      </c>
      <c r="CY89">
        <f t="shared" si="1"/>
        <v>3.968078739736184E-2</v>
      </c>
      <c r="CZ89">
        <f t="shared" si="1"/>
        <v>0.16874817966889455</v>
      </c>
      <c r="DA89">
        <f t="shared" si="1"/>
        <v>6.7379885237845424E-2</v>
      </c>
      <c r="DB89">
        <f t="shared" si="1"/>
        <v>1.7498046668877668E-2</v>
      </c>
      <c r="DC89">
        <f t="shared" si="1"/>
        <v>4.3560691078514673E-2</v>
      </c>
      <c r="DD89">
        <f t="shared" si="1"/>
        <v>2.3248116262730475E-2</v>
      </c>
      <c r="DE89">
        <f t="shared" si="1"/>
        <v>2.7014422142398568E-2</v>
      </c>
      <c r="DF89">
        <f t="shared" si="1"/>
        <v>1.8884225966267629E-2</v>
      </c>
      <c r="DG89">
        <f t="shared" si="1"/>
        <v>1.1756737983577714E-2</v>
      </c>
      <c r="DH89">
        <f t="shared" si="1"/>
        <v>-4.4418602051690549E-2</v>
      </c>
      <c r="DI89">
        <f t="shared" si="1"/>
        <v>-2.9535504598906189E-2</v>
      </c>
      <c r="DJ89">
        <f t="shared" si="1"/>
        <v>-1.0802627111532926E-2</v>
      </c>
      <c r="DK89">
        <f t="shared" si="1"/>
        <v>-8.5102690956544019E-3</v>
      </c>
      <c r="DL89">
        <f t="shared" si="1"/>
        <v>3.1375190546350538E-2</v>
      </c>
      <c r="DM89">
        <f t="shared" si="1"/>
        <v>-5.862379336567052E-3</v>
      </c>
      <c r="DN89">
        <f t="shared" si="1"/>
        <v>1.8320814687222079E-3</v>
      </c>
      <c r="DO89">
        <f t="shared" si="1"/>
        <v>4.7308362728510488E-2</v>
      </c>
      <c r="DP89">
        <f t="shared" si="1"/>
        <v>7.3894263216964656E-3</v>
      </c>
      <c r="DQ89">
        <f t="shared" si="1"/>
        <v>2.5347011085218252E-2</v>
      </c>
      <c r="DR89">
        <f t="shared" si="1"/>
        <v>4.7423546783516041E-2</v>
      </c>
      <c r="DS89">
        <f t="shared" si="1"/>
        <v>-3.004230629705984E-2</v>
      </c>
      <c r="DT89">
        <f t="shared" si="1"/>
        <v>3.2075533412179336E-2</v>
      </c>
      <c r="DU89">
        <f t="shared" si="1"/>
        <v>-3.1767974823463342E-3</v>
      </c>
      <c r="DV89">
        <f t="shared" si="1"/>
        <v>6.7082141830880487E-3</v>
      </c>
      <c r="DW89">
        <f t="shared" si="1"/>
        <v>5.0501409876116739E-2</v>
      </c>
      <c r="DX89">
        <f t="shared" si="1"/>
        <v>2.3270964932954778E-2</v>
      </c>
      <c r="DY89">
        <f t="shared" si="1"/>
        <v>2.2296964180963368E-2</v>
      </c>
      <c r="DZ89">
        <f t="shared" si="1"/>
        <v>2.3741028933556133E-2</v>
      </c>
      <c r="EA89">
        <f t="shared" si="1"/>
        <v>1.945209655454044E-2</v>
      </c>
      <c r="EB89">
        <f t="shared" ref="EB89:GK89" si="2">AVERAGE(EB2:EB87)</f>
        <v>2.140774874871362E-2</v>
      </c>
      <c r="EC89">
        <f t="shared" si="2"/>
        <v>-2.5865903698775804E-2</v>
      </c>
      <c r="ED89">
        <f t="shared" si="2"/>
        <v>5.901111068021634E-2</v>
      </c>
      <c r="EE89">
        <f t="shared" si="2"/>
        <v>2.3794380911504296E-2</v>
      </c>
      <c r="EF89">
        <f t="shared" si="2"/>
        <v>2.7726977874340437E-2</v>
      </c>
      <c r="EG89">
        <f t="shared" si="2"/>
        <v>6.6524679609400686E-2</v>
      </c>
      <c r="EH89">
        <f t="shared" si="2"/>
        <v>-8.2583662060090671E-3</v>
      </c>
      <c r="EI89">
        <f t="shared" si="2"/>
        <v>2.9062689883066532E-2</v>
      </c>
      <c r="EJ89">
        <f t="shared" si="2"/>
        <v>3.3528882113177241E-2</v>
      </c>
      <c r="EK89">
        <f t="shared" si="2"/>
        <v>9.648564283111799E-2</v>
      </c>
      <c r="EL89">
        <f t="shared" si="2"/>
        <v>5.9407147365065291E-2</v>
      </c>
      <c r="EM89">
        <f t="shared" si="2"/>
        <v>5.5255708438375462E-2</v>
      </c>
      <c r="EN89">
        <f t="shared" si="2"/>
        <v>0.16873985812093986</v>
      </c>
      <c r="EO89">
        <f t="shared" si="2"/>
        <v>7.0778432591340118E-2</v>
      </c>
      <c r="EP89">
        <f t="shared" si="2"/>
        <v>7.01596027304177E-2</v>
      </c>
      <c r="EQ89">
        <f t="shared" si="2"/>
        <v>8.4253961349339615E-2</v>
      </c>
      <c r="ER89">
        <f t="shared" si="2"/>
        <v>8.8259816484153791E-2</v>
      </c>
      <c r="ES89">
        <f t="shared" si="2"/>
        <v>2.4342906732803427E-2</v>
      </c>
      <c r="ET89">
        <f t="shared" si="2"/>
        <v>6.068390774789275E-2</v>
      </c>
      <c r="EU89">
        <f t="shared" si="2"/>
        <v>6.0913564145055686E-2</v>
      </c>
      <c r="EV89">
        <f t="shared" si="2"/>
        <v>5.2173288565596172E-2</v>
      </c>
      <c r="EW89">
        <f t="shared" si="2"/>
        <v>8.6672920612950552E-2</v>
      </c>
      <c r="EX89">
        <f t="shared" si="2"/>
        <v>6.6035561229814549E-2</v>
      </c>
      <c r="EY89">
        <f t="shared" si="2"/>
        <v>7.7418221247495062E-2</v>
      </c>
      <c r="EZ89">
        <f t="shared" si="2"/>
        <v>5.7525639015995597E-2</v>
      </c>
      <c r="FA89">
        <f t="shared" si="2"/>
        <v>5.8037256713835993E-2</v>
      </c>
      <c r="FB89">
        <f t="shared" si="2"/>
        <v>6.4375334009110011E-2</v>
      </c>
      <c r="FC89">
        <f t="shared" si="2"/>
        <v>8.3856081991437834E-2</v>
      </c>
      <c r="FD89">
        <f t="shared" si="2"/>
        <v>8.2970347290668975E-2</v>
      </c>
      <c r="FE89">
        <f t="shared" si="2"/>
        <v>6.7159349926580722E-2</v>
      </c>
      <c r="FF89">
        <f t="shared" si="2"/>
        <v>5.8758401222180366E-2</v>
      </c>
      <c r="FG89">
        <f t="shared" si="2"/>
        <v>6.7984514726271303E-2</v>
      </c>
      <c r="FH89">
        <f t="shared" si="2"/>
        <v>8.5069129678050942E-2</v>
      </c>
      <c r="FI89">
        <f t="shared" si="2"/>
        <v>9.3987740125597685E-2</v>
      </c>
      <c r="FJ89">
        <f t="shared" si="2"/>
        <v>8.8493609619996888E-2</v>
      </c>
      <c r="FK89">
        <f t="shared" si="2"/>
        <v>7.1764152927475205E-2</v>
      </c>
      <c r="FL89">
        <f t="shared" si="2"/>
        <v>0.11812792312655786</v>
      </c>
      <c r="FM89">
        <f t="shared" si="2"/>
        <v>5.3516004936085021E-2</v>
      </c>
      <c r="FN89">
        <f t="shared" si="2"/>
        <v>7.796994433558227E-2</v>
      </c>
      <c r="FO89">
        <f t="shared" si="2"/>
        <v>6.2630634193307749E-2</v>
      </c>
      <c r="FP89">
        <f t="shared" si="2"/>
        <v>8.3339847132371678E-2</v>
      </c>
      <c r="FQ89">
        <f t="shared" si="2"/>
        <v>6.108243519405316E-2</v>
      </c>
      <c r="FR89">
        <f t="shared" si="2"/>
        <v>8.46643479099944E-2</v>
      </c>
      <c r="FS89">
        <f t="shared" si="2"/>
        <v>9.9743426104382152E-2</v>
      </c>
      <c r="FT89">
        <f t="shared" si="2"/>
        <v>0.1021246342442768</v>
      </c>
      <c r="FU89">
        <f t="shared" si="2"/>
        <v>8.3128013718311647E-2</v>
      </c>
      <c r="FV89">
        <f t="shared" si="2"/>
        <v>0.11765062338797116</v>
      </c>
      <c r="FW89">
        <f t="shared" si="2"/>
        <v>9.0286108741354551E-2</v>
      </c>
      <c r="FX89">
        <f t="shared" si="2"/>
        <v>4.6503466245793705E-2</v>
      </c>
      <c r="FY89">
        <f t="shared" si="2"/>
        <v>5.3230636094223939E-2</v>
      </c>
      <c r="FZ89">
        <f t="shared" si="2"/>
        <v>4.0121281825746362E-2</v>
      </c>
      <c r="GA89">
        <f t="shared" si="2"/>
        <v>5.628185986032691E-2</v>
      </c>
      <c r="GB89">
        <f t="shared" si="2"/>
        <v>4.4223640636765288E-2</v>
      </c>
      <c r="GC89">
        <f t="shared" si="2"/>
        <v>7.1024861775328116E-2</v>
      </c>
      <c r="GD89">
        <f t="shared" si="2"/>
        <v>5.9850065503158786E-2</v>
      </c>
      <c r="GE89">
        <f t="shared" si="2"/>
        <v>5.8052854284729241E-2</v>
      </c>
      <c r="GF89">
        <f t="shared" si="2"/>
        <v>7.8415934377447413E-2</v>
      </c>
      <c r="GG89">
        <f t="shared" si="2"/>
        <v>9.6796764554150427E-2</v>
      </c>
      <c r="GH89">
        <f t="shared" si="2"/>
        <v>6.9141986262651167E-2</v>
      </c>
      <c r="GI89">
        <f t="shared" si="2"/>
        <v>8.2883081543389261E-2</v>
      </c>
      <c r="GJ89">
        <f t="shared" si="2"/>
        <v>7.8991006686951915E-2</v>
      </c>
      <c r="GK89">
        <f t="shared" si="2"/>
        <v>8.5663851186787987E-2</v>
      </c>
    </row>
    <row r="90" spans="1:193" x14ac:dyDescent="0.25">
      <c r="A90" s="231" t="s">
        <v>262</v>
      </c>
      <c r="B90" s="231"/>
      <c r="C90">
        <f>AVERAGE(C32:C56)</f>
        <v>-0.49730172797189864</v>
      </c>
      <c r="D90">
        <f t="shared" ref="D90:BO90" si="3">AVERAGE(D32:D56)</f>
        <v>-0.25629847856105936</v>
      </c>
      <c r="E90">
        <f t="shared" si="3"/>
        <v>0.47848702178319158</v>
      </c>
      <c r="F90">
        <f t="shared" si="3"/>
        <v>0.30279029274403618</v>
      </c>
      <c r="G90">
        <f t="shared" si="3"/>
        <v>7.0104313159150514E-2</v>
      </c>
      <c r="H90">
        <f t="shared" si="3"/>
        <v>7.7051793220787118E-2</v>
      </c>
      <c r="I90">
        <f t="shared" si="3"/>
        <v>0.46650384727236593</v>
      </c>
      <c r="J90">
        <f t="shared" si="3"/>
        <v>0.5484787217958258</v>
      </c>
      <c r="K90">
        <f t="shared" si="3"/>
        <v>0.66849027543551887</v>
      </c>
      <c r="L90">
        <f t="shared" si="3"/>
        <v>4.2587875598372266E-2</v>
      </c>
      <c r="M90">
        <f t="shared" si="3"/>
        <v>-0.57988084997980627</v>
      </c>
      <c r="N90">
        <f t="shared" si="3"/>
        <v>-0.60733766793693489</v>
      </c>
      <c r="O90">
        <f t="shared" si="3"/>
        <v>-0.11999704205581939</v>
      </c>
      <c r="P90">
        <f t="shared" si="3"/>
        <v>5.5980213440223039E-2</v>
      </c>
      <c r="Q90">
        <f t="shared" si="3"/>
        <v>9.9659436913799734E-2</v>
      </c>
      <c r="R90">
        <f t="shared" si="3"/>
        <v>0.12637748362567217</v>
      </c>
      <c r="S90">
        <f t="shared" si="3"/>
        <v>0.11425163903692746</v>
      </c>
      <c r="T90">
        <f t="shared" si="3"/>
        <v>0.11363606005436173</v>
      </c>
      <c r="U90">
        <f t="shared" si="3"/>
        <v>5.8214027242065453E-2</v>
      </c>
      <c r="V90">
        <f t="shared" si="3"/>
        <v>6.6572662138848313E-2</v>
      </c>
      <c r="W90">
        <f t="shared" si="3"/>
        <v>0.10723868756740206</v>
      </c>
      <c r="X90">
        <f t="shared" si="3"/>
        <v>0.10591130247260533</v>
      </c>
      <c r="Y90">
        <f t="shared" si="3"/>
        <v>6.7990601718184482E-2</v>
      </c>
      <c r="Z90">
        <f t="shared" si="3"/>
        <v>0.17718740618550918</v>
      </c>
      <c r="AA90">
        <f t="shared" si="3"/>
        <v>4.7691898548322183E-2</v>
      </c>
      <c r="AB90">
        <f t="shared" si="3"/>
        <v>9.156165363263423E-2</v>
      </c>
      <c r="AC90">
        <f t="shared" si="3"/>
        <v>0.1281575590614572</v>
      </c>
      <c r="AD90">
        <f t="shared" si="3"/>
        <v>0.12297526946750835</v>
      </c>
      <c r="AE90">
        <f t="shared" si="3"/>
        <v>7.1612038041769285E-2</v>
      </c>
      <c r="AF90">
        <f t="shared" si="3"/>
        <v>0.10276550450477626</v>
      </c>
      <c r="AG90">
        <f t="shared" si="3"/>
        <v>8.5550222088837599E-2</v>
      </c>
      <c r="AH90">
        <f t="shared" si="3"/>
        <v>9.3726681095055095E-2</v>
      </c>
      <c r="AI90">
        <f t="shared" si="3"/>
        <v>0.12969468181825172</v>
      </c>
      <c r="AJ90">
        <f t="shared" si="3"/>
        <v>9.6958741406942051E-2</v>
      </c>
      <c r="AK90">
        <f t="shared" si="3"/>
        <v>0.12694791001622691</v>
      </c>
      <c r="AL90">
        <f t="shared" si="3"/>
        <v>9.7991854518094806E-2</v>
      </c>
      <c r="AM90">
        <f t="shared" si="3"/>
        <v>9.8687618465215815E-2</v>
      </c>
      <c r="AN90">
        <f t="shared" si="3"/>
        <v>0.10045488672886965</v>
      </c>
      <c r="AO90">
        <f t="shared" si="3"/>
        <v>0.12065353054870721</v>
      </c>
      <c r="AP90">
        <f t="shared" si="3"/>
        <v>0.11036047012312075</v>
      </c>
      <c r="AQ90">
        <f t="shared" si="3"/>
        <v>0.10915386319888691</v>
      </c>
      <c r="AR90">
        <f t="shared" si="3"/>
        <v>6.6794045519014716E-2</v>
      </c>
      <c r="AS90">
        <f t="shared" si="3"/>
        <v>0.15646867894155234</v>
      </c>
      <c r="AT90">
        <f t="shared" si="3"/>
        <v>8.0921961640607928E-2</v>
      </c>
      <c r="AU90">
        <f t="shared" si="3"/>
        <v>0.13586038279576501</v>
      </c>
      <c r="AV90">
        <f t="shared" si="3"/>
        <v>7.9548155365140455E-2</v>
      </c>
      <c r="AW90">
        <f t="shared" si="3"/>
        <v>6.6768278287010818E-2</v>
      </c>
      <c r="AX90">
        <f t="shared" si="3"/>
        <v>0.10327207228198391</v>
      </c>
      <c r="AY90">
        <f t="shared" si="3"/>
        <v>9.5670023990157865E-2</v>
      </c>
      <c r="AZ90">
        <f t="shared" si="3"/>
        <v>7.7660619204901471E-2</v>
      </c>
      <c r="BA90">
        <f t="shared" si="3"/>
        <v>0.11448075290151805</v>
      </c>
      <c r="BB90">
        <f t="shared" si="3"/>
        <v>7.7015945930245883E-2</v>
      </c>
      <c r="BC90">
        <f t="shared" si="3"/>
        <v>8.6019815208133746E-2</v>
      </c>
      <c r="BD90">
        <f t="shared" si="3"/>
        <v>5.4880762057714971E-2</v>
      </c>
      <c r="BE90">
        <f t="shared" si="3"/>
        <v>9.967027881543683E-2</v>
      </c>
      <c r="BF90">
        <f t="shared" si="3"/>
        <v>2.346246884458645E-2</v>
      </c>
      <c r="BG90">
        <f t="shared" si="3"/>
        <v>8.0626676827842192E-2</v>
      </c>
      <c r="BH90">
        <f t="shared" si="3"/>
        <v>0.10342795903095162</v>
      </c>
      <c r="BI90">
        <f t="shared" si="3"/>
        <v>9.0507238076224378E-2</v>
      </c>
      <c r="BJ90">
        <f t="shared" si="3"/>
        <v>0.10566002895138124</v>
      </c>
      <c r="BK90">
        <f t="shared" si="3"/>
        <v>6.7812518999799551E-2</v>
      </c>
      <c r="BL90">
        <f t="shared" si="3"/>
        <v>9.7748136270943545E-2</v>
      </c>
      <c r="BM90">
        <f t="shared" si="3"/>
        <v>0.10275708067980441</v>
      </c>
      <c r="BN90">
        <f t="shared" si="3"/>
        <v>0.1214719048814667</v>
      </c>
      <c r="BO90">
        <f t="shared" si="3"/>
        <v>0.12989357405111476</v>
      </c>
      <c r="BP90">
        <f t="shared" ref="BP90:EA90" si="4">AVERAGE(BP32:BP56)</f>
        <v>0.12150405230859616</v>
      </c>
      <c r="BQ90">
        <f t="shared" si="4"/>
        <v>8.3050118731804901E-2</v>
      </c>
      <c r="BR90">
        <f t="shared" si="4"/>
        <v>6.5771543068418523E-2</v>
      </c>
      <c r="BS90">
        <f t="shared" si="4"/>
        <v>0.58629560244962431</v>
      </c>
      <c r="BT90">
        <f t="shared" si="4"/>
        <v>0.66538441195395093</v>
      </c>
      <c r="BU90">
        <f t="shared" si="4"/>
        <v>0.72928354324369205</v>
      </c>
      <c r="BV90">
        <f t="shared" si="4"/>
        <v>0.52605563715811154</v>
      </c>
      <c r="BW90">
        <f t="shared" si="4"/>
        <v>0.7173610202203925</v>
      </c>
      <c r="BX90">
        <f t="shared" si="4"/>
        <v>0.52948692963155053</v>
      </c>
      <c r="BY90">
        <f t="shared" si="4"/>
        <v>0.71043860183086094</v>
      </c>
      <c r="BZ90">
        <f t="shared" si="4"/>
        <v>0.44739691035001522</v>
      </c>
      <c r="CA90">
        <f t="shared" si="4"/>
        <v>0.59017044436894506</v>
      </c>
      <c r="CB90">
        <f t="shared" si="4"/>
        <v>6.2890131697911966E-2</v>
      </c>
      <c r="CC90">
        <f t="shared" si="4"/>
        <v>6.2538876583125236E-2</v>
      </c>
      <c r="CD90">
        <f t="shared" si="4"/>
        <v>5.3446482418062227E-2</v>
      </c>
      <c r="CE90">
        <f t="shared" si="4"/>
        <v>5.1255445603693453E-2</v>
      </c>
      <c r="CF90">
        <f t="shared" si="4"/>
        <v>5.0348428311493991E-2</v>
      </c>
      <c r="CG90">
        <f t="shared" si="4"/>
        <v>-5.8577045203520245E-4</v>
      </c>
      <c r="CH90">
        <f t="shared" si="4"/>
        <v>4.5490379431696822E-2</v>
      </c>
      <c r="CI90">
        <f t="shared" si="4"/>
        <v>9.2119557473739913E-2</v>
      </c>
      <c r="CJ90">
        <f t="shared" si="4"/>
        <v>6.0550818979672752E-2</v>
      </c>
      <c r="CK90">
        <f t="shared" si="4"/>
        <v>4.4157142020572034E-2</v>
      </c>
      <c r="CL90">
        <f t="shared" si="4"/>
        <v>4.6186480972764732E-2</v>
      </c>
      <c r="CM90">
        <f t="shared" si="4"/>
        <v>3.1474690842118867E-2</v>
      </c>
      <c r="CN90">
        <f t="shared" si="4"/>
        <v>0.10287885225849966</v>
      </c>
      <c r="CO90">
        <f t="shared" si="4"/>
        <v>2.204070241799632E-2</v>
      </c>
      <c r="CP90">
        <f t="shared" si="4"/>
        <v>5.2486234963642048E-2</v>
      </c>
      <c r="CQ90">
        <f t="shared" si="4"/>
        <v>8.939783746820236E-2</v>
      </c>
      <c r="CR90">
        <f t="shared" si="4"/>
        <v>6.4319994283535437E-2</v>
      </c>
      <c r="CS90">
        <f t="shared" si="4"/>
        <v>5.0386370573725088E-2</v>
      </c>
      <c r="CT90">
        <f t="shared" si="4"/>
        <v>7.5106424998603372E-2</v>
      </c>
      <c r="CU90">
        <f t="shared" si="4"/>
        <v>6.1753496412838907E-2</v>
      </c>
      <c r="CV90">
        <f t="shared" si="4"/>
        <v>6.9110252919582588E-2</v>
      </c>
      <c r="CW90">
        <f t="shared" si="4"/>
        <v>-3.8068478715398814E-3</v>
      </c>
      <c r="CX90">
        <f t="shared" si="4"/>
        <v>6.0565321185201387E-2</v>
      </c>
      <c r="CY90">
        <f t="shared" si="4"/>
        <v>-3.8266175468021023E-3</v>
      </c>
      <c r="CZ90">
        <f t="shared" si="4"/>
        <v>0.19139477512287409</v>
      </c>
      <c r="DA90">
        <f t="shared" si="4"/>
        <v>2.0644138409463081E-2</v>
      </c>
      <c r="DB90">
        <f t="shared" si="4"/>
        <v>-2.3357774687196707E-2</v>
      </c>
      <c r="DC90">
        <f t="shared" si="4"/>
        <v>4.8119114336348627E-2</v>
      </c>
      <c r="DD90">
        <f t="shared" si="4"/>
        <v>3.9110863528110655E-2</v>
      </c>
      <c r="DE90">
        <f t="shared" si="4"/>
        <v>3.6735917326293811E-2</v>
      </c>
      <c r="DF90">
        <f t="shared" si="4"/>
        <v>4.7268925940548358E-2</v>
      </c>
      <c r="DG90">
        <f t="shared" si="4"/>
        <v>2.1666705574394683E-2</v>
      </c>
      <c r="DH90">
        <f t="shared" si="4"/>
        <v>-9.0066710553193804E-2</v>
      </c>
      <c r="DI90">
        <f t="shared" si="4"/>
        <v>1.1913457074316919E-2</v>
      </c>
      <c r="DJ90">
        <f t="shared" si="4"/>
        <v>6.3722142039149596E-2</v>
      </c>
      <c r="DK90">
        <f t="shared" si="4"/>
        <v>1.1733244613210833E-2</v>
      </c>
      <c r="DL90">
        <f t="shared" si="4"/>
        <v>2.1671265699293864E-2</v>
      </c>
      <c r="DM90">
        <f t="shared" si="4"/>
        <v>-1.8394342971513645E-2</v>
      </c>
      <c r="DN90">
        <f t="shared" si="4"/>
        <v>-3.6336264213606563E-2</v>
      </c>
      <c r="DO90">
        <f t="shared" si="4"/>
        <v>1.9795968393290817E-2</v>
      </c>
      <c r="DP90">
        <f t="shared" si="4"/>
        <v>2.335404554868686E-2</v>
      </c>
      <c r="DQ90">
        <f t="shared" si="4"/>
        <v>1.635941884098243E-2</v>
      </c>
      <c r="DR90">
        <f t="shared" si="4"/>
        <v>5.0188969802873878E-2</v>
      </c>
      <c r="DS90">
        <f t="shared" si="4"/>
        <v>-3.4095265385913252E-2</v>
      </c>
      <c r="DT90">
        <f t="shared" si="4"/>
        <v>1.9117844093340421E-2</v>
      </c>
      <c r="DU90">
        <f t="shared" si="4"/>
        <v>1.1726257978530517E-2</v>
      </c>
      <c r="DV90">
        <f t="shared" si="4"/>
        <v>-1.2805229046701078E-2</v>
      </c>
      <c r="DW90">
        <f t="shared" si="4"/>
        <v>4.6931203999824207E-2</v>
      </c>
      <c r="DX90">
        <f t="shared" si="4"/>
        <v>4.7163884890208382E-2</v>
      </c>
      <c r="DY90">
        <f t="shared" si="4"/>
        <v>5.0149808746365883E-2</v>
      </c>
      <c r="DZ90">
        <f t="shared" si="4"/>
        <v>4.4328819376946688E-2</v>
      </c>
      <c r="EA90">
        <f t="shared" si="4"/>
        <v>4.5801991787923067E-2</v>
      </c>
      <c r="EB90">
        <f t="shared" ref="EB90:GK90" si="5">AVERAGE(EB32:EB56)</f>
        <v>1.0344641300313231E-2</v>
      </c>
      <c r="EC90">
        <f t="shared" si="5"/>
        <v>-2.9014414381811116E-2</v>
      </c>
      <c r="ED90">
        <f t="shared" si="5"/>
        <v>1.708309870363952E-2</v>
      </c>
      <c r="EE90">
        <f t="shared" si="5"/>
        <v>5.9183924884657346E-3</v>
      </c>
      <c r="EF90">
        <f t="shared" si="5"/>
        <v>4.3767776383744905E-2</v>
      </c>
      <c r="EG90">
        <f t="shared" si="5"/>
        <v>1.8436309964367948E-3</v>
      </c>
      <c r="EH90">
        <f t="shared" si="5"/>
        <v>1.5607552427652494E-3</v>
      </c>
      <c r="EI90">
        <f t="shared" si="5"/>
        <v>3.1905746232098638E-2</v>
      </c>
      <c r="EJ90">
        <f t="shared" si="5"/>
        <v>4.543943868672301E-2</v>
      </c>
      <c r="EK90">
        <f t="shared" si="5"/>
        <v>4.0540713858931404E-2</v>
      </c>
      <c r="EL90">
        <f t="shared" si="5"/>
        <v>9.067526841266485E-2</v>
      </c>
      <c r="EM90">
        <f t="shared" si="5"/>
        <v>4.9945397032988309E-2</v>
      </c>
      <c r="EN90">
        <f t="shared" si="5"/>
        <v>0.20495922706387082</v>
      </c>
      <c r="EO90">
        <f t="shared" si="5"/>
        <v>4.9530335148659475E-2</v>
      </c>
      <c r="EP90">
        <f t="shared" si="5"/>
        <v>1.8754872109213064E-2</v>
      </c>
      <c r="EQ90">
        <f t="shared" si="5"/>
        <v>5.2216790100122895E-2</v>
      </c>
      <c r="ER90">
        <f t="shared" si="5"/>
        <v>6.1724229698811778E-2</v>
      </c>
      <c r="ES90">
        <f t="shared" si="5"/>
        <v>4.1405031796680654E-2</v>
      </c>
      <c r="ET90">
        <f t="shared" si="5"/>
        <v>4.1549914791152442E-2</v>
      </c>
      <c r="EU90">
        <f t="shared" si="5"/>
        <v>8.8249042608944978E-2</v>
      </c>
      <c r="EV90">
        <f t="shared" si="5"/>
        <v>6.2740144240247389E-2</v>
      </c>
      <c r="EW90">
        <f t="shared" si="5"/>
        <v>9.5668786797320687E-2</v>
      </c>
      <c r="EX90">
        <f t="shared" si="5"/>
        <v>5.7474615074499441E-2</v>
      </c>
      <c r="EY90">
        <f t="shared" si="5"/>
        <v>5.6072439329699575E-2</v>
      </c>
      <c r="EZ90">
        <f t="shared" si="5"/>
        <v>3.9606394852880505E-2</v>
      </c>
      <c r="FA90">
        <f t="shared" si="5"/>
        <v>-4.6041242934149788E-2</v>
      </c>
      <c r="FB90">
        <f t="shared" si="5"/>
        <v>2.4768517451256411E-2</v>
      </c>
      <c r="FC90">
        <f t="shared" si="5"/>
        <v>2.9040151249870912E-2</v>
      </c>
      <c r="FD90">
        <f t="shared" si="5"/>
        <v>8.1855544388024365E-3</v>
      </c>
      <c r="FE90">
        <f t="shared" si="5"/>
        <v>-8.870594560058025E-3</v>
      </c>
      <c r="FF90">
        <f t="shared" si="5"/>
        <v>3.7013029639131424E-2</v>
      </c>
      <c r="FG90">
        <f t="shared" si="5"/>
        <v>4.4983028122587337E-2</v>
      </c>
      <c r="FH90">
        <f t="shared" si="5"/>
        <v>9.4262081948802215E-2</v>
      </c>
      <c r="FI90">
        <f t="shared" si="5"/>
        <v>8.2356048118092037E-2</v>
      </c>
      <c r="FJ90">
        <f t="shared" si="5"/>
        <v>3.8171069087539387E-2</v>
      </c>
      <c r="FK90">
        <f t="shared" si="5"/>
        <v>4.569529791161285E-2</v>
      </c>
      <c r="FL90">
        <f t="shared" si="5"/>
        <v>4.6149919141277647E-2</v>
      </c>
      <c r="FM90">
        <f t="shared" si="5"/>
        <v>6.4457247783804281E-2</v>
      </c>
      <c r="FN90">
        <f t="shared" si="5"/>
        <v>8.5888644906756739E-2</v>
      </c>
      <c r="FO90">
        <f t="shared" si="5"/>
        <v>3.9164224574619183E-2</v>
      </c>
      <c r="FP90">
        <f t="shared" si="5"/>
        <v>9.5717893719277098E-3</v>
      </c>
      <c r="FQ90">
        <f t="shared" si="5"/>
        <v>7.8282754938466328E-2</v>
      </c>
      <c r="FR90">
        <f t="shared" si="5"/>
        <v>1.4736017626812425E-2</v>
      </c>
      <c r="FS90">
        <f t="shared" si="5"/>
        <v>7.6695479949195539E-2</v>
      </c>
      <c r="FT90">
        <f t="shared" si="5"/>
        <v>7.5231524648328385E-2</v>
      </c>
      <c r="FU90">
        <f t="shared" si="5"/>
        <v>5.0790974991099802E-2</v>
      </c>
      <c r="FV90">
        <f t="shared" si="5"/>
        <v>9.1257554994695983E-2</v>
      </c>
      <c r="FW90">
        <f t="shared" si="5"/>
        <v>7.1138060029168504E-2</v>
      </c>
      <c r="FX90">
        <f t="shared" si="5"/>
        <v>1.8497446070299059E-2</v>
      </c>
      <c r="FY90">
        <f t="shared" si="5"/>
        <v>5.1393758820060274E-2</v>
      </c>
      <c r="FZ90">
        <f t="shared" si="5"/>
        <v>3.658411415013043E-2</v>
      </c>
      <c r="GA90">
        <f t="shared" si="5"/>
        <v>6.3652734337318634E-2</v>
      </c>
      <c r="GB90">
        <f t="shared" si="5"/>
        <v>-7.7890177520991968E-3</v>
      </c>
      <c r="GC90">
        <f t="shared" si="5"/>
        <v>2.5213541599985519E-2</v>
      </c>
      <c r="GD90">
        <f t="shared" si="5"/>
        <v>6.6394680957776453E-2</v>
      </c>
      <c r="GE90">
        <f t="shared" si="5"/>
        <v>7.0488991996457348E-2</v>
      </c>
      <c r="GF90">
        <f t="shared" si="5"/>
        <v>0.11214436019454242</v>
      </c>
      <c r="GG90">
        <f t="shared" si="5"/>
        <v>5.8718998580927585E-2</v>
      </c>
      <c r="GH90">
        <f t="shared" si="5"/>
        <v>6.0344302568124536E-2</v>
      </c>
      <c r="GI90">
        <f t="shared" si="5"/>
        <v>3.3611121867335274E-2</v>
      </c>
      <c r="GJ90">
        <f t="shared" si="5"/>
        <v>6.8890738711313196E-2</v>
      </c>
      <c r="GK90">
        <f t="shared" si="5"/>
        <v>4.9294517967060435E-2</v>
      </c>
    </row>
    <row r="91" spans="1:193" x14ac:dyDescent="0.25">
      <c r="A91" s="231" t="s">
        <v>263</v>
      </c>
      <c r="B91" s="231"/>
      <c r="C91">
        <f>AVERAGE(C2:C31)</f>
        <v>-0.85832957429395462</v>
      </c>
      <c r="D91">
        <f t="shared" ref="D91:BO91" si="6">AVERAGE(D2:D31)</f>
        <v>-0.79365168385996754</v>
      </c>
      <c r="E91">
        <f t="shared" si="6"/>
        <v>1.2352876765770673E-2</v>
      </c>
      <c r="F91">
        <f t="shared" si="6"/>
        <v>-1.8546733507880785E-2</v>
      </c>
      <c r="G91">
        <f t="shared" si="6"/>
        <v>-1.1685913967466792E-2</v>
      </c>
      <c r="H91">
        <f t="shared" si="6"/>
        <v>-0.13060325529751021</v>
      </c>
      <c r="I91">
        <f t="shared" si="6"/>
        <v>1.4689506050832449E-3</v>
      </c>
      <c r="J91">
        <f t="shared" si="6"/>
        <v>5.2467060230943385E-2</v>
      </c>
      <c r="K91">
        <f t="shared" si="6"/>
        <v>4.1696791481785941E-2</v>
      </c>
      <c r="L91">
        <f t="shared" si="6"/>
        <v>7.36542400176595E-3</v>
      </c>
      <c r="M91">
        <f t="shared" si="6"/>
        <v>-1.2127048836481658</v>
      </c>
      <c r="N91">
        <f t="shared" si="6"/>
        <v>-1.1934974466660244</v>
      </c>
      <c r="O91">
        <f t="shared" si="6"/>
        <v>-0.54326873705858536</v>
      </c>
      <c r="P91">
        <f t="shared" si="6"/>
        <v>0.13872957271538031</v>
      </c>
      <c r="Q91">
        <f t="shared" si="6"/>
        <v>0.10999291878342517</v>
      </c>
      <c r="R91">
        <f t="shared" si="6"/>
        <v>0.13342024281163647</v>
      </c>
      <c r="S91">
        <f t="shared" si="6"/>
        <v>8.5020303648023446E-2</v>
      </c>
      <c r="T91">
        <f t="shared" si="6"/>
        <v>0.18515393576020364</v>
      </c>
      <c r="U91">
        <f t="shared" si="6"/>
        <v>0.17132469807456671</v>
      </c>
      <c r="V91">
        <f t="shared" si="6"/>
        <v>0.27053698210817573</v>
      </c>
      <c r="W91">
        <f t="shared" si="6"/>
        <v>0.19265942548299783</v>
      </c>
      <c r="X91">
        <f t="shared" si="6"/>
        <v>0.22856696640159943</v>
      </c>
      <c r="Y91">
        <f t="shared" si="6"/>
        <v>0.14623995789147876</v>
      </c>
      <c r="Z91">
        <f t="shared" si="6"/>
        <v>0.1370358050706352</v>
      </c>
      <c r="AA91">
        <f t="shared" si="6"/>
        <v>1.140889537664749E-2</v>
      </c>
      <c r="AB91">
        <f t="shared" si="6"/>
        <v>0.3107873461083176</v>
      </c>
      <c r="AC91">
        <f t="shared" si="6"/>
        <v>0.35645558048987891</v>
      </c>
      <c r="AD91">
        <f t="shared" si="6"/>
        <v>0.33067585129626004</v>
      </c>
      <c r="AE91">
        <f t="shared" si="6"/>
        <v>0.28416080681830375</v>
      </c>
      <c r="AF91">
        <f t="shared" si="6"/>
        <v>0.25865495436338554</v>
      </c>
      <c r="AG91">
        <f t="shared" si="6"/>
        <v>0.28092398388915579</v>
      </c>
      <c r="AH91">
        <f t="shared" si="6"/>
        <v>0.22534483900270394</v>
      </c>
      <c r="AI91">
        <f t="shared" si="6"/>
        <v>0.32078230310248024</v>
      </c>
      <c r="AJ91">
        <f t="shared" si="6"/>
        <v>0.23026132888879405</v>
      </c>
      <c r="AK91">
        <f t="shared" si="6"/>
        <v>0.24659749264424372</v>
      </c>
      <c r="AL91">
        <f t="shared" si="6"/>
        <v>0.24763256453260099</v>
      </c>
      <c r="AM91">
        <f t="shared" si="6"/>
        <v>0.2847639200667178</v>
      </c>
      <c r="AN91">
        <f t="shared" si="6"/>
        <v>0.24249024610328837</v>
      </c>
      <c r="AO91">
        <f t="shared" si="6"/>
        <v>0.27086811508144926</v>
      </c>
      <c r="AP91">
        <f t="shared" si="6"/>
        <v>0.21392671320196593</v>
      </c>
      <c r="AQ91">
        <f t="shared" si="6"/>
        <v>0.24895370623915838</v>
      </c>
      <c r="AR91">
        <f t="shared" si="6"/>
        <v>0.33604060798453506</v>
      </c>
      <c r="AS91">
        <f t="shared" si="6"/>
        <v>0.30180320029172703</v>
      </c>
      <c r="AT91">
        <f t="shared" si="6"/>
        <v>0.15809642802256851</v>
      </c>
      <c r="AU91">
        <f t="shared" si="6"/>
        <v>0.22229849605432445</v>
      </c>
      <c r="AV91">
        <f t="shared" si="6"/>
        <v>0.12910088244762016</v>
      </c>
      <c r="AW91">
        <f t="shared" si="6"/>
        <v>3.3169803998209339E-2</v>
      </c>
      <c r="AX91">
        <f t="shared" si="6"/>
        <v>0.14963488400852756</v>
      </c>
      <c r="AY91">
        <f t="shared" si="6"/>
        <v>0.16818659481180617</v>
      </c>
      <c r="AZ91">
        <f t="shared" si="6"/>
        <v>0.18941459623251047</v>
      </c>
      <c r="BA91">
        <f t="shared" si="6"/>
        <v>0.26822209768111488</v>
      </c>
      <c r="BB91">
        <f t="shared" si="6"/>
        <v>0.27388762140743805</v>
      </c>
      <c r="BC91">
        <f t="shared" si="6"/>
        <v>0.2128170368743911</v>
      </c>
      <c r="BD91">
        <f t="shared" si="6"/>
        <v>0.23912775808134465</v>
      </c>
      <c r="BE91">
        <f t="shared" si="6"/>
        <v>0.15371247880459707</v>
      </c>
      <c r="BF91">
        <f t="shared" si="6"/>
        <v>0.16090982607624235</v>
      </c>
      <c r="BG91">
        <f t="shared" si="6"/>
        <v>0.23570140186910801</v>
      </c>
      <c r="BH91">
        <f t="shared" si="6"/>
        <v>0.19222991282678684</v>
      </c>
      <c r="BI91">
        <f t="shared" si="6"/>
        <v>0.26219030475813077</v>
      </c>
      <c r="BJ91">
        <f t="shared" si="6"/>
        <v>0.3136752077788526</v>
      </c>
      <c r="BK91">
        <f t="shared" si="6"/>
        <v>0.2564021516422792</v>
      </c>
      <c r="BL91">
        <f t="shared" si="6"/>
        <v>0.34796543332325414</v>
      </c>
      <c r="BM91">
        <f t="shared" si="6"/>
        <v>0.2111025367129655</v>
      </c>
      <c r="BN91">
        <f t="shared" si="6"/>
        <v>0.32022123732112667</v>
      </c>
      <c r="BO91">
        <f t="shared" si="6"/>
        <v>0.2283776899621261</v>
      </c>
      <c r="BP91">
        <f t="shared" ref="BP91:EA91" si="7">AVERAGE(BP2:BP31)</f>
        <v>0.25338255551840067</v>
      </c>
      <c r="BQ91">
        <f t="shared" si="7"/>
        <v>0.28234883388326965</v>
      </c>
      <c r="BR91">
        <f t="shared" si="7"/>
        <v>0.25655282563108617</v>
      </c>
      <c r="BS91">
        <f t="shared" si="7"/>
        <v>0.48319743341787752</v>
      </c>
      <c r="BT91">
        <f t="shared" si="7"/>
        <v>0.43398596348825075</v>
      </c>
      <c r="BU91">
        <f t="shared" si="7"/>
        <v>0.3793697365306547</v>
      </c>
      <c r="BV91">
        <f t="shared" si="7"/>
        <v>0.36735812428181297</v>
      </c>
      <c r="BW91">
        <f t="shared" si="7"/>
        <v>0.42046347718975668</v>
      </c>
      <c r="BX91">
        <f t="shared" si="7"/>
        <v>0.34810520814472007</v>
      </c>
      <c r="BY91">
        <f t="shared" si="7"/>
        <v>0.40362638347320817</v>
      </c>
      <c r="BZ91">
        <f t="shared" si="7"/>
        <v>0.38302263270359277</v>
      </c>
      <c r="CA91">
        <f t="shared" si="7"/>
        <v>0.48029710838759659</v>
      </c>
      <c r="CB91">
        <f t="shared" si="7"/>
        <v>0.20566192394478142</v>
      </c>
      <c r="CC91">
        <f t="shared" si="7"/>
        <v>0.15802113786698374</v>
      </c>
      <c r="CD91">
        <f t="shared" si="7"/>
        <v>8.3245021764207019E-2</v>
      </c>
      <c r="CE91">
        <f t="shared" si="7"/>
        <v>0.11694893552383524</v>
      </c>
      <c r="CF91">
        <f t="shared" si="7"/>
        <v>0.16901868362787018</v>
      </c>
      <c r="CG91">
        <f t="shared" si="7"/>
        <v>4.005501436825569E-2</v>
      </c>
      <c r="CH91">
        <f t="shared" si="7"/>
        <v>8.8740115514666998E-2</v>
      </c>
      <c r="CI91">
        <f t="shared" si="7"/>
        <v>0.17808157525177218</v>
      </c>
      <c r="CJ91">
        <f t="shared" si="7"/>
        <v>0.20475895547317277</v>
      </c>
      <c r="CK91">
        <f t="shared" si="7"/>
        <v>0.18107999709857328</v>
      </c>
      <c r="CL91">
        <f t="shared" si="7"/>
        <v>0.15832731012393869</v>
      </c>
      <c r="CM91">
        <f t="shared" si="7"/>
        <v>0.21933856434759502</v>
      </c>
      <c r="CN91">
        <f t="shared" si="7"/>
        <v>0.22624237214532431</v>
      </c>
      <c r="CO91">
        <f t="shared" si="7"/>
        <v>8.8139429523041379E-2</v>
      </c>
      <c r="CP91">
        <f t="shared" si="7"/>
        <v>0.12979878767411657</v>
      </c>
      <c r="CQ91">
        <f t="shared" si="7"/>
        <v>0.16297138747152087</v>
      </c>
      <c r="CR91">
        <f t="shared" si="7"/>
        <v>8.7421251831991523E-2</v>
      </c>
      <c r="CS91">
        <f t="shared" si="7"/>
        <v>9.0865050871853231E-2</v>
      </c>
      <c r="CT91">
        <f t="shared" si="7"/>
        <v>0.10151689768099367</v>
      </c>
      <c r="CU91">
        <f t="shared" si="7"/>
        <v>9.2039918699172496E-2</v>
      </c>
      <c r="CV91">
        <f t="shared" si="7"/>
        <v>0.16277241637968612</v>
      </c>
      <c r="CW91">
        <f t="shared" si="7"/>
        <v>8.1569392676159799E-2</v>
      </c>
      <c r="CX91">
        <f t="shared" si="7"/>
        <v>7.8309574329942469E-2</v>
      </c>
      <c r="CY91">
        <f t="shared" si="7"/>
        <v>8.5397032871756831E-2</v>
      </c>
      <c r="CZ91">
        <f t="shared" si="7"/>
        <v>0.25569849224201552</v>
      </c>
      <c r="DA91">
        <f t="shared" si="7"/>
        <v>9.8826093846041199E-2</v>
      </c>
      <c r="DB91">
        <f t="shared" si="7"/>
        <v>4.4414344121440123E-2</v>
      </c>
      <c r="DC91">
        <f t="shared" si="7"/>
        <v>5.0956051560733358E-2</v>
      </c>
      <c r="DD91">
        <f t="shared" si="7"/>
        <v>3.3306918051787655E-2</v>
      </c>
      <c r="DE91">
        <f t="shared" si="7"/>
        <v>3.3514163587776605E-2</v>
      </c>
      <c r="DF91">
        <f t="shared" si="7"/>
        <v>2.9510416704368478E-2</v>
      </c>
      <c r="DG91">
        <f t="shared" si="7"/>
        <v>-4.9598029173392538E-2</v>
      </c>
      <c r="DH91">
        <f t="shared" si="7"/>
        <v>-0.10195718630245403</v>
      </c>
      <c r="DI91">
        <f t="shared" si="7"/>
        <v>-7.7263317398821169E-2</v>
      </c>
      <c r="DJ91">
        <f t="shared" si="7"/>
        <v>-9.4416029575027288E-2</v>
      </c>
      <c r="DK91">
        <f t="shared" si="7"/>
        <v>-0.11677793167903058</v>
      </c>
      <c r="DL91">
        <f t="shared" si="7"/>
        <v>6.0105690646442105E-2</v>
      </c>
      <c r="DM91">
        <f t="shared" si="7"/>
        <v>7.3416930474819227E-3</v>
      </c>
      <c r="DN91">
        <f t="shared" si="7"/>
        <v>-1.1087771706343684E-3</v>
      </c>
      <c r="DO91">
        <f t="shared" si="7"/>
        <v>9.4291701590045823E-2</v>
      </c>
      <c r="DP91">
        <f t="shared" si="7"/>
        <v>-5.6689114322293344E-3</v>
      </c>
      <c r="DQ91">
        <f t="shared" si="7"/>
        <v>1.959677853051706E-2</v>
      </c>
      <c r="DR91">
        <f t="shared" si="7"/>
        <v>8.596354200212987E-2</v>
      </c>
      <c r="DS91">
        <f t="shared" si="7"/>
        <v>-0.12314298139292658</v>
      </c>
      <c r="DT91">
        <f t="shared" si="7"/>
        <v>8.1303912520841529E-2</v>
      </c>
      <c r="DU91">
        <f t="shared" si="7"/>
        <v>-3.4048547867035824E-2</v>
      </c>
      <c r="DV91">
        <f t="shared" si="7"/>
        <v>-3.1549698810729998E-3</v>
      </c>
      <c r="DW91">
        <f t="shared" si="7"/>
        <v>0.10935974302152267</v>
      </c>
      <c r="DX91">
        <f t="shared" si="7"/>
        <v>-2.1010169685951079E-2</v>
      </c>
      <c r="DY91">
        <f t="shared" si="7"/>
        <v>1.8308681584545208E-2</v>
      </c>
      <c r="DZ91">
        <f t="shared" si="7"/>
        <v>3.6933468828783331E-3</v>
      </c>
      <c r="EA91">
        <f t="shared" si="7"/>
        <v>-2.5691961063420282E-3</v>
      </c>
      <c r="EB91">
        <f t="shared" ref="EB91:GK91" si="8">AVERAGE(EB2:EB31)</f>
        <v>5.4847376743563027E-2</v>
      </c>
      <c r="EC91">
        <f t="shared" si="8"/>
        <v>-1.6335867544455741E-2</v>
      </c>
      <c r="ED91">
        <f t="shared" si="8"/>
        <v>0.14301492158357845</v>
      </c>
      <c r="EE91">
        <f t="shared" si="8"/>
        <v>6.5483367666134801E-2</v>
      </c>
      <c r="EF91">
        <f t="shared" si="8"/>
        <v>3.4461414450367517E-2</v>
      </c>
      <c r="EG91">
        <f t="shared" si="8"/>
        <v>0.13527057576021842</v>
      </c>
      <c r="EH91">
        <f t="shared" si="8"/>
        <v>-2.1892080740795829E-2</v>
      </c>
      <c r="EI91">
        <f t="shared" si="8"/>
        <v>6.8364209645673413E-2</v>
      </c>
      <c r="EJ91">
        <f t="shared" si="8"/>
        <v>9.2681215631277319E-2</v>
      </c>
      <c r="EK91">
        <f t="shared" si="8"/>
        <v>0.20836087902416375</v>
      </c>
      <c r="EL91">
        <f t="shared" si="8"/>
        <v>9.7082801125859097E-2</v>
      </c>
      <c r="EM91">
        <f t="shared" si="8"/>
        <v>0.11361070438580975</v>
      </c>
      <c r="EN91">
        <f t="shared" si="8"/>
        <v>0.315638882961217</v>
      </c>
      <c r="EO91">
        <f t="shared" si="8"/>
        <v>0.11103395044019035</v>
      </c>
      <c r="EP91">
        <f t="shared" si="8"/>
        <v>0.16419783123236165</v>
      </c>
      <c r="EQ91">
        <f t="shared" si="8"/>
        <v>0.14225269451433084</v>
      </c>
      <c r="ER91">
        <f t="shared" si="8"/>
        <v>0.23741446561427285</v>
      </c>
      <c r="ES91">
        <f t="shared" si="8"/>
        <v>4.2426898804713044E-2</v>
      </c>
      <c r="ET91">
        <f t="shared" si="8"/>
        <v>0.12051280729454519</v>
      </c>
      <c r="EU91">
        <f t="shared" si="8"/>
        <v>8.403064095176313E-2</v>
      </c>
      <c r="EV91">
        <f t="shared" si="8"/>
        <v>7.923488089580967E-2</v>
      </c>
      <c r="EW91">
        <f t="shared" si="8"/>
        <v>0.15590859827831915</v>
      </c>
      <c r="EX91">
        <f t="shared" si="8"/>
        <v>0.12683241644059709</v>
      </c>
      <c r="EY91">
        <f t="shared" si="8"/>
        <v>0.15878889651080277</v>
      </c>
      <c r="EZ91">
        <f t="shared" si="8"/>
        <v>0.13460057096523972</v>
      </c>
      <c r="FA91">
        <f t="shared" si="8"/>
        <v>0.16740572538566958</v>
      </c>
      <c r="FB91">
        <f t="shared" si="8"/>
        <v>0.15558007841370217</v>
      </c>
      <c r="FC91">
        <f t="shared" si="8"/>
        <v>0.1812956994832442</v>
      </c>
      <c r="FD91">
        <f t="shared" si="8"/>
        <v>0.20031994414170748</v>
      </c>
      <c r="FE91">
        <f t="shared" si="8"/>
        <v>0.20089244963324449</v>
      </c>
      <c r="FF91">
        <f t="shared" si="8"/>
        <v>0.14179699989203934</v>
      </c>
      <c r="FG91">
        <f t="shared" si="8"/>
        <v>0.15815779368936009</v>
      </c>
      <c r="FH91">
        <f t="shared" si="8"/>
        <v>0.17470802660007551</v>
      </c>
      <c r="FI91">
        <f t="shared" si="8"/>
        <v>0.20747746085220534</v>
      </c>
      <c r="FJ91">
        <f t="shared" si="8"/>
        <v>0.23916818427980949</v>
      </c>
      <c r="FK91">
        <f t="shared" si="8"/>
        <v>0.16826866105604854</v>
      </c>
      <c r="FL91">
        <f t="shared" si="8"/>
        <v>0.27485958942208644</v>
      </c>
      <c r="FM91">
        <f t="shared" si="8"/>
        <v>0.1129689559217182</v>
      </c>
      <c r="FN91">
        <f t="shared" si="8"/>
        <v>0.18115891965735254</v>
      </c>
      <c r="FO91">
        <f t="shared" si="8"/>
        <v>0.14923494344831567</v>
      </c>
      <c r="FP91">
        <f t="shared" si="8"/>
        <v>0.21817880743519955</v>
      </c>
      <c r="FQ91">
        <f t="shared" si="8"/>
        <v>0.12888820677833709</v>
      </c>
      <c r="FR91">
        <f t="shared" si="8"/>
        <v>0.20851253146071141</v>
      </c>
      <c r="FS91">
        <f t="shared" si="8"/>
        <v>0.21774183240589834</v>
      </c>
      <c r="FT91">
        <f t="shared" si="8"/>
        <v>0.22476060228249378</v>
      </c>
      <c r="FU91">
        <f t="shared" si="8"/>
        <v>0.2311805635550058</v>
      </c>
      <c r="FV91">
        <f t="shared" si="8"/>
        <v>0.27102359796674669</v>
      </c>
      <c r="FW91">
        <f t="shared" si="8"/>
        <v>0.19889916462296384</v>
      </c>
      <c r="FX91">
        <f t="shared" si="8"/>
        <v>0.12643799672412309</v>
      </c>
      <c r="FY91">
        <f t="shared" si="8"/>
        <v>0.10612706982016223</v>
      </c>
      <c r="FZ91">
        <f t="shared" si="8"/>
        <v>9.3726553681393446E-2</v>
      </c>
      <c r="GA91">
        <f t="shared" si="8"/>
        <v>0.14827639398541367</v>
      </c>
      <c r="GB91">
        <f t="shared" si="8"/>
        <v>0.15127421896327534</v>
      </c>
      <c r="GC91">
        <f t="shared" si="8"/>
        <v>0.17428316903837909</v>
      </c>
      <c r="GD91">
        <f t="shared" si="8"/>
        <v>0.14260027171306894</v>
      </c>
      <c r="GE91">
        <f t="shared" si="8"/>
        <v>0.13009078596299281</v>
      </c>
      <c r="GF91">
        <f t="shared" si="8"/>
        <v>0.11585598215624326</v>
      </c>
      <c r="GG91">
        <f t="shared" si="8"/>
        <v>0.22948151866430438</v>
      </c>
      <c r="GH91">
        <f t="shared" si="8"/>
        <v>0.15130624440151286</v>
      </c>
      <c r="GI91">
        <f t="shared" si="8"/>
        <v>0.18404248694012362</v>
      </c>
      <c r="GJ91">
        <f t="shared" si="8"/>
        <v>0.19431823182182273</v>
      </c>
      <c r="GK91">
        <f t="shared" si="8"/>
        <v>0.2241612528005478</v>
      </c>
    </row>
    <row r="92" spans="1:193" x14ac:dyDescent="0.25">
      <c r="A92" s="231" t="s">
        <v>264</v>
      </c>
      <c r="B92" s="231"/>
      <c r="C92">
        <f>AVERAGE(C57:C87)</f>
        <v>1.4102972063508249E-2</v>
      </c>
      <c r="D92">
        <f t="shared" ref="D92:BO92" si="9">AVERAGE(D57:D87)</f>
        <v>3.3902016090400021E-2</v>
      </c>
      <c r="E92">
        <f t="shared" si="9"/>
        <v>9.1633492067712125E-2</v>
      </c>
      <c r="F92">
        <f t="shared" si="9"/>
        <v>8.2344320697319409E-2</v>
      </c>
      <c r="G92">
        <f t="shared" si="9"/>
        <v>6.487108785136779E-2</v>
      </c>
      <c r="H92">
        <f t="shared" si="9"/>
        <v>9.6482511174948271E-2</v>
      </c>
      <c r="I92">
        <f t="shared" si="9"/>
        <v>7.541939653768219E-2</v>
      </c>
      <c r="J92">
        <f t="shared" si="9"/>
        <v>5.254708931576578E-2</v>
      </c>
      <c r="K92">
        <f t="shared" si="9"/>
        <v>7.6932285514374352E-2</v>
      </c>
      <c r="L92">
        <f t="shared" si="9"/>
        <v>2.504089720603821E-2</v>
      </c>
      <c r="M92">
        <f t="shared" si="9"/>
        <v>0.1718439997490965</v>
      </c>
      <c r="N92">
        <f t="shared" si="9"/>
        <v>0.17815413977593508</v>
      </c>
      <c r="O92">
        <f t="shared" si="9"/>
        <v>0.10950622482378354</v>
      </c>
      <c r="P92">
        <f t="shared" si="9"/>
        <v>4.760546945307377E-2</v>
      </c>
      <c r="Q92">
        <f t="shared" si="9"/>
        <v>1.4594907590120259E-2</v>
      </c>
      <c r="R92">
        <f t="shared" si="9"/>
        <v>-1.9720094267009932E-2</v>
      </c>
      <c r="S92">
        <f t="shared" si="9"/>
        <v>5.5437652266535194E-2</v>
      </c>
      <c r="T92">
        <f t="shared" si="9"/>
        <v>2.1262482420307278E-2</v>
      </c>
      <c r="U92">
        <f t="shared" si="9"/>
        <v>-1.0655541589193405E-2</v>
      </c>
      <c r="V92">
        <f t="shared" si="9"/>
        <v>6.0101202041659924E-4</v>
      </c>
      <c r="W92">
        <f t="shared" si="9"/>
        <v>-2.0940178558953037E-2</v>
      </c>
      <c r="X92">
        <f t="shared" si="9"/>
        <v>2.0656212473323429E-2</v>
      </c>
      <c r="Y92">
        <f t="shared" si="9"/>
        <v>-4.6368527995648223E-2</v>
      </c>
      <c r="Z92">
        <f t="shared" si="9"/>
        <v>2.8321019665651197E-2</v>
      </c>
      <c r="AA92">
        <f t="shared" si="9"/>
        <v>-6.8297807491207599E-3</v>
      </c>
      <c r="AB92">
        <f t="shared" si="9"/>
        <v>-2.3685523077785514E-2</v>
      </c>
      <c r="AC92">
        <f t="shared" si="9"/>
        <v>-5.233918333779107E-2</v>
      </c>
      <c r="AD92">
        <f t="shared" si="9"/>
        <v>-4.1778109276871957E-2</v>
      </c>
      <c r="AE92">
        <f t="shared" si="9"/>
        <v>-1.6500871862476906E-2</v>
      </c>
      <c r="AF92">
        <f t="shared" si="9"/>
        <v>-4.6910762399944031E-2</v>
      </c>
      <c r="AG92">
        <f t="shared" si="9"/>
        <v>-1.5079754190039783E-2</v>
      </c>
      <c r="AH92">
        <f t="shared" si="9"/>
        <v>3.0293056988588803E-2</v>
      </c>
      <c r="AI92">
        <f t="shared" si="9"/>
        <v>-6.3469571215725327E-3</v>
      </c>
      <c r="AJ92">
        <f t="shared" si="9"/>
        <v>-1.7452977799976756E-2</v>
      </c>
      <c r="AK92">
        <f t="shared" si="9"/>
        <v>-3.2068629508617975E-2</v>
      </c>
      <c r="AL92">
        <f t="shared" si="9"/>
        <v>-5.8268933731613619E-2</v>
      </c>
      <c r="AM92">
        <f t="shared" si="9"/>
        <v>2.9910343130744935E-2</v>
      </c>
      <c r="AN92">
        <f t="shared" si="9"/>
        <v>-1.0069197165032979E-2</v>
      </c>
      <c r="AO92">
        <f t="shared" si="9"/>
        <v>1.1525567819289349E-2</v>
      </c>
      <c r="AP92">
        <f t="shared" si="9"/>
        <v>-9.0229185363447151E-2</v>
      </c>
      <c r="AQ92">
        <f t="shared" si="9"/>
        <v>-1.7146658685667244E-2</v>
      </c>
      <c r="AR92">
        <f t="shared" si="9"/>
        <v>-1.798936380859403E-2</v>
      </c>
      <c r="AS92">
        <f t="shared" si="9"/>
        <v>-3.7899650395677636E-2</v>
      </c>
      <c r="AT92">
        <f t="shared" si="9"/>
        <v>-2.5671888377135094E-2</v>
      </c>
      <c r="AU92">
        <f t="shared" si="9"/>
        <v>-4.2752910177194063E-2</v>
      </c>
      <c r="AV92">
        <f t="shared" si="9"/>
        <v>-3.7342267026707565E-2</v>
      </c>
      <c r="AW92">
        <f t="shared" si="9"/>
        <v>1.2263876478459461E-2</v>
      </c>
      <c r="AX92">
        <f t="shared" si="9"/>
        <v>-1.5525664305323286E-2</v>
      </c>
      <c r="AY92">
        <f t="shared" si="9"/>
        <v>1.9836413150442775E-3</v>
      </c>
      <c r="AZ92">
        <f t="shared" si="9"/>
        <v>-5.3887609110762659E-3</v>
      </c>
      <c r="BA92">
        <f t="shared" si="9"/>
        <v>-2.4804139943712861E-2</v>
      </c>
      <c r="BB92">
        <f t="shared" si="9"/>
        <v>-1.4065445135539719E-2</v>
      </c>
      <c r="BC92">
        <f t="shared" si="9"/>
        <v>-7.008754758067926E-3</v>
      </c>
      <c r="BD92">
        <f t="shared" si="9"/>
        <v>-4.0583180671584819E-2</v>
      </c>
      <c r="BE92">
        <f t="shared" si="9"/>
        <v>-3.2203388265378247E-2</v>
      </c>
      <c r="BF92">
        <f t="shared" si="9"/>
        <v>2.0809244828285976E-2</v>
      </c>
      <c r="BG92">
        <f t="shared" si="9"/>
        <v>-3.3308804838212511E-2</v>
      </c>
      <c r="BH92">
        <f t="shared" si="9"/>
        <v>-1.3305853980812575E-2</v>
      </c>
      <c r="BI92">
        <f t="shared" si="9"/>
        <v>-3.9227244380103547E-2</v>
      </c>
      <c r="BJ92">
        <f t="shared" si="9"/>
        <v>1.1634988153849574E-2</v>
      </c>
      <c r="BK92">
        <f t="shared" si="9"/>
        <v>-4.5050617681989561E-3</v>
      </c>
      <c r="BL92">
        <f t="shared" si="9"/>
        <v>-2.5972313412128755E-2</v>
      </c>
      <c r="BM92">
        <f t="shared" si="9"/>
        <v>-1.9427201751527803E-2</v>
      </c>
      <c r="BN92">
        <f t="shared" si="9"/>
        <v>-3.0400838281661426E-2</v>
      </c>
      <c r="BO92">
        <f t="shared" si="9"/>
        <v>-2.3690336363558911E-2</v>
      </c>
      <c r="BP92">
        <f t="shared" ref="BP92:EA92" si="10">AVERAGE(BP57:BP87)</f>
        <v>-2.2576769620123095E-2</v>
      </c>
      <c r="BQ92">
        <f t="shared" si="10"/>
        <v>-3.2297628368982111E-2</v>
      </c>
      <c r="BR92">
        <f t="shared" si="10"/>
        <v>9.5766031356991268E-3</v>
      </c>
      <c r="BS92">
        <f t="shared" si="10"/>
        <v>2.4060564553805047E-2</v>
      </c>
      <c r="BT92">
        <f t="shared" si="10"/>
        <v>1.769347892508201E-2</v>
      </c>
      <c r="BU92">
        <f t="shared" si="10"/>
        <v>2.4453256453419073E-2</v>
      </c>
      <c r="BV92">
        <f t="shared" si="10"/>
        <v>3.9291635890296673E-3</v>
      </c>
      <c r="BW92">
        <f t="shared" si="10"/>
        <v>4.9174367000675713E-2</v>
      </c>
      <c r="BX92">
        <f t="shared" si="10"/>
        <v>6.319855843810343E-2</v>
      </c>
      <c r="BY92">
        <f t="shared" si="10"/>
        <v>5.115201283401262E-2</v>
      </c>
      <c r="BZ92">
        <f t="shared" si="10"/>
        <v>4.3169365457113106E-2</v>
      </c>
      <c r="CA92">
        <f t="shared" si="10"/>
        <v>2.6540451554441676E-2</v>
      </c>
      <c r="CB92">
        <f t="shared" si="10"/>
        <v>5.7649319968352826E-4</v>
      </c>
      <c r="CC92">
        <f t="shared" si="10"/>
        <v>3.702169051437923E-2</v>
      </c>
      <c r="CD92">
        <f t="shared" si="10"/>
        <v>-1.589412158440243E-2</v>
      </c>
      <c r="CE92">
        <f t="shared" si="10"/>
        <v>1.9566571506931914E-2</v>
      </c>
      <c r="CF92">
        <f t="shared" si="10"/>
        <v>-2.7955618841395716E-4</v>
      </c>
      <c r="CG92">
        <f t="shared" si="10"/>
        <v>3.6572396033539983E-2</v>
      </c>
      <c r="CH92">
        <f t="shared" si="10"/>
        <v>4.9387321118241713E-2</v>
      </c>
      <c r="CI92">
        <f t="shared" si="10"/>
        <v>4.7740916292457955E-2</v>
      </c>
      <c r="CJ92">
        <f t="shared" si="10"/>
        <v>-2.5742852094724328E-3</v>
      </c>
      <c r="CK92">
        <f t="shared" si="10"/>
        <v>-5.478956917114898E-3</v>
      </c>
      <c r="CL92">
        <f t="shared" si="10"/>
        <v>-2.4105942990500923E-2</v>
      </c>
      <c r="CM92">
        <f t="shared" si="10"/>
        <v>-3.8331716445473119E-2</v>
      </c>
      <c r="CN92">
        <f t="shared" si="10"/>
        <v>-6.147226430505223E-3</v>
      </c>
      <c r="CO92">
        <f t="shared" si="10"/>
        <v>3.532403798415748E-2</v>
      </c>
      <c r="CP92">
        <f t="shared" si="10"/>
        <v>2.0077670140464649E-2</v>
      </c>
      <c r="CQ92">
        <f t="shared" si="10"/>
        <v>1.4997126397520599E-2</v>
      </c>
      <c r="CR92">
        <f t="shared" si="10"/>
        <v>-3.4570685014502313E-2</v>
      </c>
      <c r="CS92">
        <f t="shared" si="10"/>
        <v>-4.4472304283577568E-2</v>
      </c>
      <c r="CT92">
        <f t="shared" si="10"/>
        <v>-2.6949662799050832E-2</v>
      </c>
      <c r="CU92">
        <f t="shared" si="10"/>
        <v>5.4640819323030776E-3</v>
      </c>
      <c r="CV92">
        <f t="shared" si="10"/>
        <v>-3.3757315584546935E-2</v>
      </c>
      <c r="CW92">
        <f t="shared" si="10"/>
        <v>-9.7603537963162051E-3</v>
      </c>
      <c r="CX92">
        <f t="shared" si="10"/>
        <v>6.4671512009892079E-3</v>
      </c>
      <c r="CY92">
        <f t="shared" si="10"/>
        <v>3.0525876409369872E-2</v>
      </c>
      <c r="CZ92">
        <f t="shared" si="10"/>
        <v>6.6339332457826194E-2</v>
      </c>
      <c r="DA92">
        <f t="shared" si="10"/>
        <v>7.4638188865706195E-2</v>
      </c>
      <c r="DB92">
        <f t="shared" si="10"/>
        <v>2.4398259905167537E-2</v>
      </c>
      <c r="DC92">
        <f t="shared" si="10"/>
        <v>3.2727742823275653E-2</v>
      </c>
      <c r="DD92">
        <f t="shared" si="10"/>
        <v>7.2125383349760745E-4</v>
      </c>
      <c r="DE92">
        <f t="shared" si="10"/>
        <v>1.2884434305020443E-2</v>
      </c>
      <c r="DF92">
        <f t="shared" si="10"/>
        <v>-1.4290071501475711E-2</v>
      </c>
      <c r="DG92">
        <f t="shared" si="10"/>
        <v>6.3140409755793298E-2</v>
      </c>
      <c r="DH92">
        <f t="shared" si="10"/>
        <v>4.8076889563163867E-2</v>
      </c>
      <c r="DI92">
        <f t="shared" si="10"/>
        <v>-1.6773880658039336E-2</v>
      </c>
      <c r="DJ92">
        <f t="shared" si="10"/>
        <v>1.0012948538072473E-2</v>
      </c>
      <c r="DK92">
        <f t="shared" si="10"/>
        <v>7.9939473961753812E-2</v>
      </c>
      <c r="DL92">
        <f t="shared" si="10"/>
        <v>1.13972266164689E-2</v>
      </c>
      <c r="DM92">
        <f t="shared" si="10"/>
        <v>-8.5340916155284812E-3</v>
      </c>
      <c r="DN92">
        <f t="shared" si="10"/>
        <v>3.5458997637719508E-2</v>
      </c>
      <c r="DO92">
        <f t="shared" si="10"/>
        <v>2.4028030229621172E-2</v>
      </c>
      <c r="DP92">
        <f t="shared" si="10"/>
        <v>7.1518344488904631E-3</v>
      </c>
      <c r="DQ92">
        <f t="shared" si="10"/>
        <v>3.8159810528667654E-2</v>
      </c>
      <c r="DR92">
        <f t="shared" si="10"/>
        <v>7.8965973627946936E-3</v>
      </c>
      <c r="DS92">
        <f t="shared" si="10"/>
        <v>6.3323636609305817E-2</v>
      </c>
      <c r="DT92">
        <f t="shared" si="10"/>
        <v>-5.1150840164946674E-3</v>
      </c>
      <c r="DU92">
        <f t="shared" si="10"/>
        <v>1.4680496873097649E-2</v>
      </c>
      <c r="DV92">
        <f t="shared" si="10"/>
        <v>3.198987878533191E-2</v>
      </c>
      <c r="DW92">
        <f t="shared" si="10"/>
        <v>-3.5790690740401801E-3</v>
      </c>
      <c r="DX92">
        <f t="shared" si="10"/>
        <v>4.6855192017981745E-2</v>
      </c>
      <c r="DY92">
        <f t="shared" si="10"/>
        <v>3.6946210763659929E-3</v>
      </c>
      <c r="DZ92">
        <f t="shared" si="10"/>
        <v>2.6538954754058396E-2</v>
      </c>
      <c r="EA92">
        <f t="shared" si="10"/>
        <v>1.9513109425247158E-2</v>
      </c>
      <c r="EB92">
        <f t="shared" ref="EB92:GK92" si="11">AVERAGE(EB57:EB87)</f>
        <v>-2.0313207233983864E-3</v>
      </c>
      <c r="EC92">
        <f t="shared" si="11"/>
        <v>-3.2549397813411901E-2</v>
      </c>
      <c r="ED92">
        <f t="shared" si="11"/>
        <v>1.1530013012911641E-2</v>
      </c>
      <c r="EE92">
        <f t="shared" si="11"/>
        <v>-2.1336801227844213E-3</v>
      </c>
      <c r="EF92">
        <f t="shared" si="11"/>
        <v>8.2736533576977158E-3</v>
      </c>
      <c r="EG92">
        <f t="shared" si="11"/>
        <v>5.2158528990031788E-2</v>
      </c>
      <c r="EH92">
        <f t="shared" si="11"/>
        <v>-2.9830952439366663E-3</v>
      </c>
      <c r="EI92">
        <f t="shared" si="11"/>
        <v>-1.1263826297707953E-2</v>
      </c>
      <c r="EJ92">
        <f t="shared" si="11"/>
        <v>-3.332059917332747E-2</v>
      </c>
      <c r="EK92">
        <f t="shared" si="11"/>
        <v>3.3336163428320881E-2</v>
      </c>
      <c r="EL92">
        <f t="shared" si="11"/>
        <v>-2.2693893773154906E-3</v>
      </c>
      <c r="EM92">
        <f t="shared" si="11"/>
        <v>3.0656409129448288E-3</v>
      </c>
      <c r="EN92">
        <f t="shared" si="11"/>
        <v>-2.6296570010469044E-3</v>
      </c>
      <c r="EO92">
        <f t="shared" si="11"/>
        <v>4.8957042288162958E-2</v>
      </c>
      <c r="EP92">
        <f t="shared" si="11"/>
        <v>2.0610293390798205E-2</v>
      </c>
      <c r="EQ92">
        <f t="shared" si="11"/>
        <v>5.396258348742608E-2</v>
      </c>
      <c r="ER92">
        <f t="shared" si="11"/>
        <v>-3.4683725589072879E-2</v>
      </c>
      <c r="ES92">
        <f t="shared" si="11"/>
        <v>-6.9175090334616931E-3</v>
      </c>
      <c r="ET92">
        <f t="shared" si="11"/>
        <v>1.8215612183987422E-2</v>
      </c>
      <c r="EU92">
        <f t="shared" si="11"/>
        <v>1.649745879671834E-2</v>
      </c>
      <c r="EV92">
        <f t="shared" si="11"/>
        <v>1.7462993024541806E-2</v>
      </c>
      <c r="EW92">
        <f t="shared" si="11"/>
        <v>1.2415921110682439E-2</v>
      </c>
      <c r="EX92">
        <f t="shared" si="11"/>
        <v>1.410388373173079E-2</v>
      </c>
      <c r="EY92">
        <f t="shared" si="11"/>
        <v>1.588674673283879E-2</v>
      </c>
      <c r="EZ92">
        <f t="shared" si="11"/>
        <v>-2.6120014485027055E-3</v>
      </c>
      <c r="FA92">
        <f t="shared" si="11"/>
        <v>3.6131077070114585E-2</v>
      </c>
      <c r="FB92">
        <f t="shared" si="11"/>
        <v>8.0536592287414419E-3</v>
      </c>
      <c r="FC92">
        <f t="shared" si="11"/>
        <v>3.3766073726437293E-2</v>
      </c>
      <c r="FD92">
        <f t="shared" si="11"/>
        <v>2.9716538121814337E-2</v>
      </c>
      <c r="FE92">
        <f t="shared" si="11"/>
        <v>-9.45307461611014E-4</v>
      </c>
      <c r="FF92">
        <f t="shared" si="11"/>
        <v>-4.0649429881275461E-3</v>
      </c>
      <c r="FG92">
        <f t="shared" si="11"/>
        <v>-7.3036281568247862E-4</v>
      </c>
      <c r="FH92">
        <f t="shared" si="11"/>
        <v>-9.091861109997974E-3</v>
      </c>
      <c r="FI92">
        <f t="shared" si="11"/>
        <v>-6.4606250876470895E-3</v>
      </c>
      <c r="FJ92">
        <f t="shared" si="11"/>
        <v>-1.6737800911710964E-2</v>
      </c>
      <c r="FK92">
        <f t="shared" si="11"/>
        <v>-6.0403637770681761E-4</v>
      </c>
      <c r="FL92">
        <f t="shared" si="11"/>
        <v>2.449889444159482E-2</v>
      </c>
      <c r="FM92">
        <f t="shared" si="11"/>
        <v>-1.2842691862688339E-2</v>
      </c>
      <c r="FN92">
        <f t="shared" si="11"/>
        <v>-2.8276403210626491E-2</v>
      </c>
      <c r="FO92">
        <f t="shared" si="11"/>
        <v>-2.2554637803381605E-3</v>
      </c>
      <c r="FP92">
        <f t="shared" si="11"/>
        <v>1.2340899871928528E-2</v>
      </c>
      <c r="FQ92">
        <f t="shared" si="11"/>
        <v>-1.8407279036232248E-2</v>
      </c>
      <c r="FR92">
        <f t="shared" si="11"/>
        <v>2.120508179896324E-2</v>
      </c>
      <c r="FS92">
        <f t="shared" si="11"/>
        <v>4.1384733570976363E-3</v>
      </c>
      <c r="FT92">
        <f t="shared" si="11"/>
        <v>5.132656784670315E-3</v>
      </c>
      <c r="FU92">
        <f t="shared" si="11"/>
        <v>-3.4070390375898936E-2</v>
      </c>
      <c r="FV92">
        <f t="shared" si="11"/>
        <v>-9.4901033065896805E-3</v>
      </c>
      <c r="FW92">
        <f t="shared" si="11"/>
        <v>6.1867459156015063E-4</v>
      </c>
      <c r="FX92">
        <f t="shared" si="11"/>
        <v>-8.2670308497713434E-3</v>
      </c>
      <c r="FY92">
        <f t="shared" si="11"/>
        <v>3.5218915805447083E-3</v>
      </c>
      <c r="FZ92">
        <f t="shared" si="11"/>
        <v>-8.9022331348670731E-3</v>
      </c>
      <c r="GA92">
        <f t="shared" si="11"/>
        <v>-3.8689362258298783E-2</v>
      </c>
      <c r="GB92">
        <f t="shared" si="11"/>
        <v>-1.7428000978514997E-2</v>
      </c>
      <c r="GC92">
        <f t="shared" si="11"/>
        <v>8.0420806944260827E-3</v>
      </c>
      <c r="GD92">
        <f t="shared" si="11"/>
        <v>-2.5508694905316917E-2</v>
      </c>
      <c r="GE92">
        <f t="shared" si="11"/>
        <v>-2.1690416461758174E-2</v>
      </c>
      <c r="GF92">
        <f t="shared" si="11"/>
        <v>1.4983286674503899E-2</v>
      </c>
      <c r="GG92">
        <f t="shared" si="11"/>
        <v>-8.9996041275441474E-4</v>
      </c>
      <c r="GH92">
        <f t="shared" si="11"/>
        <v>-3.2769057309838625E-3</v>
      </c>
      <c r="GI92">
        <f t="shared" si="11"/>
        <v>2.4722334124012455E-2</v>
      </c>
      <c r="GJ92">
        <f t="shared" si="11"/>
        <v>-2.4470607979343501E-2</v>
      </c>
      <c r="GK92">
        <f t="shared" si="11"/>
        <v>-1.903578487513485E-2</v>
      </c>
    </row>
    <row r="93" spans="1:193" x14ac:dyDescent="0.25">
      <c r="A93" s="231" t="s">
        <v>268</v>
      </c>
      <c r="B93" s="231"/>
      <c r="C93">
        <f>MAX(C91:C92)</f>
        <v>1.4102972063508249E-2</v>
      </c>
      <c r="D93">
        <f t="shared" ref="D93:BO93" si="12">MAX(D91:D92)</f>
        <v>3.3902016090400021E-2</v>
      </c>
      <c r="E93">
        <f t="shared" si="12"/>
        <v>9.1633492067712125E-2</v>
      </c>
      <c r="F93">
        <f t="shared" si="12"/>
        <v>8.2344320697319409E-2</v>
      </c>
      <c r="G93">
        <f t="shared" si="12"/>
        <v>6.487108785136779E-2</v>
      </c>
      <c r="H93">
        <f t="shared" si="12"/>
        <v>9.6482511174948271E-2</v>
      </c>
      <c r="I93">
        <f t="shared" si="12"/>
        <v>7.541939653768219E-2</v>
      </c>
      <c r="J93">
        <f t="shared" si="12"/>
        <v>5.254708931576578E-2</v>
      </c>
      <c r="K93">
        <f t="shared" si="12"/>
        <v>7.6932285514374352E-2</v>
      </c>
      <c r="L93">
        <f t="shared" si="12"/>
        <v>2.504089720603821E-2</v>
      </c>
      <c r="M93">
        <f t="shared" si="12"/>
        <v>0.1718439997490965</v>
      </c>
      <c r="N93">
        <f t="shared" si="12"/>
        <v>0.17815413977593508</v>
      </c>
      <c r="O93">
        <f t="shared" si="12"/>
        <v>0.10950622482378354</v>
      </c>
      <c r="P93">
        <f t="shared" si="12"/>
        <v>0.13872957271538031</v>
      </c>
      <c r="Q93">
        <f t="shared" si="12"/>
        <v>0.10999291878342517</v>
      </c>
      <c r="R93">
        <f t="shared" si="12"/>
        <v>0.13342024281163647</v>
      </c>
      <c r="S93">
        <f t="shared" si="12"/>
        <v>8.5020303648023446E-2</v>
      </c>
      <c r="T93">
        <f t="shared" si="12"/>
        <v>0.18515393576020364</v>
      </c>
      <c r="U93">
        <f t="shared" si="12"/>
        <v>0.17132469807456671</v>
      </c>
      <c r="V93">
        <f t="shared" si="12"/>
        <v>0.27053698210817573</v>
      </c>
      <c r="W93">
        <f t="shared" si="12"/>
        <v>0.19265942548299783</v>
      </c>
      <c r="X93">
        <f t="shared" si="12"/>
        <v>0.22856696640159943</v>
      </c>
      <c r="Y93">
        <f t="shared" si="12"/>
        <v>0.14623995789147876</v>
      </c>
      <c r="Z93">
        <f t="shared" si="12"/>
        <v>0.1370358050706352</v>
      </c>
      <c r="AA93">
        <f t="shared" si="12"/>
        <v>1.140889537664749E-2</v>
      </c>
      <c r="AB93">
        <f t="shared" si="12"/>
        <v>0.3107873461083176</v>
      </c>
      <c r="AC93">
        <f t="shared" si="12"/>
        <v>0.35645558048987891</v>
      </c>
      <c r="AD93">
        <f t="shared" si="12"/>
        <v>0.33067585129626004</v>
      </c>
      <c r="AE93">
        <f t="shared" si="12"/>
        <v>0.28416080681830375</v>
      </c>
      <c r="AF93">
        <f t="shared" si="12"/>
        <v>0.25865495436338554</v>
      </c>
      <c r="AG93">
        <f t="shared" si="12"/>
        <v>0.28092398388915579</v>
      </c>
      <c r="AH93">
        <f t="shared" si="12"/>
        <v>0.22534483900270394</v>
      </c>
      <c r="AI93">
        <f t="shared" si="12"/>
        <v>0.32078230310248024</v>
      </c>
      <c r="AJ93">
        <f t="shared" si="12"/>
        <v>0.23026132888879405</v>
      </c>
      <c r="AK93">
        <f t="shared" si="12"/>
        <v>0.24659749264424372</v>
      </c>
      <c r="AL93">
        <f t="shared" si="12"/>
        <v>0.24763256453260099</v>
      </c>
      <c r="AM93">
        <f t="shared" si="12"/>
        <v>0.2847639200667178</v>
      </c>
      <c r="AN93">
        <f t="shared" si="12"/>
        <v>0.24249024610328837</v>
      </c>
      <c r="AO93">
        <f t="shared" si="12"/>
        <v>0.27086811508144926</v>
      </c>
      <c r="AP93">
        <f t="shared" si="12"/>
        <v>0.21392671320196593</v>
      </c>
      <c r="AQ93">
        <f t="shared" si="12"/>
        <v>0.24895370623915838</v>
      </c>
      <c r="AR93">
        <f t="shared" si="12"/>
        <v>0.33604060798453506</v>
      </c>
      <c r="AS93">
        <f t="shared" si="12"/>
        <v>0.30180320029172703</v>
      </c>
      <c r="AT93">
        <f t="shared" si="12"/>
        <v>0.15809642802256851</v>
      </c>
      <c r="AU93">
        <f t="shared" si="12"/>
        <v>0.22229849605432445</v>
      </c>
      <c r="AV93">
        <f t="shared" si="12"/>
        <v>0.12910088244762016</v>
      </c>
      <c r="AW93">
        <f t="shared" si="12"/>
        <v>3.3169803998209339E-2</v>
      </c>
      <c r="AX93">
        <f t="shared" si="12"/>
        <v>0.14963488400852756</v>
      </c>
      <c r="AY93">
        <f t="shared" si="12"/>
        <v>0.16818659481180617</v>
      </c>
      <c r="AZ93">
        <f t="shared" si="12"/>
        <v>0.18941459623251047</v>
      </c>
      <c r="BA93">
        <f t="shared" si="12"/>
        <v>0.26822209768111488</v>
      </c>
      <c r="BB93">
        <f t="shared" si="12"/>
        <v>0.27388762140743805</v>
      </c>
      <c r="BC93">
        <f t="shared" si="12"/>
        <v>0.2128170368743911</v>
      </c>
      <c r="BD93">
        <f t="shared" si="12"/>
        <v>0.23912775808134465</v>
      </c>
      <c r="BE93">
        <f t="shared" si="12"/>
        <v>0.15371247880459707</v>
      </c>
      <c r="BF93">
        <f t="shared" si="12"/>
        <v>0.16090982607624235</v>
      </c>
      <c r="BG93">
        <f t="shared" si="12"/>
        <v>0.23570140186910801</v>
      </c>
      <c r="BH93">
        <f t="shared" si="12"/>
        <v>0.19222991282678684</v>
      </c>
      <c r="BI93">
        <f t="shared" si="12"/>
        <v>0.26219030475813077</v>
      </c>
      <c r="BJ93">
        <f t="shared" si="12"/>
        <v>0.3136752077788526</v>
      </c>
      <c r="BK93">
        <f t="shared" si="12"/>
        <v>0.2564021516422792</v>
      </c>
      <c r="BL93">
        <f t="shared" si="12"/>
        <v>0.34796543332325414</v>
      </c>
      <c r="BM93">
        <f t="shared" si="12"/>
        <v>0.2111025367129655</v>
      </c>
      <c r="BN93">
        <f t="shared" si="12"/>
        <v>0.32022123732112667</v>
      </c>
      <c r="BO93">
        <f t="shared" si="12"/>
        <v>0.2283776899621261</v>
      </c>
      <c r="BP93">
        <f t="shared" ref="BP93:EA93" si="13">MAX(BP91:BP92)</f>
        <v>0.25338255551840067</v>
      </c>
      <c r="BQ93">
        <f t="shared" si="13"/>
        <v>0.28234883388326965</v>
      </c>
      <c r="BR93">
        <f t="shared" si="13"/>
        <v>0.25655282563108617</v>
      </c>
      <c r="BS93">
        <f t="shared" si="13"/>
        <v>0.48319743341787752</v>
      </c>
      <c r="BT93">
        <f t="shared" si="13"/>
        <v>0.43398596348825075</v>
      </c>
      <c r="BU93">
        <f t="shared" si="13"/>
        <v>0.3793697365306547</v>
      </c>
      <c r="BV93">
        <f t="shared" si="13"/>
        <v>0.36735812428181297</v>
      </c>
      <c r="BW93">
        <f t="shared" si="13"/>
        <v>0.42046347718975668</v>
      </c>
      <c r="BX93">
        <f t="shared" si="13"/>
        <v>0.34810520814472007</v>
      </c>
      <c r="BY93">
        <f t="shared" si="13"/>
        <v>0.40362638347320817</v>
      </c>
      <c r="BZ93">
        <f t="shared" si="13"/>
        <v>0.38302263270359277</v>
      </c>
      <c r="CA93">
        <f t="shared" si="13"/>
        <v>0.48029710838759659</v>
      </c>
      <c r="CB93">
        <f t="shared" si="13"/>
        <v>0.20566192394478142</v>
      </c>
      <c r="CC93">
        <f t="shared" si="13"/>
        <v>0.15802113786698374</v>
      </c>
      <c r="CD93">
        <f t="shared" si="13"/>
        <v>8.3245021764207019E-2</v>
      </c>
      <c r="CE93">
        <f t="shared" si="13"/>
        <v>0.11694893552383524</v>
      </c>
      <c r="CF93">
        <f t="shared" si="13"/>
        <v>0.16901868362787018</v>
      </c>
      <c r="CG93">
        <f t="shared" si="13"/>
        <v>4.005501436825569E-2</v>
      </c>
      <c r="CH93">
        <f t="shared" si="13"/>
        <v>8.8740115514666998E-2</v>
      </c>
      <c r="CI93">
        <f t="shared" si="13"/>
        <v>0.17808157525177218</v>
      </c>
      <c r="CJ93">
        <f t="shared" si="13"/>
        <v>0.20475895547317277</v>
      </c>
      <c r="CK93">
        <f t="shared" si="13"/>
        <v>0.18107999709857328</v>
      </c>
      <c r="CL93">
        <f t="shared" si="13"/>
        <v>0.15832731012393869</v>
      </c>
      <c r="CM93">
        <f t="shared" si="13"/>
        <v>0.21933856434759502</v>
      </c>
      <c r="CN93">
        <f t="shared" si="13"/>
        <v>0.22624237214532431</v>
      </c>
      <c r="CO93">
        <f t="shared" si="13"/>
        <v>8.8139429523041379E-2</v>
      </c>
      <c r="CP93">
        <f t="shared" si="13"/>
        <v>0.12979878767411657</v>
      </c>
      <c r="CQ93">
        <f t="shared" si="13"/>
        <v>0.16297138747152087</v>
      </c>
      <c r="CR93">
        <f t="shared" si="13"/>
        <v>8.7421251831991523E-2</v>
      </c>
      <c r="CS93">
        <f t="shared" si="13"/>
        <v>9.0865050871853231E-2</v>
      </c>
      <c r="CT93">
        <f t="shared" si="13"/>
        <v>0.10151689768099367</v>
      </c>
      <c r="CU93">
        <f t="shared" si="13"/>
        <v>9.2039918699172496E-2</v>
      </c>
      <c r="CV93">
        <f t="shared" si="13"/>
        <v>0.16277241637968612</v>
      </c>
      <c r="CW93">
        <f t="shared" si="13"/>
        <v>8.1569392676159799E-2</v>
      </c>
      <c r="CX93">
        <f t="shared" si="13"/>
        <v>7.8309574329942469E-2</v>
      </c>
      <c r="CY93">
        <f t="shared" si="13"/>
        <v>8.5397032871756831E-2</v>
      </c>
      <c r="CZ93">
        <f t="shared" si="13"/>
        <v>0.25569849224201552</v>
      </c>
      <c r="DA93">
        <f t="shared" si="13"/>
        <v>9.8826093846041199E-2</v>
      </c>
      <c r="DB93">
        <f t="shared" si="13"/>
        <v>4.4414344121440123E-2</v>
      </c>
      <c r="DC93">
        <f t="shared" si="13"/>
        <v>5.0956051560733358E-2</v>
      </c>
      <c r="DD93">
        <f t="shared" si="13"/>
        <v>3.3306918051787655E-2</v>
      </c>
      <c r="DE93">
        <f t="shared" si="13"/>
        <v>3.3514163587776605E-2</v>
      </c>
      <c r="DF93">
        <f t="shared" si="13"/>
        <v>2.9510416704368478E-2</v>
      </c>
      <c r="DG93">
        <f t="shared" si="13"/>
        <v>6.3140409755793298E-2</v>
      </c>
      <c r="DH93">
        <f t="shared" si="13"/>
        <v>4.8076889563163867E-2</v>
      </c>
      <c r="DI93">
        <f t="shared" si="13"/>
        <v>-1.6773880658039336E-2</v>
      </c>
      <c r="DJ93">
        <f t="shared" si="13"/>
        <v>1.0012948538072473E-2</v>
      </c>
      <c r="DK93">
        <f t="shared" si="13"/>
        <v>7.9939473961753812E-2</v>
      </c>
      <c r="DL93">
        <f t="shared" si="13"/>
        <v>6.0105690646442105E-2</v>
      </c>
      <c r="DM93">
        <f t="shared" si="13"/>
        <v>7.3416930474819227E-3</v>
      </c>
      <c r="DN93">
        <f t="shared" si="13"/>
        <v>3.5458997637719508E-2</v>
      </c>
      <c r="DO93">
        <f t="shared" si="13"/>
        <v>9.4291701590045823E-2</v>
      </c>
      <c r="DP93">
        <f t="shared" si="13"/>
        <v>7.1518344488904631E-3</v>
      </c>
      <c r="DQ93">
        <f t="shared" si="13"/>
        <v>3.8159810528667654E-2</v>
      </c>
      <c r="DR93">
        <f t="shared" si="13"/>
        <v>8.596354200212987E-2</v>
      </c>
      <c r="DS93">
        <f t="shared" si="13"/>
        <v>6.3323636609305817E-2</v>
      </c>
      <c r="DT93">
        <f t="shared" si="13"/>
        <v>8.1303912520841529E-2</v>
      </c>
      <c r="DU93">
        <f t="shared" si="13"/>
        <v>1.4680496873097649E-2</v>
      </c>
      <c r="DV93">
        <f t="shared" si="13"/>
        <v>3.198987878533191E-2</v>
      </c>
      <c r="DW93">
        <f t="shared" si="13"/>
        <v>0.10935974302152267</v>
      </c>
      <c r="DX93">
        <f t="shared" si="13"/>
        <v>4.6855192017981745E-2</v>
      </c>
      <c r="DY93">
        <f t="shared" si="13"/>
        <v>1.8308681584545208E-2</v>
      </c>
      <c r="DZ93">
        <f t="shared" si="13"/>
        <v>2.6538954754058396E-2</v>
      </c>
      <c r="EA93">
        <f t="shared" si="13"/>
        <v>1.9513109425247158E-2</v>
      </c>
      <c r="EB93">
        <f t="shared" ref="EB93:GK93" si="14">MAX(EB91:EB92)</f>
        <v>5.4847376743563027E-2</v>
      </c>
      <c r="EC93">
        <f t="shared" si="14"/>
        <v>-1.6335867544455741E-2</v>
      </c>
      <c r="ED93">
        <f t="shared" si="14"/>
        <v>0.14301492158357845</v>
      </c>
      <c r="EE93">
        <f t="shared" si="14"/>
        <v>6.5483367666134801E-2</v>
      </c>
      <c r="EF93">
        <f t="shared" si="14"/>
        <v>3.4461414450367517E-2</v>
      </c>
      <c r="EG93">
        <f t="shared" si="14"/>
        <v>0.13527057576021842</v>
      </c>
      <c r="EH93">
        <f t="shared" si="14"/>
        <v>-2.9830952439366663E-3</v>
      </c>
      <c r="EI93">
        <f t="shared" si="14"/>
        <v>6.8364209645673413E-2</v>
      </c>
      <c r="EJ93">
        <f t="shared" si="14"/>
        <v>9.2681215631277319E-2</v>
      </c>
      <c r="EK93">
        <f t="shared" si="14"/>
        <v>0.20836087902416375</v>
      </c>
      <c r="EL93">
        <f t="shared" si="14"/>
        <v>9.7082801125859097E-2</v>
      </c>
      <c r="EM93">
        <f t="shared" si="14"/>
        <v>0.11361070438580975</v>
      </c>
      <c r="EN93">
        <f t="shared" si="14"/>
        <v>0.315638882961217</v>
      </c>
      <c r="EO93">
        <f t="shared" si="14"/>
        <v>0.11103395044019035</v>
      </c>
      <c r="EP93">
        <f t="shared" si="14"/>
        <v>0.16419783123236165</v>
      </c>
      <c r="EQ93">
        <f t="shared" si="14"/>
        <v>0.14225269451433084</v>
      </c>
      <c r="ER93">
        <f t="shared" si="14"/>
        <v>0.23741446561427285</v>
      </c>
      <c r="ES93">
        <f t="shared" si="14"/>
        <v>4.2426898804713044E-2</v>
      </c>
      <c r="ET93">
        <f t="shared" si="14"/>
        <v>0.12051280729454519</v>
      </c>
      <c r="EU93">
        <f t="shared" si="14"/>
        <v>8.403064095176313E-2</v>
      </c>
      <c r="EV93">
        <f t="shared" si="14"/>
        <v>7.923488089580967E-2</v>
      </c>
      <c r="EW93">
        <f t="shared" si="14"/>
        <v>0.15590859827831915</v>
      </c>
      <c r="EX93">
        <f t="shared" si="14"/>
        <v>0.12683241644059709</v>
      </c>
      <c r="EY93">
        <f t="shared" si="14"/>
        <v>0.15878889651080277</v>
      </c>
      <c r="EZ93">
        <f t="shared" si="14"/>
        <v>0.13460057096523972</v>
      </c>
      <c r="FA93">
        <f t="shared" si="14"/>
        <v>0.16740572538566958</v>
      </c>
      <c r="FB93">
        <f t="shared" si="14"/>
        <v>0.15558007841370217</v>
      </c>
      <c r="FC93">
        <f t="shared" si="14"/>
        <v>0.1812956994832442</v>
      </c>
      <c r="FD93">
        <f t="shared" si="14"/>
        <v>0.20031994414170748</v>
      </c>
      <c r="FE93">
        <f t="shared" si="14"/>
        <v>0.20089244963324449</v>
      </c>
      <c r="FF93">
        <f t="shared" si="14"/>
        <v>0.14179699989203934</v>
      </c>
      <c r="FG93">
        <f t="shared" si="14"/>
        <v>0.15815779368936009</v>
      </c>
      <c r="FH93">
        <f t="shared" si="14"/>
        <v>0.17470802660007551</v>
      </c>
      <c r="FI93">
        <f t="shared" si="14"/>
        <v>0.20747746085220534</v>
      </c>
      <c r="FJ93">
        <f t="shared" si="14"/>
        <v>0.23916818427980949</v>
      </c>
      <c r="FK93">
        <f t="shared" si="14"/>
        <v>0.16826866105604854</v>
      </c>
      <c r="FL93">
        <f t="shared" si="14"/>
        <v>0.27485958942208644</v>
      </c>
      <c r="FM93">
        <f t="shared" si="14"/>
        <v>0.1129689559217182</v>
      </c>
      <c r="FN93">
        <f t="shared" si="14"/>
        <v>0.18115891965735254</v>
      </c>
      <c r="FO93">
        <f t="shared" si="14"/>
        <v>0.14923494344831567</v>
      </c>
      <c r="FP93">
        <f t="shared" si="14"/>
        <v>0.21817880743519955</v>
      </c>
      <c r="FQ93">
        <f t="shared" si="14"/>
        <v>0.12888820677833709</v>
      </c>
      <c r="FR93">
        <f t="shared" si="14"/>
        <v>0.20851253146071141</v>
      </c>
      <c r="FS93">
        <f t="shared" si="14"/>
        <v>0.21774183240589834</v>
      </c>
      <c r="FT93">
        <f t="shared" si="14"/>
        <v>0.22476060228249378</v>
      </c>
      <c r="FU93">
        <f t="shared" si="14"/>
        <v>0.2311805635550058</v>
      </c>
      <c r="FV93">
        <f t="shared" si="14"/>
        <v>0.27102359796674669</v>
      </c>
      <c r="FW93">
        <f t="shared" si="14"/>
        <v>0.19889916462296384</v>
      </c>
      <c r="FX93">
        <f t="shared" si="14"/>
        <v>0.12643799672412309</v>
      </c>
      <c r="FY93">
        <f t="shared" si="14"/>
        <v>0.10612706982016223</v>
      </c>
      <c r="FZ93">
        <f t="shared" si="14"/>
        <v>9.3726553681393446E-2</v>
      </c>
      <c r="GA93">
        <f t="shared" si="14"/>
        <v>0.14827639398541367</v>
      </c>
      <c r="GB93">
        <f t="shared" si="14"/>
        <v>0.15127421896327534</v>
      </c>
      <c r="GC93">
        <f t="shared" si="14"/>
        <v>0.17428316903837909</v>
      </c>
      <c r="GD93">
        <f t="shared" si="14"/>
        <v>0.14260027171306894</v>
      </c>
      <c r="GE93">
        <f t="shared" si="14"/>
        <v>0.13009078596299281</v>
      </c>
      <c r="GF93">
        <f t="shared" si="14"/>
        <v>0.11585598215624326</v>
      </c>
      <c r="GG93">
        <f t="shared" si="14"/>
        <v>0.22948151866430438</v>
      </c>
      <c r="GH93">
        <f t="shared" si="14"/>
        <v>0.15130624440151286</v>
      </c>
      <c r="GI93">
        <f t="shared" si="14"/>
        <v>0.18404248694012362</v>
      </c>
      <c r="GJ93">
        <f t="shared" si="14"/>
        <v>0.19431823182182273</v>
      </c>
      <c r="GK93">
        <f t="shared" si="14"/>
        <v>0.2241612528005478</v>
      </c>
    </row>
    <row r="95" spans="1:193" s="149" customFormat="1" x14ac:dyDescent="0.25">
      <c r="A95" s="231" t="s">
        <v>260</v>
      </c>
      <c r="B95" s="231"/>
      <c r="D95" s="231" t="s">
        <v>261</v>
      </c>
      <c r="E95" s="231"/>
      <c r="G95" s="231" t="s">
        <v>269</v>
      </c>
      <c r="H95" s="231"/>
      <c r="I95" s="231"/>
      <c r="K95" s="155" t="s">
        <v>783</v>
      </c>
    </row>
    <row r="97" spans="1:11" x14ac:dyDescent="0.25">
      <c r="A97" s="183" t="s">
        <v>235</v>
      </c>
      <c r="B97">
        <v>0.37293413021190092</v>
      </c>
      <c r="D97" s="156" t="s">
        <v>234</v>
      </c>
      <c r="E97">
        <v>0.72928354324369205</v>
      </c>
      <c r="G97" s="183" t="s">
        <v>232</v>
      </c>
      <c r="H97">
        <v>0.48319743341787752</v>
      </c>
      <c r="K97" s="190" t="s">
        <v>780</v>
      </c>
    </row>
    <row r="98" spans="1:11" x14ac:dyDescent="0.25">
      <c r="A98" s="156" t="s">
        <v>11</v>
      </c>
      <c r="B98">
        <v>0.36576126683514143</v>
      </c>
      <c r="D98" s="183" t="s">
        <v>235</v>
      </c>
      <c r="E98">
        <v>0.7173610202203925</v>
      </c>
      <c r="G98" s="183" t="s">
        <v>238</v>
      </c>
      <c r="H98">
        <v>0.48029710838759659</v>
      </c>
      <c r="K98" s="189" t="s">
        <v>656</v>
      </c>
    </row>
    <row r="99" spans="1:11" x14ac:dyDescent="0.25">
      <c r="A99" s="156" t="s">
        <v>234</v>
      </c>
      <c r="B99">
        <v>0.35315385612869704</v>
      </c>
      <c r="D99" s="156" t="s">
        <v>11</v>
      </c>
      <c r="E99">
        <v>0.71043860183086094</v>
      </c>
      <c r="G99" s="183" t="s">
        <v>233</v>
      </c>
      <c r="H99">
        <v>0.43398596348825075</v>
      </c>
      <c r="K99" s="188" t="s">
        <v>781</v>
      </c>
    </row>
    <row r="100" spans="1:11" x14ac:dyDescent="0.25">
      <c r="A100" s="183" t="s">
        <v>233</v>
      </c>
      <c r="B100">
        <v>0.35119403546713762</v>
      </c>
      <c r="D100" s="156" t="s">
        <v>101</v>
      </c>
      <c r="E100">
        <v>0.66849027543551887</v>
      </c>
      <c r="G100" s="183" t="s">
        <v>235</v>
      </c>
      <c r="H100">
        <v>0.42046347718975668</v>
      </c>
    </row>
    <row r="101" spans="1:11" x14ac:dyDescent="0.25">
      <c r="A101" s="183" t="s">
        <v>238</v>
      </c>
      <c r="B101">
        <v>0.34867358557022338</v>
      </c>
      <c r="D101" s="183" t="s">
        <v>233</v>
      </c>
      <c r="E101">
        <v>0.66538441195395093</v>
      </c>
      <c r="G101" s="156" t="s">
        <v>11</v>
      </c>
      <c r="H101">
        <v>0.40362638347320817</v>
      </c>
      <c r="K101" s="187" t="s">
        <v>782</v>
      </c>
    </row>
    <row r="102" spans="1:11" x14ac:dyDescent="0.25">
      <c r="A102" s="183" t="s">
        <v>232</v>
      </c>
      <c r="B102">
        <v>0.34766500656912674</v>
      </c>
      <c r="D102" s="183" t="s">
        <v>238</v>
      </c>
      <c r="E102">
        <v>0.59017044436894506</v>
      </c>
      <c r="G102" s="183" t="s">
        <v>237</v>
      </c>
      <c r="H102">
        <v>0.38302263270359277</v>
      </c>
    </row>
    <row r="103" spans="1:11" x14ac:dyDescent="0.25">
      <c r="A103" s="183" t="s">
        <v>236</v>
      </c>
      <c r="B103">
        <v>0.2981335441478089</v>
      </c>
      <c r="D103" s="183" t="s">
        <v>232</v>
      </c>
      <c r="E103">
        <v>0.58629560244962431</v>
      </c>
      <c r="G103" s="156" t="s">
        <v>234</v>
      </c>
      <c r="H103">
        <v>0.3793697365306547</v>
      </c>
    </row>
    <row r="104" spans="1:11" x14ac:dyDescent="0.25">
      <c r="A104" s="183" t="s">
        <v>1</v>
      </c>
      <c r="B104">
        <v>0.28248765963566397</v>
      </c>
      <c r="D104" s="156" t="s">
        <v>100</v>
      </c>
      <c r="E104">
        <v>0.5484787217958258</v>
      </c>
      <c r="G104" s="183" t="s">
        <v>1</v>
      </c>
      <c r="H104">
        <v>0.36735812428181297</v>
      </c>
    </row>
    <row r="105" spans="1:11" x14ac:dyDescent="0.25">
      <c r="A105" s="183" t="s">
        <v>237</v>
      </c>
      <c r="B105">
        <v>0.2792308380119613</v>
      </c>
      <c r="D105" s="183" t="s">
        <v>236</v>
      </c>
      <c r="E105">
        <v>0.52948692963155053</v>
      </c>
      <c r="G105" s="192" t="s">
        <v>190</v>
      </c>
      <c r="H105">
        <v>0.35645558048987891</v>
      </c>
    </row>
    <row r="106" spans="1:11" x14ac:dyDescent="0.25">
      <c r="A106" s="156" t="s">
        <v>101</v>
      </c>
      <c r="B106">
        <v>0.23660536606147853</v>
      </c>
      <c r="D106" s="183" t="s">
        <v>1</v>
      </c>
      <c r="E106">
        <v>0.52605563715811154</v>
      </c>
      <c r="G106" s="183" t="s">
        <v>236</v>
      </c>
      <c r="H106">
        <v>0.34810520814472007</v>
      </c>
    </row>
    <row r="107" spans="1:11" x14ac:dyDescent="0.25">
      <c r="A107" s="156" t="s">
        <v>100</v>
      </c>
      <c r="B107">
        <v>0.19668534442572894</v>
      </c>
      <c r="D107" s="183" t="s">
        <v>94</v>
      </c>
      <c r="E107">
        <v>0.47848702178319158</v>
      </c>
      <c r="G107" s="185" t="s">
        <v>225</v>
      </c>
      <c r="H107">
        <v>0.34796543332325414</v>
      </c>
    </row>
    <row r="108" spans="1:11" x14ac:dyDescent="0.25">
      <c r="A108" s="183" t="s">
        <v>94</v>
      </c>
      <c r="B108">
        <v>0.17643488490293008</v>
      </c>
      <c r="D108" s="156" t="s">
        <v>99</v>
      </c>
      <c r="E108">
        <v>0.46650384727236593</v>
      </c>
      <c r="G108" s="185" t="s">
        <v>205</v>
      </c>
      <c r="H108">
        <v>0.33604060798453506</v>
      </c>
    </row>
    <row r="109" spans="1:11" x14ac:dyDescent="0.25">
      <c r="A109" s="183" t="s">
        <v>709</v>
      </c>
      <c r="B109">
        <v>0.16874817966889455</v>
      </c>
      <c r="D109" s="183" t="s">
        <v>237</v>
      </c>
      <c r="E109">
        <v>0.44739691035001522</v>
      </c>
      <c r="G109" s="191" t="s">
        <v>191</v>
      </c>
      <c r="H109">
        <v>0.33067585129626004</v>
      </c>
    </row>
    <row r="110" spans="1:11" x14ac:dyDescent="0.25">
      <c r="A110" s="183" t="s">
        <v>732</v>
      </c>
      <c r="B110">
        <v>0.16873985812093986</v>
      </c>
      <c r="D110" s="183" t="s">
        <v>95</v>
      </c>
      <c r="E110">
        <v>0.30279029274403618</v>
      </c>
      <c r="G110" s="184" t="s">
        <v>196</v>
      </c>
      <c r="H110">
        <v>0.32078230310248024</v>
      </c>
    </row>
    <row r="111" spans="1:11" x14ac:dyDescent="0.25">
      <c r="A111" s="156" t="s">
        <v>99</v>
      </c>
      <c r="B111">
        <v>0.16331006968174178</v>
      </c>
      <c r="D111" s="183" t="s">
        <v>732</v>
      </c>
      <c r="E111">
        <v>0.20495922706387082</v>
      </c>
      <c r="G111" s="185" t="s">
        <v>227</v>
      </c>
      <c r="H111">
        <v>0.32022123732112667</v>
      </c>
    </row>
    <row r="112" spans="1:11" x14ac:dyDescent="0.25">
      <c r="A112" s="184" t="s">
        <v>196</v>
      </c>
      <c r="B112">
        <v>0.14731488916002275</v>
      </c>
      <c r="D112" s="183" t="s">
        <v>709</v>
      </c>
      <c r="E112">
        <v>0.19139477512287409</v>
      </c>
      <c r="G112" s="183" t="s">
        <v>732</v>
      </c>
      <c r="H112">
        <v>0.315638882961217</v>
      </c>
    </row>
    <row r="113" spans="1:8" x14ac:dyDescent="0.25">
      <c r="A113" s="184" t="s">
        <v>223</v>
      </c>
      <c r="B113">
        <v>0.14433071616185403</v>
      </c>
      <c r="D113" s="184" t="s">
        <v>187</v>
      </c>
      <c r="E113">
        <v>0.17718740618550918</v>
      </c>
      <c r="G113" s="184" t="s">
        <v>223</v>
      </c>
      <c r="H113">
        <v>0.3136752077788526</v>
      </c>
    </row>
    <row r="114" spans="1:8" x14ac:dyDescent="0.25">
      <c r="A114" s="192" t="s">
        <v>190</v>
      </c>
      <c r="B114">
        <v>0.14273362450885196</v>
      </c>
      <c r="D114" s="184" t="s">
        <v>206</v>
      </c>
      <c r="E114">
        <v>0.15646867894155234</v>
      </c>
      <c r="G114" s="185" t="s">
        <v>189</v>
      </c>
      <c r="H114">
        <v>0.3107873461083176</v>
      </c>
    </row>
    <row r="115" spans="1:8" x14ac:dyDescent="0.25">
      <c r="A115" s="185" t="s">
        <v>225</v>
      </c>
      <c r="B115">
        <v>0.14043633361273519</v>
      </c>
      <c r="D115" s="185" t="s">
        <v>208</v>
      </c>
      <c r="E115">
        <v>0.13586038279576501</v>
      </c>
      <c r="G115" s="184" t="s">
        <v>206</v>
      </c>
      <c r="H115">
        <v>0.30180320029172703</v>
      </c>
    </row>
    <row r="116" spans="1:8" x14ac:dyDescent="0.25">
      <c r="A116" s="185" t="s">
        <v>200</v>
      </c>
      <c r="B116">
        <v>0.13880614768238403</v>
      </c>
      <c r="D116" s="184" t="s">
        <v>228</v>
      </c>
      <c r="E116">
        <v>0.12989357405111476</v>
      </c>
      <c r="G116" s="185" t="s">
        <v>200</v>
      </c>
      <c r="H116">
        <v>0.2847639200667178</v>
      </c>
    </row>
    <row r="117" spans="1:8" x14ac:dyDescent="0.25">
      <c r="A117" s="184" t="s">
        <v>206</v>
      </c>
      <c r="B117">
        <v>0.13710376534912336</v>
      </c>
      <c r="D117" s="184" t="s">
        <v>196</v>
      </c>
      <c r="E117">
        <v>0.12969468181825172</v>
      </c>
      <c r="G117" s="192" t="s">
        <v>192</v>
      </c>
      <c r="H117">
        <v>0.28416080681830375</v>
      </c>
    </row>
    <row r="118" spans="1:8" x14ac:dyDescent="0.25">
      <c r="A118" s="185" t="s">
        <v>227</v>
      </c>
      <c r="B118">
        <v>0.13605824133649957</v>
      </c>
      <c r="D118" s="192" t="s">
        <v>190</v>
      </c>
      <c r="E118">
        <v>0.1281575590614572</v>
      </c>
      <c r="G118" s="185" t="s">
        <v>230</v>
      </c>
      <c r="H118">
        <v>0.28234883388326965</v>
      </c>
    </row>
    <row r="119" spans="1:8" x14ac:dyDescent="0.25">
      <c r="A119" s="191" t="s">
        <v>191</v>
      </c>
      <c r="B119">
        <v>0.13604111497665672</v>
      </c>
      <c r="D119" s="192" t="s">
        <v>198</v>
      </c>
      <c r="E119">
        <v>0.12694791001622691</v>
      </c>
      <c r="G119" s="185" t="s">
        <v>194</v>
      </c>
      <c r="H119">
        <v>0.28092398388915579</v>
      </c>
    </row>
    <row r="120" spans="1:8" x14ac:dyDescent="0.25">
      <c r="A120" s="185" t="s">
        <v>202</v>
      </c>
      <c r="B120">
        <v>0.13371714323905964</v>
      </c>
      <c r="D120" s="185" t="s">
        <v>179</v>
      </c>
      <c r="E120">
        <v>0.12637748362567217</v>
      </c>
      <c r="G120" s="185" t="s">
        <v>680</v>
      </c>
      <c r="H120">
        <v>0.27485958942208644</v>
      </c>
    </row>
    <row r="121" spans="1:8" x14ac:dyDescent="0.25">
      <c r="A121" s="185" t="s">
        <v>205</v>
      </c>
      <c r="B121">
        <v>0.13015580348191866</v>
      </c>
      <c r="D121" s="191" t="s">
        <v>191</v>
      </c>
      <c r="E121">
        <v>0.12297526946750835</v>
      </c>
      <c r="G121" s="185" t="s">
        <v>215</v>
      </c>
      <c r="H121">
        <v>0.27388762140743805</v>
      </c>
    </row>
    <row r="122" spans="1:8" x14ac:dyDescent="0.25">
      <c r="A122" s="185" t="s">
        <v>189</v>
      </c>
      <c r="B122">
        <v>0.12649314544946547</v>
      </c>
      <c r="D122" s="185" t="s">
        <v>229</v>
      </c>
      <c r="E122">
        <v>0.12150405230859616</v>
      </c>
      <c r="G122" s="185" t="s">
        <v>690</v>
      </c>
      <c r="H122">
        <v>0.27102359796674669</v>
      </c>
    </row>
    <row r="123" spans="1:8" x14ac:dyDescent="0.25">
      <c r="A123" s="185" t="s">
        <v>680</v>
      </c>
      <c r="B123">
        <v>0.11812792312655786</v>
      </c>
      <c r="D123" s="185" t="s">
        <v>227</v>
      </c>
      <c r="E123">
        <v>0.1214719048814667</v>
      </c>
      <c r="G123" s="185" t="s">
        <v>202</v>
      </c>
      <c r="H123">
        <v>0.27086811508144926</v>
      </c>
    </row>
    <row r="124" spans="1:8" x14ac:dyDescent="0.25">
      <c r="A124" s="185" t="s">
        <v>185</v>
      </c>
      <c r="B124">
        <v>0.11796667605274586</v>
      </c>
      <c r="D124" s="185" t="s">
        <v>202</v>
      </c>
      <c r="E124">
        <v>0.12065353054870721</v>
      </c>
      <c r="G124" s="184" t="s">
        <v>183</v>
      </c>
      <c r="H124">
        <v>0.27053698210817573</v>
      </c>
    </row>
    <row r="125" spans="1:8" x14ac:dyDescent="0.25">
      <c r="A125" s="185" t="s">
        <v>214</v>
      </c>
      <c r="B125">
        <v>0.11790410947344535</v>
      </c>
      <c r="D125" s="185" t="s">
        <v>214</v>
      </c>
      <c r="E125">
        <v>0.11448075290151805</v>
      </c>
      <c r="G125" s="185" t="s">
        <v>214</v>
      </c>
      <c r="H125">
        <v>0.26822209768111488</v>
      </c>
    </row>
    <row r="126" spans="1:8" x14ac:dyDescent="0.25">
      <c r="A126" s="185" t="s">
        <v>690</v>
      </c>
      <c r="B126">
        <v>0.11765062338797116</v>
      </c>
      <c r="D126" s="184" t="s">
        <v>180</v>
      </c>
      <c r="E126">
        <v>0.11425163903692746</v>
      </c>
      <c r="G126" s="184" t="s">
        <v>222</v>
      </c>
      <c r="H126">
        <v>0.26219030475813077</v>
      </c>
    </row>
    <row r="127" spans="1:8" x14ac:dyDescent="0.25">
      <c r="A127" s="185" t="s">
        <v>194</v>
      </c>
      <c r="B127">
        <v>0.11743026382563229</v>
      </c>
      <c r="D127" s="184" t="s">
        <v>181</v>
      </c>
      <c r="E127">
        <v>0.11363606005436173</v>
      </c>
      <c r="G127" s="192" t="s">
        <v>193</v>
      </c>
      <c r="H127">
        <v>0.25865495436338554</v>
      </c>
    </row>
    <row r="128" spans="1:8" x14ac:dyDescent="0.25">
      <c r="A128" s="184" t="s">
        <v>195</v>
      </c>
      <c r="B128">
        <v>0.11677438330353203</v>
      </c>
      <c r="D128" s="185" t="s">
        <v>700</v>
      </c>
      <c r="E128">
        <v>0.11214436019454242</v>
      </c>
      <c r="G128" s="185" t="s">
        <v>231</v>
      </c>
      <c r="H128">
        <v>0.25655282563108617</v>
      </c>
    </row>
    <row r="129" spans="1:8" x14ac:dyDescent="0.25">
      <c r="A129" s="185" t="s">
        <v>229</v>
      </c>
      <c r="B129">
        <v>0.11557207110515247</v>
      </c>
      <c r="D129" s="184" t="s">
        <v>203</v>
      </c>
      <c r="E129">
        <v>0.11036047012312075</v>
      </c>
      <c r="G129" s="185" t="s">
        <v>224</v>
      </c>
      <c r="H129">
        <v>0.2564021516422792</v>
      </c>
    </row>
    <row r="130" spans="1:8" x14ac:dyDescent="0.25">
      <c r="A130" s="192" t="s">
        <v>192</v>
      </c>
      <c r="B130">
        <v>0.11399532706809956</v>
      </c>
      <c r="D130" s="185" t="s">
        <v>204</v>
      </c>
      <c r="E130">
        <v>0.10915386319888691</v>
      </c>
      <c r="G130" s="183" t="s">
        <v>709</v>
      </c>
      <c r="H130">
        <v>0.25569849224201552</v>
      </c>
    </row>
    <row r="131" spans="1:8" x14ac:dyDescent="0.25">
      <c r="A131" s="184" t="s">
        <v>183</v>
      </c>
      <c r="B131">
        <v>0.11394252778313251</v>
      </c>
      <c r="D131" s="184" t="s">
        <v>184</v>
      </c>
      <c r="E131">
        <v>0.10723868756740206</v>
      </c>
      <c r="G131" s="185" t="s">
        <v>229</v>
      </c>
      <c r="H131">
        <v>0.25338255551840067</v>
      </c>
    </row>
    <row r="132" spans="1:8" x14ac:dyDescent="0.25">
      <c r="A132" s="185" t="s">
        <v>215</v>
      </c>
      <c r="B132">
        <v>0.11286044757299481</v>
      </c>
      <c r="D132" s="185" t="s">
        <v>185</v>
      </c>
      <c r="E132">
        <v>0.10591130247260533</v>
      </c>
      <c r="G132" s="185" t="s">
        <v>204</v>
      </c>
      <c r="H132">
        <v>0.24895370623915838</v>
      </c>
    </row>
    <row r="133" spans="1:8" x14ac:dyDescent="0.25">
      <c r="A133" s="185" t="s">
        <v>204</v>
      </c>
      <c r="B133">
        <v>0.11239431799873535</v>
      </c>
      <c r="D133" s="184" t="s">
        <v>223</v>
      </c>
      <c r="E133">
        <v>0.10566002895138124</v>
      </c>
      <c r="G133" s="185" t="s">
        <v>199</v>
      </c>
      <c r="H133">
        <v>0.24763256453260099</v>
      </c>
    </row>
    <row r="134" spans="1:8" x14ac:dyDescent="0.25">
      <c r="A134" s="185" t="s">
        <v>231</v>
      </c>
      <c r="B134">
        <v>0.11206683770755486</v>
      </c>
      <c r="D134" s="185" t="s">
        <v>221</v>
      </c>
      <c r="E134">
        <v>0.10342795903095162</v>
      </c>
      <c r="G134" s="192" t="s">
        <v>198</v>
      </c>
      <c r="H134">
        <v>0.24659749264424372</v>
      </c>
    </row>
    <row r="135" spans="1:8" x14ac:dyDescent="0.25">
      <c r="A135" s="192" t="s">
        <v>198</v>
      </c>
      <c r="B135">
        <v>0.11136622110425386</v>
      </c>
      <c r="D135" s="185" t="s">
        <v>211</v>
      </c>
      <c r="E135">
        <v>0.10327207228198391</v>
      </c>
      <c r="G135" s="185" t="s">
        <v>201</v>
      </c>
      <c r="H135">
        <v>0.24249024610328837</v>
      </c>
    </row>
    <row r="136" spans="1:8" x14ac:dyDescent="0.25">
      <c r="A136" s="183" t="s">
        <v>95</v>
      </c>
      <c r="B136">
        <v>0.11123289831373705</v>
      </c>
      <c r="D136" s="185" t="s">
        <v>5</v>
      </c>
      <c r="E136">
        <v>0.10287885225849966</v>
      </c>
      <c r="G136" s="185" t="s">
        <v>678</v>
      </c>
      <c r="H136">
        <v>0.23916818427980949</v>
      </c>
    </row>
    <row r="137" spans="1:8" x14ac:dyDescent="0.25">
      <c r="A137" s="185" t="s">
        <v>230</v>
      </c>
      <c r="B137">
        <v>0.11099408727156709</v>
      </c>
      <c r="D137" s="192" t="s">
        <v>193</v>
      </c>
      <c r="E137">
        <v>0.10276550450477626</v>
      </c>
      <c r="G137" s="185" t="s">
        <v>217</v>
      </c>
      <c r="H137">
        <v>0.23912775808134465</v>
      </c>
    </row>
    <row r="138" spans="1:8" x14ac:dyDescent="0.25">
      <c r="A138" s="185" t="s">
        <v>201</v>
      </c>
      <c r="B138">
        <v>0.11016202836284146</v>
      </c>
      <c r="D138" s="184" t="s">
        <v>226</v>
      </c>
      <c r="E138">
        <v>0.10275708067980441</v>
      </c>
      <c r="G138" s="183" t="s">
        <v>735</v>
      </c>
      <c r="H138">
        <v>0.23741446561427285</v>
      </c>
    </row>
    <row r="139" spans="1:8" x14ac:dyDescent="0.25">
      <c r="A139" s="184" t="s">
        <v>187</v>
      </c>
      <c r="B139">
        <v>0.10951989437665084</v>
      </c>
      <c r="D139" s="185" t="s">
        <v>201</v>
      </c>
      <c r="E139">
        <v>0.10045488672886965</v>
      </c>
      <c r="G139" s="185" t="s">
        <v>220</v>
      </c>
      <c r="H139">
        <v>0.23570140186910801</v>
      </c>
    </row>
    <row r="140" spans="1:8" x14ac:dyDescent="0.25">
      <c r="A140" s="184" t="s">
        <v>228</v>
      </c>
      <c r="B140">
        <v>0.10888685607989912</v>
      </c>
      <c r="D140" s="185" t="s">
        <v>218</v>
      </c>
      <c r="E140">
        <v>9.967027881543683E-2</v>
      </c>
      <c r="G140" s="185" t="s">
        <v>689</v>
      </c>
      <c r="H140">
        <v>0.2311805635550058</v>
      </c>
    </row>
    <row r="141" spans="1:8" x14ac:dyDescent="0.25">
      <c r="A141" s="185" t="s">
        <v>224</v>
      </c>
      <c r="B141">
        <v>0.10753163499359536</v>
      </c>
      <c r="D141" s="185" t="s">
        <v>178</v>
      </c>
      <c r="E141">
        <v>9.9659436913799734E-2</v>
      </c>
      <c r="G141" s="185" t="s">
        <v>197</v>
      </c>
      <c r="H141">
        <v>0.23026132888879405</v>
      </c>
    </row>
    <row r="142" spans="1:8" x14ac:dyDescent="0.25">
      <c r="A142" s="185" t="s">
        <v>5</v>
      </c>
      <c r="B142">
        <v>0.10661254013344833</v>
      </c>
      <c r="D142" s="185" t="s">
        <v>200</v>
      </c>
      <c r="E142">
        <v>9.8687618465215815E-2</v>
      </c>
      <c r="G142" s="184" t="s">
        <v>701</v>
      </c>
      <c r="H142">
        <v>0.22948151866430438</v>
      </c>
    </row>
    <row r="143" spans="1:8" x14ac:dyDescent="0.25">
      <c r="A143" s="184" t="s">
        <v>248</v>
      </c>
      <c r="B143">
        <v>0.10610935580770765</v>
      </c>
      <c r="D143" s="185" t="s">
        <v>199</v>
      </c>
      <c r="E143">
        <v>9.7991854518094806E-2</v>
      </c>
      <c r="G143" s="185" t="s">
        <v>185</v>
      </c>
      <c r="H143">
        <v>0.22856696640159943</v>
      </c>
    </row>
    <row r="144" spans="1:8" x14ac:dyDescent="0.25">
      <c r="A144" s="184" t="s">
        <v>181</v>
      </c>
      <c r="B144">
        <v>0.10528670382784511</v>
      </c>
      <c r="D144" s="185" t="s">
        <v>225</v>
      </c>
      <c r="E144">
        <v>9.7748136270943545E-2</v>
      </c>
      <c r="G144" s="184" t="s">
        <v>228</v>
      </c>
      <c r="H144">
        <v>0.2283776899621261</v>
      </c>
    </row>
    <row r="145" spans="1:8" x14ac:dyDescent="0.25">
      <c r="A145" s="184" t="s">
        <v>222</v>
      </c>
      <c r="B145">
        <v>0.10363192463798052</v>
      </c>
      <c r="D145" s="185" t="s">
        <v>197</v>
      </c>
      <c r="E145">
        <v>9.6958741406942051E-2</v>
      </c>
      <c r="G145" s="185" t="s">
        <v>5</v>
      </c>
      <c r="H145">
        <v>0.22624237214532431</v>
      </c>
    </row>
    <row r="146" spans="1:8" x14ac:dyDescent="0.25">
      <c r="A146" s="192" t="s">
        <v>193</v>
      </c>
      <c r="B146">
        <v>0.10319247219910123</v>
      </c>
      <c r="D146" s="185" t="s">
        <v>212</v>
      </c>
      <c r="E146">
        <v>9.5670023990157865E-2</v>
      </c>
      <c r="G146" s="184" t="s">
        <v>195</v>
      </c>
      <c r="H146">
        <v>0.22534483900270394</v>
      </c>
    </row>
    <row r="147" spans="1:8" x14ac:dyDescent="0.25">
      <c r="A147" s="185" t="s">
        <v>197</v>
      </c>
      <c r="B147">
        <v>0.10221821034928018</v>
      </c>
      <c r="D147" s="185" t="s">
        <v>667</v>
      </c>
      <c r="E147">
        <v>9.5668786797320687E-2</v>
      </c>
      <c r="G147" s="185" t="s">
        <v>688</v>
      </c>
      <c r="H147">
        <v>0.22476060228249378</v>
      </c>
    </row>
    <row r="148" spans="1:8" x14ac:dyDescent="0.25">
      <c r="A148" s="185" t="s">
        <v>688</v>
      </c>
      <c r="B148">
        <v>0.1021246342442768</v>
      </c>
      <c r="D148" s="185" t="s">
        <v>676</v>
      </c>
      <c r="E148">
        <v>9.4262081948802215E-2</v>
      </c>
      <c r="G148" s="185" t="s">
        <v>705</v>
      </c>
      <c r="H148">
        <v>0.2241612528005478</v>
      </c>
    </row>
    <row r="149" spans="1:8" x14ac:dyDescent="0.25">
      <c r="A149" s="185" t="s">
        <v>208</v>
      </c>
      <c r="B149">
        <v>0.10162935158175403</v>
      </c>
      <c r="D149" s="184" t="s">
        <v>195</v>
      </c>
      <c r="E149">
        <v>9.3726681095055095E-2</v>
      </c>
      <c r="G149" s="185" t="s">
        <v>208</v>
      </c>
      <c r="H149">
        <v>0.22229849605432445</v>
      </c>
    </row>
    <row r="150" spans="1:8" x14ac:dyDescent="0.25">
      <c r="A150" s="185" t="s">
        <v>687</v>
      </c>
      <c r="B150">
        <v>9.9743426104382152E-2</v>
      </c>
      <c r="D150" s="184" t="s">
        <v>248</v>
      </c>
      <c r="E150">
        <v>9.2119557473739913E-2</v>
      </c>
      <c r="G150" s="185" t="s">
        <v>0</v>
      </c>
      <c r="H150">
        <v>0.21933856434759502</v>
      </c>
    </row>
    <row r="151" spans="1:8" x14ac:dyDescent="0.25">
      <c r="A151" s="184" t="s">
        <v>701</v>
      </c>
      <c r="B151">
        <v>9.6796764554150427E-2</v>
      </c>
      <c r="D151" s="185" t="s">
        <v>189</v>
      </c>
      <c r="E151">
        <v>9.156165363263423E-2</v>
      </c>
      <c r="G151" s="185" t="s">
        <v>684</v>
      </c>
      <c r="H151">
        <v>0.21817880743519955</v>
      </c>
    </row>
    <row r="152" spans="1:8" x14ac:dyDescent="0.25">
      <c r="A152" s="184" t="s">
        <v>216</v>
      </c>
      <c r="B152">
        <v>9.6717849871336886E-2</v>
      </c>
      <c r="D152" s="185" t="s">
        <v>690</v>
      </c>
      <c r="E152">
        <v>9.1257554994695983E-2</v>
      </c>
      <c r="G152" s="185" t="s">
        <v>687</v>
      </c>
      <c r="H152">
        <v>0.21774183240589834</v>
      </c>
    </row>
    <row r="153" spans="1:8" x14ac:dyDescent="0.25">
      <c r="A153" s="184" t="s">
        <v>226</v>
      </c>
      <c r="B153">
        <v>9.650883562891531E-2</v>
      </c>
      <c r="D153" s="185" t="s">
        <v>661</v>
      </c>
      <c r="E153">
        <v>9.067526841266485E-2</v>
      </c>
      <c r="G153" s="184" t="s">
        <v>203</v>
      </c>
      <c r="H153">
        <v>0.21392671320196593</v>
      </c>
    </row>
    <row r="154" spans="1:8" x14ac:dyDescent="0.25">
      <c r="A154" s="185" t="s">
        <v>660</v>
      </c>
      <c r="B154">
        <v>9.648564283111799E-2</v>
      </c>
      <c r="D154" s="184" t="s">
        <v>222</v>
      </c>
      <c r="E154">
        <v>9.0507238076224378E-2</v>
      </c>
      <c r="G154" s="184" t="s">
        <v>216</v>
      </c>
      <c r="H154">
        <v>0.2128170368743911</v>
      </c>
    </row>
    <row r="155" spans="1:8" x14ac:dyDescent="0.25">
      <c r="A155" s="185" t="s">
        <v>677</v>
      </c>
      <c r="B155">
        <v>9.3987740125597685E-2</v>
      </c>
      <c r="D155" s="185" t="s">
        <v>254</v>
      </c>
      <c r="E155">
        <v>8.939783746820236E-2</v>
      </c>
      <c r="G155" s="184" t="s">
        <v>226</v>
      </c>
      <c r="H155">
        <v>0.2111025367129655</v>
      </c>
    </row>
    <row r="156" spans="1:8" x14ac:dyDescent="0.25">
      <c r="A156" s="185" t="s">
        <v>199</v>
      </c>
      <c r="B156">
        <v>9.3865538991283512E-2</v>
      </c>
      <c r="D156" s="183" t="s">
        <v>736</v>
      </c>
      <c r="E156">
        <v>8.8249042608944978E-2</v>
      </c>
      <c r="G156" s="185" t="s">
        <v>686</v>
      </c>
      <c r="H156">
        <v>0.20851253146071141</v>
      </c>
    </row>
    <row r="157" spans="1:8" x14ac:dyDescent="0.25">
      <c r="A157" s="185" t="s">
        <v>220</v>
      </c>
      <c r="B157">
        <v>9.3652744497496665E-2</v>
      </c>
      <c r="D157" s="184" t="s">
        <v>216</v>
      </c>
      <c r="E157">
        <v>8.6019815208133746E-2</v>
      </c>
      <c r="G157" s="185" t="s">
        <v>660</v>
      </c>
      <c r="H157">
        <v>0.20836087902416375</v>
      </c>
    </row>
    <row r="158" spans="1:8" x14ac:dyDescent="0.25">
      <c r="A158" s="185" t="s">
        <v>221</v>
      </c>
      <c r="B158">
        <v>9.2326917292700067E-2</v>
      </c>
      <c r="D158" s="184" t="s">
        <v>682</v>
      </c>
      <c r="E158">
        <v>8.5888644906756739E-2</v>
      </c>
      <c r="G158" s="185" t="s">
        <v>677</v>
      </c>
      <c r="H158">
        <v>0.20747746085220534</v>
      </c>
    </row>
    <row r="159" spans="1:8" x14ac:dyDescent="0.25">
      <c r="A159" s="184" t="s">
        <v>184</v>
      </c>
      <c r="B159">
        <v>9.0832609515668003E-2</v>
      </c>
      <c r="D159" s="185" t="s">
        <v>194</v>
      </c>
      <c r="E159">
        <v>8.5550222088837599E-2</v>
      </c>
      <c r="G159" s="184" t="s">
        <v>239</v>
      </c>
      <c r="H159">
        <v>0.20566192394478142</v>
      </c>
    </row>
    <row r="160" spans="1:8" x14ac:dyDescent="0.25">
      <c r="A160" s="185" t="s">
        <v>691</v>
      </c>
      <c r="B160">
        <v>9.0286108741354551E-2</v>
      </c>
      <c r="D160" s="185" t="s">
        <v>230</v>
      </c>
      <c r="E160">
        <v>8.3050118731804901E-2</v>
      </c>
      <c r="G160" s="185" t="s">
        <v>249</v>
      </c>
      <c r="H160">
        <v>0.20475895547317277</v>
      </c>
    </row>
    <row r="161" spans="1:8" x14ac:dyDescent="0.25">
      <c r="A161" s="184" t="s">
        <v>239</v>
      </c>
      <c r="B161">
        <v>9.0232352325365486E-2</v>
      </c>
      <c r="D161" s="185" t="s">
        <v>677</v>
      </c>
      <c r="E161">
        <v>8.2356048118092037E-2</v>
      </c>
      <c r="G161" s="185" t="s">
        <v>673</v>
      </c>
      <c r="H161">
        <v>0.20089244963324449</v>
      </c>
    </row>
    <row r="162" spans="1:8" x14ac:dyDescent="0.25">
      <c r="A162" s="185" t="s">
        <v>678</v>
      </c>
      <c r="B162">
        <v>8.8493609619996888E-2</v>
      </c>
      <c r="D162" s="185" t="s">
        <v>207</v>
      </c>
      <c r="E162">
        <v>8.0921961640607928E-2</v>
      </c>
      <c r="G162" s="185" t="s">
        <v>672</v>
      </c>
      <c r="H162">
        <v>0.20031994414170748</v>
      </c>
    </row>
    <row r="163" spans="1:8" x14ac:dyDescent="0.25">
      <c r="A163" s="183" t="s">
        <v>735</v>
      </c>
      <c r="B163">
        <v>8.8259816484153791E-2</v>
      </c>
      <c r="D163" s="185" t="s">
        <v>220</v>
      </c>
      <c r="E163">
        <v>8.0626676827842192E-2</v>
      </c>
      <c r="G163" s="185" t="s">
        <v>691</v>
      </c>
      <c r="H163">
        <v>0.19889916462296384</v>
      </c>
    </row>
    <row r="164" spans="1:8" x14ac:dyDescent="0.25">
      <c r="A164" s="185" t="s">
        <v>254</v>
      </c>
      <c r="B164">
        <v>8.8244168362486358E-2</v>
      </c>
      <c r="D164" s="185" t="s">
        <v>209</v>
      </c>
      <c r="E164">
        <v>7.9548155365140455E-2</v>
      </c>
      <c r="G164" s="185" t="s">
        <v>704</v>
      </c>
      <c r="H164">
        <v>0.19431823182182273</v>
      </c>
    </row>
    <row r="165" spans="1:8" x14ac:dyDescent="0.25">
      <c r="A165" s="185" t="s">
        <v>249</v>
      </c>
      <c r="B165">
        <v>8.8101584851085546E-2</v>
      </c>
      <c r="D165" s="185" t="s">
        <v>685</v>
      </c>
      <c r="E165">
        <v>7.8282754938466328E-2</v>
      </c>
      <c r="G165" s="184" t="s">
        <v>184</v>
      </c>
      <c r="H165">
        <v>0.19265942548299783</v>
      </c>
    </row>
    <row r="166" spans="1:8" x14ac:dyDescent="0.25">
      <c r="A166" s="185" t="s">
        <v>212</v>
      </c>
      <c r="B166">
        <v>8.7195829359005841E-2</v>
      </c>
      <c r="D166" s="185" t="s">
        <v>213</v>
      </c>
      <c r="E166">
        <v>7.7660619204901471E-2</v>
      </c>
      <c r="G166" s="185" t="s">
        <v>221</v>
      </c>
      <c r="H166">
        <v>0.19222991282678684</v>
      </c>
    </row>
    <row r="167" spans="1:8" x14ac:dyDescent="0.25">
      <c r="A167" s="185" t="s">
        <v>213</v>
      </c>
      <c r="B167">
        <v>8.6708160219238231E-2</v>
      </c>
      <c r="D167" s="183" t="s">
        <v>98</v>
      </c>
      <c r="E167">
        <v>7.7051793220787118E-2</v>
      </c>
      <c r="G167" s="185" t="s">
        <v>213</v>
      </c>
      <c r="H167">
        <v>0.18941459623251047</v>
      </c>
    </row>
    <row r="168" spans="1:8" x14ac:dyDescent="0.25">
      <c r="A168" s="185" t="s">
        <v>667</v>
      </c>
      <c r="B168">
        <v>8.6672920612950552E-2</v>
      </c>
      <c r="D168" s="185" t="s">
        <v>215</v>
      </c>
      <c r="E168">
        <v>7.7015945930245883E-2</v>
      </c>
      <c r="G168" s="184" t="s">
        <v>181</v>
      </c>
      <c r="H168">
        <v>0.18515393576020364</v>
      </c>
    </row>
    <row r="169" spans="1:8" x14ac:dyDescent="0.25">
      <c r="A169" s="185" t="s">
        <v>240</v>
      </c>
      <c r="B169">
        <v>8.6648586703876762E-2</v>
      </c>
      <c r="D169" s="185" t="s">
        <v>687</v>
      </c>
      <c r="E169">
        <v>7.6695479949195539E-2</v>
      </c>
      <c r="G169" s="185" t="s">
        <v>703</v>
      </c>
      <c r="H169">
        <v>0.18404248694012362</v>
      </c>
    </row>
    <row r="170" spans="1:8" x14ac:dyDescent="0.25">
      <c r="A170" s="185" t="s">
        <v>705</v>
      </c>
      <c r="B170">
        <v>8.5663851186787987E-2</v>
      </c>
      <c r="D170" s="185" t="s">
        <v>688</v>
      </c>
      <c r="E170">
        <v>7.5231524648328385E-2</v>
      </c>
      <c r="G170" s="185" t="s">
        <v>671</v>
      </c>
      <c r="H170">
        <v>0.1812956994832442</v>
      </c>
    </row>
    <row r="171" spans="1:8" x14ac:dyDescent="0.25">
      <c r="A171" s="185" t="s">
        <v>676</v>
      </c>
      <c r="B171">
        <v>8.5069129678050942E-2</v>
      </c>
      <c r="D171" s="183" t="s">
        <v>258</v>
      </c>
      <c r="E171">
        <v>7.5106424998603372E-2</v>
      </c>
      <c r="G171" s="184" t="s">
        <v>682</v>
      </c>
      <c r="H171">
        <v>0.18115891965735254</v>
      </c>
    </row>
    <row r="172" spans="1:8" x14ac:dyDescent="0.25">
      <c r="A172" s="185" t="s">
        <v>217</v>
      </c>
      <c r="B172">
        <v>8.4741548756559093E-2</v>
      </c>
      <c r="D172" s="192" t="s">
        <v>192</v>
      </c>
      <c r="E172">
        <v>7.1612038041769285E-2</v>
      </c>
      <c r="G172" s="184" t="s">
        <v>250</v>
      </c>
      <c r="H172">
        <v>0.18107999709857328</v>
      </c>
    </row>
    <row r="173" spans="1:8" x14ac:dyDescent="0.25">
      <c r="A173" s="185" t="s">
        <v>686</v>
      </c>
      <c r="B173">
        <v>8.46643479099944E-2</v>
      </c>
      <c r="D173" s="185" t="s">
        <v>691</v>
      </c>
      <c r="E173">
        <v>7.1138060029168504E-2</v>
      </c>
      <c r="G173" s="186" t="s">
        <v>138</v>
      </c>
      <c r="H173">
        <v>0.17815413977593508</v>
      </c>
    </row>
    <row r="174" spans="1:8" x14ac:dyDescent="0.25">
      <c r="A174" s="183" t="s">
        <v>734</v>
      </c>
      <c r="B174">
        <v>8.4253961349339615E-2</v>
      </c>
      <c r="D174" s="185" t="s">
        <v>699</v>
      </c>
      <c r="E174">
        <v>7.0488991996457348E-2</v>
      </c>
      <c r="G174" s="184" t="s">
        <v>248</v>
      </c>
      <c r="H174">
        <v>0.17808157525177218</v>
      </c>
    </row>
    <row r="175" spans="1:8" x14ac:dyDescent="0.25">
      <c r="A175" s="185" t="s">
        <v>671</v>
      </c>
      <c r="B175">
        <v>8.3856081991437834E-2</v>
      </c>
      <c r="D175" s="183" t="s">
        <v>97</v>
      </c>
      <c r="E175">
        <v>7.0104313159150514E-2</v>
      </c>
      <c r="G175" s="185" t="s">
        <v>676</v>
      </c>
      <c r="H175">
        <v>0.17470802660007551</v>
      </c>
    </row>
    <row r="176" spans="1:8" x14ac:dyDescent="0.25">
      <c r="A176" s="185" t="s">
        <v>684</v>
      </c>
      <c r="B176">
        <v>8.3339847132371678E-2</v>
      </c>
      <c r="D176" s="183" t="s">
        <v>706</v>
      </c>
      <c r="E176">
        <v>6.9110252919582588E-2</v>
      </c>
      <c r="G176" s="185" t="s">
        <v>697</v>
      </c>
      <c r="H176">
        <v>0.17428316903837909</v>
      </c>
    </row>
    <row r="177" spans="1:8" x14ac:dyDescent="0.25">
      <c r="A177" s="185" t="s">
        <v>689</v>
      </c>
      <c r="B177">
        <v>8.3128013718311647E-2</v>
      </c>
      <c r="D177" s="185" t="s">
        <v>704</v>
      </c>
      <c r="E177">
        <v>6.8890738711313196E-2</v>
      </c>
      <c r="G177" s="186" t="s">
        <v>116</v>
      </c>
      <c r="H177">
        <v>0.1718439997490965</v>
      </c>
    </row>
    <row r="178" spans="1:8" x14ac:dyDescent="0.25">
      <c r="A178" s="185" t="s">
        <v>672</v>
      </c>
      <c r="B178">
        <v>8.2970347290668975E-2</v>
      </c>
      <c r="D178" s="185" t="s">
        <v>186</v>
      </c>
      <c r="E178">
        <v>6.7990601718184482E-2</v>
      </c>
      <c r="G178" s="185" t="s">
        <v>182</v>
      </c>
      <c r="H178">
        <v>0.17132469807456671</v>
      </c>
    </row>
    <row r="179" spans="1:8" x14ac:dyDescent="0.25">
      <c r="A179" s="185" t="s">
        <v>703</v>
      </c>
      <c r="B179">
        <v>8.2883081543389261E-2</v>
      </c>
      <c r="D179" s="185" t="s">
        <v>224</v>
      </c>
      <c r="E179">
        <v>6.7812518999799551E-2</v>
      </c>
      <c r="G179" s="183" t="s">
        <v>243</v>
      </c>
      <c r="H179">
        <v>0.16901868362787018</v>
      </c>
    </row>
    <row r="180" spans="1:8" x14ac:dyDescent="0.25">
      <c r="A180" s="184" t="s">
        <v>180</v>
      </c>
      <c r="B180">
        <v>8.2854270995656801E-2</v>
      </c>
      <c r="D180" s="185" t="s">
        <v>205</v>
      </c>
      <c r="E180">
        <v>6.6794045519014716E-2</v>
      </c>
      <c r="G180" s="185" t="s">
        <v>679</v>
      </c>
      <c r="H180">
        <v>0.16826866105604854</v>
      </c>
    </row>
    <row r="181" spans="1:8" x14ac:dyDescent="0.25">
      <c r="A181" s="185" t="s">
        <v>177</v>
      </c>
      <c r="B181">
        <v>8.1827465936189211E-2</v>
      </c>
      <c r="D181" s="185" t="s">
        <v>210</v>
      </c>
      <c r="E181">
        <v>6.6768278287010818E-2</v>
      </c>
      <c r="G181" s="185" t="s">
        <v>212</v>
      </c>
      <c r="H181">
        <v>0.16818659481180617</v>
      </c>
    </row>
    <row r="182" spans="1:8" x14ac:dyDescent="0.25">
      <c r="A182" s="185" t="s">
        <v>704</v>
      </c>
      <c r="B182">
        <v>7.8991006686951915E-2</v>
      </c>
      <c r="D182" s="184" t="s">
        <v>183</v>
      </c>
      <c r="E182">
        <v>6.6572662138848313E-2</v>
      </c>
      <c r="G182" s="183" t="s">
        <v>737</v>
      </c>
      <c r="H182">
        <v>0.16740572538566958</v>
      </c>
    </row>
    <row r="183" spans="1:8" x14ac:dyDescent="0.25">
      <c r="A183" s="185" t="s">
        <v>700</v>
      </c>
      <c r="B183">
        <v>7.8415934377447413E-2</v>
      </c>
      <c r="D183" s="185" t="s">
        <v>698</v>
      </c>
      <c r="E183">
        <v>6.6394680957776453E-2</v>
      </c>
      <c r="G183" s="185" t="s">
        <v>663</v>
      </c>
      <c r="H183">
        <v>0.16419783123236165</v>
      </c>
    </row>
    <row r="184" spans="1:8" x14ac:dyDescent="0.25">
      <c r="A184" s="184" t="s">
        <v>682</v>
      </c>
      <c r="B184">
        <v>7.796994433558227E-2</v>
      </c>
      <c r="D184" s="185" t="s">
        <v>231</v>
      </c>
      <c r="E184">
        <v>6.5771543068418523E-2</v>
      </c>
      <c r="G184" s="185" t="s">
        <v>254</v>
      </c>
      <c r="H184">
        <v>0.16297138747152087</v>
      </c>
    </row>
    <row r="185" spans="1:8" x14ac:dyDescent="0.25">
      <c r="A185" s="184" t="s">
        <v>669</v>
      </c>
      <c r="B185">
        <v>7.7418221247495062E-2</v>
      </c>
      <c r="D185" s="185" t="s">
        <v>681</v>
      </c>
      <c r="E185">
        <v>6.4457247783804281E-2</v>
      </c>
      <c r="G185" s="183" t="s">
        <v>706</v>
      </c>
      <c r="H185">
        <v>0.16277241637968612</v>
      </c>
    </row>
    <row r="186" spans="1:8" x14ac:dyDescent="0.25">
      <c r="A186" s="185" t="s">
        <v>211</v>
      </c>
      <c r="B186">
        <v>7.6622706207446545E-2</v>
      </c>
      <c r="D186" s="183" t="s">
        <v>256</v>
      </c>
      <c r="E186">
        <v>6.4319994283535437E-2</v>
      </c>
      <c r="G186" s="185" t="s">
        <v>219</v>
      </c>
      <c r="H186">
        <v>0.16090982607624235</v>
      </c>
    </row>
    <row r="187" spans="1:8" x14ac:dyDescent="0.25">
      <c r="A187" s="185" t="s">
        <v>179</v>
      </c>
      <c r="B187">
        <v>7.6171179682716167E-2</v>
      </c>
      <c r="D187" s="183" t="s">
        <v>717</v>
      </c>
      <c r="E187">
        <v>6.3722142039149596E-2</v>
      </c>
      <c r="G187" s="184" t="s">
        <v>669</v>
      </c>
      <c r="H187">
        <v>0.15878889651080277</v>
      </c>
    </row>
    <row r="188" spans="1:8" x14ac:dyDescent="0.25">
      <c r="A188" s="184" t="s">
        <v>203</v>
      </c>
      <c r="B188">
        <v>7.4182655847327181E-2</v>
      </c>
      <c r="D188" s="185" t="s">
        <v>695</v>
      </c>
      <c r="E188">
        <v>6.3652734337318634E-2</v>
      </c>
      <c r="G188" s="184" t="s">
        <v>251</v>
      </c>
      <c r="H188">
        <v>0.15832731012393869</v>
      </c>
    </row>
    <row r="189" spans="1:8" x14ac:dyDescent="0.25">
      <c r="A189" s="184" t="s">
        <v>250</v>
      </c>
      <c r="B189">
        <v>7.4028846500476045E-2</v>
      </c>
      <c r="D189" s="184" t="s">
        <v>239</v>
      </c>
      <c r="E189">
        <v>6.2890131697911966E-2</v>
      </c>
      <c r="G189" s="185" t="s">
        <v>675</v>
      </c>
      <c r="H189">
        <v>0.15815779368936009</v>
      </c>
    </row>
    <row r="190" spans="1:8" x14ac:dyDescent="0.25">
      <c r="A190" s="183" t="s">
        <v>243</v>
      </c>
      <c r="B190">
        <v>7.349540668351888E-2</v>
      </c>
      <c r="D190" s="185" t="s">
        <v>666</v>
      </c>
      <c r="E190">
        <v>6.2740144240247389E-2</v>
      </c>
      <c r="G190" s="185" t="s">
        <v>207</v>
      </c>
      <c r="H190">
        <v>0.15809642802256851</v>
      </c>
    </row>
    <row r="191" spans="1:8" x14ac:dyDescent="0.25">
      <c r="A191" s="185" t="s">
        <v>182</v>
      </c>
      <c r="B191">
        <v>7.2846160860740042E-2</v>
      </c>
      <c r="D191" s="185" t="s">
        <v>240</v>
      </c>
      <c r="E191">
        <v>6.2538876583125236E-2</v>
      </c>
      <c r="G191" s="185" t="s">
        <v>240</v>
      </c>
      <c r="H191">
        <v>0.15802113786698374</v>
      </c>
    </row>
    <row r="192" spans="1:8" x14ac:dyDescent="0.25">
      <c r="A192" s="185" t="s">
        <v>178</v>
      </c>
      <c r="B192">
        <v>7.2601344437691603E-2</v>
      </c>
      <c r="D192" s="183" t="s">
        <v>355</v>
      </c>
      <c r="E192">
        <v>6.1753496412838907E-2</v>
      </c>
      <c r="G192" s="185" t="s">
        <v>667</v>
      </c>
      <c r="H192">
        <v>0.15590859827831915</v>
      </c>
    </row>
    <row r="193" spans="1:8" x14ac:dyDescent="0.25">
      <c r="A193" s="185" t="s">
        <v>0</v>
      </c>
      <c r="B193">
        <v>7.1845825484548376E-2</v>
      </c>
      <c r="D193" s="183" t="s">
        <v>735</v>
      </c>
      <c r="E193">
        <v>6.1724229698811778E-2</v>
      </c>
      <c r="G193" s="185" t="s">
        <v>670</v>
      </c>
      <c r="H193">
        <v>0.15558007841370217</v>
      </c>
    </row>
    <row r="194" spans="1:8" x14ac:dyDescent="0.25">
      <c r="A194" s="185" t="s">
        <v>679</v>
      </c>
      <c r="B194">
        <v>7.1764152927475205E-2</v>
      </c>
      <c r="D194" s="183" t="s">
        <v>707</v>
      </c>
      <c r="E194">
        <v>6.0565321185201387E-2</v>
      </c>
      <c r="G194" s="185" t="s">
        <v>218</v>
      </c>
      <c r="H194">
        <v>0.15371247880459707</v>
      </c>
    </row>
    <row r="195" spans="1:8" x14ac:dyDescent="0.25">
      <c r="A195" s="185" t="s">
        <v>697</v>
      </c>
      <c r="B195">
        <v>7.1024861775328116E-2</v>
      </c>
      <c r="D195" s="185" t="s">
        <v>249</v>
      </c>
      <c r="E195">
        <v>6.0550818979672752E-2</v>
      </c>
      <c r="G195" s="185" t="s">
        <v>702</v>
      </c>
      <c r="H195">
        <v>0.15130624440151286</v>
      </c>
    </row>
    <row r="196" spans="1:8" x14ac:dyDescent="0.25">
      <c r="A196" s="185" t="s">
        <v>218</v>
      </c>
      <c r="B196">
        <v>7.098635230578032E-2</v>
      </c>
      <c r="D196" s="185" t="s">
        <v>702</v>
      </c>
      <c r="E196">
        <v>6.0344302568124536E-2</v>
      </c>
      <c r="G196" s="185" t="s">
        <v>696</v>
      </c>
      <c r="H196">
        <v>0.15127421896327534</v>
      </c>
    </row>
    <row r="197" spans="1:8" x14ac:dyDescent="0.25">
      <c r="A197" s="183" t="s">
        <v>733</v>
      </c>
      <c r="B197">
        <v>7.0778432591340118E-2</v>
      </c>
      <c r="D197" s="184" t="s">
        <v>701</v>
      </c>
      <c r="E197">
        <v>5.8718998580927585E-2</v>
      </c>
      <c r="G197" s="185" t="s">
        <v>211</v>
      </c>
      <c r="H197">
        <v>0.14963488400852756</v>
      </c>
    </row>
    <row r="198" spans="1:8" x14ac:dyDescent="0.25">
      <c r="A198" s="185" t="s">
        <v>219</v>
      </c>
      <c r="B198">
        <v>7.0452826663706961E-2</v>
      </c>
      <c r="D198" s="185" t="s">
        <v>182</v>
      </c>
      <c r="E198">
        <v>5.8214027242065453E-2</v>
      </c>
      <c r="G198" s="185" t="s">
        <v>683</v>
      </c>
      <c r="H198">
        <v>0.14923494344831567</v>
      </c>
    </row>
    <row r="199" spans="1:8" x14ac:dyDescent="0.25">
      <c r="A199" s="185" t="s">
        <v>663</v>
      </c>
      <c r="B199">
        <v>7.01596027304177E-2</v>
      </c>
      <c r="D199" s="185" t="s">
        <v>668</v>
      </c>
      <c r="E199">
        <v>5.7474615074499441E-2</v>
      </c>
      <c r="G199" s="185" t="s">
        <v>695</v>
      </c>
      <c r="H199">
        <v>0.14827639398541367</v>
      </c>
    </row>
    <row r="200" spans="1:8" x14ac:dyDescent="0.25">
      <c r="A200" s="185" t="s">
        <v>207</v>
      </c>
      <c r="B200">
        <v>6.941992258140775E-2</v>
      </c>
      <c r="D200" s="184" t="s">
        <v>669</v>
      </c>
      <c r="E200">
        <v>5.6072439329699575E-2</v>
      </c>
      <c r="G200" s="185" t="s">
        <v>186</v>
      </c>
      <c r="H200">
        <v>0.14623995789147876</v>
      </c>
    </row>
    <row r="201" spans="1:8" x14ac:dyDescent="0.25">
      <c r="A201" s="185" t="s">
        <v>702</v>
      </c>
      <c r="B201">
        <v>6.9141986262651167E-2</v>
      </c>
      <c r="D201" s="185" t="s">
        <v>177</v>
      </c>
      <c r="E201">
        <v>5.5980213440223039E-2</v>
      </c>
      <c r="G201" s="185" t="s">
        <v>658</v>
      </c>
      <c r="H201">
        <v>0.14301492158357845</v>
      </c>
    </row>
    <row r="202" spans="1:8" x14ac:dyDescent="0.25">
      <c r="A202" s="185" t="s">
        <v>675</v>
      </c>
      <c r="B202">
        <v>6.7984514726271303E-2</v>
      </c>
      <c r="D202" s="185" t="s">
        <v>217</v>
      </c>
      <c r="E202">
        <v>5.4880762057714971E-2</v>
      </c>
      <c r="G202" s="185" t="s">
        <v>698</v>
      </c>
      <c r="H202">
        <v>0.14260027171306894</v>
      </c>
    </row>
    <row r="203" spans="1:8" x14ac:dyDescent="0.25">
      <c r="A203" s="184" t="s">
        <v>253</v>
      </c>
      <c r="B203">
        <v>6.7773573007778545E-2</v>
      </c>
      <c r="D203" s="185" t="s">
        <v>241</v>
      </c>
      <c r="E203">
        <v>5.3446482418062227E-2</v>
      </c>
      <c r="G203" s="183" t="s">
        <v>734</v>
      </c>
      <c r="H203">
        <v>0.14225269451433084</v>
      </c>
    </row>
    <row r="204" spans="1:8" x14ac:dyDescent="0.25">
      <c r="A204" s="183" t="s">
        <v>710</v>
      </c>
      <c r="B204">
        <v>6.7379885237845424E-2</v>
      </c>
      <c r="D204" s="184" t="s">
        <v>253</v>
      </c>
      <c r="E204">
        <v>5.2486234963642048E-2</v>
      </c>
      <c r="G204" s="185" t="s">
        <v>674</v>
      </c>
      <c r="H204">
        <v>0.14179699989203934</v>
      </c>
    </row>
    <row r="205" spans="1:8" x14ac:dyDescent="0.25">
      <c r="A205" s="185" t="s">
        <v>673</v>
      </c>
      <c r="B205">
        <v>6.7159349926580722E-2</v>
      </c>
      <c r="D205" s="183" t="s">
        <v>734</v>
      </c>
      <c r="E205">
        <v>5.2216790100122895E-2</v>
      </c>
      <c r="G205" s="185" t="s">
        <v>177</v>
      </c>
      <c r="H205">
        <v>0.13872957271538031</v>
      </c>
    </row>
    <row r="206" spans="1:8" x14ac:dyDescent="0.25">
      <c r="A206" s="183" t="s">
        <v>731</v>
      </c>
      <c r="B206">
        <v>6.6524679609400686E-2</v>
      </c>
      <c r="D206" s="185" t="s">
        <v>693</v>
      </c>
      <c r="E206">
        <v>5.1393758820060274E-2</v>
      </c>
      <c r="G206" s="184" t="s">
        <v>187</v>
      </c>
      <c r="H206">
        <v>0.1370358050706352</v>
      </c>
    </row>
    <row r="207" spans="1:8" x14ac:dyDescent="0.25">
      <c r="A207" s="185" t="s">
        <v>668</v>
      </c>
      <c r="B207">
        <v>6.6035561229814549E-2</v>
      </c>
      <c r="D207" s="185" t="s">
        <v>242</v>
      </c>
      <c r="E207">
        <v>5.1255445603693453E-2</v>
      </c>
      <c r="G207" s="183" t="s">
        <v>731</v>
      </c>
      <c r="H207">
        <v>0.13527057576021842</v>
      </c>
    </row>
    <row r="208" spans="1:8" x14ac:dyDescent="0.25">
      <c r="A208" s="183" t="s">
        <v>706</v>
      </c>
      <c r="B208">
        <v>6.4702930596037142E-2</v>
      </c>
      <c r="D208" s="185" t="s">
        <v>689</v>
      </c>
      <c r="E208">
        <v>5.0790974991099802E-2</v>
      </c>
      <c r="G208" s="183" t="s">
        <v>750</v>
      </c>
      <c r="H208">
        <v>0.13460057096523972</v>
      </c>
    </row>
    <row r="209" spans="1:8" x14ac:dyDescent="0.25">
      <c r="A209" s="185" t="s">
        <v>670</v>
      </c>
      <c r="B209">
        <v>6.4375334009110011E-2</v>
      </c>
      <c r="D209" s="185" t="s">
        <v>4</v>
      </c>
      <c r="E209">
        <v>5.0386370573725088E-2</v>
      </c>
      <c r="G209" s="185" t="s">
        <v>179</v>
      </c>
      <c r="H209">
        <v>0.13342024281163647</v>
      </c>
    </row>
    <row r="210" spans="1:8" x14ac:dyDescent="0.25">
      <c r="A210" s="185" t="s">
        <v>242</v>
      </c>
      <c r="B210">
        <v>6.2749045610724238E-2</v>
      </c>
      <c r="D210" s="183" t="s">
        <v>243</v>
      </c>
      <c r="E210">
        <v>5.0348428311493991E-2</v>
      </c>
      <c r="G210" s="185" t="s">
        <v>699</v>
      </c>
      <c r="H210">
        <v>0.13009078596299281</v>
      </c>
    </row>
    <row r="211" spans="1:8" x14ac:dyDescent="0.25">
      <c r="A211" s="185" t="s">
        <v>683</v>
      </c>
      <c r="B211">
        <v>6.2630634193307749E-2</v>
      </c>
      <c r="D211" s="183" t="s">
        <v>744</v>
      </c>
      <c r="E211">
        <v>5.0188969802873878E-2</v>
      </c>
      <c r="G211" s="184" t="s">
        <v>253</v>
      </c>
      <c r="H211">
        <v>0.12979878767411657</v>
      </c>
    </row>
    <row r="212" spans="1:8" x14ac:dyDescent="0.25">
      <c r="A212" s="183" t="s">
        <v>247</v>
      </c>
      <c r="B212">
        <v>6.1982208208115411E-2</v>
      </c>
      <c r="D212" s="183" t="s">
        <v>726</v>
      </c>
      <c r="E212">
        <v>5.0149808746365883E-2</v>
      </c>
      <c r="G212" s="185" t="s">
        <v>209</v>
      </c>
      <c r="H212">
        <v>0.12910088244762016</v>
      </c>
    </row>
    <row r="213" spans="1:8" x14ac:dyDescent="0.25">
      <c r="A213" s="185" t="s">
        <v>685</v>
      </c>
      <c r="B213">
        <v>6.108243519405316E-2</v>
      </c>
      <c r="D213" s="184" t="s">
        <v>662</v>
      </c>
      <c r="E213">
        <v>4.9945397032988309E-2</v>
      </c>
      <c r="G213" s="185" t="s">
        <v>685</v>
      </c>
      <c r="H213">
        <v>0.12888820677833709</v>
      </c>
    </row>
    <row r="214" spans="1:8" x14ac:dyDescent="0.25">
      <c r="A214" s="183" t="s">
        <v>736</v>
      </c>
      <c r="B214">
        <v>6.0913564145055686E-2</v>
      </c>
      <c r="D214" s="183" t="s">
        <v>733</v>
      </c>
      <c r="E214">
        <v>4.9530335148659475E-2</v>
      </c>
      <c r="G214" s="185" t="s">
        <v>668</v>
      </c>
      <c r="H214">
        <v>0.12683241644059709</v>
      </c>
    </row>
    <row r="215" spans="1:8" x14ac:dyDescent="0.25">
      <c r="A215" s="185" t="s">
        <v>665</v>
      </c>
      <c r="B215">
        <v>6.068390774789275E-2</v>
      </c>
      <c r="D215" s="185" t="s">
        <v>705</v>
      </c>
      <c r="E215">
        <v>4.9294517967060435E-2</v>
      </c>
      <c r="G215" s="185" t="s">
        <v>692</v>
      </c>
      <c r="H215">
        <v>0.12643799672412309</v>
      </c>
    </row>
    <row r="216" spans="1:8" x14ac:dyDescent="0.25">
      <c r="A216" s="184" t="s">
        <v>251</v>
      </c>
      <c r="B216">
        <v>5.9967408085252923E-2</v>
      </c>
      <c r="D216" s="183" t="s">
        <v>711</v>
      </c>
      <c r="E216">
        <v>4.8119114336348627E-2</v>
      </c>
      <c r="G216" s="185" t="s">
        <v>665</v>
      </c>
      <c r="H216">
        <v>0.12051280729454519</v>
      </c>
    </row>
    <row r="217" spans="1:8" x14ac:dyDescent="0.25">
      <c r="A217" s="185" t="s">
        <v>698</v>
      </c>
      <c r="B217">
        <v>5.9850065503158786E-2</v>
      </c>
      <c r="D217" s="185" t="s">
        <v>188</v>
      </c>
      <c r="E217">
        <v>4.7691898548322183E-2</v>
      </c>
      <c r="G217" s="185" t="s">
        <v>242</v>
      </c>
      <c r="H217">
        <v>0.11694893552383524</v>
      </c>
    </row>
    <row r="218" spans="1:8" x14ac:dyDescent="0.25">
      <c r="A218" s="185" t="s">
        <v>661</v>
      </c>
      <c r="B218">
        <v>5.9407147365065291E-2</v>
      </c>
      <c r="D218" s="183" t="s">
        <v>739</v>
      </c>
      <c r="E218">
        <v>4.7268925940548358E-2</v>
      </c>
      <c r="G218" s="185" t="s">
        <v>700</v>
      </c>
      <c r="H218">
        <v>0.11585598215624326</v>
      </c>
    </row>
    <row r="219" spans="1:8" x14ac:dyDescent="0.25">
      <c r="A219" s="185" t="s">
        <v>658</v>
      </c>
      <c r="B219">
        <v>5.901111068021634E-2</v>
      </c>
      <c r="D219" s="183" t="s">
        <v>745</v>
      </c>
      <c r="E219">
        <v>4.7163884890208382E-2</v>
      </c>
      <c r="G219" s="184" t="s">
        <v>662</v>
      </c>
      <c r="H219">
        <v>0.11361070438580975</v>
      </c>
    </row>
    <row r="220" spans="1:8" x14ac:dyDescent="0.25">
      <c r="A220" s="185" t="s">
        <v>674</v>
      </c>
      <c r="B220">
        <v>5.8758401222180366E-2</v>
      </c>
      <c r="D220" s="183" t="s">
        <v>725</v>
      </c>
      <c r="E220">
        <v>4.6931203999824207E-2</v>
      </c>
      <c r="G220" s="185" t="s">
        <v>681</v>
      </c>
      <c r="H220">
        <v>0.1129689559217182</v>
      </c>
    </row>
    <row r="221" spans="1:8" x14ac:dyDescent="0.25">
      <c r="A221" s="185" t="s">
        <v>699</v>
      </c>
      <c r="B221">
        <v>5.8052854284729241E-2</v>
      </c>
      <c r="D221" s="184" t="s">
        <v>251</v>
      </c>
      <c r="E221">
        <v>4.6186480972764732E-2</v>
      </c>
      <c r="G221" s="183" t="s">
        <v>733</v>
      </c>
      <c r="H221">
        <v>0.11103395044019035</v>
      </c>
    </row>
    <row r="222" spans="1:8" x14ac:dyDescent="0.25">
      <c r="A222" s="183" t="s">
        <v>737</v>
      </c>
      <c r="B222">
        <v>5.8037256713835993E-2</v>
      </c>
      <c r="D222" s="185" t="s">
        <v>680</v>
      </c>
      <c r="E222">
        <v>4.6149919141277647E-2</v>
      </c>
      <c r="G222" s="185" t="s">
        <v>178</v>
      </c>
      <c r="H222">
        <v>0.10999291878342517</v>
      </c>
    </row>
    <row r="223" spans="1:8" x14ac:dyDescent="0.25">
      <c r="A223" s="183" t="s">
        <v>750</v>
      </c>
      <c r="B223">
        <v>5.7525639015995597E-2</v>
      </c>
      <c r="D223" s="183" t="s">
        <v>727</v>
      </c>
      <c r="E223">
        <v>4.5801991787923067E-2</v>
      </c>
      <c r="G223" s="183" t="s">
        <v>160</v>
      </c>
      <c r="H223">
        <v>0.10950622482378354</v>
      </c>
    </row>
    <row r="224" spans="1:8" x14ac:dyDescent="0.25">
      <c r="A224" s="185" t="s">
        <v>695</v>
      </c>
      <c r="B224">
        <v>5.628185986032691E-2</v>
      </c>
      <c r="D224" s="185" t="s">
        <v>679</v>
      </c>
      <c r="E224">
        <v>4.569529791161285E-2</v>
      </c>
      <c r="G224" s="183" t="s">
        <v>725</v>
      </c>
      <c r="H224">
        <v>0.10935974302152267</v>
      </c>
    </row>
    <row r="225" spans="1:8" x14ac:dyDescent="0.25">
      <c r="A225" s="184" t="s">
        <v>662</v>
      </c>
      <c r="B225">
        <v>5.5255708438375462E-2</v>
      </c>
      <c r="D225" s="183" t="s">
        <v>247</v>
      </c>
      <c r="E225">
        <v>4.5490379431696822E-2</v>
      </c>
      <c r="G225" s="185" t="s">
        <v>693</v>
      </c>
      <c r="H225">
        <v>0.10612706982016223</v>
      </c>
    </row>
    <row r="226" spans="1:8" x14ac:dyDescent="0.25">
      <c r="A226" s="185" t="s">
        <v>209</v>
      </c>
      <c r="B226">
        <v>5.4699070694525405E-2</v>
      </c>
      <c r="D226" s="185" t="s">
        <v>659</v>
      </c>
      <c r="E226">
        <v>4.543943868672301E-2</v>
      </c>
      <c r="G226" s="183" t="s">
        <v>258</v>
      </c>
      <c r="H226">
        <v>0.10151689768099367</v>
      </c>
    </row>
    <row r="227" spans="1:8" x14ac:dyDescent="0.25">
      <c r="A227" s="185" t="s">
        <v>186</v>
      </c>
      <c r="B227">
        <v>5.4064411765510238E-2</v>
      </c>
      <c r="D227" s="185" t="s">
        <v>675</v>
      </c>
      <c r="E227">
        <v>4.4983028122587337E-2</v>
      </c>
      <c r="G227" s="183" t="s">
        <v>710</v>
      </c>
      <c r="H227">
        <v>9.8826093846041199E-2</v>
      </c>
    </row>
    <row r="228" spans="1:8" x14ac:dyDescent="0.25">
      <c r="A228" s="185" t="s">
        <v>681</v>
      </c>
      <c r="B228">
        <v>5.3516004936085021E-2</v>
      </c>
      <c r="D228" s="183" t="s">
        <v>746</v>
      </c>
      <c r="E228">
        <v>4.4328819376946688E-2</v>
      </c>
      <c r="G228" s="185" t="s">
        <v>661</v>
      </c>
      <c r="H228">
        <v>9.7082801125859097E-2</v>
      </c>
    </row>
    <row r="229" spans="1:8" x14ac:dyDescent="0.25">
      <c r="A229" s="185" t="s">
        <v>693</v>
      </c>
      <c r="B229">
        <v>5.3230636094223939E-2</v>
      </c>
      <c r="D229" s="184" t="s">
        <v>250</v>
      </c>
      <c r="E229">
        <v>4.4157142020572034E-2</v>
      </c>
      <c r="G229" s="183" t="s">
        <v>98</v>
      </c>
      <c r="H229">
        <v>9.6482511174948271E-2</v>
      </c>
    </row>
    <row r="230" spans="1:8" x14ac:dyDescent="0.25">
      <c r="A230" s="185" t="s">
        <v>666</v>
      </c>
      <c r="B230">
        <v>5.2173288565596172E-2</v>
      </c>
      <c r="D230" s="183" t="s">
        <v>747</v>
      </c>
      <c r="E230">
        <v>4.3767776383744905E-2</v>
      </c>
      <c r="G230" s="183" t="s">
        <v>743</v>
      </c>
      <c r="H230">
        <v>9.4291701590045823E-2</v>
      </c>
    </row>
    <row r="231" spans="1:8" x14ac:dyDescent="0.25">
      <c r="A231" s="183" t="s">
        <v>355</v>
      </c>
      <c r="B231">
        <v>5.2028157106948171E-2</v>
      </c>
      <c r="D231" s="183" t="s">
        <v>102</v>
      </c>
      <c r="E231">
        <v>4.2587875598372266E-2</v>
      </c>
      <c r="G231" s="185" t="s">
        <v>694</v>
      </c>
      <c r="H231">
        <v>9.3726553681393446E-2</v>
      </c>
    </row>
    <row r="232" spans="1:8" x14ac:dyDescent="0.25">
      <c r="A232" s="183" t="s">
        <v>725</v>
      </c>
      <c r="B232">
        <v>5.0501409876116739E-2</v>
      </c>
      <c r="D232" s="185" t="s">
        <v>665</v>
      </c>
      <c r="E232">
        <v>4.1549914791152442E-2</v>
      </c>
      <c r="G232" s="185" t="s">
        <v>659</v>
      </c>
      <c r="H232">
        <v>9.2681215631277319E-2</v>
      </c>
    </row>
    <row r="233" spans="1:8" x14ac:dyDescent="0.25">
      <c r="A233" s="185" t="s">
        <v>252</v>
      </c>
      <c r="B233">
        <v>4.9886577019186404E-2</v>
      </c>
      <c r="D233" s="185" t="s">
        <v>664</v>
      </c>
      <c r="E233">
        <v>4.1405031796680654E-2</v>
      </c>
      <c r="G233" s="183" t="s">
        <v>355</v>
      </c>
      <c r="H233">
        <v>9.2039918699172496E-2</v>
      </c>
    </row>
    <row r="234" spans="1:8" x14ac:dyDescent="0.25">
      <c r="A234" s="183" t="s">
        <v>258</v>
      </c>
      <c r="B234">
        <v>4.7531721030515318E-2</v>
      </c>
      <c r="D234" s="185" t="s">
        <v>660</v>
      </c>
      <c r="E234">
        <v>4.0540713858931404E-2</v>
      </c>
      <c r="G234" s="183" t="s">
        <v>94</v>
      </c>
      <c r="H234">
        <v>9.1633492067712125E-2</v>
      </c>
    </row>
    <row r="235" spans="1:8" x14ac:dyDescent="0.25">
      <c r="A235" s="183" t="s">
        <v>744</v>
      </c>
      <c r="B235">
        <v>4.7423546783516041E-2</v>
      </c>
      <c r="D235" s="183" t="s">
        <v>750</v>
      </c>
      <c r="E235">
        <v>3.9606394852880505E-2</v>
      </c>
      <c r="G235" s="185" t="s">
        <v>4</v>
      </c>
      <c r="H235">
        <v>9.0865050871853231E-2</v>
      </c>
    </row>
    <row r="236" spans="1:8" x14ac:dyDescent="0.25">
      <c r="A236" s="183" t="s">
        <v>743</v>
      </c>
      <c r="B236">
        <v>4.7308362728510488E-2</v>
      </c>
      <c r="D236" s="185" t="s">
        <v>683</v>
      </c>
      <c r="E236">
        <v>3.9164224574619183E-2</v>
      </c>
      <c r="G236" s="183" t="s">
        <v>247</v>
      </c>
      <c r="H236">
        <v>8.8740115514666998E-2</v>
      </c>
    </row>
    <row r="237" spans="1:8" x14ac:dyDescent="0.25">
      <c r="A237" s="183" t="s">
        <v>707</v>
      </c>
      <c r="B237">
        <v>4.7254673799522945E-2</v>
      </c>
      <c r="D237" s="183" t="s">
        <v>712</v>
      </c>
      <c r="E237">
        <v>3.9110863528110655E-2</v>
      </c>
      <c r="G237" s="185" t="s">
        <v>252</v>
      </c>
      <c r="H237">
        <v>8.8139429523041379E-2</v>
      </c>
    </row>
    <row r="238" spans="1:8" x14ac:dyDescent="0.25">
      <c r="A238" s="185" t="s">
        <v>692</v>
      </c>
      <c r="B238">
        <v>4.6503466245793705E-2</v>
      </c>
      <c r="D238" s="185" t="s">
        <v>678</v>
      </c>
      <c r="E238">
        <v>3.8171069087539387E-2</v>
      </c>
      <c r="G238" s="183" t="s">
        <v>256</v>
      </c>
      <c r="H238">
        <v>8.7421251831991523E-2</v>
      </c>
    </row>
    <row r="239" spans="1:8" x14ac:dyDescent="0.25">
      <c r="A239" s="185" t="s">
        <v>696</v>
      </c>
      <c r="B239">
        <v>4.4223640636765288E-2</v>
      </c>
      <c r="D239" s="185" t="s">
        <v>674</v>
      </c>
      <c r="E239">
        <v>3.7013029639131424E-2</v>
      </c>
      <c r="G239" s="183" t="s">
        <v>744</v>
      </c>
      <c r="H239">
        <v>8.596354200212987E-2</v>
      </c>
    </row>
    <row r="240" spans="1:8" x14ac:dyDescent="0.25">
      <c r="A240" s="183" t="s">
        <v>711</v>
      </c>
      <c r="B240">
        <v>4.3560691078514673E-2</v>
      </c>
      <c r="D240" s="183" t="s">
        <v>713</v>
      </c>
      <c r="E240">
        <v>3.6735917326293811E-2</v>
      </c>
      <c r="G240" s="183" t="s">
        <v>708</v>
      </c>
      <c r="H240">
        <v>8.5397032871756831E-2</v>
      </c>
    </row>
    <row r="241" spans="1:8" x14ac:dyDescent="0.25">
      <c r="A241" s="185" t="s">
        <v>694</v>
      </c>
      <c r="B241">
        <v>4.0121281825746362E-2</v>
      </c>
      <c r="D241" s="185" t="s">
        <v>694</v>
      </c>
      <c r="E241">
        <v>3.658411415013043E-2</v>
      </c>
      <c r="G241" s="184" t="s">
        <v>180</v>
      </c>
      <c r="H241">
        <v>8.5020303648023446E-2</v>
      </c>
    </row>
    <row r="242" spans="1:8" x14ac:dyDescent="0.25">
      <c r="A242" s="183" t="s">
        <v>97</v>
      </c>
      <c r="B242">
        <v>3.9686443411013482E-2</v>
      </c>
      <c r="D242" s="185" t="s">
        <v>703</v>
      </c>
      <c r="E242">
        <v>3.3611121867335274E-2</v>
      </c>
      <c r="G242" s="183" t="s">
        <v>736</v>
      </c>
      <c r="H242">
        <v>8.403064095176313E-2</v>
      </c>
    </row>
    <row r="243" spans="1:8" x14ac:dyDescent="0.25">
      <c r="A243" s="183" t="s">
        <v>708</v>
      </c>
      <c r="B243">
        <v>3.968078739736184E-2</v>
      </c>
      <c r="D243" s="183" t="s">
        <v>749</v>
      </c>
      <c r="E243">
        <v>3.1905746232098638E-2</v>
      </c>
      <c r="G243" s="185" t="s">
        <v>241</v>
      </c>
      <c r="H243">
        <v>8.3245021764207019E-2</v>
      </c>
    </row>
    <row r="244" spans="1:8" x14ac:dyDescent="0.25">
      <c r="A244" s="185" t="s">
        <v>241</v>
      </c>
      <c r="B244">
        <v>3.8846452840247576E-2</v>
      </c>
      <c r="D244" s="185" t="s">
        <v>0</v>
      </c>
      <c r="E244">
        <v>3.1474690842118867E-2</v>
      </c>
      <c r="G244" s="183" t="s">
        <v>95</v>
      </c>
      <c r="H244">
        <v>8.2344320697319409E-2</v>
      </c>
    </row>
    <row r="245" spans="1:8" x14ac:dyDescent="0.25">
      <c r="A245" s="183" t="s">
        <v>256</v>
      </c>
      <c r="B245">
        <v>3.6731932286029778E-2</v>
      </c>
      <c r="D245" s="185" t="s">
        <v>671</v>
      </c>
      <c r="E245">
        <v>2.9040151249870912E-2</v>
      </c>
      <c r="G245" s="185" t="s">
        <v>657</v>
      </c>
      <c r="H245">
        <v>8.1569392676159799E-2</v>
      </c>
    </row>
    <row r="246" spans="1:8" x14ac:dyDescent="0.25">
      <c r="A246" s="185" t="s">
        <v>210</v>
      </c>
      <c r="B246">
        <v>3.540094474364875E-2</v>
      </c>
      <c r="D246" s="185" t="s">
        <v>697</v>
      </c>
      <c r="E246">
        <v>2.5213541599985519E-2</v>
      </c>
      <c r="G246" s="183" t="s">
        <v>722</v>
      </c>
      <c r="H246">
        <v>8.1303912520841529E-2</v>
      </c>
    </row>
    <row r="247" spans="1:8" x14ac:dyDescent="0.25">
      <c r="A247" s="185" t="s">
        <v>659</v>
      </c>
      <c r="B247">
        <v>3.3528882113177241E-2</v>
      </c>
      <c r="D247" s="185" t="s">
        <v>670</v>
      </c>
      <c r="E247">
        <v>2.4768517451256411E-2</v>
      </c>
      <c r="G247" s="183" t="s">
        <v>740</v>
      </c>
      <c r="H247">
        <v>7.9939473961753812E-2</v>
      </c>
    </row>
    <row r="248" spans="1:8" x14ac:dyDescent="0.25">
      <c r="A248" s="183" t="s">
        <v>722</v>
      </c>
      <c r="B248">
        <v>3.2075533412179336E-2</v>
      </c>
      <c r="D248" s="185" t="s">
        <v>219</v>
      </c>
      <c r="E248">
        <v>2.346246884458645E-2</v>
      </c>
      <c r="G248" s="185" t="s">
        <v>666</v>
      </c>
      <c r="H248">
        <v>7.923488089580967E-2</v>
      </c>
    </row>
    <row r="249" spans="1:8" x14ac:dyDescent="0.25">
      <c r="A249" s="183" t="s">
        <v>741</v>
      </c>
      <c r="B249">
        <v>3.1375190546350538E-2</v>
      </c>
      <c r="D249" s="183" t="s">
        <v>719</v>
      </c>
      <c r="E249">
        <v>2.335404554868686E-2</v>
      </c>
      <c r="G249" s="183" t="s">
        <v>707</v>
      </c>
      <c r="H249">
        <v>7.8309574329942469E-2</v>
      </c>
    </row>
    <row r="250" spans="1:8" x14ac:dyDescent="0.25">
      <c r="A250" s="185" t="s">
        <v>4</v>
      </c>
      <c r="B250">
        <v>3.0313597182649057E-2</v>
      </c>
      <c r="D250" s="185" t="s">
        <v>252</v>
      </c>
      <c r="E250">
        <v>2.204070241799632E-2</v>
      </c>
      <c r="G250" s="156" t="s">
        <v>101</v>
      </c>
      <c r="H250">
        <v>7.6932285514374352E-2</v>
      </c>
    </row>
    <row r="251" spans="1:8" x14ac:dyDescent="0.25">
      <c r="A251" s="183" t="s">
        <v>749</v>
      </c>
      <c r="B251">
        <v>2.9062689883066532E-2</v>
      </c>
      <c r="D251" s="183" t="s">
        <v>741</v>
      </c>
      <c r="E251">
        <v>2.1671265699293864E-2</v>
      </c>
      <c r="G251" s="156" t="s">
        <v>99</v>
      </c>
      <c r="H251">
        <v>7.541939653768219E-2</v>
      </c>
    </row>
    <row r="252" spans="1:8" x14ac:dyDescent="0.25">
      <c r="A252" s="183" t="s">
        <v>747</v>
      </c>
      <c r="B252">
        <v>2.7726977874340437E-2</v>
      </c>
      <c r="D252" s="183" t="s">
        <v>714</v>
      </c>
      <c r="E252">
        <v>2.1666705574394683E-2</v>
      </c>
      <c r="G252" s="183" t="s">
        <v>749</v>
      </c>
      <c r="H252">
        <v>6.8364209645673413E-2</v>
      </c>
    </row>
    <row r="253" spans="1:8" x14ac:dyDescent="0.25">
      <c r="A253" s="183" t="s">
        <v>713</v>
      </c>
      <c r="B253">
        <v>2.7014422142398568E-2</v>
      </c>
      <c r="D253" s="183" t="s">
        <v>710</v>
      </c>
      <c r="E253">
        <v>2.0644138409463081E-2</v>
      </c>
      <c r="G253" s="183" t="s">
        <v>730</v>
      </c>
      <c r="H253">
        <v>6.5483367666134801E-2</v>
      </c>
    </row>
    <row r="254" spans="1:8" x14ac:dyDescent="0.25">
      <c r="A254" s="185" t="s">
        <v>245</v>
      </c>
      <c r="B254">
        <v>2.6985470311471284E-2</v>
      </c>
      <c r="D254" s="183" t="s">
        <v>743</v>
      </c>
      <c r="E254">
        <v>1.9795968393290817E-2</v>
      </c>
      <c r="G254" s="183" t="s">
        <v>97</v>
      </c>
      <c r="H254">
        <v>6.487108785136779E-2</v>
      </c>
    </row>
    <row r="255" spans="1:8" x14ac:dyDescent="0.25">
      <c r="A255" s="183" t="s">
        <v>720</v>
      </c>
      <c r="B255">
        <v>2.5347011085218252E-2</v>
      </c>
      <c r="D255" s="183" t="s">
        <v>722</v>
      </c>
      <c r="E255">
        <v>1.9117844093340421E-2</v>
      </c>
      <c r="G255" s="183" t="s">
        <v>721</v>
      </c>
      <c r="H255">
        <v>6.3323636609305817E-2</v>
      </c>
    </row>
    <row r="256" spans="1:8" x14ac:dyDescent="0.25">
      <c r="A256" s="185" t="s">
        <v>664</v>
      </c>
      <c r="B256">
        <v>2.4342906732803427E-2</v>
      </c>
      <c r="D256" s="185" t="s">
        <v>663</v>
      </c>
      <c r="E256">
        <v>1.8754872109213064E-2</v>
      </c>
      <c r="G256" s="183" t="s">
        <v>714</v>
      </c>
      <c r="H256">
        <v>6.3140409755793298E-2</v>
      </c>
    </row>
    <row r="257" spans="1:8" x14ac:dyDescent="0.25">
      <c r="A257" s="183" t="s">
        <v>102</v>
      </c>
      <c r="B257">
        <v>2.3975900272086854E-2</v>
      </c>
      <c r="D257" s="185" t="s">
        <v>692</v>
      </c>
      <c r="E257">
        <v>1.8497446070299059E-2</v>
      </c>
      <c r="G257" s="183" t="s">
        <v>741</v>
      </c>
      <c r="H257">
        <v>6.0105690646442105E-2</v>
      </c>
    </row>
    <row r="258" spans="1:8" x14ac:dyDescent="0.25">
      <c r="A258" s="185" t="s">
        <v>657</v>
      </c>
      <c r="B258">
        <v>2.3829530416401092E-2</v>
      </c>
      <c r="D258" s="185" t="s">
        <v>658</v>
      </c>
      <c r="E258">
        <v>1.708309870363952E-2</v>
      </c>
      <c r="G258" s="183" t="s">
        <v>728</v>
      </c>
      <c r="H258">
        <v>5.4847376743563027E-2</v>
      </c>
    </row>
    <row r="259" spans="1:8" x14ac:dyDescent="0.25">
      <c r="A259" s="183" t="s">
        <v>730</v>
      </c>
      <c r="B259">
        <v>2.3794380911504296E-2</v>
      </c>
      <c r="D259" s="183" t="s">
        <v>720</v>
      </c>
      <c r="E259">
        <v>1.635941884098243E-2</v>
      </c>
      <c r="G259" s="156" t="s">
        <v>100</v>
      </c>
      <c r="H259">
        <v>5.254708931576578E-2</v>
      </c>
    </row>
    <row r="260" spans="1:8" x14ac:dyDescent="0.25">
      <c r="A260" s="183" t="s">
        <v>746</v>
      </c>
      <c r="B260">
        <v>2.3741028933556133E-2</v>
      </c>
      <c r="D260" s="185" t="s">
        <v>686</v>
      </c>
      <c r="E260">
        <v>1.4736017626812425E-2</v>
      </c>
      <c r="G260" s="183" t="s">
        <v>711</v>
      </c>
      <c r="H260">
        <v>5.0956051560733358E-2</v>
      </c>
    </row>
    <row r="261" spans="1:8" x14ac:dyDescent="0.25">
      <c r="A261" s="183" t="s">
        <v>745</v>
      </c>
      <c r="B261">
        <v>2.3270964932954778E-2</v>
      </c>
      <c r="D261" s="183" t="s">
        <v>716</v>
      </c>
      <c r="E261">
        <v>1.1913457074316919E-2</v>
      </c>
      <c r="G261" s="183" t="s">
        <v>715</v>
      </c>
      <c r="H261">
        <v>4.8076889563163867E-2</v>
      </c>
    </row>
    <row r="262" spans="1:8" x14ac:dyDescent="0.25">
      <c r="A262" s="183" t="s">
        <v>712</v>
      </c>
      <c r="B262">
        <v>2.3248116262730475E-2</v>
      </c>
      <c r="D262" s="183" t="s">
        <v>740</v>
      </c>
      <c r="E262">
        <v>1.1733244613210833E-2</v>
      </c>
      <c r="G262" s="183" t="s">
        <v>745</v>
      </c>
      <c r="H262">
        <v>4.6855192017981745E-2</v>
      </c>
    </row>
    <row r="263" spans="1:8" x14ac:dyDescent="0.25">
      <c r="A263" s="183" t="s">
        <v>726</v>
      </c>
      <c r="B263">
        <v>2.2296964180963368E-2</v>
      </c>
      <c r="D263" s="183" t="s">
        <v>723</v>
      </c>
      <c r="E263">
        <v>1.1726257978530517E-2</v>
      </c>
      <c r="G263" s="183" t="s">
        <v>738</v>
      </c>
      <c r="H263">
        <v>4.4414344121440123E-2</v>
      </c>
    </row>
    <row r="264" spans="1:8" x14ac:dyDescent="0.25">
      <c r="A264" s="183" t="s">
        <v>728</v>
      </c>
      <c r="B264">
        <v>2.140774874871362E-2</v>
      </c>
      <c r="D264" s="183" t="s">
        <v>728</v>
      </c>
      <c r="E264">
        <v>1.0344641300313231E-2</v>
      </c>
      <c r="G264" s="185" t="s">
        <v>664</v>
      </c>
      <c r="H264">
        <v>4.2426898804713044E-2</v>
      </c>
    </row>
    <row r="265" spans="1:8" x14ac:dyDescent="0.25">
      <c r="A265" s="183" t="s">
        <v>727</v>
      </c>
      <c r="B265">
        <v>1.945209655454044E-2</v>
      </c>
      <c r="D265" s="185" t="s">
        <v>684</v>
      </c>
      <c r="E265">
        <v>9.5717893719277098E-3</v>
      </c>
      <c r="G265" s="185" t="s">
        <v>245</v>
      </c>
      <c r="H265">
        <v>4.005501436825569E-2</v>
      </c>
    </row>
    <row r="266" spans="1:8" x14ac:dyDescent="0.25">
      <c r="A266" s="183" t="s">
        <v>739</v>
      </c>
      <c r="B266">
        <v>1.8884225966267629E-2</v>
      </c>
      <c r="D266" s="185" t="s">
        <v>672</v>
      </c>
      <c r="E266">
        <v>8.1855544388024365E-3</v>
      </c>
      <c r="G266" s="183" t="s">
        <v>720</v>
      </c>
      <c r="H266">
        <v>3.8159810528667654E-2</v>
      </c>
    </row>
    <row r="267" spans="1:8" x14ac:dyDescent="0.25">
      <c r="A267" s="183" t="s">
        <v>738</v>
      </c>
      <c r="B267">
        <v>1.7498046668877668E-2</v>
      </c>
      <c r="D267" s="183" t="s">
        <v>730</v>
      </c>
      <c r="E267">
        <v>5.9183924884657346E-3</v>
      </c>
      <c r="G267" s="183" t="s">
        <v>718</v>
      </c>
      <c r="H267">
        <v>3.5458997637719508E-2</v>
      </c>
    </row>
    <row r="268" spans="1:8" x14ac:dyDescent="0.25">
      <c r="A268" s="185" t="s">
        <v>188</v>
      </c>
      <c r="B268">
        <v>1.5381873509124835E-2</v>
      </c>
      <c r="D268" s="183" t="s">
        <v>731</v>
      </c>
      <c r="E268">
        <v>1.8436309964367948E-3</v>
      </c>
      <c r="G268" s="183" t="s">
        <v>747</v>
      </c>
      <c r="H268">
        <v>3.4461414450367517E-2</v>
      </c>
    </row>
    <row r="269" spans="1:8" x14ac:dyDescent="0.25">
      <c r="A269" s="183" t="s">
        <v>714</v>
      </c>
      <c r="B269">
        <v>1.1756737983577714E-2</v>
      </c>
      <c r="D269" s="183" t="s">
        <v>748</v>
      </c>
      <c r="E269">
        <v>1.5607552427652494E-3</v>
      </c>
      <c r="G269" s="183" t="s">
        <v>86</v>
      </c>
      <c r="H269">
        <v>3.3902016090400021E-2</v>
      </c>
    </row>
    <row r="270" spans="1:8" x14ac:dyDescent="0.25">
      <c r="A270" s="183" t="s">
        <v>98</v>
      </c>
      <c r="B270">
        <v>1.1618081604857763E-2</v>
      </c>
      <c r="D270" s="185" t="s">
        <v>245</v>
      </c>
      <c r="E270">
        <v>-5.8577045203520245E-4</v>
      </c>
      <c r="G270" s="183" t="s">
        <v>713</v>
      </c>
      <c r="H270">
        <v>3.3514163587776605E-2</v>
      </c>
    </row>
    <row r="271" spans="1:8" x14ac:dyDescent="0.25">
      <c r="A271" s="183" t="s">
        <v>719</v>
      </c>
      <c r="B271">
        <v>7.3894263216964656E-3</v>
      </c>
      <c r="D271" s="185" t="s">
        <v>657</v>
      </c>
      <c r="E271">
        <v>-3.8068478715398814E-3</v>
      </c>
      <c r="G271" s="183" t="s">
        <v>712</v>
      </c>
      <c r="H271">
        <v>3.3306918051787655E-2</v>
      </c>
    </row>
    <row r="272" spans="1:8" x14ac:dyDescent="0.25">
      <c r="A272" s="183" t="s">
        <v>724</v>
      </c>
      <c r="B272">
        <v>6.7082141830880487E-3</v>
      </c>
      <c r="D272" s="183" t="s">
        <v>708</v>
      </c>
      <c r="E272">
        <v>-3.8266175468021023E-3</v>
      </c>
      <c r="G272" s="185" t="s">
        <v>210</v>
      </c>
      <c r="H272">
        <v>3.3169803998209339E-2</v>
      </c>
    </row>
    <row r="273" spans="1:8" x14ac:dyDescent="0.25">
      <c r="A273" s="183" t="s">
        <v>718</v>
      </c>
      <c r="B273">
        <v>1.8320814687222079E-3</v>
      </c>
      <c r="D273" s="185" t="s">
        <v>696</v>
      </c>
      <c r="E273">
        <v>-7.7890177520991968E-3</v>
      </c>
      <c r="G273" s="183" t="s">
        <v>724</v>
      </c>
      <c r="H273">
        <v>3.198987878533191E-2</v>
      </c>
    </row>
    <row r="274" spans="1:8" x14ac:dyDescent="0.25">
      <c r="A274" s="183" t="s">
        <v>723</v>
      </c>
      <c r="B274">
        <v>-3.1767974823463342E-3</v>
      </c>
      <c r="D274" s="185" t="s">
        <v>673</v>
      </c>
      <c r="E274">
        <v>-8.870594560058025E-3</v>
      </c>
      <c r="G274" s="183" t="s">
        <v>739</v>
      </c>
      <c r="H274">
        <v>2.9510416704368478E-2</v>
      </c>
    </row>
    <row r="275" spans="1:8" x14ac:dyDescent="0.25">
      <c r="A275" s="183" t="s">
        <v>742</v>
      </c>
      <c r="B275">
        <v>-5.862379336567052E-3</v>
      </c>
      <c r="D275" s="183" t="s">
        <v>724</v>
      </c>
      <c r="E275">
        <v>-1.2805229046701078E-2</v>
      </c>
      <c r="G275" s="183" t="s">
        <v>746</v>
      </c>
      <c r="H275">
        <v>2.6538954754058396E-2</v>
      </c>
    </row>
    <row r="276" spans="1:8" x14ac:dyDescent="0.25">
      <c r="A276" s="183" t="s">
        <v>748</v>
      </c>
      <c r="B276">
        <v>-8.2583662060090671E-3</v>
      </c>
      <c r="D276" s="183" t="s">
        <v>742</v>
      </c>
      <c r="E276">
        <v>-1.8394342971513645E-2</v>
      </c>
      <c r="G276" s="183" t="s">
        <v>102</v>
      </c>
      <c r="H276">
        <v>2.504089720603821E-2</v>
      </c>
    </row>
    <row r="277" spans="1:8" x14ac:dyDescent="0.25">
      <c r="A277" s="183" t="s">
        <v>740</v>
      </c>
      <c r="B277">
        <v>-8.5102690956544019E-3</v>
      </c>
      <c r="D277" s="183" t="s">
        <v>738</v>
      </c>
      <c r="E277">
        <v>-2.3357774687196707E-2</v>
      </c>
      <c r="G277" s="183" t="s">
        <v>727</v>
      </c>
      <c r="H277">
        <v>1.9513109425247158E-2</v>
      </c>
    </row>
    <row r="278" spans="1:8" x14ac:dyDescent="0.25">
      <c r="A278" s="183" t="s">
        <v>717</v>
      </c>
      <c r="B278">
        <v>-1.0802627111532926E-2</v>
      </c>
      <c r="D278" s="183" t="s">
        <v>729</v>
      </c>
      <c r="E278">
        <v>-2.9014414381811116E-2</v>
      </c>
      <c r="G278" s="183" t="s">
        <v>726</v>
      </c>
      <c r="H278">
        <v>1.8308681584545208E-2</v>
      </c>
    </row>
    <row r="279" spans="1:8" x14ac:dyDescent="0.25">
      <c r="A279" s="183" t="s">
        <v>729</v>
      </c>
      <c r="B279">
        <v>-2.5865903698775804E-2</v>
      </c>
      <c r="D279" s="183" t="s">
        <v>721</v>
      </c>
      <c r="E279">
        <v>-3.4095265385913252E-2</v>
      </c>
      <c r="G279" s="183" t="s">
        <v>723</v>
      </c>
      <c r="H279">
        <v>1.4680496873097649E-2</v>
      </c>
    </row>
    <row r="280" spans="1:8" x14ac:dyDescent="0.25">
      <c r="A280" s="183" t="s">
        <v>716</v>
      </c>
      <c r="B280">
        <v>-2.9535504598906189E-2</v>
      </c>
      <c r="D280" s="183" t="s">
        <v>718</v>
      </c>
      <c r="E280">
        <v>-3.6336264213606563E-2</v>
      </c>
      <c r="G280" s="183" t="s">
        <v>83</v>
      </c>
      <c r="H280">
        <v>1.4102972063508249E-2</v>
      </c>
    </row>
    <row r="281" spans="1:8" x14ac:dyDescent="0.25">
      <c r="A281" s="183" t="s">
        <v>721</v>
      </c>
      <c r="B281">
        <v>-3.004230629705984E-2</v>
      </c>
      <c r="D281" s="183" t="s">
        <v>737</v>
      </c>
      <c r="E281">
        <v>-4.6041242934149788E-2</v>
      </c>
      <c r="G281" s="185" t="s">
        <v>188</v>
      </c>
      <c r="H281">
        <v>1.140889537664749E-2</v>
      </c>
    </row>
    <row r="282" spans="1:8" x14ac:dyDescent="0.25">
      <c r="A282" s="183" t="s">
        <v>715</v>
      </c>
      <c r="B282">
        <v>-4.4418602051690549E-2</v>
      </c>
      <c r="D282" s="183" t="s">
        <v>715</v>
      </c>
      <c r="E282">
        <v>-9.0066710553193804E-2</v>
      </c>
      <c r="G282" s="183" t="s">
        <v>717</v>
      </c>
      <c r="H282">
        <v>1.0012948538072473E-2</v>
      </c>
    </row>
    <row r="283" spans="1:8" x14ac:dyDescent="0.25">
      <c r="A283" s="183" t="s">
        <v>160</v>
      </c>
      <c r="B283">
        <v>-0.18492203713506689</v>
      </c>
      <c r="D283" s="183" t="s">
        <v>160</v>
      </c>
      <c r="E283">
        <v>-0.11999704205581939</v>
      </c>
      <c r="G283" s="183" t="s">
        <v>742</v>
      </c>
      <c r="H283">
        <v>7.3416930474819227E-3</v>
      </c>
    </row>
    <row r="284" spans="1:8" x14ac:dyDescent="0.25">
      <c r="A284" s="183" t="s">
        <v>86</v>
      </c>
      <c r="B284">
        <v>-0.33914011605840821</v>
      </c>
      <c r="D284" s="183" t="s">
        <v>86</v>
      </c>
      <c r="E284">
        <v>-0.25629847856105936</v>
      </c>
      <c r="G284" s="183" t="s">
        <v>719</v>
      </c>
      <c r="H284">
        <v>7.1518344488904631E-3</v>
      </c>
    </row>
    <row r="285" spans="1:8" x14ac:dyDescent="0.25">
      <c r="A285" s="183" t="s">
        <v>83</v>
      </c>
      <c r="B285">
        <v>-0.43889811969938797</v>
      </c>
      <c r="D285" s="183" t="s">
        <v>83</v>
      </c>
      <c r="E285">
        <v>-0.49730172797189864</v>
      </c>
      <c r="G285" s="183" t="s">
        <v>748</v>
      </c>
      <c r="H285">
        <v>-2.9830952439366663E-3</v>
      </c>
    </row>
    <row r="286" spans="1:8" x14ac:dyDescent="0.25">
      <c r="A286" s="186" t="s">
        <v>138</v>
      </c>
      <c r="B286">
        <v>-0.52866961355058262</v>
      </c>
      <c r="D286" s="186" t="s">
        <v>116</v>
      </c>
      <c r="E286">
        <v>-0.57988084997980627</v>
      </c>
      <c r="G286" s="183" t="s">
        <v>729</v>
      </c>
      <c r="H286">
        <v>-1.6335867544455741E-2</v>
      </c>
    </row>
    <row r="287" spans="1:8" x14ac:dyDescent="0.25">
      <c r="A287" s="186" t="s">
        <v>116</v>
      </c>
      <c r="B287">
        <v>-0.52966283449672291</v>
      </c>
      <c r="D287" s="186" t="s">
        <v>138</v>
      </c>
      <c r="E287">
        <v>-0.60733766793693489</v>
      </c>
      <c r="G287" s="183" t="s">
        <v>716</v>
      </c>
      <c r="H287">
        <v>-1.6773880658039336E-2</v>
      </c>
    </row>
  </sheetData>
  <sortState ref="G97:H287">
    <sortCondition descending="1" ref="H97:H287"/>
  </sortState>
  <mergeCells count="8">
    <mergeCell ref="A95:B95"/>
    <mergeCell ref="D95:E95"/>
    <mergeCell ref="G95:I95"/>
    <mergeCell ref="A89:B89"/>
    <mergeCell ref="A90:B90"/>
    <mergeCell ref="A91:B91"/>
    <mergeCell ref="A92:B92"/>
    <mergeCell ref="A93:B9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A39" workbookViewId="0">
      <selection activeCell="Q72" sqref="Q72"/>
    </sheetView>
  </sheetViews>
  <sheetFormatPr defaultRowHeight="15" x14ac:dyDescent="0.25"/>
  <cols>
    <col min="1" max="1" width="12.4257812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4.5703125" customWidth="1"/>
    <col min="15" max="15" width="10.140625" customWidth="1"/>
    <col min="16" max="16" width="11.85546875" customWidth="1"/>
    <col min="17" max="17" width="12.42578125" bestFit="1" customWidth="1"/>
    <col min="18" max="18" width="10.5703125" customWidth="1"/>
    <col min="19" max="19" width="11.7109375" customWidth="1"/>
    <col min="20" max="20" width="12.42578125" bestFit="1" customWidth="1"/>
    <col min="22" max="22" width="12.5703125" customWidth="1"/>
    <col min="25" max="25" width="14.140625" bestFit="1" customWidth="1"/>
    <col min="28" max="28" width="14.140625" bestFit="1" customWidth="1"/>
  </cols>
  <sheetData>
    <row r="1" spans="1:27" ht="71.25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27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27" x14ac:dyDescent="0.25">
      <c r="A3" s="19" t="s">
        <v>161</v>
      </c>
      <c r="B3" s="19">
        <v>1.3</v>
      </c>
      <c r="C3" s="44">
        <v>1</v>
      </c>
      <c r="D3" s="18" t="s">
        <v>3</v>
      </c>
      <c r="E3" s="45">
        <v>0.29556833742211291</v>
      </c>
      <c r="F3" s="44">
        <v>1</v>
      </c>
      <c r="G3" s="18" t="s">
        <v>3</v>
      </c>
      <c r="H3" s="45">
        <v>0.34832847915389992</v>
      </c>
      <c r="I3" s="44">
        <v>1</v>
      </c>
      <c r="J3" s="18" t="s">
        <v>98</v>
      </c>
      <c r="K3" s="45">
        <v>0.48167595512068562</v>
      </c>
      <c r="L3" s="44">
        <v>1</v>
      </c>
      <c r="M3" s="41" t="s">
        <v>180</v>
      </c>
      <c r="N3" s="19">
        <v>58.93</v>
      </c>
      <c r="O3" s="44">
        <v>1</v>
      </c>
      <c r="P3" s="42" t="s">
        <v>158</v>
      </c>
      <c r="Q3" s="46">
        <v>57.14</v>
      </c>
      <c r="R3" s="44">
        <v>1</v>
      </c>
      <c r="S3" s="42" t="s">
        <v>13</v>
      </c>
      <c r="T3" s="46">
        <v>68.75</v>
      </c>
      <c r="U3" s="44">
        <v>1</v>
      </c>
      <c r="V3" s="19" t="s">
        <v>139</v>
      </c>
      <c r="W3">
        <v>91</v>
      </c>
      <c r="X3" s="27">
        <v>1</v>
      </c>
      <c r="Y3" s="19" t="s">
        <v>139</v>
      </c>
      <c r="Z3" s="19">
        <v>25</v>
      </c>
      <c r="AA3" s="44">
        <v>1</v>
      </c>
    </row>
    <row r="4" spans="1:27" x14ac:dyDescent="0.25">
      <c r="A4" s="19" t="s">
        <v>129</v>
      </c>
      <c r="B4" s="19">
        <v>1.2</v>
      </c>
      <c r="C4" s="44">
        <v>2</v>
      </c>
      <c r="D4" s="18" t="s">
        <v>180</v>
      </c>
      <c r="E4" s="45">
        <v>0.28428039249730136</v>
      </c>
      <c r="F4" s="44">
        <v>2</v>
      </c>
      <c r="G4" s="18" t="s">
        <v>13</v>
      </c>
      <c r="H4" s="45">
        <v>0.30539165025490161</v>
      </c>
      <c r="I4" s="44">
        <v>2</v>
      </c>
      <c r="J4" s="18" t="s">
        <v>104</v>
      </c>
      <c r="K4" s="45">
        <v>0.43863075280985758</v>
      </c>
      <c r="L4" s="44">
        <v>2</v>
      </c>
      <c r="M4" s="41" t="s">
        <v>179</v>
      </c>
      <c r="N4" s="19">
        <v>57.14</v>
      </c>
      <c r="O4" s="44">
        <v>2</v>
      </c>
      <c r="P4" s="42" t="s">
        <v>180</v>
      </c>
      <c r="Q4" s="46">
        <v>57.14</v>
      </c>
      <c r="R4" s="44">
        <v>1</v>
      </c>
      <c r="S4" s="42" t="s">
        <v>179</v>
      </c>
      <c r="T4" s="46">
        <v>68.42</v>
      </c>
      <c r="U4" s="44">
        <v>2</v>
      </c>
      <c r="V4" s="19" t="s">
        <v>130</v>
      </c>
      <c r="W4">
        <v>86</v>
      </c>
      <c r="X4" s="27">
        <v>2</v>
      </c>
      <c r="Y4" s="19" t="s">
        <v>130</v>
      </c>
      <c r="Z4" s="19">
        <v>22</v>
      </c>
      <c r="AA4" s="44">
        <v>2</v>
      </c>
    </row>
    <row r="5" spans="1:27" x14ac:dyDescent="0.25">
      <c r="A5" s="19" t="s">
        <v>3</v>
      </c>
      <c r="B5" s="19">
        <v>0.8</v>
      </c>
      <c r="C5" s="44">
        <v>3</v>
      </c>
      <c r="D5" s="18" t="s">
        <v>13</v>
      </c>
      <c r="E5" s="45">
        <v>0.26076066973416817</v>
      </c>
      <c r="F5" s="44">
        <v>3</v>
      </c>
      <c r="G5" s="18" t="s">
        <v>180</v>
      </c>
      <c r="H5" s="45">
        <v>0.22156850268385697</v>
      </c>
      <c r="I5" s="44">
        <v>3</v>
      </c>
      <c r="J5" s="18" t="s">
        <v>179</v>
      </c>
      <c r="K5" s="45">
        <v>0.38454728894568391</v>
      </c>
      <c r="L5" s="44">
        <v>3</v>
      </c>
      <c r="M5" s="41" t="s">
        <v>158</v>
      </c>
      <c r="N5" s="19">
        <v>53.57</v>
      </c>
      <c r="O5" s="44">
        <v>3</v>
      </c>
      <c r="P5" s="42" t="s">
        <v>134</v>
      </c>
      <c r="Q5" s="46">
        <v>52.38</v>
      </c>
      <c r="R5" s="44">
        <v>2</v>
      </c>
      <c r="S5" s="42" t="s">
        <v>107</v>
      </c>
      <c r="T5" s="46">
        <v>63.16</v>
      </c>
      <c r="U5" s="44">
        <v>3</v>
      </c>
      <c r="V5" s="19" t="s">
        <v>131</v>
      </c>
      <c r="W5">
        <v>74</v>
      </c>
      <c r="X5" s="27">
        <v>3</v>
      </c>
      <c r="Y5" s="19" t="s">
        <v>7</v>
      </c>
      <c r="Z5" s="19">
        <v>22</v>
      </c>
      <c r="AA5" s="44">
        <v>2</v>
      </c>
    </row>
    <row r="6" spans="1:27" x14ac:dyDescent="0.25">
      <c r="A6" s="19" t="s">
        <v>128</v>
      </c>
      <c r="B6" s="19">
        <v>0.71</v>
      </c>
      <c r="C6" s="44">
        <v>4</v>
      </c>
      <c r="D6" s="18" t="s">
        <v>179</v>
      </c>
      <c r="E6" s="45">
        <v>0.2462406600717795</v>
      </c>
      <c r="F6" s="44">
        <v>4</v>
      </c>
      <c r="G6" s="18" t="s">
        <v>161</v>
      </c>
      <c r="H6" s="45">
        <v>0.21559179653479871</v>
      </c>
      <c r="I6" s="44">
        <v>3</v>
      </c>
      <c r="J6" s="18" t="s">
        <v>107</v>
      </c>
      <c r="K6" s="45">
        <v>0.34630773545863025</v>
      </c>
      <c r="L6" s="44">
        <v>4</v>
      </c>
      <c r="M6" s="41" t="s">
        <v>13</v>
      </c>
      <c r="N6" s="19">
        <v>53.57</v>
      </c>
      <c r="O6" s="44">
        <v>3</v>
      </c>
      <c r="P6" s="42" t="s">
        <v>13</v>
      </c>
      <c r="Q6" s="46">
        <v>52.38</v>
      </c>
      <c r="R6" s="44">
        <v>2</v>
      </c>
      <c r="S6" s="42" t="s">
        <v>3</v>
      </c>
      <c r="T6" s="46">
        <v>62.5</v>
      </c>
      <c r="U6" s="44">
        <v>4</v>
      </c>
      <c r="V6" s="19" t="s">
        <v>134</v>
      </c>
      <c r="W6">
        <v>70</v>
      </c>
      <c r="X6" s="27">
        <v>4</v>
      </c>
      <c r="Y6" s="19" t="s">
        <v>127</v>
      </c>
      <c r="Z6" s="19">
        <v>21</v>
      </c>
      <c r="AA6" s="44">
        <v>3</v>
      </c>
    </row>
    <row r="7" spans="1:27" x14ac:dyDescent="0.25">
      <c r="A7" s="19" t="s">
        <v>136</v>
      </c>
      <c r="B7" s="19">
        <v>0.69</v>
      </c>
      <c r="C7" s="44">
        <v>5</v>
      </c>
      <c r="D7" s="18" t="s">
        <v>107</v>
      </c>
      <c r="E7" s="45">
        <v>0.22267970264570539</v>
      </c>
      <c r="F7" s="44">
        <v>5</v>
      </c>
      <c r="G7" s="18" t="s">
        <v>164</v>
      </c>
      <c r="H7" s="45">
        <v>0.19186665979346304</v>
      </c>
      <c r="I7" s="44">
        <v>4</v>
      </c>
      <c r="J7" s="18" t="s">
        <v>180</v>
      </c>
      <c r="K7" s="45">
        <v>0.33903367020404845</v>
      </c>
      <c r="L7" s="44">
        <v>5</v>
      </c>
      <c r="M7" s="41" t="s">
        <v>134</v>
      </c>
      <c r="N7" s="19">
        <v>51.79</v>
      </c>
      <c r="O7" s="44">
        <v>4</v>
      </c>
      <c r="P7" s="42" t="s">
        <v>128</v>
      </c>
      <c r="Q7" s="46">
        <v>47.62</v>
      </c>
      <c r="R7" s="44">
        <v>3</v>
      </c>
      <c r="S7" s="42" t="s">
        <v>158</v>
      </c>
      <c r="T7" s="46">
        <v>62.5</v>
      </c>
      <c r="U7" s="44">
        <v>4</v>
      </c>
      <c r="V7" s="19" t="s">
        <v>16</v>
      </c>
      <c r="W7">
        <v>69</v>
      </c>
      <c r="X7" s="27">
        <v>5</v>
      </c>
      <c r="Y7" s="19" t="s">
        <v>179</v>
      </c>
      <c r="Z7" s="19">
        <v>19</v>
      </c>
      <c r="AA7" s="44">
        <v>4</v>
      </c>
    </row>
    <row r="8" spans="1:27" x14ac:dyDescent="0.25">
      <c r="A8" s="19" t="s">
        <v>175</v>
      </c>
      <c r="B8" s="19">
        <v>0.69</v>
      </c>
      <c r="C8" s="44">
        <v>5</v>
      </c>
      <c r="D8" s="18" t="s">
        <v>161</v>
      </c>
      <c r="E8" s="45">
        <v>0.21835589976513597</v>
      </c>
      <c r="F8" s="44">
        <v>5</v>
      </c>
      <c r="G8" s="18" t="s">
        <v>162</v>
      </c>
      <c r="H8" s="45">
        <v>0.18459538002628134</v>
      </c>
      <c r="I8" s="44">
        <v>5</v>
      </c>
      <c r="J8" s="18" t="s">
        <v>101</v>
      </c>
      <c r="K8" s="45">
        <v>0.33622643005026664</v>
      </c>
      <c r="L8" s="44">
        <v>5</v>
      </c>
      <c r="M8" s="41" t="s">
        <v>3</v>
      </c>
      <c r="N8" s="19">
        <v>50</v>
      </c>
      <c r="O8" s="44">
        <v>5</v>
      </c>
      <c r="P8" s="42" t="s">
        <v>136</v>
      </c>
      <c r="Q8" s="46">
        <v>47.62</v>
      </c>
      <c r="R8" s="44">
        <v>3</v>
      </c>
      <c r="S8" s="42" t="s">
        <v>139</v>
      </c>
      <c r="T8" s="46">
        <v>62.5</v>
      </c>
      <c r="U8" s="44">
        <v>4</v>
      </c>
      <c r="V8" t="s">
        <v>136</v>
      </c>
      <c r="W8">
        <v>61</v>
      </c>
      <c r="X8" s="27">
        <v>6</v>
      </c>
      <c r="Y8" s="19" t="s">
        <v>140</v>
      </c>
      <c r="Z8" s="19">
        <v>17</v>
      </c>
      <c r="AA8" s="44">
        <v>5</v>
      </c>
    </row>
    <row r="9" spans="1:27" x14ac:dyDescent="0.25">
      <c r="A9" t="s">
        <v>143</v>
      </c>
      <c r="B9">
        <v>0.64</v>
      </c>
      <c r="C9" s="27">
        <v>6</v>
      </c>
      <c r="D9" s="13" t="s">
        <v>162</v>
      </c>
      <c r="E9" s="32">
        <v>0.19245494340577948</v>
      </c>
      <c r="F9" s="27">
        <v>6</v>
      </c>
      <c r="G9" s="13" t="s">
        <v>128</v>
      </c>
      <c r="H9" s="32">
        <v>0.17156085931258605</v>
      </c>
      <c r="I9" s="27">
        <v>6</v>
      </c>
      <c r="J9" s="13" t="s">
        <v>13</v>
      </c>
      <c r="K9" s="33">
        <v>0.33410515918217576</v>
      </c>
      <c r="L9" s="27">
        <v>6</v>
      </c>
      <c r="M9" s="25" t="s">
        <v>162</v>
      </c>
      <c r="N9">
        <v>48.21</v>
      </c>
      <c r="O9" s="27">
        <v>6</v>
      </c>
      <c r="P9" s="42" t="s">
        <v>14</v>
      </c>
      <c r="Q9" s="46">
        <v>47.62</v>
      </c>
      <c r="R9" s="44">
        <v>3</v>
      </c>
      <c r="S9" s="42" t="s">
        <v>180</v>
      </c>
      <c r="T9" s="46">
        <v>62.5</v>
      </c>
      <c r="U9" s="44">
        <v>4</v>
      </c>
      <c r="V9" t="s">
        <v>127</v>
      </c>
      <c r="W9">
        <v>60</v>
      </c>
      <c r="X9" s="27">
        <v>7</v>
      </c>
      <c r="Y9" t="s">
        <v>111</v>
      </c>
      <c r="Z9">
        <v>16</v>
      </c>
      <c r="AA9" s="27">
        <v>6</v>
      </c>
    </row>
    <row r="10" spans="1:27" x14ac:dyDescent="0.25">
      <c r="A10" t="s">
        <v>173</v>
      </c>
      <c r="B10">
        <v>0.57999999999999996</v>
      </c>
      <c r="C10" s="27">
        <v>7</v>
      </c>
      <c r="D10" s="13" t="s">
        <v>104</v>
      </c>
      <c r="E10" s="32">
        <v>0.17760308373013964</v>
      </c>
      <c r="F10" s="27">
        <v>7</v>
      </c>
      <c r="G10" s="13" t="s">
        <v>179</v>
      </c>
      <c r="H10" s="32">
        <v>0.13728232704301804</v>
      </c>
      <c r="I10" s="27">
        <v>7</v>
      </c>
      <c r="J10" s="13" t="s">
        <v>3</v>
      </c>
      <c r="K10" s="33">
        <v>0.29289434638637757</v>
      </c>
      <c r="L10" s="27">
        <v>7</v>
      </c>
      <c r="M10" s="25" t="s">
        <v>135</v>
      </c>
      <c r="N10">
        <v>46.43</v>
      </c>
      <c r="O10" s="27">
        <v>7</v>
      </c>
      <c r="P10" s="42" t="s">
        <v>151</v>
      </c>
      <c r="Q10" s="46">
        <v>47.62</v>
      </c>
      <c r="R10" s="44">
        <v>3</v>
      </c>
      <c r="S10" s="42" t="s">
        <v>129</v>
      </c>
      <c r="T10" s="46">
        <v>57.89</v>
      </c>
      <c r="U10" s="44">
        <v>5</v>
      </c>
      <c r="V10" t="s">
        <v>146</v>
      </c>
      <c r="W10">
        <v>55</v>
      </c>
      <c r="X10" s="27">
        <v>8</v>
      </c>
      <c r="Y10" t="s">
        <v>180</v>
      </c>
      <c r="Z10">
        <v>16</v>
      </c>
      <c r="AA10" s="27">
        <v>6</v>
      </c>
    </row>
    <row r="11" spans="1:27" x14ac:dyDescent="0.25">
      <c r="A11" t="s">
        <v>14</v>
      </c>
      <c r="B11">
        <v>0.52</v>
      </c>
      <c r="C11" s="27">
        <v>8</v>
      </c>
      <c r="D11" s="13" t="s">
        <v>98</v>
      </c>
      <c r="E11" s="32">
        <v>0.16137793668604042</v>
      </c>
      <c r="F11" s="27">
        <v>8</v>
      </c>
      <c r="G11" s="13" t="s">
        <v>175</v>
      </c>
      <c r="H11" s="32">
        <v>0.13269295060997313</v>
      </c>
      <c r="I11" s="27">
        <v>8</v>
      </c>
      <c r="J11" s="13" t="s">
        <v>161</v>
      </c>
      <c r="K11" s="33">
        <v>0.2915674265599546</v>
      </c>
      <c r="L11" s="27">
        <v>7</v>
      </c>
      <c r="M11" s="25" t="s">
        <v>141</v>
      </c>
      <c r="N11">
        <v>46.43</v>
      </c>
      <c r="O11" s="27">
        <v>7</v>
      </c>
      <c r="P11" s="42" t="s">
        <v>130</v>
      </c>
      <c r="Q11" s="46">
        <v>42.86</v>
      </c>
      <c r="R11" s="44">
        <v>4</v>
      </c>
      <c r="S11" s="42" t="s">
        <v>143</v>
      </c>
      <c r="T11" s="46">
        <v>57.89</v>
      </c>
      <c r="U11" s="44">
        <v>5</v>
      </c>
      <c r="V11" t="s">
        <v>7</v>
      </c>
      <c r="W11">
        <v>53</v>
      </c>
      <c r="X11" s="27">
        <v>9</v>
      </c>
      <c r="Y11" t="s">
        <v>16</v>
      </c>
      <c r="Z11">
        <v>15</v>
      </c>
      <c r="AA11" s="27">
        <v>7</v>
      </c>
    </row>
    <row r="12" spans="1:27" x14ac:dyDescent="0.25">
      <c r="A12" t="s">
        <v>135</v>
      </c>
      <c r="B12">
        <v>0.48</v>
      </c>
      <c r="C12" s="27">
        <v>9</v>
      </c>
      <c r="D12" s="13" t="s">
        <v>101</v>
      </c>
      <c r="E12" s="32">
        <v>0.15853622120934457</v>
      </c>
      <c r="F12" s="27">
        <v>8</v>
      </c>
      <c r="G12" s="13" t="s">
        <v>151</v>
      </c>
      <c r="H12" s="32">
        <v>0.12428457691277853</v>
      </c>
      <c r="I12" s="27">
        <v>9</v>
      </c>
      <c r="J12" s="13" t="s">
        <v>89</v>
      </c>
      <c r="K12" s="33">
        <v>0.26451754553604673</v>
      </c>
      <c r="L12" s="27">
        <v>8</v>
      </c>
      <c r="M12" s="25" t="s">
        <v>107</v>
      </c>
      <c r="N12">
        <v>46.43</v>
      </c>
      <c r="O12" s="27">
        <v>7</v>
      </c>
      <c r="P12" s="42" t="s">
        <v>162</v>
      </c>
      <c r="Q12" s="46">
        <v>42.86</v>
      </c>
      <c r="R12" s="44">
        <v>4</v>
      </c>
      <c r="S12" s="42" t="s">
        <v>135</v>
      </c>
      <c r="T12" s="46">
        <v>57.89</v>
      </c>
      <c r="U12" s="44">
        <v>5</v>
      </c>
      <c r="V12" t="s">
        <v>14</v>
      </c>
      <c r="W12">
        <v>51</v>
      </c>
      <c r="X12" s="27">
        <v>10</v>
      </c>
      <c r="Y12" t="s">
        <v>160</v>
      </c>
      <c r="Z12">
        <v>13</v>
      </c>
      <c r="AA12" s="27">
        <v>8</v>
      </c>
    </row>
    <row r="13" spans="1:27" x14ac:dyDescent="0.25">
      <c r="A13" t="s">
        <v>104</v>
      </c>
      <c r="B13">
        <v>0.45</v>
      </c>
      <c r="C13" s="27">
        <v>10</v>
      </c>
      <c r="D13" s="13" t="s">
        <v>175</v>
      </c>
      <c r="E13" s="32">
        <v>0.13455557891712064</v>
      </c>
      <c r="F13" s="27">
        <v>9</v>
      </c>
      <c r="G13" s="13" t="s">
        <v>113</v>
      </c>
      <c r="H13" s="32">
        <v>0.12100294387193086</v>
      </c>
      <c r="I13" s="27">
        <v>9</v>
      </c>
      <c r="J13" s="13" t="s">
        <v>111</v>
      </c>
      <c r="K13" s="33">
        <v>0.23485468111533883</v>
      </c>
      <c r="L13" s="27">
        <v>9</v>
      </c>
      <c r="M13" s="26" t="s">
        <v>89</v>
      </c>
      <c r="N13">
        <v>46.43</v>
      </c>
      <c r="O13" s="27">
        <v>7</v>
      </c>
      <c r="P13" s="42" t="s">
        <v>164</v>
      </c>
      <c r="Q13" s="46">
        <v>42.86</v>
      </c>
      <c r="R13" s="44">
        <v>4</v>
      </c>
      <c r="S13" s="42" t="s">
        <v>162</v>
      </c>
      <c r="T13" s="46">
        <v>57.89</v>
      </c>
      <c r="U13" s="44">
        <v>5</v>
      </c>
      <c r="V13" t="s">
        <v>135</v>
      </c>
      <c r="W13">
        <v>48</v>
      </c>
      <c r="X13" s="27">
        <v>11</v>
      </c>
      <c r="Y13" t="s">
        <v>143</v>
      </c>
      <c r="Z13">
        <v>12</v>
      </c>
      <c r="AA13" s="27">
        <v>9</v>
      </c>
    </row>
    <row r="14" spans="1:27" x14ac:dyDescent="0.25">
      <c r="A14" t="s">
        <v>130</v>
      </c>
      <c r="B14">
        <v>0.43</v>
      </c>
      <c r="C14" s="27">
        <v>11</v>
      </c>
      <c r="D14" s="13" t="s">
        <v>111</v>
      </c>
      <c r="E14" s="32">
        <v>0.12763047179901787</v>
      </c>
      <c r="F14" s="27">
        <v>9</v>
      </c>
      <c r="G14" s="13" t="s">
        <v>143</v>
      </c>
      <c r="H14" s="32">
        <v>0.12072288082751804</v>
      </c>
      <c r="I14" s="27">
        <v>9</v>
      </c>
      <c r="J14" s="13" t="s">
        <v>175</v>
      </c>
      <c r="K14" s="33">
        <v>0.22170661100224018</v>
      </c>
      <c r="L14" s="27">
        <v>10</v>
      </c>
      <c r="M14" s="25" t="s">
        <v>161</v>
      </c>
      <c r="N14">
        <v>44.64</v>
      </c>
      <c r="O14" s="27">
        <v>8</v>
      </c>
      <c r="P14" s="42" t="s">
        <v>146</v>
      </c>
      <c r="Q14" s="46">
        <v>42.86</v>
      </c>
      <c r="R14" s="44">
        <v>4</v>
      </c>
      <c r="S14" s="42" t="s">
        <v>134</v>
      </c>
      <c r="T14" s="46">
        <v>57.89</v>
      </c>
      <c r="U14" s="44">
        <v>5</v>
      </c>
      <c r="V14" t="s">
        <v>160</v>
      </c>
      <c r="W14">
        <v>48</v>
      </c>
      <c r="X14" s="27">
        <v>11</v>
      </c>
      <c r="Y14" t="s">
        <v>113</v>
      </c>
      <c r="Z14">
        <v>11</v>
      </c>
      <c r="AA14" s="27">
        <v>10</v>
      </c>
    </row>
    <row r="15" spans="1:27" x14ac:dyDescent="0.25">
      <c r="A15" t="s">
        <v>16</v>
      </c>
      <c r="B15">
        <v>0.43</v>
      </c>
      <c r="C15" s="27">
        <v>11</v>
      </c>
      <c r="D15" s="13" t="s">
        <v>158</v>
      </c>
      <c r="E15" s="32">
        <v>0.11864099707236322</v>
      </c>
      <c r="F15" s="27">
        <v>10</v>
      </c>
      <c r="G15" s="13" t="s">
        <v>136</v>
      </c>
      <c r="H15" s="32">
        <v>0.11461323310101733</v>
      </c>
      <c r="I15" s="27">
        <v>10</v>
      </c>
      <c r="J15" s="13" t="s">
        <v>162</v>
      </c>
      <c r="K15" s="33">
        <v>0.20187303195711462</v>
      </c>
      <c r="L15" s="27">
        <v>11</v>
      </c>
      <c r="M15" s="25" t="s">
        <v>128</v>
      </c>
      <c r="N15">
        <v>44.64</v>
      </c>
      <c r="O15" s="27">
        <v>8</v>
      </c>
      <c r="P15" s="42" t="s">
        <v>113</v>
      </c>
      <c r="Q15" s="46">
        <v>42.86</v>
      </c>
      <c r="R15" s="44">
        <v>4</v>
      </c>
      <c r="S15" s="42" t="s">
        <v>111</v>
      </c>
      <c r="T15" s="46">
        <v>57.89</v>
      </c>
      <c r="U15" s="44">
        <v>5</v>
      </c>
      <c r="V15" t="s">
        <v>140</v>
      </c>
      <c r="W15">
        <v>47</v>
      </c>
      <c r="X15" s="27">
        <v>12</v>
      </c>
      <c r="Y15" t="s">
        <v>3</v>
      </c>
      <c r="Z15">
        <v>11</v>
      </c>
      <c r="AA15" s="27">
        <v>10</v>
      </c>
    </row>
    <row r="16" spans="1:27" x14ac:dyDescent="0.25">
      <c r="A16" t="s">
        <v>162</v>
      </c>
      <c r="B16">
        <v>0.41</v>
      </c>
      <c r="C16" s="27">
        <v>12</v>
      </c>
      <c r="D16" s="13" t="s">
        <v>135</v>
      </c>
      <c r="E16" s="32">
        <v>0.1150363565906829</v>
      </c>
      <c r="F16" s="27">
        <v>10</v>
      </c>
      <c r="G16" s="13" t="s">
        <v>107</v>
      </c>
      <c r="H16" s="32">
        <v>0.11355964051769724</v>
      </c>
      <c r="I16" s="27">
        <v>10</v>
      </c>
      <c r="J16" s="13" t="s">
        <v>158</v>
      </c>
      <c r="K16" s="33">
        <v>0.18667942944987223</v>
      </c>
      <c r="L16" s="27">
        <v>12</v>
      </c>
      <c r="M16" s="25" t="s">
        <v>136</v>
      </c>
      <c r="N16">
        <v>44.64</v>
      </c>
      <c r="O16" s="27">
        <v>8</v>
      </c>
      <c r="P16" s="42" t="s">
        <v>179</v>
      </c>
      <c r="Q16" s="46">
        <v>42.86</v>
      </c>
      <c r="R16" s="44">
        <v>4</v>
      </c>
      <c r="S16" s="42" t="s">
        <v>170</v>
      </c>
      <c r="T16" s="46">
        <v>57.89</v>
      </c>
      <c r="U16" s="44">
        <v>5</v>
      </c>
      <c r="V16" t="s">
        <v>143</v>
      </c>
      <c r="W16">
        <v>47</v>
      </c>
      <c r="X16" s="27">
        <v>12</v>
      </c>
      <c r="Y16" t="s">
        <v>141</v>
      </c>
      <c r="Z16">
        <v>10</v>
      </c>
      <c r="AA16" s="27">
        <v>11</v>
      </c>
    </row>
    <row r="17" spans="1:27" x14ac:dyDescent="0.25">
      <c r="A17" t="s">
        <v>148</v>
      </c>
      <c r="B17">
        <v>0.4</v>
      </c>
      <c r="C17" s="27">
        <v>13</v>
      </c>
      <c r="D17" s="13" t="s">
        <v>89</v>
      </c>
      <c r="E17" s="32">
        <v>0.11067466898798664</v>
      </c>
      <c r="F17" s="27">
        <v>11</v>
      </c>
      <c r="G17" s="13" t="s">
        <v>134</v>
      </c>
      <c r="H17" s="32">
        <v>0.11283175905066625</v>
      </c>
      <c r="I17" s="27">
        <v>10</v>
      </c>
      <c r="J17" s="13" t="s">
        <v>7</v>
      </c>
      <c r="K17" s="33">
        <v>0.15815098911320657</v>
      </c>
      <c r="L17" s="27">
        <v>13</v>
      </c>
      <c r="M17" s="25" t="s">
        <v>14</v>
      </c>
      <c r="N17">
        <v>42.86</v>
      </c>
      <c r="O17" s="27">
        <v>9</v>
      </c>
      <c r="P17" s="42" t="s">
        <v>89</v>
      </c>
      <c r="Q17" s="46">
        <v>42.86</v>
      </c>
      <c r="R17" s="44">
        <v>4</v>
      </c>
      <c r="S17" s="42" t="s">
        <v>89</v>
      </c>
      <c r="T17" s="46">
        <v>57.89</v>
      </c>
      <c r="U17" s="44">
        <v>5</v>
      </c>
      <c r="V17" t="s">
        <v>129</v>
      </c>
      <c r="W17">
        <v>44</v>
      </c>
      <c r="X17" s="27">
        <v>13</v>
      </c>
      <c r="Y17" t="s">
        <v>175</v>
      </c>
      <c r="Z17">
        <v>10</v>
      </c>
      <c r="AA17" s="27">
        <v>11</v>
      </c>
    </row>
    <row r="18" spans="1:27" x14ac:dyDescent="0.25">
      <c r="A18" t="s">
        <v>82</v>
      </c>
      <c r="B18">
        <v>0.38</v>
      </c>
      <c r="C18" s="27">
        <v>14</v>
      </c>
      <c r="D18" s="13" t="s">
        <v>129</v>
      </c>
      <c r="E18" s="32">
        <v>0.1031551679536226</v>
      </c>
      <c r="F18" s="27">
        <v>12</v>
      </c>
      <c r="G18" s="13" t="s">
        <v>135</v>
      </c>
      <c r="H18" s="32">
        <v>0.10854475595752391</v>
      </c>
      <c r="I18" s="27">
        <v>10</v>
      </c>
      <c r="J18" s="13" t="s">
        <v>135</v>
      </c>
      <c r="K18" s="33">
        <v>0.15803817643752413</v>
      </c>
      <c r="L18" s="27">
        <v>13</v>
      </c>
      <c r="M18" s="25" t="s">
        <v>139</v>
      </c>
      <c r="N18">
        <v>42.86</v>
      </c>
      <c r="O18" s="27">
        <v>9</v>
      </c>
      <c r="P18" s="42" t="s">
        <v>161</v>
      </c>
      <c r="Q18" s="46">
        <v>38.1</v>
      </c>
      <c r="R18" s="44">
        <v>5</v>
      </c>
      <c r="S18" s="26" t="s">
        <v>146</v>
      </c>
      <c r="T18" s="29">
        <v>56.25</v>
      </c>
      <c r="U18" s="27">
        <v>6</v>
      </c>
      <c r="V18" t="s">
        <v>128</v>
      </c>
      <c r="W18">
        <v>43</v>
      </c>
      <c r="X18" s="27">
        <v>14</v>
      </c>
      <c r="Y18" t="s">
        <v>128</v>
      </c>
      <c r="Z18">
        <v>9</v>
      </c>
      <c r="AA18" s="27">
        <v>12</v>
      </c>
    </row>
    <row r="19" spans="1:27" x14ac:dyDescent="0.25">
      <c r="A19" t="s">
        <v>122</v>
      </c>
      <c r="B19">
        <v>0.37</v>
      </c>
      <c r="C19" s="27">
        <v>15</v>
      </c>
      <c r="D19" s="13" t="s">
        <v>128</v>
      </c>
      <c r="E19" s="32">
        <v>9.7980007614147185E-2</v>
      </c>
      <c r="F19" s="28">
        <v>12</v>
      </c>
      <c r="G19" s="13" t="s">
        <v>141</v>
      </c>
      <c r="H19" s="32">
        <v>9.5204530849904878E-2</v>
      </c>
      <c r="I19" s="27">
        <v>11</v>
      </c>
      <c r="J19" s="13" t="s">
        <v>146</v>
      </c>
      <c r="K19" s="33">
        <v>0.14194703405086592</v>
      </c>
      <c r="L19" s="28">
        <v>14</v>
      </c>
      <c r="M19" s="25" t="s">
        <v>170</v>
      </c>
      <c r="N19">
        <v>42.86</v>
      </c>
      <c r="O19" s="28">
        <v>9</v>
      </c>
      <c r="P19" s="42" t="s">
        <v>3</v>
      </c>
      <c r="Q19" s="46">
        <v>38.1</v>
      </c>
      <c r="R19" s="47">
        <v>5</v>
      </c>
      <c r="S19" s="26" t="s">
        <v>161</v>
      </c>
      <c r="T19" s="29">
        <v>52.63</v>
      </c>
      <c r="U19" s="28">
        <v>7</v>
      </c>
      <c r="V19" t="s">
        <v>180</v>
      </c>
      <c r="W19">
        <v>43</v>
      </c>
      <c r="X19" s="28">
        <v>14</v>
      </c>
      <c r="Y19" t="s">
        <v>129</v>
      </c>
      <c r="Z19">
        <v>8</v>
      </c>
      <c r="AA19" s="28">
        <v>13</v>
      </c>
    </row>
    <row r="20" spans="1:27" x14ac:dyDescent="0.25">
      <c r="A20" t="s">
        <v>141</v>
      </c>
      <c r="B20">
        <v>0.37</v>
      </c>
      <c r="C20" s="27">
        <v>15</v>
      </c>
      <c r="D20" s="13" t="s">
        <v>7</v>
      </c>
      <c r="E20" s="32">
        <v>9.7652070440843231E-2</v>
      </c>
      <c r="F20" s="28">
        <v>12</v>
      </c>
      <c r="G20" s="13" t="s">
        <v>104</v>
      </c>
      <c r="H20" s="32">
        <v>9.2127879481845393E-2</v>
      </c>
      <c r="I20" s="27">
        <v>12</v>
      </c>
      <c r="J20" s="13" t="s">
        <v>129</v>
      </c>
      <c r="K20" s="33">
        <v>0.13787515367560063</v>
      </c>
      <c r="L20" s="28">
        <v>14</v>
      </c>
      <c r="M20" s="25" t="s">
        <v>143</v>
      </c>
      <c r="N20">
        <v>41.07</v>
      </c>
      <c r="O20" s="28">
        <v>10</v>
      </c>
      <c r="P20" s="42" t="s">
        <v>135</v>
      </c>
      <c r="Q20" s="46">
        <v>38.1</v>
      </c>
      <c r="R20" s="47">
        <v>5</v>
      </c>
      <c r="S20" s="26" t="s">
        <v>148</v>
      </c>
      <c r="T20" s="29">
        <v>52.63</v>
      </c>
      <c r="U20" s="28">
        <v>7</v>
      </c>
      <c r="V20" t="s">
        <v>3</v>
      </c>
      <c r="W20">
        <v>40</v>
      </c>
      <c r="X20" s="28">
        <v>15</v>
      </c>
      <c r="Y20" t="s">
        <v>131</v>
      </c>
      <c r="Z20">
        <v>8</v>
      </c>
      <c r="AA20" s="28">
        <v>13</v>
      </c>
    </row>
    <row r="21" spans="1:27" x14ac:dyDescent="0.25">
      <c r="A21" t="s">
        <v>151</v>
      </c>
      <c r="B21">
        <v>0.36</v>
      </c>
      <c r="C21" s="27">
        <v>16</v>
      </c>
      <c r="D21" s="13" t="s">
        <v>141</v>
      </c>
      <c r="E21" s="32">
        <v>9.4432104861567542E-2</v>
      </c>
      <c r="F21" s="28">
        <v>13</v>
      </c>
      <c r="G21" s="13" t="s">
        <v>130</v>
      </c>
      <c r="H21" s="32">
        <v>8.841666128360319E-2</v>
      </c>
      <c r="I21" s="27">
        <v>12</v>
      </c>
      <c r="J21" s="13" t="s">
        <v>170</v>
      </c>
      <c r="K21" s="33">
        <v>0.13604057448109255</v>
      </c>
      <c r="L21" s="28">
        <v>14</v>
      </c>
      <c r="M21" s="25" t="s">
        <v>130</v>
      </c>
      <c r="N21">
        <v>41.07</v>
      </c>
      <c r="O21" s="28">
        <v>10</v>
      </c>
      <c r="P21" s="42" t="s">
        <v>141</v>
      </c>
      <c r="Q21" s="46">
        <v>38.1</v>
      </c>
      <c r="R21" s="47">
        <v>5</v>
      </c>
      <c r="S21" s="26" t="s">
        <v>141</v>
      </c>
      <c r="T21" s="29">
        <v>52.63</v>
      </c>
      <c r="U21" s="28">
        <v>7</v>
      </c>
      <c r="V21" t="s">
        <v>148</v>
      </c>
      <c r="W21">
        <v>39</v>
      </c>
      <c r="X21" s="28">
        <v>16</v>
      </c>
      <c r="Y21" t="s">
        <v>134</v>
      </c>
      <c r="Z21">
        <v>8</v>
      </c>
      <c r="AA21" s="28">
        <v>13</v>
      </c>
    </row>
    <row r="22" spans="1:27" x14ac:dyDescent="0.25">
      <c r="A22" t="s">
        <v>7</v>
      </c>
      <c r="B22">
        <v>0.36</v>
      </c>
      <c r="C22" s="27">
        <v>16</v>
      </c>
      <c r="D22" s="13" t="s">
        <v>136</v>
      </c>
      <c r="E22" s="32">
        <v>9.07660904260464E-2</v>
      </c>
      <c r="F22" s="28">
        <v>13</v>
      </c>
      <c r="G22" s="13" t="s">
        <v>129</v>
      </c>
      <c r="H22" s="32">
        <v>8.4165143887051472E-2</v>
      </c>
      <c r="I22" s="27">
        <v>13</v>
      </c>
      <c r="J22" s="13" t="s">
        <v>119</v>
      </c>
      <c r="K22" s="33">
        <v>0.13315620528154917</v>
      </c>
      <c r="L22" s="28">
        <v>15</v>
      </c>
      <c r="M22" s="25" t="s">
        <v>146</v>
      </c>
      <c r="N22">
        <v>41.07</v>
      </c>
      <c r="O22" s="28">
        <v>10</v>
      </c>
      <c r="P22" s="42" t="s">
        <v>131</v>
      </c>
      <c r="Q22" s="46">
        <v>38.1</v>
      </c>
      <c r="R22" s="47">
        <v>5</v>
      </c>
      <c r="S22" s="26" t="s">
        <v>7</v>
      </c>
      <c r="T22" s="29">
        <v>52.63</v>
      </c>
      <c r="U22" s="28">
        <v>7</v>
      </c>
      <c r="V22" t="s">
        <v>147</v>
      </c>
      <c r="W22">
        <v>36</v>
      </c>
      <c r="X22" s="28">
        <v>17</v>
      </c>
      <c r="Y22" t="s">
        <v>136</v>
      </c>
      <c r="Z22">
        <v>8</v>
      </c>
      <c r="AA22" s="28">
        <v>13</v>
      </c>
    </row>
    <row r="23" spans="1:27" x14ac:dyDescent="0.25">
      <c r="A23" t="s">
        <v>158</v>
      </c>
      <c r="B23">
        <v>0.36</v>
      </c>
      <c r="C23" s="27">
        <v>16</v>
      </c>
      <c r="D23" s="13" t="s">
        <v>164</v>
      </c>
      <c r="E23" s="32">
        <v>9.0479775577821692E-2</v>
      </c>
      <c r="F23" s="28">
        <v>13</v>
      </c>
      <c r="G23" s="13" t="s">
        <v>158</v>
      </c>
      <c r="H23" s="32">
        <v>8.1331305662995776E-2</v>
      </c>
      <c r="I23" s="27">
        <v>13</v>
      </c>
      <c r="J23" s="13" t="s">
        <v>141</v>
      </c>
      <c r="K23" s="33">
        <v>0.12379536475324072</v>
      </c>
      <c r="L23" s="28">
        <v>16</v>
      </c>
      <c r="M23" s="25" t="s">
        <v>175</v>
      </c>
      <c r="N23">
        <v>39.29</v>
      </c>
      <c r="O23" s="28">
        <v>11</v>
      </c>
      <c r="P23" s="42" t="s">
        <v>107</v>
      </c>
      <c r="Q23" s="46">
        <v>38.1</v>
      </c>
      <c r="R23" s="47">
        <v>5</v>
      </c>
      <c r="S23" s="26" t="s">
        <v>140</v>
      </c>
      <c r="T23" s="29">
        <v>52.63</v>
      </c>
      <c r="U23" s="28">
        <v>7</v>
      </c>
      <c r="V23" t="s">
        <v>170</v>
      </c>
      <c r="W23">
        <v>27</v>
      </c>
      <c r="X23" s="28">
        <v>18</v>
      </c>
      <c r="Y23" t="s">
        <v>158</v>
      </c>
      <c r="Z23">
        <v>8</v>
      </c>
      <c r="AA23" s="28">
        <v>13</v>
      </c>
    </row>
    <row r="24" spans="1:27" x14ac:dyDescent="0.25">
      <c r="A24" t="s">
        <v>164</v>
      </c>
      <c r="B24">
        <v>0.35</v>
      </c>
      <c r="C24" s="27">
        <v>17</v>
      </c>
      <c r="D24" s="13" t="s">
        <v>143</v>
      </c>
      <c r="E24" s="32">
        <v>8.5580548360236722E-2</v>
      </c>
      <c r="F24" s="28">
        <v>13</v>
      </c>
      <c r="G24" s="13" t="s">
        <v>131</v>
      </c>
      <c r="H24" s="32">
        <v>7.7903241368811577E-2</v>
      </c>
      <c r="I24" s="27">
        <v>13</v>
      </c>
      <c r="J24" s="13" t="s">
        <v>16</v>
      </c>
      <c r="K24" s="33">
        <v>0.12086982055477094</v>
      </c>
      <c r="L24" s="28">
        <v>16</v>
      </c>
      <c r="M24" s="25" t="s">
        <v>154</v>
      </c>
      <c r="N24">
        <v>39.29</v>
      </c>
      <c r="O24" s="28">
        <v>11</v>
      </c>
      <c r="P24" s="42" t="s">
        <v>127</v>
      </c>
      <c r="Q24" s="46">
        <v>38.1</v>
      </c>
      <c r="R24" s="47">
        <v>5</v>
      </c>
      <c r="S24" s="26" t="s">
        <v>119</v>
      </c>
      <c r="T24" s="29">
        <v>52.63</v>
      </c>
      <c r="U24" s="28">
        <v>7</v>
      </c>
      <c r="V24" t="s">
        <v>175</v>
      </c>
      <c r="W24">
        <v>26</v>
      </c>
      <c r="X24" s="28">
        <v>19</v>
      </c>
      <c r="Y24" t="s">
        <v>135</v>
      </c>
      <c r="Z24">
        <v>7</v>
      </c>
      <c r="AA24" s="28">
        <v>14</v>
      </c>
    </row>
    <row r="25" spans="1:27" x14ac:dyDescent="0.25">
      <c r="A25" t="s">
        <v>147</v>
      </c>
      <c r="B25">
        <v>0.34</v>
      </c>
      <c r="C25" s="27">
        <v>18</v>
      </c>
      <c r="D25" s="13" t="s">
        <v>170</v>
      </c>
      <c r="E25" s="32">
        <v>8.4012955150930019E-2</v>
      </c>
      <c r="F25" s="28">
        <v>14</v>
      </c>
      <c r="G25" s="13" t="s">
        <v>7</v>
      </c>
      <c r="H25" s="32">
        <v>7.583033186460833E-2</v>
      </c>
      <c r="I25" s="27">
        <v>13</v>
      </c>
      <c r="J25" s="13" t="s">
        <v>174</v>
      </c>
      <c r="K25" s="33">
        <v>0.10716643599928463</v>
      </c>
      <c r="L25" s="28">
        <v>17</v>
      </c>
      <c r="M25" s="25" t="s">
        <v>113</v>
      </c>
      <c r="N25">
        <v>39.29</v>
      </c>
      <c r="O25" s="28">
        <v>11</v>
      </c>
      <c r="P25" s="42" t="s">
        <v>170</v>
      </c>
      <c r="Q25" s="46">
        <v>38.1</v>
      </c>
      <c r="R25" s="47">
        <v>5</v>
      </c>
      <c r="S25" s="26" t="s">
        <v>136</v>
      </c>
      <c r="T25" s="29">
        <v>47.37</v>
      </c>
      <c r="U25" s="28">
        <v>8</v>
      </c>
      <c r="V25" t="s">
        <v>13</v>
      </c>
      <c r="W25">
        <v>25</v>
      </c>
      <c r="X25" s="28">
        <v>20</v>
      </c>
      <c r="Y25" t="s">
        <v>14</v>
      </c>
      <c r="Z25">
        <v>7</v>
      </c>
      <c r="AA25" s="28">
        <v>14</v>
      </c>
    </row>
    <row r="26" spans="1:27" x14ac:dyDescent="0.25">
      <c r="A26" t="s">
        <v>98</v>
      </c>
      <c r="B26">
        <v>0.34</v>
      </c>
      <c r="C26" s="27">
        <v>18</v>
      </c>
      <c r="D26" s="13" t="s">
        <v>140</v>
      </c>
      <c r="E26" s="32">
        <v>7.8611474188019378E-2</v>
      </c>
      <c r="F26" s="28">
        <v>14</v>
      </c>
      <c r="G26" s="13" t="s">
        <v>147</v>
      </c>
      <c r="H26" s="32">
        <v>6.9674547521584779E-2</v>
      </c>
      <c r="I26" s="27">
        <v>14</v>
      </c>
      <c r="J26" s="13" t="s">
        <v>140</v>
      </c>
      <c r="K26" s="33">
        <v>9.9161910552696728E-2</v>
      </c>
      <c r="L26" s="28">
        <v>18</v>
      </c>
      <c r="M26" s="25" t="s">
        <v>129</v>
      </c>
      <c r="N26">
        <v>37.5</v>
      </c>
      <c r="O26" s="28">
        <v>12</v>
      </c>
      <c r="P26" s="26" t="s">
        <v>175</v>
      </c>
      <c r="Q26" s="29">
        <v>33.33</v>
      </c>
      <c r="R26" s="28">
        <v>6</v>
      </c>
      <c r="S26" s="26" t="s">
        <v>175</v>
      </c>
      <c r="T26" s="29">
        <v>47.37</v>
      </c>
      <c r="U26" s="28">
        <v>8</v>
      </c>
      <c r="V26" t="s">
        <v>113</v>
      </c>
      <c r="W26">
        <v>23</v>
      </c>
      <c r="X26" s="28">
        <v>21</v>
      </c>
      <c r="Y26" t="s">
        <v>148</v>
      </c>
      <c r="Z26">
        <v>7</v>
      </c>
      <c r="AA26" s="28">
        <v>14</v>
      </c>
    </row>
    <row r="27" spans="1:27" x14ac:dyDescent="0.25">
      <c r="A27" t="s">
        <v>146</v>
      </c>
      <c r="B27">
        <v>0.34</v>
      </c>
      <c r="C27" s="27">
        <v>18</v>
      </c>
      <c r="D27" s="13" t="s">
        <v>134</v>
      </c>
      <c r="E27" s="32">
        <v>7.8563075623552622E-2</v>
      </c>
      <c r="F27" s="28">
        <v>14</v>
      </c>
      <c r="G27" s="13" t="s">
        <v>91</v>
      </c>
      <c r="H27" s="32">
        <v>6.9388203481678581E-2</v>
      </c>
      <c r="I27" s="27">
        <v>14</v>
      </c>
      <c r="J27" s="13" t="s">
        <v>136</v>
      </c>
      <c r="K27" s="33">
        <v>9.3301818486470553E-2</v>
      </c>
      <c r="L27" s="28">
        <v>19</v>
      </c>
      <c r="M27" s="25" t="s">
        <v>7</v>
      </c>
      <c r="N27">
        <v>37.5</v>
      </c>
      <c r="O27" s="28">
        <v>12</v>
      </c>
      <c r="P27" s="26" t="s">
        <v>143</v>
      </c>
      <c r="Q27" s="29">
        <v>33.33</v>
      </c>
      <c r="R27" s="28">
        <v>6</v>
      </c>
      <c r="S27" s="26" t="s">
        <v>14</v>
      </c>
      <c r="T27" s="29">
        <v>47.37</v>
      </c>
      <c r="U27" s="28">
        <v>8</v>
      </c>
      <c r="V27" t="s">
        <v>151</v>
      </c>
      <c r="W27">
        <v>23</v>
      </c>
      <c r="X27" s="28">
        <v>21</v>
      </c>
      <c r="Y27" t="s">
        <v>173</v>
      </c>
      <c r="Z27">
        <v>7</v>
      </c>
      <c r="AA27" s="28">
        <v>14</v>
      </c>
    </row>
    <row r="28" spans="1:27" x14ac:dyDescent="0.25">
      <c r="A28" t="s">
        <v>174</v>
      </c>
      <c r="B28">
        <v>0.34</v>
      </c>
      <c r="C28" s="27">
        <v>18</v>
      </c>
      <c r="D28" s="13" t="s">
        <v>119</v>
      </c>
      <c r="E28" s="32">
        <v>7.0144584484220965E-2</v>
      </c>
      <c r="F28" s="28">
        <v>15</v>
      </c>
      <c r="G28" s="13" t="s">
        <v>140</v>
      </c>
      <c r="H28" s="32">
        <v>6.2228196081202176E-2</v>
      </c>
      <c r="I28" s="27">
        <v>15</v>
      </c>
      <c r="J28" s="13" t="s">
        <v>164</v>
      </c>
      <c r="K28" s="33">
        <v>9.0831173559502876E-2</v>
      </c>
      <c r="L28" s="28">
        <v>19</v>
      </c>
      <c r="M28" s="25" t="s">
        <v>131</v>
      </c>
      <c r="N28">
        <v>37.5</v>
      </c>
      <c r="O28" s="28">
        <v>12</v>
      </c>
      <c r="P28" s="26" t="s">
        <v>7</v>
      </c>
      <c r="Q28" s="29">
        <v>33.33</v>
      </c>
      <c r="R28" s="28">
        <v>6</v>
      </c>
      <c r="S28" s="26" t="s">
        <v>130</v>
      </c>
      <c r="T28" s="29">
        <v>47.37</v>
      </c>
      <c r="U28" s="28">
        <v>8</v>
      </c>
      <c r="V28" t="s">
        <v>179</v>
      </c>
      <c r="W28">
        <v>23</v>
      </c>
      <c r="X28" s="28">
        <v>21</v>
      </c>
      <c r="Y28" t="s">
        <v>154</v>
      </c>
      <c r="Z28">
        <v>5</v>
      </c>
      <c r="AA28" s="28">
        <v>15</v>
      </c>
    </row>
    <row r="29" spans="1:27" x14ac:dyDescent="0.25">
      <c r="A29" t="s">
        <v>139</v>
      </c>
      <c r="B29">
        <v>0.33</v>
      </c>
      <c r="C29" s="27">
        <v>19</v>
      </c>
      <c r="D29" s="13" t="s">
        <v>139</v>
      </c>
      <c r="E29" s="32">
        <v>6.8569909156459205E-2</v>
      </c>
      <c r="F29" s="28">
        <v>15</v>
      </c>
      <c r="G29" s="13" t="s">
        <v>170</v>
      </c>
      <c r="H29" s="32">
        <v>6.1307183892326741E-2</v>
      </c>
      <c r="I29" s="27">
        <v>15</v>
      </c>
      <c r="J29" s="13" t="s">
        <v>91</v>
      </c>
      <c r="K29" s="33">
        <v>8.7857579467898198E-2</v>
      </c>
      <c r="L29" s="28">
        <v>19</v>
      </c>
      <c r="M29" s="25" t="s">
        <v>16</v>
      </c>
      <c r="N29">
        <v>35.71</v>
      </c>
      <c r="O29" s="28">
        <v>13</v>
      </c>
      <c r="P29" s="26" t="s">
        <v>147</v>
      </c>
      <c r="Q29" s="29">
        <v>33.33</v>
      </c>
      <c r="R29" s="28">
        <v>6</v>
      </c>
      <c r="S29" s="26" t="s">
        <v>101</v>
      </c>
      <c r="T29" s="29">
        <v>47.37</v>
      </c>
      <c r="U29" s="28">
        <v>8</v>
      </c>
      <c r="V29" t="s">
        <v>141</v>
      </c>
      <c r="W29">
        <v>21</v>
      </c>
      <c r="X29" s="28">
        <v>22</v>
      </c>
      <c r="Y29" t="s">
        <v>177</v>
      </c>
      <c r="Z29">
        <v>5</v>
      </c>
      <c r="AA29" s="28">
        <v>15</v>
      </c>
    </row>
    <row r="30" spans="1:27" x14ac:dyDescent="0.25">
      <c r="A30" t="s">
        <v>131</v>
      </c>
      <c r="B30">
        <v>0.3</v>
      </c>
      <c r="C30" s="27">
        <v>20</v>
      </c>
      <c r="D30" s="13" t="s">
        <v>113</v>
      </c>
      <c r="E30" s="32">
        <v>6.66033187014059E-2</v>
      </c>
      <c r="F30" s="28">
        <v>15</v>
      </c>
      <c r="G30" s="13" t="s">
        <v>146</v>
      </c>
      <c r="H30" s="32">
        <v>6.0725429005291397E-2</v>
      </c>
      <c r="I30" s="27">
        <v>15</v>
      </c>
      <c r="J30" s="13" t="s">
        <v>139</v>
      </c>
      <c r="K30" s="33">
        <v>7.967035244157622E-2</v>
      </c>
      <c r="L30" s="28">
        <v>20</v>
      </c>
      <c r="M30" s="25" t="s">
        <v>148</v>
      </c>
      <c r="N30">
        <v>35.71</v>
      </c>
      <c r="O30" s="28">
        <v>13</v>
      </c>
      <c r="P30" s="26" t="s">
        <v>139</v>
      </c>
      <c r="Q30" s="29">
        <v>33.33</v>
      </c>
      <c r="R30" s="28">
        <v>6</v>
      </c>
      <c r="S30" s="26" t="s">
        <v>128</v>
      </c>
      <c r="T30" s="29">
        <v>43.75</v>
      </c>
      <c r="U30" s="28">
        <v>9</v>
      </c>
      <c r="V30" t="s">
        <v>111</v>
      </c>
      <c r="W30">
        <v>20</v>
      </c>
      <c r="X30" s="28">
        <v>23</v>
      </c>
      <c r="Y30" t="s">
        <v>107</v>
      </c>
      <c r="Z30">
        <v>4</v>
      </c>
      <c r="AA30" s="28">
        <v>16</v>
      </c>
    </row>
    <row r="31" spans="1:27" x14ac:dyDescent="0.25">
      <c r="A31" t="s">
        <v>101</v>
      </c>
      <c r="B31">
        <v>0.3</v>
      </c>
      <c r="C31" s="27">
        <v>20</v>
      </c>
      <c r="D31" s="13" t="s">
        <v>16</v>
      </c>
      <c r="E31" s="32">
        <v>6.1448029265799779E-2</v>
      </c>
      <c r="F31" s="28">
        <v>16</v>
      </c>
      <c r="G31" s="13" t="s">
        <v>139</v>
      </c>
      <c r="H31" s="32">
        <v>5.9623461948833209E-2</v>
      </c>
      <c r="I31" s="27">
        <v>15</v>
      </c>
      <c r="J31" s="13" t="s">
        <v>143</v>
      </c>
      <c r="K31" s="33">
        <v>7.2206248405399354E-2</v>
      </c>
      <c r="L31" s="28">
        <v>21</v>
      </c>
      <c r="M31" s="25" t="s">
        <v>119</v>
      </c>
      <c r="N31">
        <v>35.71</v>
      </c>
      <c r="O31" s="28">
        <v>13</v>
      </c>
      <c r="P31" s="26" t="s">
        <v>154</v>
      </c>
      <c r="Q31" s="29">
        <v>33.33</v>
      </c>
      <c r="R31" s="28">
        <v>6</v>
      </c>
      <c r="S31" s="26" t="s">
        <v>16</v>
      </c>
      <c r="T31" s="29">
        <v>43.75</v>
      </c>
      <c r="U31" s="28">
        <v>9</v>
      </c>
      <c r="V31" t="s">
        <v>158</v>
      </c>
      <c r="W31">
        <v>20</v>
      </c>
      <c r="X31" s="28">
        <v>23</v>
      </c>
      <c r="Y31" t="s">
        <v>146</v>
      </c>
      <c r="Z31">
        <v>4</v>
      </c>
      <c r="AA31" s="28">
        <v>16</v>
      </c>
    </row>
    <row r="32" spans="1:27" x14ac:dyDescent="0.25">
      <c r="A32" t="s">
        <v>140</v>
      </c>
      <c r="B32">
        <v>0.28999999999999998</v>
      </c>
      <c r="C32" s="27">
        <v>21</v>
      </c>
      <c r="D32" s="13" t="s">
        <v>146</v>
      </c>
      <c r="E32" s="32">
        <v>5.2097486285107776E-2</v>
      </c>
      <c r="F32" s="28">
        <v>17</v>
      </c>
      <c r="G32" s="13" t="s">
        <v>14</v>
      </c>
      <c r="H32" s="32">
        <v>5.388437167710728E-2</v>
      </c>
      <c r="I32" s="27">
        <v>16</v>
      </c>
      <c r="J32" s="13" t="s">
        <v>128</v>
      </c>
      <c r="K32" s="33">
        <v>6.7160704429119866E-2</v>
      </c>
      <c r="L32" s="28">
        <v>21</v>
      </c>
      <c r="M32" s="25" t="s">
        <v>151</v>
      </c>
      <c r="N32">
        <v>33.93</v>
      </c>
      <c r="O32" s="28">
        <v>14</v>
      </c>
      <c r="P32" s="26" t="s">
        <v>16</v>
      </c>
      <c r="Q32" s="29">
        <v>28.57</v>
      </c>
      <c r="R32" s="28">
        <v>7</v>
      </c>
      <c r="S32" s="26" t="s">
        <v>98</v>
      </c>
      <c r="T32" s="29">
        <v>43.75</v>
      </c>
      <c r="U32" s="28">
        <v>9</v>
      </c>
      <c r="V32" t="s">
        <v>162</v>
      </c>
      <c r="W32">
        <v>20</v>
      </c>
      <c r="X32" s="28">
        <v>23</v>
      </c>
      <c r="Y32" t="s">
        <v>161</v>
      </c>
      <c r="Z32">
        <v>4</v>
      </c>
      <c r="AA32" s="28">
        <v>16</v>
      </c>
    </row>
    <row r="33" spans="1:27" x14ac:dyDescent="0.25">
      <c r="A33" t="s">
        <v>134</v>
      </c>
      <c r="B33">
        <v>0.28999999999999998</v>
      </c>
      <c r="C33" s="27">
        <v>21</v>
      </c>
      <c r="D33" s="13" t="s">
        <v>147</v>
      </c>
      <c r="E33" s="32">
        <v>5.1040851369368624E-2</v>
      </c>
      <c r="F33" s="28">
        <v>17</v>
      </c>
      <c r="G33" s="13" t="s">
        <v>89</v>
      </c>
      <c r="H33" s="32">
        <v>5.1865882456115175E-2</v>
      </c>
      <c r="I33" s="27">
        <v>16</v>
      </c>
      <c r="J33" s="13" t="s">
        <v>134</v>
      </c>
      <c r="K33" s="33">
        <v>6.5155743053950818E-2</v>
      </c>
      <c r="L33" s="28">
        <v>21</v>
      </c>
      <c r="M33" s="25" t="s">
        <v>101</v>
      </c>
      <c r="N33">
        <v>33.93</v>
      </c>
      <c r="O33" s="28">
        <v>14</v>
      </c>
      <c r="P33" s="26" t="s">
        <v>148</v>
      </c>
      <c r="Q33" s="29">
        <v>28.57</v>
      </c>
      <c r="R33" s="28">
        <v>7</v>
      </c>
      <c r="S33" s="26" t="s">
        <v>154</v>
      </c>
      <c r="T33" s="29">
        <v>43.75</v>
      </c>
      <c r="U33" s="28">
        <v>9</v>
      </c>
      <c r="V33" t="s">
        <v>173</v>
      </c>
      <c r="W33">
        <v>18</v>
      </c>
      <c r="X33" s="28">
        <v>24</v>
      </c>
      <c r="Y33" t="s">
        <v>167</v>
      </c>
      <c r="Z33">
        <v>4</v>
      </c>
      <c r="AA33" s="28">
        <v>16</v>
      </c>
    </row>
    <row r="34" spans="1:27" x14ac:dyDescent="0.25">
      <c r="A34" t="s">
        <v>154</v>
      </c>
      <c r="B34">
        <v>0.28000000000000003</v>
      </c>
      <c r="C34" s="27">
        <v>22</v>
      </c>
      <c r="D34" s="13" t="s">
        <v>91</v>
      </c>
      <c r="E34" s="32">
        <v>4.9705540340464281E-2</v>
      </c>
      <c r="F34" s="28">
        <v>17</v>
      </c>
      <c r="G34" s="13" t="s">
        <v>101</v>
      </c>
      <c r="H34" s="32">
        <v>5.1073377334627058E-2</v>
      </c>
      <c r="I34" s="27">
        <v>16</v>
      </c>
      <c r="J34" s="13" t="s">
        <v>173</v>
      </c>
      <c r="K34" s="33">
        <v>5.9159941713478367E-2</v>
      </c>
      <c r="L34" s="28">
        <v>22</v>
      </c>
      <c r="M34" s="25" t="s">
        <v>140</v>
      </c>
      <c r="N34">
        <v>33.93</v>
      </c>
      <c r="O34" s="28">
        <v>14</v>
      </c>
      <c r="P34" s="26" t="s">
        <v>122</v>
      </c>
      <c r="Q34" s="29">
        <v>28.57</v>
      </c>
      <c r="R34" s="28">
        <v>7</v>
      </c>
      <c r="S34" s="26" t="s">
        <v>131</v>
      </c>
      <c r="T34" s="29">
        <v>42.11</v>
      </c>
      <c r="U34" s="28">
        <v>10</v>
      </c>
      <c r="V34" t="s">
        <v>161</v>
      </c>
      <c r="W34">
        <v>17</v>
      </c>
      <c r="X34" s="28">
        <v>25</v>
      </c>
      <c r="Y34" t="s">
        <v>170</v>
      </c>
      <c r="Z34">
        <v>4</v>
      </c>
      <c r="AA34" s="28">
        <v>16</v>
      </c>
    </row>
    <row r="35" spans="1:27" x14ac:dyDescent="0.25">
      <c r="A35" t="s">
        <v>107</v>
      </c>
      <c r="B35">
        <v>0.27</v>
      </c>
      <c r="C35" s="27">
        <v>23</v>
      </c>
      <c r="D35" s="13" t="s">
        <v>130</v>
      </c>
      <c r="E35" s="32">
        <v>4.7507634382708719E-2</v>
      </c>
      <c r="F35" s="28">
        <v>17</v>
      </c>
      <c r="G35" s="13" t="s">
        <v>122</v>
      </c>
      <c r="H35" s="32">
        <v>5.0177579465181102E-2</v>
      </c>
      <c r="I35" s="27">
        <v>16</v>
      </c>
      <c r="J35" s="13" t="s">
        <v>147</v>
      </c>
      <c r="K35" s="33">
        <v>5.6935524316833269E-2</v>
      </c>
      <c r="L35" s="28">
        <v>22</v>
      </c>
      <c r="M35" s="25" t="s">
        <v>111</v>
      </c>
      <c r="N35">
        <v>33.93</v>
      </c>
      <c r="O35" s="28">
        <v>14</v>
      </c>
      <c r="P35" s="26" t="s">
        <v>140</v>
      </c>
      <c r="Q35" s="29">
        <v>28.57</v>
      </c>
      <c r="R35" s="28">
        <v>7</v>
      </c>
      <c r="S35" s="26" t="s">
        <v>113</v>
      </c>
      <c r="T35" s="29">
        <v>37.5</v>
      </c>
      <c r="U35" s="28">
        <v>11</v>
      </c>
      <c r="V35" t="s">
        <v>154</v>
      </c>
      <c r="W35">
        <v>14</v>
      </c>
      <c r="X35" s="28">
        <v>26</v>
      </c>
      <c r="Y35" t="s">
        <v>174</v>
      </c>
      <c r="Z35">
        <v>4</v>
      </c>
      <c r="AA35" s="28">
        <v>16</v>
      </c>
    </row>
    <row r="36" spans="1:27" x14ac:dyDescent="0.25">
      <c r="A36" t="s">
        <v>113</v>
      </c>
      <c r="B36">
        <v>0.26</v>
      </c>
      <c r="C36" s="27">
        <v>24</v>
      </c>
      <c r="D36" s="13" t="s">
        <v>151</v>
      </c>
      <c r="E36" s="32">
        <v>3.2297555788696961E-2</v>
      </c>
      <c r="F36" s="28">
        <v>18</v>
      </c>
      <c r="G36" s="13" t="s">
        <v>16</v>
      </c>
      <c r="H36" s="32">
        <v>3.743498068854105E-2</v>
      </c>
      <c r="I36" s="27">
        <v>17</v>
      </c>
      <c r="J36" s="13" t="s">
        <v>130</v>
      </c>
      <c r="K36" s="33">
        <v>4.5183854076995461E-2</v>
      </c>
      <c r="L36" s="28">
        <v>23</v>
      </c>
      <c r="M36" s="25" t="s">
        <v>147</v>
      </c>
      <c r="N36">
        <v>32.14</v>
      </c>
      <c r="O36" s="28">
        <v>15</v>
      </c>
      <c r="P36" s="26" t="s">
        <v>91</v>
      </c>
      <c r="Q36" s="29">
        <v>28.57</v>
      </c>
      <c r="R36" s="28">
        <v>7</v>
      </c>
      <c r="S36" s="26" t="s">
        <v>177</v>
      </c>
      <c r="T36" s="29">
        <v>37.5</v>
      </c>
      <c r="U36" s="28">
        <v>11</v>
      </c>
      <c r="V36" t="s">
        <v>82</v>
      </c>
      <c r="W36">
        <v>13</v>
      </c>
      <c r="X36" s="28">
        <v>27</v>
      </c>
      <c r="Y36" t="s">
        <v>98</v>
      </c>
      <c r="Z36">
        <v>2</v>
      </c>
      <c r="AA36" s="28">
        <v>17</v>
      </c>
    </row>
    <row r="37" spans="1:27" x14ac:dyDescent="0.25">
      <c r="A37" t="s">
        <v>111</v>
      </c>
      <c r="B37">
        <v>0.25</v>
      </c>
      <c r="C37" s="27">
        <v>25</v>
      </c>
      <c r="D37" s="13" t="s">
        <v>14</v>
      </c>
      <c r="E37" s="32">
        <v>2.9647629040480968E-2</v>
      </c>
      <c r="F37" s="28">
        <v>18</v>
      </c>
      <c r="G37" s="13" t="s">
        <v>119</v>
      </c>
      <c r="H37" s="32">
        <v>3.0679093632189749E-2</v>
      </c>
      <c r="I37" s="27">
        <v>18</v>
      </c>
      <c r="J37" s="13" t="s">
        <v>113</v>
      </c>
      <c r="K37" s="33">
        <v>4.054113681128773E-2</v>
      </c>
      <c r="L37" s="28">
        <v>24</v>
      </c>
      <c r="M37" s="25" t="s">
        <v>98</v>
      </c>
      <c r="N37">
        <v>32.14</v>
      </c>
      <c r="O37" s="28">
        <v>15</v>
      </c>
      <c r="P37" s="26" t="s">
        <v>177</v>
      </c>
      <c r="Q37" s="29">
        <v>28.57</v>
      </c>
      <c r="R37" s="28">
        <v>7</v>
      </c>
      <c r="S37" s="26" t="s">
        <v>151</v>
      </c>
      <c r="T37" s="29">
        <v>36.840000000000003</v>
      </c>
      <c r="U37" s="28">
        <v>12</v>
      </c>
      <c r="V37" t="s">
        <v>107</v>
      </c>
      <c r="W37">
        <v>13</v>
      </c>
      <c r="X37" s="28">
        <v>27</v>
      </c>
      <c r="Y37" t="s">
        <v>101</v>
      </c>
      <c r="Z37">
        <v>2</v>
      </c>
      <c r="AA37" s="28">
        <v>17</v>
      </c>
    </row>
    <row r="38" spans="1:27" x14ac:dyDescent="0.25">
      <c r="A38" t="s">
        <v>91</v>
      </c>
      <c r="B38">
        <v>0.25</v>
      </c>
      <c r="C38" s="27">
        <v>25</v>
      </c>
      <c r="D38" s="13" t="s">
        <v>131</v>
      </c>
      <c r="E38" s="32">
        <v>2.9464896134646697E-2</v>
      </c>
      <c r="F38" s="28">
        <v>18</v>
      </c>
      <c r="G38" s="13" t="s">
        <v>127</v>
      </c>
      <c r="H38" s="32">
        <v>2.6009193130222791E-2</v>
      </c>
      <c r="I38" s="27">
        <v>18</v>
      </c>
      <c r="J38" s="13" t="s">
        <v>127</v>
      </c>
      <c r="K38" s="33">
        <v>3.8230312371615456E-2</v>
      </c>
      <c r="L38" s="28">
        <v>24</v>
      </c>
      <c r="M38" s="25" t="s">
        <v>127</v>
      </c>
      <c r="N38">
        <v>32.14</v>
      </c>
      <c r="O38" s="28">
        <v>15</v>
      </c>
      <c r="P38" s="26" t="s">
        <v>129</v>
      </c>
      <c r="Q38" s="29">
        <v>23.81</v>
      </c>
      <c r="R38" s="28">
        <v>8</v>
      </c>
      <c r="S38" s="26" t="s">
        <v>104</v>
      </c>
      <c r="T38" s="29">
        <v>31.58</v>
      </c>
      <c r="U38" s="28">
        <v>13</v>
      </c>
      <c r="V38" t="s">
        <v>174</v>
      </c>
      <c r="W38">
        <v>13</v>
      </c>
      <c r="X38" s="28">
        <v>27</v>
      </c>
      <c r="Y38" t="s">
        <v>147</v>
      </c>
      <c r="Z38">
        <v>2</v>
      </c>
      <c r="AA38" s="28">
        <v>17</v>
      </c>
    </row>
    <row r="39" spans="1:27" x14ac:dyDescent="0.25">
      <c r="A39" t="s">
        <v>167</v>
      </c>
      <c r="B39">
        <v>0.24</v>
      </c>
      <c r="C39" s="27">
        <v>26</v>
      </c>
      <c r="D39" s="13" t="s">
        <v>127</v>
      </c>
      <c r="E39" s="32">
        <v>1.8721874220949092E-2</v>
      </c>
      <c r="F39" s="28">
        <v>19</v>
      </c>
      <c r="G39" s="13" t="s">
        <v>154</v>
      </c>
      <c r="H39" s="32">
        <v>2.5754334102266178E-2</v>
      </c>
      <c r="I39" s="27">
        <v>18</v>
      </c>
      <c r="J39" s="13" t="s">
        <v>177</v>
      </c>
      <c r="K39" s="33">
        <v>3.8024179875611075E-2</v>
      </c>
      <c r="L39" s="28">
        <v>24</v>
      </c>
      <c r="M39" s="25" t="s">
        <v>164</v>
      </c>
      <c r="N39">
        <v>30.36</v>
      </c>
      <c r="O39" s="28">
        <v>16</v>
      </c>
      <c r="P39" s="26" t="s">
        <v>111</v>
      </c>
      <c r="Q39" s="29">
        <v>23.81</v>
      </c>
      <c r="R39" s="28">
        <v>8</v>
      </c>
      <c r="S39" s="26" t="s">
        <v>122</v>
      </c>
      <c r="T39" s="29">
        <v>31.58</v>
      </c>
      <c r="U39" s="28">
        <v>13</v>
      </c>
      <c r="V39" t="s">
        <v>101</v>
      </c>
      <c r="W39">
        <v>11</v>
      </c>
      <c r="X39" s="28">
        <v>28</v>
      </c>
      <c r="Y39" t="s">
        <v>151</v>
      </c>
      <c r="Z39">
        <v>2</v>
      </c>
      <c r="AA39" s="28">
        <v>17</v>
      </c>
    </row>
    <row r="40" spans="1:27" x14ac:dyDescent="0.25">
      <c r="A40" t="s">
        <v>160</v>
      </c>
      <c r="B40">
        <v>0.23</v>
      </c>
      <c r="C40" s="27">
        <v>27</v>
      </c>
      <c r="D40" s="13" t="s">
        <v>154</v>
      </c>
      <c r="E40" s="32">
        <v>3.9284202776594217E-3</v>
      </c>
      <c r="F40" s="28">
        <v>20</v>
      </c>
      <c r="G40" s="13" t="s">
        <v>160</v>
      </c>
      <c r="H40" s="32">
        <v>1.7933782804080072E-2</v>
      </c>
      <c r="I40" s="27">
        <v>19</v>
      </c>
      <c r="J40" s="13" t="s">
        <v>131</v>
      </c>
      <c r="K40" s="33">
        <v>2.7660332412475036E-2</v>
      </c>
      <c r="L40" s="28">
        <v>25</v>
      </c>
      <c r="M40" s="25" t="s">
        <v>177</v>
      </c>
      <c r="N40">
        <v>30.36</v>
      </c>
      <c r="O40" s="28">
        <v>16</v>
      </c>
      <c r="P40" s="26" t="s">
        <v>160</v>
      </c>
      <c r="Q40" s="29">
        <v>23.81</v>
      </c>
      <c r="R40" s="28">
        <v>8</v>
      </c>
      <c r="S40" s="26" t="s">
        <v>164</v>
      </c>
      <c r="T40" s="29">
        <v>31.58</v>
      </c>
      <c r="U40" s="28">
        <v>13</v>
      </c>
      <c r="V40" t="s">
        <v>167</v>
      </c>
      <c r="W40">
        <v>10</v>
      </c>
      <c r="X40" s="28">
        <v>29</v>
      </c>
      <c r="Y40" t="s">
        <v>162</v>
      </c>
      <c r="Z40">
        <v>2</v>
      </c>
      <c r="AA40" s="28">
        <v>17</v>
      </c>
    </row>
    <row r="41" spans="1:27" x14ac:dyDescent="0.25">
      <c r="A41" t="s">
        <v>13</v>
      </c>
      <c r="B41">
        <v>0.23</v>
      </c>
      <c r="C41" s="27">
        <v>27</v>
      </c>
      <c r="D41" s="13" t="s">
        <v>148</v>
      </c>
      <c r="E41" s="32">
        <v>-7.4161305852483905E-3</v>
      </c>
      <c r="F41" s="28">
        <v>21</v>
      </c>
      <c r="G41" s="13" t="s">
        <v>98</v>
      </c>
      <c r="H41" s="32">
        <v>1.095678753245582E-2</v>
      </c>
      <c r="I41" s="27">
        <v>20</v>
      </c>
      <c r="J41" s="13" t="s">
        <v>14</v>
      </c>
      <c r="K41" s="33">
        <v>2.4468929462552736E-2</v>
      </c>
      <c r="L41" s="28">
        <v>26</v>
      </c>
      <c r="M41" s="25" t="s">
        <v>104</v>
      </c>
      <c r="N41">
        <v>26.79</v>
      </c>
      <c r="O41" s="28">
        <v>17</v>
      </c>
      <c r="P41" s="26" t="s">
        <v>119</v>
      </c>
      <c r="Q41" s="29">
        <v>23.81</v>
      </c>
      <c r="R41" s="28">
        <v>8</v>
      </c>
      <c r="S41" s="26" t="s">
        <v>147</v>
      </c>
      <c r="T41" s="29">
        <v>31.58</v>
      </c>
      <c r="U41" s="28">
        <v>13</v>
      </c>
      <c r="V41" t="s">
        <v>164</v>
      </c>
      <c r="W41">
        <v>6</v>
      </c>
      <c r="X41" s="28">
        <v>30</v>
      </c>
      <c r="Y41" t="s">
        <v>164</v>
      </c>
      <c r="Z41">
        <v>2</v>
      </c>
      <c r="AA41" s="28">
        <v>17</v>
      </c>
    </row>
    <row r="42" spans="1:27" x14ac:dyDescent="0.25">
      <c r="A42" t="s">
        <v>179</v>
      </c>
      <c r="B42">
        <v>0.22</v>
      </c>
      <c r="C42" s="27">
        <v>28</v>
      </c>
      <c r="D42" s="13" t="s">
        <v>122</v>
      </c>
      <c r="E42" s="32">
        <v>-1.051514834803176E-2</v>
      </c>
      <c r="F42" s="28">
        <v>21</v>
      </c>
      <c r="G42" s="13" t="s">
        <v>111</v>
      </c>
      <c r="H42" s="32">
        <v>8.6620001651462036E-3</v>
      </c>
      <c r="I42" s="27">
        <v>20</v>
      </c>
      <c r="J42" s="13" t="s">
        <v>151</v>
      </c>
      <c r="K42" s="33">
        <v>1.9463957324544173E-2</v>
      </c>
      <c r="L42" s="28">
        <v>26</v>
      </c>
      <c r="M42" s="25" t="s">
        <v>122</v>
      </c>
      <c r="N42">
        <v>25</v>
      </c>
      <c r="O42" s="28">
        <v>18</v>
      </c>
      <c r="P42" s="26" t="s">
        <v>104</v>
      </c>
      <c r="Q42" s="29">
        <v>19.05</v>
      </c>
      <c r="R42" s="28">
        <v>9</v>
      </c>
      <c r="S42" s="26" t="s">
        <v>167</v>
      </c>
      <c r="T42" s="29">
        <v>31.58</v>
      </c>
      <c r="U42" s="28">
        <v>13</v>
      </c>
      <c r="V42" t="s">
        <v>177</v>
      </c>
      <c r="W42">
        <v>6</v>
      </c>
      <c r="X42" s="28">
        <v>30</v>
      </c>
      <c r="Y42" t="s">
        <v>104</v>
      </c>
      <c r="Z42">
        <v>1</v>
      </c>
      <c r="AA42" s="28">
        <v>18</v>
      </c>
    </row>
    <row r="43" spans="1:27" x14ac:dyDescent="0.25">
      <c r="A43" t="s">
        <v>127</v>
      </c>
      <c r="B43">
        <v>0.21</v>
      </c>
      <c r="C43" s="27">
        <v>29</v>
      </c>
      <c r="D43" s="13" t="s">
        <v>160</v>
      </c>
      <c r="E43" s="32">
        <v>-1.4074809421435021E-2</v>
      </c>
      <c r="F43" s="28">
        <v>21</v>
      </c>
      <c r="G43" s="13" t="s">
        <v>148</v>
      </c>
      <c r="H43" s="32">
        <v>6.3050623995406386E-3</v>
      </c>
      <c r="I43" s="27">
        <v>20</v>
      </c>
      <c r="J43" s="13" t="s">
        <v>148</v>
      </c>
      <c r="K43" s="33">
        <v>5.5517428190970542E-3</v>
      </c>
      <c r="L43" s="28">
        <v>27</v>
      </c>
      <c r="M43" s="25" t="s">
        <v>91</v>
      </c>
      <c r="N43">
        <v>23.21</v>
      </c>
      <c r="O43" s="28">
        <v>19</v>
      </c>
      <c r="P43" s="26" t="s">
        <v>98</v>
      </c>
      <c r="Q43" s="29">
        <v>19.05</v>
      </c>
      <c r="R43" s="28">
        <v>9</v>
      </c>
      <c r="S43" s="26" t="s">
        <v>127</v>
      </c>
      <c r="T43" s="29">
        <v>31.58</v>
      </c>
      <c r="U43" s="28">
        <v>13</v>
      </c>
      <c r="V43" t="s">
        <v>98</v>
      </c>
      <c r="W43">
        <v>5</v>
      </c>
      <c r="X43" s="28">
        <v>31</v>
      </c>
      <c r="Y43" t="s">
        <v>119</v>
      </c>
      <c r="Z43">
        <v>1</v>
      </c>
      <c r="AA43" s="28">
        <v>18</v>
      </c>
    </row>
    <row r="44" spans="1:27" x14ac:dyDescent="0.25">
      <c r="A44" t="s">
        <v>177</v>
      </c>
      <c r="B44">
        <v>0.21</v>
      </c>
      <c r="C44" s="27">
        <v>29</v>
      </c>
      <c r="D44" s="13" t="s">
        <v>177</v>
      </c>
      <c r="E44" s="32">
        <v>-1.9489526199171273E-2</v>
      </c>
      <c r="F44" s="28">
        <v>22</v>
      </c>
      <c r="G44" s="13" t="s">
        <v>177</v>
      </c>
      <c r="H44" s="32">
        <v>-3.5134809152795744E-2</v>
      </c>
      <c r="I44" s="27">
        <v>21</v>
      </c>
      <c r="J44" s="13" t="s">
        <v>154</v>
      </c>
      <c r="K44" s="33">
        <v>5.3000191350401592E-3</v>
      </c>
      <c r="L44" s="28">
        <v>27</v>
      </c>
      <c r="M44" s="25" t="s">
        <v>174</v>
      </c>
      <c r="N44">
        <v>21.43</v>
      </c>
      <c r="O44" s="28">
        <v>20</v>
      </c>
      <c r="P44" s="26" t="s">
        <v>174</v>
      </c>
      <c r="Q44" s="29">
        <v>19.05</v>
      </c>
      <c r="R44" s="28">
        <v>9</v>
      </c>
      <c r="S44" s="26" t="s">
        <v>173</v>
      </c>
      <c r="T44" s="29">
        <v>31.25</v>
      </c>
      <c r="U44" s="28">
        <v>14</v>
      </c>
      <c r="V44" t="s">
        <v>122</v>
      </c>
      <c r="W44">
        <v>4</v>
      </c>
      <c r="X44" s="28">
        <v>32</v>
      </c>
      <c r="Y44" t="s">
        <v>122</v>
      </c>
      <c r="Z44">
        <v>1</v>
      </c>
      <c r="AA44" s="28">
        <v>18</v>
      </c>
    </row>
    <row r="45" spans="1:27" x14ac:dyDescent="0.25">
      <c r="A45" t="s">
        <v>180</v>
      </c>
      <c r="B45">
        <v>0.2</v>
      </c>
      <c r="C45" s="27">
        <v>30</v>
      </c>
      <c r="D45" s="13" t="s">
        <v>174</v>
      </c>
      <c r="E45" s="32">
        <v>-3.0899117423761138E-2</v>
      </c>
      <c r="F45" s="28">
        <v>23</v>
      </c>
      <c r="G45" s="13" t="s">
        <v>167</v>
      </c>
      <c r="H45" s="32">
        <v>-3.8577560346013152E-2</v>
      </c>
      <c r="I45" s="27">
        <v>21</v>
      </c>
      <c r="J45" s="13" t="s">
        <v>122</v>
      </c>
      <c r="K45" s="33">
        <v>-5.5257410915395058E-3</v>
      </c>
      <c r="L45" s="28">
        <v>28</v>
      </c>
      <c r="M45" s="25" t="s">
        <v>160</v>
      </c>
      <c r="N45">
        <v>19.64</v>
      </c>
      <c r="O45" s="28">
        <v>21</v>
      </c>
      <c r="P45" s="26" t="s">
        <v>101</v>
      </c>
      <c r="Q45" s="29">
        <v>19.05</v>
      </c>
      <c r="R45" s="28">
        <v>9</v>
      </c>
      <c r="S45" s="26" t="s">
        <v>174</v>
      </c>
      <c r="T45" s="29">
        <v>31.25</v>
      </c>
      <c r="U45" s="28">
        <v>14</v>
      </c>
      <c r="V45" t="s">
        <v>89</v>
      </c>
      <c r="W45">
        <v>2</v>
      </c>
      <c r="X45" s="28">
        <v>33</v>
      </c>
      <c r="Y45" t="s">
        <v>13</v>
      </c>
      <c r="Z45">
        <v>1</v>
      </c>
      <c r="AA45" s="28">
        <v>18</v>
      </c>
    </row>
    <row r="46" spans="1:27" x14ac:dyDescent="0.25">
      <c r="A46" t="s">
        <v>170</v>
      </c>
      <c r="B46">
        <v>0.2</v>
      </c>
      <c r="C46" s="27">
        <v>30</v>
      </c>
      <c r="D46" s="13" t="s">
        <v>167</v>
      </c>
      <c r="E46" s="32">
        <v>-4.8998519438525005E-2</v>
      </c>
      <c r="F46" s="28">
        <v>24</v>
      </c>
      <c r="G46" s="13" t="s">
        <v>82</v>
      </c>
      <c r="H46" s="32">
        <v>-6.3187991384085929E-2</v>
      </c>
      <c r="I46" s="27">
        <v>22</v>
      </c>
      <c r="J46" s="13" t="s">
        <v>160</v>
      </c>
      <c r="K46" s="33">
        <v>-1.8414211690705548E-2</v>
      </c>
      <c r="L46" s="28">
        <v>29</v>
      </c>
      <c r="M46" s="25" t="s">
        <v>167</v>
      </c>
      <c r="N46">
        <v>17.86</v>
      </c>
      <c r="O46" s="28">
        <v>22</v>
      </c>
      <c r="P46" s="26" t="s">
        <v>167</v>
      </c>
      <c r="Q46" s="29">
        <v>14.29</v>
      </c>
      <c r="R46" s="28">
        <v>10</v>
      </c>
      <c r="S46" s="26" t="s">
        <v>82</v>
      </c>
      <c r="T46" s="29">
        <v>26.32</v>
      </c>
      <c r="U46" s="28">
        <v>15</v>
      </c>
      <c r="V46" t="s">
        <v>91</v>
      </c>
      <c r="W46">
        <v>2</v>
      </c>
      <c r="X46" s="28">
        <v>33</v>
      </c>
      <c r="Y46" t="s">
        <v>82</v>
      </c>
      <c r="Z46">
        <v>0</v>
      </c>
      <c r="AA46" s="28">
        <v>19</v>
      </c>
    </row>
    <row r="47" spans="1:27" x14ac:dyDescent="0.25">
      <c r="A47" t="s">
        <v>119</v>
      </c>
      <c r="B47">
        <v>0.2</v>
      </c>
      <c r="C47" s="27">
        <v>30</v>
      </c>
      <c r="D47" s="13" t="s">
        <v>173</v>
      </c>
      <c r="E47" s="32">
        <v>-4.9060913529569185E-2</v>
      </c>
      <c r="F47" s="28">
        <v>24</v>
      </c>
      <c r="G47" s="13" t="s">
        <v>174</v>
      </c>
      <c r="H47" s="32">
        <v>-9.7851046695569252E-2</v>
      </c>
      <c r="I47" s="27">
        <v>23</v>
      </c>
      <c r="J47" s="13" t="s">
        <v>167</v>
      </c>
      <c r="K47" s="33">
        <v>-3.6582604980149112E-2</v>
      </c>
      <c r="L47" s="28">
        <v>30</v>
      </c>
      <c r="M47" s="25" t="s">
        <v>173</v>
      </c>
      <c r="N47">
        <v>16.07</v>
      </c>
      <c r="O47" s="28">
        <v>23</v>
      </c>
      <c r="P47" s="26" t="s">
        <v>173</v>
      </c>
      <c r="Q47" s="29">
        <v>9.52</v>
      </c>
      <c r="R47" s="28">
        <v>11</v>
      </c>
      <c r="S47" s="26" t="s">
        <v>91</v>
      </c>
      <c r="T47" s="29">
        <v>21.05</v>
      </c>
      <c r="U47" s="28">
        <v>16</v>
      </c>
      <c r="V47" t="s">
        <v>104</v>
      </c>
      <c r="W47">
        <v>1</v>
      </c>
      <c r="X47" s="28">
        <v>34</v>
      </c>
      <c r="Y47" t="s">
        <v>89</v>
      </c>
      <c r="Z47">
        <v>0</v>
      </c>
      <c r="AA47" s="28">
        <v>19</v>
      </c>
    </row>
    <row r="48" spans="1:27" x14ac:dyDescent="0.25">
      <c r="A48" t="s">
        <v>89</v>
      </c>
      <c r="B48">
        <v>0.14000000000000001</v>
      </c>
      <c r="C48" s="27">
        <v>31</v>
      </c>
      <c r="D48" s="13" t="s">
        <v>82</v>
      </c>
      <c r="E48" s="32">
        <v>-5.2862000926425359E-2</v>
      </c>
      <c r="F48" s="28">
        <v>24</v>
      </c>
      <c r="G48" s="13" t="s">
        <v>173</v>
      </c>
      <c r="H48" s="32">
        <v>-0.10911861188820775</v>
      </c>
      <c r="I48" s="27">
        <v>24</v>
      </c>
      <c r="J48" s="13" t="s">
        <v>82</v>
      </c>
      <c r="K48" s="33">
        <v>-4.2146694110507664E-2</v>
      </c>
      <c r="L48" s="28">
        <v>30</v>
      </c>
      <c r="M48" s="25" t="s">
        <v>82</v>
      </c>
      <c r="N48">
        <v>16.07</v>
      </c>
      <c r="O48" s="28">
        <v>23</v>
      </c>
      <c r="P48" s="26" t="s">
        <v>82</v>
      </c>
      <c r="Q48" s="29">
        <v>9.52</v>
      </c>
      <c r="R48" s="28">
        <v>11</v>
      </c>
      <c r="S48" s="26" t="s">
        <v>160</v>
      </c>
      <c r="T48" s="29">
        <v>21.05</v>
      </c>
      <c r="U48" s="28">
        <v>16</v>
      </c>
      <c r="V48" t="s">
        <v>119</v>
      </c>
      <c r="W48">
        <v>1</v>
      </c>
      <c r="X48" s="28">
        <v>34</v>
      </c>
      <c r="Y48" t="s">
        <v>91</v>
      </c>
      <c r="Z48">
        <v>0</v>
      </c>
      <c r="AA48" s="28">
        <v>19</v>
      </c>
    </row>
    <row r="49" spans="1:30" x14ac:dyDescent="0.25">
      <c r="A49" s="3"/>
      <c r="B49" s="2"/>
      <c r="C49" s="4"/>
      <c r="D49" s="3"/>
      <c r="E49" s="2"/>
      <c r="F49" s="4"/>
      <c r="G49" s="3"/>
      <c r="H49" s="2"/>
      <c r="I49" s="4"/>
      <c r="J49" s="3"/>
      <c r="K49" s="2"/>
      <c r="L49" s="4"/>
      <c r="M49" s="3"/>
      <c r="N49" s="2"/>
      <c r="O49" s="4"/>
      <c r="P49" s="3"/>
      <c r="Q49" s="2"/>
      <c r="R49" s="4"/>
      <c r="S49" s="3"/>
      <c r="T49" s="2"/>
      <c r="U49" s="4"/>
      <c r="V49" s="3"/>
      <c r="W49" s="2"/>
      <c r="X49" s="4"/>
      <c r="Y49" s="3"/>
      <c r="Z49" s="2"/>
      <c r="AA49" s="4"/>
    </row>
    <row r="50" spans="1:30" ht="15.75" thickBot="1" x14ac:dyDescent="0.3">
      <c r="A50" s="197" t="s">
        <v>20</v>
      </c>
      <c r="B50" s="198"/>
      <c r="C50" s="199"/>
      <c r="D50" s="197" t="s">
        <v>20</v>
      </c>
      <c r="E50" s="198"/>
      <c r="F50" s="199"/>
      <c r="G50" s="197" t="s">
        <v>20</v>
      </c>
      <c r="H50" s="198"/>
      <c r="I50" s="199"/>
      <c r="J50" s="197" t="s">
        <v>20</v>
      </c>
      <c r="K50" s="198"/>
      <c r="L50" s="199"/>
      <c r="M50" s="197" t="s">
        <v>20</v>
      </c>
      <c r="N50" s="198"/>
      <c r="O50" s="199"/>
      <c r="P50" s="197" t="s">
        <v>20</v>
      </c>
      <c r="Q50" s="198"/>
      <c r="R50" s="199"/>
      <c r="S50" s="197" t="s">
        <v>20</v>
      </c>
      <c r="T50" s="198"/>
      <c r="U50" s="199"/>
      <c r="V50" s="197" t="s">
        <v>20</v>
      </c>
      <c r="W50" s="198"/>
      <c r="X50" s="199"/>
      <c r="Y50" s="197" t="s">
        <v>20</v>
      </c>
      <c r="Z50" s="198"/>
      <c r="AA50" s="199"/>
    </row>
    <row r="51" spans="1:30" ht="15.75" thickBot="1" x14ac:dyDescent="0.3"/>
    <row r="52" spans="1:30" ht="15.75" thickBot="1" x14ac:dyDescent="0.3">
      <c r="Q52" s="224" t="s">
        <v>417</v>
      </c>
      <c r="R52" s="225"/>
    </row>
    <row r="53" spans="1:30" x14ac:dyDescent="0.25">
      <c r="A53" s="221" t="s">
        <v>416</v>
      </c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3"/>
      <c r="M53" s="228" t="s">
        <v>418</v>
      </c>
      <c r="N53" s="229"/>
      <c r="O53" s="230"/>
      <c r="Q53" s="226"/>
      <c r="R53" s="227"/>
    </row>
    <row r="54" spans="1:30" ht="60" x14ac:dyDescent="0.25">
      <c r="A54" s="5" t="s">
        <v>30</v>
      </c>
      <c r="B54" s="6" t="s">
        <v>29</v>
      </c>
      <c r="C54" s="6" t="s">
        <v>31</v>
      </c>
      <c r="D54" s="6" t="s">
        <v>32</v>
      </c>
      <c r="E54" s="6" t="s">
        <v>33</v>
      </c>
      <c r="F54" s="6" t="s">
        <v>34</v>
      </c>
      <c r="G54" s="6" t="s">
        <v>35</v>
      </c>
      <c r="H54" s="6" t="s">
        <v>36</v>
      </c>
      <c r="I54" s="6" t="s">
        <v>271</v>
      </c>
      <c r="J54" s="6" t="s">
        <v>37</v>
      </c>
      <c r="K54" s="73" t="s">
        <v>38</v>
      </c>
      <c r="L54" s="74" t="s">
        <v>39</v>
      </c>
      <c r="M54" s="5" t="s">
        <v>30</v>
      </c>
      <c r="N54" s="70" t="s">
        <v>419</v>
      </c>
      <c r="O54" s="66" t="s">
        <v>420</v>
      </c>
      <c r="Q54" s="65" t="s">
        <v>21</v>
      </c>
      <c r="R54" s="66" t="s">
        <v>273</v>
      </c>
      <c r="S54" s="84"/>
      <c r="T54" s="63" t="s">
        <v>21</v>
      </c>
      <c r="U54" s="49" t="s">
        <v>407</v>
      </c>
      <c r="V54" s="49" t="s">
        <v>408</v>
      </c>
      <c r="W54" s="49" t="s">
        <v>409</v>
      </c>
      <c r="X54" s="49" t="s">
        <v>410</v>
      </c>
      <c r="Y54" s="49" t="s">
        <v>411</v>
      </c>
      <c r="Z54" s="49" t="s">
        <v>412</v>
      </c>
      <c r="AA54" s="49" t="s">
        <v>413</v>
      </c>
      <c r="AB54" s="49" t="s">
        <v>414</v>
      </c>
      <c r="AC54" s="49" t="s">
        <v>415</v>
      </c>
      <c r="AD54" s="49" t="s">
        <v>406</v>
      </c>
    </row>
    <row r="55" spans="1:30" x14ac:dyDescent="0.25">
      <c r="A55" s="77" t="s">
        <v>3</v>
      </c>
      <c r="B55" s="38">
        <v>3</v>
      </c>
      <c r="C55" s="2">
        <v>1</v>
      </c>
      <c r="D55" s="2">
        <v>1</v>
      </c>
      <c r="E55" s="2">
        <v>7</v>
      </c>
      <c r="F55" s="38">
        <v>5</v>
      </c>
      <c r="G55" s="2">
        <v>5</v>
      </c>
      <c r="H55" s="2">
        <v>4</v>
      </c>
      <c r="I55" s="2">
        <v>15</v>
      </c>
      <c r="J55" s="2">
        <v>10</v>
      </c>
      <c r="K55" s="2">
        <f t="shared" ref="K55:K100" si="0">SUM(B55:J55)</f>
        <v>51</v>
      </c>
      <c r="L55" s="79">
        <v>1</v>
      </c>
      <c r="M55" s="96" t="s">
        <v>3</v>
      </c>
      <c r="N55" s="20">
        <v>26</v>
      </c>
      <c r="O55" s="109">
        <v>1</v>
      </c>
      <c r="Q55" s="103" t="s">
        <v>3</v>
      </c>
      <c r="R55" s="111">
        <v>5</v>
      </c>
      <c r="S55" s="86"/>
      <c r="T55" s="86" t="s">
        <v>3</v>
      </c>
      <c r="U55">
        <f>COUNTIF(A3:A8,"metacell-94")</f>
        <v>1</v>
      </c>
      <c r="V55">
        <f>COUNTIF(D3:D8,"metacell-94")</f>
        <v>1</v>
      </c>
      <c r="W55">
        <f>COUNTIF(G3:G8,"metacell-94")</f>
        <v>1</v>
      </c>
      <c r="X55">
        <f>COUNTIF(J3:J8,"metacell-94")</f>
        <v>0</v>
      </c>
      <c r="Y55">
        <f>COUNTIF(M3:M8,"metacell-94")</f>
        <v>1</v>
      </c>
      <c r="Z55">
        <f>COUNTIF(P3:P8,"metacell-94")</f>
        <v>0</v>
      </c>
      <c r="AA55">
        <f>COUNTIF(S3:S8,"metacell-94")</f>
        <v>1</v>
      </c>
      <c r="AB55">
        <f>COUNTIF(V3:V8,"metacell-94")</f>
        <v>0</v>
      </c>
      <c r="AC55">
        <f>COUNTIF(Y3:Y8,"metacell-94")</f>
        <v>0</v>
      </c>
      <c r="AD55">
        <f>SUM(U55:AC55)</f>
        <v>5</v>
      </c>
    </row>
    <row r="56" spans="1:30" x14ac:dyDescent="0.25">
      <c r="A56" s="77" t="s">
        <v>180</v>
      </c>
      <c r="B56" s="38">
        <v>30</v>
      </c>
      <c r="C56" s="2">
        <v>2</v>
      </c>
      <c r="D56" s="2">
        <v>3</v>
      </c>
      <c r="E56" s="2">
        <v>5</v>
      </c>
      <c r="F56" s="38">
        <v>1</v>
      </c>
      <c r="G56" s="2">
        <v>1</v>
      </c>
      <c r="H56" s="2">
        <v>4</v>
      </c>
      <c r="I56" s="2">
        <v>14</v>
      </c>
      <c r="J56" s="2">
        <v>6</v>
      </c>
      <c r="K56" s="2">
        <f t="shared" si="0"/>
        <v>66</v>
      </c>
      <c r="L56" s="79">
        <v>2</v>
      </c>
      <c r="M56" s="96" t="s">
        <v>161</v>
      </c>
      <c r="N56" s="20">
        <v>36</v>
      </c>
      <c r="O56" s="109">
        <v>2</v>
      </c>
      <c r="Q56" s="105" t="s">
        <v>180</v>
      </c>
      <c r="R56" s="104">
        <v>5</v>
      </c>
      <c r="T56" t="s">
        <v>180</v>
      </c>
      <c r="U56">
        <f>COUNTIF(A3:A8,"metacell-114")</f>
        <v>0</v>
      </c>
      <c r="V56">
        <f>COUNTIF(D3:D8,"metacell-114")</f>
        <v>1</v>
      </c>
      <c r="W56">
        <f>COUNTIF(G3:G8,"metacell-114")</f>
        <v>1</v>
      </c>
      <c r="X56">
        <f>COUNTIF(J3:J88,"metacell-114")</f>
        <v>1</v>
      </c>
      <c r="Y56">
        <f>COUNTIF(M3:M8,"metacell-114")</f>
        <v>1</v>
      </c>
      <c r="Z56">
        <f>COUNTIF(P3:P8,"metacell-114")</f>
        <v>1</v>
      </c>
      <c r="AA56">
        <f>COUNTIF(S3:S8,"metacell-114")</f>
        <v>0</v>
      </c>
      <c r="AB56">
        <f>COUNTIF(V3:V8,"metacell-114")</f>
        <v>0</v>
      </c>
      <c r="AC56">
        <f>COUNTIF(Y3:Y8,"metacell-114")</f>
        <v>0</v>
      </c>
      <c r="AD56">
        <f t="shared" ref="AD56:AD100" si="1">SUM(U56:AC56)</f>
        <v>5</v>
      </c>
    </row>
    <row r="57" spans="1:30" x14ac:dyDescent="0.25">
      <c r="A57" s="77" t="s">
        <v>179</v>
      </c>
      <c r="B57" s="38">
        <v>28</v>
      </c>
      <c r="C57" s="2">
        <v>4</v>
      </c>
      <c r="D57" s="2">
        <v>7</v>
      </c>
      <c r="E57" s="2">
        <v>3</v>
      </c>
      <c r="F57" s="38">
        <v>2</v>
      </c>
      <c r="G57" s="2">
        <v>4</v>
      </c>
      <c r="H57" s="2">
        <v>2</v>
      </c>
      <c r="I57" s="2">
        <v>21</v>
      </c>
      <c r="J57" s="2">
        <v>4</v>
      </c>
      <c r="K57" s="2">
        <f t="shared" si="0"/>
        <v>75</v>
      </c>
      <c r="L57" s="79">
        <v>3</v>
      </c>
      <c r="M57" s="96" t="s">
        <v>13</v>
      </c>
      <c r="N57" s="20">
        <v>44</v>
      </c>
      <c r="O57" s="109">
        <v>3</v>
      </c>
      <c r="Q57" s="105" t="s">
        <v>179</v>
      </c>
      <c r="R57" s="104">
        <v>5</v>
      </c>
      <c r="T57" t="s">
        <v>179</v>
      </c>
      <c r="U57">
        <f>COUNTIF(A3:A8,"metacell-113")</f>
        <v>0</v>
      </c>
      <c r="V57">
        <f>COUNTIF(D3:D8,"metacell-113")</f>
        <v>1</v>
      </c>
      <c r="W57">
        <f>COUNTIF(G3:G8,"metacell-113")</f>
        <v>0</v>
      </c>
      <c r="X57">
        <f>COUNTIF(J3:J8,"metacell-113")</f>
        <v>1</v>
      </c>
      <c r="Y57">
        <f>COUNTIF(M3:M8,"metacell-113")</f>
        <v>1</v>
      </c>
      <c r="Z57">
        <f>COUNTIF(P3:P8,"metacell-113")</f>
        <v>0</v>
      </c>
      <c r="AA57">
        <f>COUNTIF(S3:S8,"metacell-113")</f>
        <v>1</v>
      </c>
      <c r="AB57">
        <f>COUNTIF(V3:V8,"metacell-113")</f>
        <v>0</v>
      </c>
      <c r="AC57">
        <f>COUNTIF(Y3:Y8,"metacell-113")</f>
        <v>1</v>
      </c>
      <c r="AD57">
        <f t="shared" si="1"/>
        <v>5</v>
      </c>
    </row>
    <row r="58" spans="1:30" x14ac:dyDescent="0.25">
      <c r="A58" s="17" t="s">
        <v>161</v>
      </c>
      <c r="B58" s="38">
        <v>1</v>
      </c>
      <c r="C58" s="2">
        <v>5</v>
      </c>
      <c r="D58" s="2">
        <v>3</v>
      </c>
      <c r="E58" s="2">
        <v>7</v>
      </c>
      <c r="F58" s="38">
        <v>8</v>
      </c>
      <c r="G58" s="2">
        <v>5</v>
      </c>
      <c r="H58" s="2">
        <v>7</v>
      </c>
      <c r="I58" s="2">
        <v>25</v>
      </c>
      <c r="J58" s="2">
        <v>16</v>
      </c>
      <c r="K58" s="2">
        <f t="shared" si="0"/>
        <v>77</v>
      </c>
      <c r="L58" s="79">
        <v>4</v>
      </c>
      <c r="M58" s="96" t="s">
        <v>180</v>
      </c>
      <c r="N58" s="20">
        <v>46</v>
      </c>
      <c r="O58" s="109">
        <v>4</v>
      </c>
      <c r="Q58" s="105" t="s">
        <v>13</v>
      </c>
      <c r="R58" s="104">
        <v>5</v>
      </c>
      <c r="T58" t="s">
        <v>161</v>
      </c>
      <c r="U58">
        <f>COUNTIF(A3:A8,"metacell-91")</f>
        <v>1</v>
      </c>
      <c r="V58">
        <f>COUNTIF(D3:D8,"metacell-91")</f>
        <v>1</v>
      </c>
      <c r="W58">
        <f>COUNTIF(G3:G8,"metacell-91")</f>
        <v>1</v>
      </c>
      <c r="X58">
        <f>COUNTIF(J3:J8,"metacell-91")</f>
        <v>0</v>
      </c>
      <c r="Y58">
        <f>COUNTIF(M3:M8,"metacell-91")</f>
        <v>0</v>
      </c>
      <c r="Z58">
        <f>COUNTIF(P3:P8,"metacell-91")</f>
        <v>0</v>
      </c>
      <c r="AA58">
        <f>COUNTIF(S3:S8,"metacell-91")</f>
        <v>0</v>
      </c>
      <c r="AB58">
        <f>COUNTIF(V3:V8,"metacell-91")</f>
        <v>0</v>
      </c>
      <c r="AC58">
        <f>COUNTIF(Y3:Y8,"metacell-91")</f>
        <v>0</v>
      </c>
      <c r="AD58">
        <f t="shared" si="1"/>
        <v>3</v>
      </c>
    </row>
    <row r="59" spans="1:30" x14ac:dyDescent="0.25">
      <c r="A59" s="17" t="s">
        <v>13</v>
      </c>
      <c r="B59" s="38">
        <v>27</v>
      </c>
      <c r="C59" s="2">
        <v>3</v>
      </c>
      <c r="D59" s="2">
        <v>2</v>
      </c>
      <c r="E59" s="2">
        <v>6</v>
      </c>
      <c r="F59" s="38">
        <v>3</v>
      </c>
      <c r="G59" s="2">
        <v>2</v>
      </c>
      <c r="H59" s="2">
        <v>1</v>
      </c>
      <c r="I59" s="2">
        <v>20</v>
      </c>
      <c r="J59" s="2">
        <v>18</v>
      </c>
      <c r="K59" s="2">
        <f t="shared" si="0"/>
        <v>82</v>
      </c>
      <c r="L59" s="79">
        <v>5</v>
      </c>
      <c r="M59" s="100" t="s">
        <v>162</v>
      </c>
      <c r="N59" s="20">
        <v>49</v>
      </c>
      <c r="O59" s="109">
        <v>5</v>
      </c>
      <c r="Q59" s="77" t="s">
        <v>161</v>
      </c>
      <c r="R59" s="55">
        <v>3</v>
      </c>
      <c r="T59" t="s">
        <v>13</v>
      </c>
      <c r="U59">
        <f>COUNTIF(A3:A8,"metacell-95")</f>
        <v>0</v>
      </c>
      <c r="V59">
        <f>COUNTIF(D3:D8,"metacell-95")</f>
        <v>1</v>
      </c>
      <c r="W59">
        <f>COUNTIF(G3:G8,"metacell-95")</f>
        <v>1</v>
      </c>
      <c r="X59">
        <f>COUNTIF(J3:J8,"metacell-95")</f>
        <v>0</v>
      </c>
      <c r="Y59">
        <f>COUNTIF(M3:M8,"metacell-95")</f>
        <v>1</v>
      </c>
      <c r="Z59">
        <f>COUNTIF(P3:P8,"metacell-95")</f>
        <v>1</v>
      </c>
      <c r="AA59">
        <f>COUNTIF(S3:S8,"metacell-95")</f>
        <v>1</v>
      </c>
      <c r="AB59">
        <f>COUNTIF(V3:V8,"metacell-95")</f>
        <v>0</v>
      </c>
      <c r="AC59">
        <f>COUNTIF(Y3:Y8,"metacell-95")</f>
        <v>0</v>
      </c>
      <c r="AD59">
        <f t="shared" si="1"/>
        <v>5</v>
      </c>
    </row>
    <row r="60" spans="1:30" x14ac:dyDescent="0.25">
      <c r="A60" s="67" t="s">
        <v>135</v>
      </c>
      <c r="B60" s="38">
        <v>9</v>
      </c>
      <c r="C60" s="2">
        <v>10</v>
      </c>
      <c r="D60" s="2">
        <v>10</v>
      </c>
      <c r="E60" s="2">
        <v>13</v>
      </c>
      <c r="F60" s="38">
        <v>7</v>
      </c>
      <c r="G60" s="2">
        <v>5</v>
      </c>
      <c r="H60" s="2">
        <v>5</v>
      </c>
      <c r="I60" s="2">
        <v>11</v>
      </c>
      <c r="J60" s="2">
        <v>14</v>
      </c>
      <c r="K60" s="2">
        <f t="shared" si="0"/>
        <v>84</v>
      </c>
      <c r="L60" s="80">
        <v>6</v>
      </c>
      <c r="M60" s="77" t="s">
        <v>179</v>
      </c>
      <c r="N60" s="20">
        <v>50</v>
      </c>
      <c r="O60" s="98">
        <v>6</v>
      </c>
      <c r="Q60" s="54" t="s">
        <v>136</v>
      </c>
      <c r="R60" s="55">
        <v>3</v>
      </c>
      <c r="T60" t="s">
        <v>135</v>
      </c>
      <c r="U60">
        <f>COUNTIF(A3:A8,"metacell-60")</f>
        <v>0</v>
      </c>
      <c r="V60">
        <f>COUNTIF(D3:D8,"metacell-60")</f>
        <v>0</v>
      </c>
      <c r="W60">
        <f>COUNTIF(G3:G8,"metacell-60")</f>
        <v>0</v>
      </c>
      <c r="X60">
        <f>COUNTIF(J3:J8,"metacell-60")</f>
        <v>0</v>
      </c>
      <c r="Y60">
        <f>COUNTIF(M3:M8,"metacell-60")</f>
        <v>0</v>
      </c>
      <c r="Z60">
        <f>COUNTIF(P3:P8,"metacell-60")</f>
        <v>0</v>
      </c>
      <c r="AA60">
        <f>COUNTIF(S3:S8,"metacell-60")</f>
        <v>0</v>
      </c>
      <c r="AB60">
        <f>COUNTIF(V3:V8,"metacell-60")</f>
        <v>0</v>
      </c>
      <c r="AC60">
        <f>COUNTIF(Y3:Y8,"metacell-60")</f>
        <v>0</v>
      </c>
      <c r="AD60">
        <f t="shared" si="1"/>
        <v>0</v>
      </c>
    </row>
    <row r="61" spans="1:30" x14ac:dyDescent="0.25">
      <c r="A61" s="67" t="s">
        <v>136</v>
      </c>
      <c r="B61" s="38">
        <v>5</v>
      </c>
      <c r="C61" s="2">
        <v>13</v>
      </c>
      <c r="D61" s="2">
        <v>10</v>
      </c>
      <c r="E61" s="2">
        <v>19</v>
      </c>
      <c r="F61" s="38">
        <v>8</v>
      </c>
      <c r="G61" s="2">
        <v>3</v>
      </c>
      <c r="H61" s="2">
        <v>8</v>
      </c>
      <c r="I61" s="2">
        <v>6</v>
      </c>
      <c r="J61" s="2">
        <v>13</v>
      </c>
      <c r="K61" s="2">
        <f t="shared" si="0"/>
        <v>85</v>
      </c>
      <c r="L61" s="80">
        <v>7</v>
      </c>
      <c r="M61" s="54" t="s">
        <v>175</v>
      </c>
      <c r="N61" s="20">
        <v>57</v>
      </c>
      <c r="O61" s="98">
        <v>7</v>
      </c>
      <c r="Q61" s="54" t="s">
        <v>139</v>
      </c>
      <c r="R61" s="55">
        <v>3</v>
      </c>
      <c r="T61" t="s">
        <v>136</v>
      </c>
      <c r="U61">
        <f>COUNTIF(A3:A8,"metacell-61")</f>
        <v>1</v>
      </c>
      <c r="V61">
        <f>COUNTIF(D3:D8,"metacell-61")</f>
        <v>0</v>
      </c>
      <c r="W61">
        <f>COUNTIF(G3:G8,"metacell-61")</f>
        <v>0</v>
      </c>
      <c r="X61">
        <f>COUNTIF(J3:J8,"metacell-61")</f>
        <v>0</v>
      </c>
      <c r="Y61">
        <f>COUNTIF(M3:M8,"metacell-61")</f>
        <v>0</v>
      </c>
      <c r="Z61">
        <f>COUNTIF(P3:P8,"metacell-61")</f>
        <v>1</v>
      </c>
      <c r="AA61">
        <f>COUNTIF(S3:S8,"metacell-61")</f>
        <v>0</v>
      </c>
      <c r="AB61">
        <f>COUNTIF(V3:V8,"metacell-61")</f>
        <v>1</v>
      </c>
      <c r="AC61">
        <f>COUNTIF(Y3:Y8,"metacell-61")</f>
        <v>0</v>
      </c>
      <c r="AD61">
        <f t="shared" si="1"/>
        <v>3</v>
      </c>
    </row>
    <row r="62" spans="1:30" x14ac:dyDescent="0.25">
      <c r="A62" s="67" t="s">
        <v>175</v>
      </c>
      <c r="B62" s="38">
        <v>5</v>
      </c>
      <c r="C62" s="2">
        <v>9</v>
      </c>
      <c r="D62" s="2">
        <v>8</v>
      </c>
      <c r="E62" s="2">
        <v>10</v>
      </c>
      <c r="F62" s="40">
        <v>11</v>
      </c>
      <c r="G62" s="2">
        <v>6</v>
      </c>
      <c r="H62" s="2">
        <v>8</v>
      </c>
      <c r="I62" s="2">
        <v>19</v>
      </c>
      <c r="J62" s="2">
        <v>11</v>
      </c>
      <c r="K62" s="2">
        <f t="shared" si="0"/>
        <v>87</v>
      </c>
      <c r="L62" s="80">
        <v>8</v>
      </c>
      <c r="M62" s="54" t="s">
        <v>107</v>
      </c>
      <c r="N62" s="20">
        <v>57</v>
      </c>
      <c r="O62" s="98">
        <v>7</v>
      </c>
      <c r="Q62" s="54" t="s">
        <v>134</v>
      </c>
      <c r="R62" s="55">
        <v>3</v>
      </c>
      <c r="S62" s="85"/>
      <c r="T62" s="85" t="s">
        <v>175</v>
      </c>
      <c r="U62" s="85">
        <f>COUNTIF(A3:A8,"metacell-109")</f>
        <v>1</v>
      </c>
      <c r="V62" s="85">
        <f>COUNTIF(D3:D8,"metacell-109")</f>
        <v>0</v>
      </c>
      <c r="W62" s="85">
        <f>COUNTIF(G3:G8,"metacell-109")</f>
        <v>0</v>
      </c>
      <c r="X62" s="85">
        <f>COUNTIF(J3:J8,"metacell-109")</f>
        <v>0</v>
      </c>
      <c r="Y62" s="85">
        <f>COUNTIF(M3:M8,"metacell-109")</f>
        <v>0</v>
      </c>
      <c r="Z62" s="85">
        <f>COUNTIF(P3:P8,"metacell-109")</f>
        <v>0</v>
      </c>
      <c r="AA62" s="85">
        <f>COUNTIF(S3:S8,"metacell-109")</f>
        <v>0</v>
      </c>
      <c r="AB62" s="85">
        <f>COUNTIF(V3:V8,"metacell-109")</f>
        <v>0</v>
      </c>
      <c r="AC62" s="85">
        <f>COUNTIF(Y3:Y8,"metacell-109")</f>
        <v>0</v>
      </c>
      <c r="AD62">
        <f t="shared" si="1"/>
        <v>1</v>
      </c>
    </row>
    <row r="63" spans="1:30" x14ac:dyDescent="0.25">
      <c r="A63" s="67" t="s">
        <v>128</v>
      </c>
      <c r="B63" s="38">
        <v>4</v>
      </c>
      <c r="C63" s="2">
        <v>12</v>
      </c>
      <c r="D63" s="2">
        <v>6</v>
      </c>
      <c r="E63" s="2">
        <v>21</v>
      </c>
      <c r="F63" s="38">
        <v>8</v>
      </c>
      <c r="G63" s="2">
        <v>3</v>
      </c>
      <c r="H63" s="2">
        <v>9</v>
      </c>
      <c r="I63" s="2">
        <v>14</v>
      </c>
      <c r="J63" s="2">
        <v>12</v>
      </c>
      <c r="K63" s="2">
        <f t="shared" si="0"/>
        <v>89</v>
      </c>
      <c r="L63" s="80">
        <v>9</v>
      </c>
      <c r="M63" s="54" t="s">
        <v>135</v>
      </c>
      <c r="N63" s="20">
        <v>59</v>
      </c>
      <c r="O63" s="98">
        <v>8</v>
      </c>
      <c r="Q63" s="54" t="s">
        <v>158</v>
      </c>
      <c r="R63" s="55">
        <v>3</v>
      </c>
      <c r="S63" s="85"/>
      <c r="T63" s="85" t="s">
        <v>128</v>
      </c>
      <c r="U63" s="85">
        <f>COUNTIF(A3:A8,"metacell-53")</f>
        <v>1</v>
      </c>
      <c r="V63" s="85">
        <f>COUNTIF(D3:D8,"metacell-53")</f>
        <v>0</v>
      </c>
      <c r="W63" s="85">
        <f>COUNTIF(G3:G8,"metacell-53")</f>
        <v>0</v>
      </c>
      <c r="X63" s="85">
        <f>COUNTIF(J3:J8,"metacell-53")</f>
        <v>0</v>
      </c>
      <c r="Y63" s="85">
        <f>COUNTIF(M3:M8,"metacell-53")</f>
        <v>0</v>
      </c>
      <c r="Z63" s="85">
        <f>COUNTIF(P3:P8,"metacell-53")</f>
        <v>1</v>
      </c>
      <c r="AA63" s="85">
        <f>COUNTIF(S3:S8,"metacell-53")</f>
        <v>0</v>
      </c>
      <c r="AB63" s="85">
        <f>COUNTIF(V3:V8,"metacell-53")</f>
        <v>0</v>
      </c>
      <c r="AC63" s="85">
        <f>COUNTIF(Y3:Y8,"metacell-53")</f>
        <v>0</v>
      </c>
      <c r="AD63">
        <f t="shared" si="1"/>
        <v>2</v>
      </c>
    </row>
    <row r="64" spans="1:30" x14ac:dyDescent="0.25">
      <c r="A64" s="67" t="s">
        <v>130</v>
      </c>
      <c r="B64" s="38">
        <v>11</v>
      </c>
      <c r="C64" s="2">
        <v>17</v>
      </c>
      <c r="D64" s="2">
        <v>12</v>
      </c>
      <c r="E64" s="2">
        <v>23</v>
      </c>
      <c r="F64" s="40">
        <v>10</v>
      </c>
      <c r="G64" s="2">
        <v>4</v>
      </c>
      <c r="H64" s="2">
        <v>8</v>
      </c>
      <c r="I64" s="2">
        <v>2</v>
      </c>
      <c r="J64" s="2">
        <v>2</v>
      </c>
      <c r="K64" s="2">
        <f t="shared" si="0"/>
        <v>89</v>
      </c>
      <c r="L64" s="80">
        <v>9</v>
      </c>
      <c r="M64" s="54" t="s">
        <v>158</v>
      </c>
      <c r="N64" s="20">
        <v>59</v>
      </c>
      <c r="O64" s="98">
        <v>8</v>
      </c>
      <c r="Q64" s="54" t="s">
        <v>107</v>
      </c>
      <c r="R64" s="55">
        <v>3</v>
      </c>
      <c r="S64" s="86"/>
      <c r="T64" s="86" t="s">
        <v>130</v>
      </c>
      <c r="U64">
        <f>COUNTIF(A3:A8,"metacell-55")</f>
        <v>0</v>
      </c>
      <c r="V64">
        <f>COUNTIF(D3:D8,"metacell-55")</f>
        <v>0</v>
      </c>
      <c r="W64">
        <f>COUNTIF(G3:G8,"metacell-55")</f>
        <v>0</v>
      </c>
      <c r="X64">
        <f>COUNTIF(J3:J8,"metacell-55")</f>
        <v>0</v>
      </c>
      <c r="Y64">
        <f>COUNTIF(M3:M8,"metacell-55")</f>
        <v>0</v>
      </c>
      <c r="Z64">
        <f>COUNTIF(P3:P8,"metacell-55")</f>
        <v>0</v>
      </c>
      <c r="AA64">
        <f>COUNTIF(S3:S8,"metacell-55")</f>
        <v>0</v>
      </c>
      <c r="AB64">
        <f>COUNTIF(V3:V8,"metacell-55")</f>
        <v>1</v>
      </c>
      <c r="AC64">
        <f>COUNTIF(Y3:Y8,"metacell-55")</f>
        <v>1</v>
      </c>
      <c r="AD64">
        <f t="shared" si="1"/>
        <v>2</v>
      </c>
    </row>
    <row r="65" spans="1:30" x14ac:dyDescent="0.25">
      <c r="A65" s="67" t="s">
        <v>162</v>
      </c>
      <c r="B65" s="38">
        <v>12</v>
      </c>
      <c r="C65" s="2">
        <v>6</v>
      </c>
      <c r="D65" s="2">
        <v>5</v>
      </c>
      <c r="E65" s="2">
        <v>11</v>
      </c>
      <c r="F65" s="38">
        <v>6</v>
      </c>
      <c r="G65" s="2">
        <v>4</v>
      </c>
      <c r="H65" s="2">
        <v>5</v>
      </c>
      <c r="I65" s="2">
        <v>23</v>
      </c>
      <c r="J65" s="2">
        <v>17</v>
      </c>
      <c r="K65" s="2">
        <f t="shared" si="0"/>
        <v>89</v>
      </c>
      <c r="L65" s="80">
        <v>9</v>
      </c>
      <c r="M65" s="54" t="s">
        <v>128</v>
      </c>
      <c r="N65" s="20">
        <v>63</v>
      </c>
      <c r="O65" s="98">
        <v>9</v>
      </c>
      <c r="Q65" s="88" t="s">
        <v>128</v>
      </c>
      <c r="R65" s="89">
        <v>2</v>
      </c>
      <c r="T65" t="s">
        <v>162</v>
      </c>
      <c r="U65">
        <f>COUNTIF(A3:A8,"metacell-92")</f>
        <v>0</v>
      </c>
      <c r="V65">
        <f>COUNTIF(D3:D8,"metacell-92")</f>
        <v>0</v>
      </c>
      <c r="W65">
        <f>COUNTIF(G3:G8,"metacell-92")</f>
        <v>1</v>
      </c>
      <c r="X65">
        <f>COUNTIF(J3:J8,"metacell-92")</f>
        <v>0</v>
      </c>
      <c r="Y65">
        <f>COUNTIF(M3:M8,"metacell-92")</f>
        <v>0</v>
      </c>
      <c r="Z65">
        <f>COUNTIF(P3:P8,"metacell-92")</f>
        <v>0</v>
      </c>
      <c r="AA65">
        <f>COUNTIF(S3:S8,"metacell-92")</f>
        <v>0</v>
      </c>
      <c r="AB65">
        <f>COUNTIF(V3:V8,"metacell-92")</f>
        <v>0</v>
      </c>
      <c r="AC65">
        <f>COUNTIF(Y3:Y8,"metacell-92")</f>
        <v>0</v>
      </c>
      <c r="AD65">
        <f t="shared" si="1"/>
        <v>1</v>
      </c>
    </row>
    <row r="66" spans="1:30" x14ac:dyDescent="0.25">
      <c r="A66" s="67" t="s">
        <v>139</v>
      </c>
      <c r="B66" s="38">
        <v>19</v>
      </c>
      <c r="C66" s="2">
        <v>15</v>
      </c>
      <c r="D66" s="2">
        <v>15</v>
      </c>
      <c r="E66" s="2">
        <v>20</v>
      </c>
      <c r="F66" s="38">
        <v>9</v>
      </c>
      <c r="G66" s="2">
        <v>6</v>
      </c>
      <c r="H66" s="2">
        <v>4</v>
      </c>
      <c r="I66" s="2">
        <v>1</v>
      </c>
      <c r="J66" s="2">
        <v>1</v>
      </c>
      <c r="K66" s="2">
        <f t="shared" si="0"/>
        <v>90</v>
      </c>
      <c r="L66" s="80">
        <v>10</v>
      </c>
      <c r="M66" s="54" t="s">
        <v>136</v>
      </c>
      <c r="N66" s="20">
        <v>66</v>
      </c>
      <c r="O66" s="98">
        <v>10</v>
      </c>
      <c r="Q66" s="99" t="s">
        <v>130</v>
      </c>
      <c r="R66" s="110">
        <v>2</v>
      </c>
      <c r="T66" t="s">
        <v>139</v>
      </c>
      <c r="U66">
        <f>COUNTIF(A3:A8,"metacell-65")</f>
        <v>0</v>
      </c>
      <c r="V66">
        <f>COUNTIF(D3:D8,"metacell-65")</f>
        <v>0</v>
      </c>
      <c r="W66">
        <f>COUNTIF(G3:G8,"metacell-65")</f>
        <v>0</v>
      </c>
      <c r="X66">
        <f>COUNTIF(J3:J8,"metacell-65")</f>
        <v>0</v>
      </c>
      <c r="Y66">
        <f>COUNTIF(M3:M8,"metacell-65")</f>
        <v>0</v>
      </c>
      <c r="Z66">
        <f>COUNTIF(P3:P8,"metacell-65")</f>
        <v>0</v>
      </c>
      <c r="AA66">
        <f>COUNTIF(S3:S8,"metacell-65")</f>
        <v>1</v>
      </c>
      <c r="AB66">
        <f>COUNTIF(V3:V8,"metacell-65")</f>
        <v>1</v>
      </c>
      <c r="AC66">
        <f>COUNTIF(Y3:Y8,"metacell-65")</f>
        <v>1</v>
      </c>
      <c r="AD66">
        <f t="shared" si="1"/>
        <v>3</v>
      </c>
    </row>
    <row r="67" spans="1:30" x14ac:dyDescent="0.25">
      <c r="A67" s="67" t="s">
        <v>7</v>
      </c>
      <c r="B67" s="38">
        <v>16</v>
      </c>
      <c r="C67" s="2">
        <v>12</v>
      </c>
      <c r="D67" s="2">
        <v>13</v>
      </c>
      <c r="E67" s="2">
        <v>13</v>
      </c>
      <c r="F67" s="40">
        <v>12</v>
      </c>
      <c r="G67" s="2">
        <v>6</v>
      </c>
      <c r="H67" s="2">
        <v>7</v>
      </c>
      <c r="I67" s="2">
        <v>9</v>
      </c>
      <c r="J67" s="2">
        <v>2</v>
      </c>
      <c r="K67" s="2">
        <f t="shared" si="0"/>
        <v>90</v>
      </c>
      <c r="L67" s="80">
        <v>10</v>
      </c>
      <c r="M67" s="54" t="s">
        <v>129</v>
      </c>
      <c r="N67" s="20">
        <v>66</v>
      </c>
      <c r="O67" s="98">
        <v>10</v>
      </c>
      <c r="Q67" s="88" t="s">
        <v>175</v>
      </c>
      <c r="R67" s="89">
        <v>1</v>
      </c>
      <c r="T67" t="s">
        <v>7</v>
      </c>
      <c r="U67">
        <f>COUNTIF(A3:A8,"metacell-93")</f>
        <v>0</v>
      </c>
      <c r="V67">
        <f>COUNTIF(D3:D8,"metacell-93")</f>
        <v>0</v>
      </c>
      <c r="W67">
        <f>COUNTIF(G3:G8,"metacell-93")</f>
        <v>0</v>
      </c>
      <c r="X67">
        <f>COUNTIF(J3:J8,"metacell-93")</f>
        <v>0</v>
      </c>
      <c r="Y67">
        <f>COUNTIF(M3:M8,"metacell-93")</f>
        <v>0</v>
      </c>
      <c r="Z67">
        <f>COUNTIF(P3:P8,"metacell-93")</f>
        <v>0</v>
      </c>
      <c r="AA67">
        <f>COUNTIF(S3:S8,"metacell-93")</f>
        <v>0</v>
      </c>
      <c r="AB67">
        <f>COUNTIF(V3:V8,"metacell-93")</f>
        <v>0</v>
      </c>
      <c r="AC67">
        <f>COUNTIF(Y3:Y8,"metacell-93")</f>
        <v>1</v>
      </c>
      <c r="AD67">
        <f t="shared" si="1"/>
        <v>1</v>
      </c>
    </row>
    <row r="68" spans="1:30" x14ac:dyDescent="0.25">
      <c r="A68" s="67" t="s">
        <v>143</v>
      </c>
      <c r="B68" s="38">
        <v>6</v>
      </c>
      <c r="C68" s="2">
        <v>13</v>
      </c>
      <c r="D68" s="2">
        <v>9</v>
      </c>
      <c r="E68" s="2">
        <v>21</v>
      </c>
      <c r="F68" s="40">
        <v>10</v>
      </c>
      <c r="G68" s="2">
        <v>6</v>
      </c>
      <c r="H68" s="2">
        <v>5</v>
      </c>
      <c r="I68" s="2">
        <v>12</v>
      </c>
      <c r="J68" s="2">
        <v>9</v>
      </c>
      <c r="K68" s="2">
        <f t="shared" si="0"/>
        <v>91</v>
      </c>
      <c r="L68" s="80">
        <v>11</v>
      </c>
      <c r="M68" s="54" t="s">
        <v>143</v>
      </c>
      <c r="N68" s="20">
        <v>70</v>
      </c>
      <c r="O68" s="98">
        <v>11</v>
      </c>
      <c r="Q68" s="54" t="s">
        <v>162</v>
      </c>
      <c r="R68" s="55">
        <v>1</v>
      </c>
      <c r="T68" t="s">
        <v>143</v>
      </c>
      <c r="U68">
        <f>COUNTIF(A3:A8,"metacell-69")</f>
        <v>0</v>
      </c>
      <c r="V68">
        <f>COUNTIF(D3:D8,"metacell-69")</f>
        <v>0</v>
      </c>
      <c r="W68">
        <f>COUNTIF(G3:G8,"metacell-69")</f>
        <v>0</v>
      </c>
      <c r="X68">
        <f>COUNTIF(J3:J8,"metacell-69")</f>
        <v>0</v>
      </c>
      <c r="Y68">
        <f>COUNTIF(M3:M8,"metacell-69")</f>
        <v>0</v>
      </c>
      <c r="Z68">
        <f>COUNTIF(P3:P8,"metacell-69")</f>
        <v>0</v>
      </c>
      <c r="AA68">
        <f>COUNTIF(S3:S8,"metacell-69")</f>
        <v>0</v>
      </c>
      <c r="AB68">
        <f>COUNTIF(V3:V8,"metacell-69")</f>
        <v>0</v>
      </c>
      <c r="AC68">
        <f>COUNTIF(Y3:Y8,"metacell-69")</f>
        <v>0</v>
      </c>
      <c r="AD68">
        <f t="shared" si="1"/>
        <v>0</v>
      </c>
    </row>
    <row r="69" spans="1:30" x14ac:dyDescent="0.25">
      <c r="A69" s="67" t="s">
        <v>129</v>
      </c>
      <c r="B69" s="38">
        <v>2</v>
      </c>
      <c r="C69" s="2">
        <v>12</v>
      </c>
      <c r="D69" s="2">
        <v>13</v>
      </c>
      <c r="E69" s="2">
        <v>14</v>
      </c>
      <c r="F69" s="40">
        <v>12</v>
      </c>
      <c r="G69" s="2">
        <v>8</v>
      </c>
      <c r="H69" s="2">
        <v>5</v>
      </c>
      <c r="I69" s="2">
        <v>13</v>
      </c>
      <c r="J69" s="2">
        <v>13</v>
      </c>
      <c r="K69" s="2">
        <f t="shared" si="0"/>
        <v>92</v>
      </c>
      <c r="L69" s="80">
        <v>12</v>
      </c>
      <c r="M69" s="54" t="s">
        <v>104</v>
      </c>
      <c r="N69" s="20">
        <v>70</v>
      </c>
      <c r="O69" s="98">
        <v>11</v>
      </c>
      <c r="Q69" s="54" t="s">
        <v>7</v>
      </c>
      <c r="R69" s="55">
        <v>1</v>
      </c>
      <c r="T69" t="s">
        <v>129</v>
      </c>
      <c r="U69">
        <f>COUNTIF(A3:A8,"metacell-54")</f>
        <v>1</v>
      </c>
      <c r="V69">
        <f>COUNTIF(D3:D8,"metacell-54")</f>
        <v>0</v>
      </c>
      <c r="W69">
        <f>COUNTIF(G3:G8,"metacell-54")</f>
        <v>0</v>
      </c>
      <c r="X69">
        <f>COUNTIF(J3:J8,"metacell-54")</f>
        <v>0</v>
      </c>
      <c r="Y69">
        <f>COUNTIF(M3:M8,"metacell-54")</f>
        <v>0</v>
      </c>
      <c r="Z69">
        <f>COUNTIF(P3:P8,"metacell-54")</f>
        <v>0</v>
      </c>
      <c r="AA69">
        <f>COUNTIF(S3:S8,"metacell-54")</f>
        <v>0</v>
      </c>
      <c r="AB69">
        <f>COUNTIF(V3:V8,"metacell-54")</f>
        <v>0</v>
      </c>
      <c r="AC69">
        <f>COUNTIF(Y3:Y8,"metacell-54")</f>
        <v>0</v>
      </c>
      <c r="AD69">
        <f t="shared" si="1"/>
        <v>1</v>
      </c>
    </row>
    <row r="70" spans="1:30" x14ac:dyDescent="0.25">
      <c r="A70" s="67" t="s">
        <v>134</v>
      </c>
      <c r="B70" s="38">
        <v>21</v>
      </c>
      <c r="C70" s="2">
        <v>14</v>
      </c>
      <c r="D70" s="2">
        <v>10</v>
      </c>
      <c r="E70" s="2">
        <v>21</v>
      </c>
      <c r="F70" s="38">
        <v>4</v>
      </c>
      <c r="G70" s="2">
        <v>2</v>
      </c>
      <c r="H70" s="2">
        <v>5</v>
      </c>
      <c r="I70" s="2">
        <v>4</v>
      </c>
      <c r="J70" s="2">
        <v>13</v>
      </c>
      <c r="K70" s="2">
        <f t="shared" si="0"/>
        <v>94</v>
      </c>
      <c r="L70" s="80">
        <v>13</v>
      </c>
      <c r="M70" s="54" t="s">
        <v>141</v>
      </c>
      <c r="N70" s="20">
        <v>74</v>
      </c>
      <c r="O70" s="98">
        <v>12</v>
      </c>
      <c r="Q70" s="54" t="s">
        <v>129</v>
      </c>
      <c r="R70" s="55">
        <v>1</v>
      </c>
      <c r="T70" t="s">
        <v>134</v>
      </c>
      <c r="U70">
        <f>COUNTIF(A3:A8,"metacell-59")</f>
        <v>0</v>
      </c>
      <c r="V70">
        <f>COUNTIF(D3:D8,"metacell-59")</f>
        <v>0</v>
      </c>
      <c r="W70">
        <f>COUNTIF(G3:G8,"metacell-59")</f>
        <v>0</v>
      </c>
      <c r="X70">
        <f>COUNTIF(J3:J8,"metacell-59")</f>
        <v>0</v>
      </c>
      <c r="Y70">
        <f>COUNTIF(M3:M8,"metacell-59")</f>
        <v>1</v>
      </c>
      <c r="Z70">
        <f>COUNTIF(P3:P8,"metacell-59")</f>
        <v>1</v>
      </c>
      <c r="AA70">
        <f>COUNTIF(S3:S8,"metacell-59")</f>
        <v>0</v>
      </c>
      <c r="AB70">
        <f>COUNTIF(V3:V8,"metacell-59")</f>
        <v>1</v>
      </c>
      <c r="AC70">
        <f>COUNTIF(Y3:Y8,"metacell-59")</f>
        <v>0</v>
      </c>
      <c r="AD70">
        <f t="shared" si="1"/>
        <v>3</v>
      </c>
    </row>
    <row r="71" spans="1:30" x14ac:dyDescent="0.25">
      <c r="A71" s="67" t="s">
        <v>158</v>
      </c>
      <c r="B71" s="38">
        <v>16</v>
      </c>
      <c r="C71" s="2">
        <v>10</v>
      </c>
      <c r="D71" s="2">
        <v>13</v>
      </c>
      <c r="E71" s="2">
        <v>12</v>
      </c>
      <c r="F71" s="38">
        <v>3</v>
      </c>
      <c r="G71" s="2">
        <v>1</v>
      </c>
      <c r="H71" s="2">
        <v>4</v>
      </c>
      <c r="I71" s="2">
        <v>23</v>
      </c>
      <c r="J71" s="2">
        <v>13</v>
      </c>
      <c r="K71" s="2">
        <f t="shared" si="0"/>
        <v>95</v>
      </c>
      <c r="L71" s="80">
        <v>14</v>
      </c>
      <c r="M71" s="54" t="s">
        <v>134</v>
      </c>
      <c r="N71" s="20">
        <v>77</v>
      </c>
      <c r="O71" s="98">
        <v>13</v>
      </c>
      <c r="Q71" s="54" t="s">
        <v>16</v>
      </c>
      <c r="R71" s="55">
        <v>1</v>
      </c>
      <c r="T71" t="s">
        <v>158</v>
      </c>
      <c r="U71">
        <f>COUNTIF(A3:A8,"metacell-86")</f>
        <v>0</v>
      </c>
      <c r="V71">
        <f>COUNTIF(D3:D8,"metacell-86")</f>
        <v>0</v>
      </c>
      <c r="W71">
        <f>COUNTIF(G3:G8,"metacell-86")</f>
        <v>0</v>
      </c>
      <c r="X71">
        <f>COUNTIF(J3:J8,"metacell-86")</f>
        <v>0</v>
      </c>
      <c r="Y71">
        <f>COUNTIF(M3:M8,"metacell-86")</f>
        <v>1</v>
      </c>
      <c r="Z71">
        <f>COUNTIF(P3:P8,"metacell-86")</f>
        <v>1</v>
      </c>
      <c r="AA71">
        <f>COUNTIF(S3:S8,"metacell-86")</f>
        <v>1</v>
      </c>
      <c r="AB71">
        <f>COUNTIF(V3:V8,"metacell-86")</f>
        <v>0</v>
      </c>
      <c r="AC71">
        <f>COUNTIF(Y3:Y8,"metacell-86")</f>
        <v>0</v>
      </c>
      <c r="AD71">
        <f t="shared" si="1"/>
        <v>3</v>
      </c>
    </row>
    <row r="72" spans="1:30" x14ac:dyDescent="0.25">
      <c r="A72" s="67" t="s">
        <v>107</v>
      </c>
      <c r="B72" s="38">
        <v>23</v>
      </c>
      <c r="C72" s="2">
        <v>5</v>
      </c>
      <c r="D72" s="2">
        <v>10</v>
      </c>
      <c r="E72" s="2">
        <v>4</v>
      </c>
      <c r="F72" s="38">
        <v>7</v>
      </c>
      <c r="G72" s="2">
        <v>5</v>
      </c>
      <c r="H72" s="2">
        <v>3</v>
      </c>
      <c r="I72" s="2">
        <v>27</v>
      </c>
      <c r="J72" s="2">
        <v>16</v>
      </c>
      <c r="K72" s="2">
        <f t="shared" si="0"/>
        <v>100</v>
      </c>
      <c r="L72" s="80">
        <v>15</v>
      </c>
      <c r="M72" s="54" t="s">
        <v>7</v>
      </c>
      <c r="N72" s="20">
        <v>79</v>
      </c>
      <c r="O72" s="98">
        <v>14</v>
      </c>
      <c r="Q72" s="54" t="s">
        <v>140</v>
      </c>
      <c r="R72" s="55">
        <v>1</v>
      </c>
      <c r="T72" t="s">
        <v>107</v>
      </c>
      <c r="U72">
        <f>COUNTIF(A3:A8,"metacell-32")</f>
        <v>0</v>
      </c>
      <c r="V72">
        <f>COUNTIF(D3:D8,"metacell-32")</f>
        <v>1</v>
      </c>
      <c r="W72">
        <f>COUNTIF(G3:G8,"metacell-32")</f>
        <v>0</v>
      </c>
      <c r="X72">
        <f>COUNTIF(J3:J8,"metacell-32")</f>
        <v>1</v>
      </c>
      <c r="Y72">
        <f>COUNTIF(M3:M8,"metacell-32")</f>
        <v>0</v>
      </c>
      <c r="Z72">
        <f>COUNTIF(P3:P8,"metacell-32")</f>
        <v>0</v>
      </c>
      <c r="AA72">
        <f>COUNTIF(S3:S8,"metacell-32")</f>
        <v>1</v>
      </c>
      <c r="AB72">
        <f>COUNTIF(V3:V8,"metacell-32")</f>
        <v>0</v>
      </c>
      <c r="AC72">
        <f>COUNTIF(Y3:Y8,"metacell-32")</f>
        <v>0</v>
      </c>
      <c r="AD72">
        <f t="shared" si="1"/>
        <v>3</v>
      </c>
    </row>
    <row r="73" spans="1:30" x14ac:dyDescent="0.25">
      <c r="A73" s="67" t="s">
        <v>16</v>
      </c>
      <c r="B73" s="38">
        <v>11</v>
      </c>
      <c r="C73" s="2">
        <v>16</v>
      </c>
      <c r="D73" s="2">
        <v>17</v>
      </c>
      <c r="E73" s="2">
        <v>16</v>
      </c>
      <c r="F73" s="40">
        <v>13</v>
      </c>
      <c r="G73" s="2">
        <v>7</v>
      </c>
      <c r="H73" s="2">
        <v>9</v>
      </c>
      <c r="I73" s="2">
        <v>5</v>
      </c>
      <c r="J73" s="2">
        <v>7</v>
      </c>
      <c r="K73" s="2">
        <f t="shared" si="0"/>
        <v>101</v>
      </c>
      <c r="L73" s="80">
        <v>16</v>
      </c>
      <c r="M73" s="54" t="s">
        <v>101</v>
      </c>
      <c r="N73" s="20">
        <v>80</v>
      </c>
      <c r="O73" s="98">
        <v>15</v>
      </c>
      <c r="Q73" s="54" t="s">
        <v>131</v>
      </c>
      <c r="R73" s="55">
        <v>1</v>
      </c>
      <c r="T73" t="s">
        <v>16</v>
      </c>
      <c r="U73">
        <f>COUNTIF(A3:A8,"metacell-78")</f>
        <v>0</v>
      </c>
      <c r="V73">
        <f>COUNTIF(D3:D8,"metacell-78")</f>
        <v>0</v>
      </c>
      <c r="W73">
        <f>COUNTIF(G3:G8,"metacell-78")</f>
        <v>0</v>
      </c>
      <c r="X73">
        <f>COUNTIF(J3:J8,"metacell-78")</f>
        <v>0</v>
      </c>
      <c r="Y73">
        <f>COUNTIF(M3:M8,"metacell-78")</f>
        <v>0</v>
      </c>
      <c r="Z73">
        <f>COUNTIF(P3:P8,"metacell-78")</f>
        <v>0</v>
      </c>
      <c r="AA73">
        <f>COUNTIF(S3:S8,"metacell-78")</f>
        <v>0</v>
      </c>
      <c r="AB73">
        <f>COUNTIF(V3:V8,"metacell-78")</f>
        <v>1</v>
      </c>
      <c r="AC73">
        <f>COUNTIF(Y3:Y8,"metacell-78")</f>
        <v>0</v>
      </c>
      <c r="AD73">
        <f t="shared" si="1"/>
        <v>1</v>
      </c>
    </row>
    <row r="74" spans="1:30" x14ac:dyDescent="0.25">
      <c r="A74" s="67" t="s">
        <v>141</v>
      </c>
      <c r="B74" s="38">
        <v>15</v>
      </c>
      <c r="C74" s="2">
        <v>13</v>
      </c>
      <c r="D74" s="2">
        <v>11</v>
      </c>
      <c r="E74" s="2">
        <v>16</v>
      </c>
      <c r="F74" s="38">
        <v>7</v>
      </c>
      <c r="G74" s="2">
        <v>5</v>
      </c>
      <c r="H74" s="2">
        <v>7</v>
      </c>
      <c r="I74" s="2">
        <v>22</v>
      </c>
      <c r="J74" s="2">
        <v>11</v>
      </c>
      <c r="K74" s="2">
        <f t="shared" si="0"/>
        <v>107</v>
      </c>
      <c r="L74" s="80">
        <v>17</v>
      </c>
      <c r="M74" s="54" t="s">
        <v>98</v>
      </c>
      <c r="N74" s="20">
        <v>80</v>
      </c>
      <c r="O74" s="98">
        <v>15</v>
      </c>
      <c r="Q74" s="54" t="s">
        <v>104</v>
      </c>
      <c r="R74" s="55">
        <v>1</v>
      </c>
      <c r="T74" t="s">
        <v>141</v>
      </c>
      <c r="U74">
        <f>COUNTIF(A3:A8,"metacell-67")</f>
        <v>0</v>
      </c>
      <c r="V74">
        <f>COUNTIF(D3:D8,"metacell-67")</f>
        <v>0</v>
      </c>
      <c r="W74">
        <f>COUNTIF(G3:G8,"metacell-67")</f>
        <v>0</v>
      </c>
      <c r="X74">
        <f>COUNTIF(J3:J8,"metacell-67")</f>
        <v>0</v>
      </c>
      <c r="Y74">
        <f>COUNTIF(M3:M8,"metacell-67")</f>
        <v>0</v>
      </c>
      <c r="Z74">
        <f>COUNTIF(P3:P8,"metacell-67")</f>
        <v>0</v>
      </c>
      <c r="AA74">
        <f>COUNTIF(S3:S8,"metacell-67")</f>
        <v>0</v>
      </c>
      <c r="AB74">
        <f>COUNTIF(V3:V8,"metacell-67")</f>
        <v>0</v>
      </c>
      <c r="AC74">
        <f>COUNTIF(Y3:Y8,"metacell-67")</f>
        <v>0</v>
      </c>
      <c r="AD74">
        <f t="shared" si="1"/>
        <v>0</v>
      </c>
    </row>
    <row r="75" spans="1:30" x14ac:dyDescent="0.25">
      <c r="A75" s="67" t="s">
        <v>146</v>
      </c>
      <c r="B75" s="38">
        <v>18</v>
      </c>
      <c r="C75" s="2">
        <v>17</v>
      </c>
      <c r="D75" s="2">
        <v>15</v>
      </c>
      <c r="E75" s="2">
        <v>14</v>
      </c>
      <c r="F75" s="40">
        <v>10</v>
      </c>
      <c r="G75" s="2">
        <v>4</v>
      </c>
      <c r="H75" s="2">
        <v>6</v>
      </c>
      <c r="I75" s="2">
        <v>8</v>
      </c>
      <c r="J75" s="2">
        <v>16</v>
      </c>
      <c r="K75" s="2">
        <f t="shared" si="0"/>
        <v>108</v>
      </c>
      <c r="L75" s="80">
        <v>18</v>
      </c>
      <c r="M75" s="54" t="s">
        <v>89</v>
      </c>
      <c r="N75" s="20">
        <v>82</v>
      </c>
      <c r="O75" s="98">
        <v>16</v>
      </c>
      <c r="Q75" s="54" t="s">
        <v>101</v>
      </c>
      <c r="R75" s="55">
        <v>1</v>
      </c>
      <c r="T75" t="s">
        <v>146</v>
      </c>
      <c r="U75">
        <f>COUNTIF(A3:A8,"metacell-72")</f>
        <v>0</v>
      </c>
      <c r="V75">
        <f>COUNTIF(D3:D8,"metacell-72")</f>
        <v>0</v>
      </c>
      <c r="W75">
        <f>COUNTIF(G3:G8,"metacell-72")</f>
        <v>0</v>
      </c>
      <c r="X75">
        <f>COUNTIF(J3:J8,"metacell-72")</f>
        <v>0</v>
      </c>
      <c r="Y75">
        <f>COUNTIF(M3:M8,"metacell-72")</f>
        <v>0</v>
      </c>
      <c r="Z75">
        <f>COUNTIF(P3:P8,"metacell-72")</f>
        <v>0</v>
      </c>
      <c r="AA75">
        <f>COUNTIF(S3:S8,"metacell-72")</f>
        <v>0</v>
      </c>
      <c r="AB75">
        <f>COUNTIF(V3:V8,"metacell-72")</f>
        <v>0</v>
      </c>
      <c r="AC75">
        <f>COUNTIF(Y3:Y8,"metacell-72")</f>
        <v>0</v>
      </c>
      <c r="AD75">
        <f t="shared" si="1"/>
        <v>0</v>
      </c>
    </row>
    <row r="76" spans="1:30" x14ac:dyDescent="0.25">
      <c r="A76" s="67" t="s">
        <v>14</v>
      </c>
      <c r="B76" s="38">
        <v>8</v>
      </c>
      <c r="C76" s="2">
        <v>18</v>
      </c>
      <c r="D76" s="2">
        <v>16</v>
      </c>
      <c r="E76" s="2">
        <v>26</v>
      </c>
      <c r="F76" s="38">
        <v>9</v>
      </c>
      <c r="G76" s="2">
        <v>3</v>
      </c>
      <c r="H76" s="2">
        <v>8</v>
      </c>
      <c r="I76" s="2">
        <v>10</v>
      </c>
      <c r="J76" s="2">
        <v>14</v>
      </c>
      <c r="K76" s="2">
        <f t="shared" si="0"/>
        <v>112</v>
      </c>
      <c r="L76" s="80">
        <v>19</v>
      </c>
      <c r="M76" s="54" t="s">
        <v>146</v>
      </c>
      <c r="N76" s="20">
        <v>84</v>
      </c>
      <c r="O76" s="98">
        <v>17</v>
      </c>
      <c r="Q76" s="54" t="s">
        <v>98</v>
      </c>
      <c r="R76" s="55">
        <v>1</v>
      </c>
      <c r="T76" t="s">
        <v>14</v>
      </c>
      <c r="U76">
        <f>COUNTIF(A3:A8,"metacell-63")</f>
        <v>0</v>
      </c>
      <c r="V76">
        <f>COUNTIF(D3:D8,"metacell-63")</f>
        <v>0</v>
      </c>
      <c r="W76">
        <f>COUNTIF(G3:G8,"metacell-63")</f>
        <v>0</v>
      </c>
      <c r="X76">
        <f>COUNTIF(J3:J8,"metacell-63")</f>
        <v>0</v>
      </c>
      <c r="Y76">
        <f>COUNTIF(M3:M8,"metacell-63")</f>
        <v>0</v>
      </c>
      <c r="Z76">
        <f>COUNTIF(P3:P8,"metacell-63")</f>
        <v>0</v>
      </c>
      <c r="AA76">
        <f>COUNTIF(S3:S8,"metacell-63")</f>
        <v>0</v>
      </c>
      <c r="AB76">
        <f>COUNTIF(V3:V8,"metacell-63")</f>
        <v>0</v>
      </c>
      <c r="AC76">
        <f>COUNTIF(Y3:Y8,"metacell-63")</f>
        <v>0</v>
      </c>
      <c r="AD76">
        <f t="shared" si="1"/>
        <v>0</v>
      </c>
    </row>
    <row r="77" spans="1:30" x14ac:dyDescent="0.25">
      <c r="A77" s="67" t="s">
        <v>140</v>
      </c>
      <c r="B77" s="38">
        <v>21</v>
      </c>
      <c r="C77" s="2">
        <v>14</v>
      </c>
      <c r="D77" s="2">
        <v>15</v>
      </c>
      <c r="E77" s="2">
        <v>18</v>
      </c>
      <c r="F77" s="40">
        <v>14</v>
      </c>
      <c r="G77" s="2">
        <v>7</v>
      </c>
      <c r="H77" s="2">
        <v>7</v>
      </c>
      <c r="I77" s="2">
        <v>12</v>
      </c>
      <c r="J77" s="2">
        <v>5</v>
      </c>
      <c r="K77" s="2">
        <f t="shared" si="0"/>
        <v>113</v>
      </c>
      <c r="L77" s="80">
        <v>20</v>
      </c>
      <c r="M77" s="54" t="s">
        <v>130</v>
      </c>
      <c r="N77" s="20">
        <v>85</v>
      </c>
      <c r="O77" s="98">
        <v>18</v>
      </c>
      <c r="Q77" s="54" t="s">
        <v>127</v>
      </c>
      <c r="R77" s="55">
        <v>1</v>
      </c>
      <c r="T77" t="s">
        <v>140</v>
      </c>
      <c r="U77">
        <f>COUNTIF(A3:A8,"metacell-66")</f>
        <v>0</v>
      </c>
      <c r="V77">
        <f>COUNTIF(D3:D8,"metacell-66")</f>
        <v>0</v>
      </c>
      <c r="W77">
        <f>COUNTIF(G3:G8,"metacell-66")</f>
        <v>0</v>
      </c>
      <c r="X77">
        <f>COUNTIF(J3:J8,"metacell-66")</f>
        <v>0</v>
      </c>
      <c r="Y77">
        <f>COUNTIF(M3:M8,"metacell-66")</f>
        <v>0</v>
      </c>
      <c r="Z77">
        <f>COUNTIF(P3:P8,"metacell-66")</f>
        <v>0</v>
      </c>
      <c r="AA77">
        <f>COUNTIF(S3:S8,"metacell-66")</f>
        <v>0</v>
      </c>
      <c r="AB77">
        <f>COUNTIF(V3:V8,"metacell-66")</f>
        <v>0</v>
      </c>
      <c r="AC77">
        <f>COUNTIF(Y3:Y8,"metacell-66")</f>
        <v>1</v>
      </c>
      <c r="AD77">
        <f t="shared" si="1"/>
        <v>1</v>
      </c>
    </row>
    <row r="78" spans="1:30" x14ac:dyDescent="0.25">
      <c r="A78" s="67" t="s">
        <v>111</v>
      </c>
      <c r="B78" s="38">
        <v>25</v>
      </c>
      <c r="C78" s="2">
        <v>9</v>
      </c>
      <c r="D78" s="2">
        <v>20</v>
      </c>
      <c r="E78" s="2">
        <v>9</v>
      </c>
      <c r="F78" s="40">
        <v>14</v>
      </c>
      <c r="G78" s="2">
        <v>8</v>
      </c>
      <c r="H78" s="2">
        <v>5</v>
      </c>
      <c r="I78" s="2">
        <v>23</v>
      </c>
      <c r="J78" s="2">
        <v>6</v>
      </c>
      <c r="K78" s="2">
        <f t="shared" si="0"/>
        <v>119</v>
      </c>
      <c r="L78" s="80">
        <v>21</v>
      </c>
      <c r="M78" s="54" t="s">
        <v>164</v>
      </c>
      <c r="N78" s="20">
        <v>86</v>
      </c>
      <c r="O78" s="98">
        <v>19</v>
      </c>
      <c r="Q78" s="54" t="s">
        <v>164</v>
      </c>
      <c r="R78" s="55">
        <v>1</v>
      </c>
      <c r="T78" t="s">
        <v>111</v>
      </c>
      <c r="U78">
        <f>COUNTIF(A3:A8,"metacell-36")</f>
        <v>0</v>
      </c>
      <c r="V78">
        <f>COUNTIF(D3:D8,"metacell-36")</f>
        <v>0</v>
      </c>
      <c r="W78">
        <f>COUNTIF(G3:G8,"metacell-36")</f>
        <v>0</v>
      </c>
      <c r="X78">
        <f>COUNTIF(J3:J8,"metacell-36")</f>
        <v>0</v>
      </c>
      <c r="Y78">
        <f>COUNTIF(M3:M8,"metacell-36")</f>
        <v>0</v>
      </c>
      <c r="Z78">
        <f>COUNTIF(P3:P8,"metacell-36")</f>
        <v>0</v>
      </c>
      <c r="AA78">
        <f>COUNTIF(S3:S8,"metacell-36")</f>
        <v>0</v>
      </c>
      <c r="AB78">
        <f>COUNTIF(V3:V8,"metacell-36")</f>
        <v>0</v>
      </c>
      <c r="AC78">
        <f>COUNTIF(Y3:Y8,"metacell-36")</f>
        <v>0</v>
      </c>
      <c r="AD78">
        <f t="shared" si="1"/>
        <v>0</v>
      </c>
    </row>
    <row r="79" spans="1:30" x14ac:dyDescent="0.25">
      <c r="A79" s="67" t="s">
        <v>131</v>
      </c>
      <c r="B79" s="38">
        <v>20</v>
      </c>
      <c r="C79" s="2">
        <v>18</v>
      </c>
      <c r="D79" s="2">
        <v>13</v>
      </c>
      <c r="E79" s="2">
        <v>25</v>
      </c>
      <c r="F79" s="40">
        <v>12</v>
      </c>
      <c r="G79" s="2">
        <v>5</v>
      </c>
      <c r="H79" s="2">
        <v>10</v>
      </c>
      <c r="I79" s="2">
        <v>3</v>
      </c>
      <c r="J79" s="2">
        <v>13</v>
      </c>
      <c r="K79" s="2">
        <f t="shared" si="0"/>
        <v>119</v>
      </c>
      <c r="L79" s="80">
        <v>21</v>
      </c>
      <c r="M79" s="54" t="s">
        <v>139</v>
      </c>
      <c r="N79" s="20">
        <v>88</v>
      </c>
      <c r="O79" s="98">
        <v>20</v>
      </c>
      <c r="Q79" s="54" t="s">
        <v>135</v>
      </c>
      <c r="R79" s="55">
        <v>0</v>
      </c>
      <c r="T79" t="s">
        <v>131</v>
      </c>
      <c r="U79">
        <f>COUNTIF(A3:A8,"metacell-56")</f>
        <v>0</v>
      </c>
      <c r="V79">
        <f>COUNTIF(D3:D8,"metacell-56")</f>
        <v>0</v>
      </c>
      <c r="W79">
        <f>COUNTIF(G3:G8,"metacell-56")</f>
        <v>0</v>
      </c>
      <c r="X79">
        <f>COUNTIF(J3:J8,"metacell-56")</f>
        <v>0</v>
      </c>
      <c r="Y79">
        <f>COUNTIF(M3:M8,"metacell-56")</f>
        <v>0</v>
      </c>
      <c r="Z79">
        <f>COUNTIF(P3:P8,"metacell-56")</f>
        <v>0</v>
      </c>
      <c r="AA79">
        <f>COUNTIF(S3:S8,"metacell-56")</f>
        <v>0</v>
      </c>
      <c r="AB79">
        <f>COUNTIF(V3:V8,"metacell-56")</f>
        <v>1</v>
      </c>
      <c r="AC79">
        <f>COUNTIF(Y3:Y8,"metacell-56")</f>
        <v>0</v>
      </c>
      <c r="AD79">
        <f t="shared" si="1"/>
        <v>1</v>
      </c>
    </row>
    <row r="80" spans="1:30" x14ac:dyDescent="0.25">
      <c r="A80" s="67" t="s">
        <v>104</v>
      </c>
      <c r="B80" s="38">
        <v>10</v>
      </c>
      <c r="C80" s="2">
        <v>7</v>
      </c>
      <c r="D80" s="2">
        <v>12</v>
      </c>
      <c r="E80" s="2">
        <v>2</v>
      </c>
      <c r="F80" s="40">
        <v>17</v>
      </c>
      <c r="G80" s="2">
        <v>9</v>
      </c>
      <c r="H80" s="2">
        <v>13</v>
      </c>
      <c r="I80" s="2">
        <v>34</v>
      </c>
      <c r="J80" s="2">
        <v>18</v>
      </c>
      <c r="K80" s="2">
        <f t="shared" si="0"/>
        <v>122</v>
      </c>
      <c r="L80" s="80">
        <v>22</v>
      </c>
      <c r="M80" s="54" t="s">
        <v>14</v>
      </c>
      <c r="N80" s="20">
        <v>88</v>
      </c>
      <c r="O80" s="98">
        <v>20</v>
      </c>
      <c r="Q80" s="54" t="s">
        <v>143</v>
      </c>
      <c r="R80" s="55">
        <v>0</v>
      </c>
      <c r="T80" t="s">
        <v>104</v>
      </c>
      <c r="U80">
        <f>COUNTIF(A3:A8,"metacell-29")</f>
        <v>0</v>
      </c>
      <c r="V80">
        <f>COUNTIF(D3:D8,"metacell-29")</f>
        <v>0</v>
      </c>
      <c r="W80">
        <f>COUNTIF(G3:G8,"metacell-29")</f>
        <v>0</v>
      </c>
      <c r="X80">
        <f>COUNTIF(J3:J8,"metacell-29")</f>
        <v>1</v>
      </c>
      <c r="Y80">
        <f>COUNTIF(M3:M8,"metacell-29")</f>
        <v>0</v>
      </c>
      <c r="Z80">
        <f>COUNTIF(P3:P8,"metacell-29")</f>
        <v>0</v>
      </c>
      <c r="AA80">
        <f>COUNTIF(S3:S8,"metacell-29")</f>
        <v>0</v>
      </c>
      <c r="AB80">
        <f>COUNTIF(V3:V8,"metacell-29")</f>
        <v>0</v>
      </c>
      <c r="AC80">
        <f>COUNTIF(Y3:Y8,"metacell-29")</f>
        <v>0</v>
      </c>
      <c r="AD80">
        <f t="shared" si="1"/>
        <v>1</v>
      </c>
    </row>
    <row r="81" spans="1:30" x14ac:dyDescent="0.25">
      <c r="A81" s="67" t="s">
        <v>101</v>
      </c>
      <c r="B81" s="38">
        <v>20</v>
      </c>
      <c r="C81" s="2">
        <v>8</v>
      </c>
      <c r="D81" s="2">
        <v>16</v>
      </c>
      <c r="E81" s="2">
        <v>5</v>
      </c>
      <c r="F81" s="40">
        <v>14</v>
      </c>
      <c r="G81" s="2">
        <v>9</v>
      </c>
      <c r="H81" s="2">
        <v>8</v>
      </c>
      <c r="I81" s="2">
        <v>28</v>
      </c>
      <c r="J81" s="2">
        <v>17</v>
      </c>
      <c r="K81" s="2">
        <f t="shared" si="0"/>
        <v>125</v>
      </c>
      <c r="L81" s="80">
        <v>23</v>
      </c>
      <c r="M81" s="54" t="s">
        <v>16</v>
      </c>
      <c r="N81" s="20">
        <v>89</v>
      </c>
      <c r="O81" s="98">
        <v>21</v>
      </c>
      <c r="Q81" s="54" t="s">
        <v>141</v>
      </c>
      <c r="R81" s="55">
        <v>0</v>
      </c>
      <c r="T81" t="s">
        <v>101</v>
      </c>
      <c r="U81">
        <f>COUNTIF(A3:A8,"metacell-26")</f>
        <v>0</v>
      </c>
      <c r="V81">
        <f>COUNTIF(D3:D8,"metacell-26")</f>
        <v>0</v>
      </c>
      <c r="W81">
        <f>COUNTIF(G3:G8,"metacell-26")</f>
        <v>0</v>
      </c>
      <c r="X81">
        <f>COUNTIF(J3:J8,"metacell-26")</f>
        <v>1</v>
      </c>
      <c r="Y81">
        <f>COUNTIF(M3:M8,"metacell-26")</f>
        <v>0</v>
      </c>
      <c r="Z81">
        <f>COUNTIF(P3:P8,"metacell-26")</f>
        <v>0</v>
      </c>
      <c r="AA81">
        <f>COUNTIF(S3:S8,"metacell-26")</f>
        <v>0</v>
      </c>
      <c r="AB81">
        <f>COUNTIF(V3:V8,"metacell-26")</f>
        <v>0</v>
      </c>
      <c r="AC81">
        <f>COUNTIF(Y3:Y8,"metacell-26")</f>
        <v>0</v>
      </c>
      <c r="AD81">
        <f t="shared" si="1"/>
        <v>1</v>
      </c>
    </row>
    <row r="82" spans="1:30" x14ac:dyDescent="0.25">
      <c r="A82" s="67" t="s">
        <v>170</v>
      </c>
      <c r="B82" s="38">
        <v>30</v>
      </c>
      <c r="C82" s="2">
        <v>14</v>
      </c>
      <c r="D82" s="2">
        <v>15</v>
      </c>
      <c r="E82" s="2">
        <v>14</v>
      </c>
      <c r="F82" s="40">
        <v>9</v>
      </c>
      <c r="G82" s="2">
        <v>5</v>
      </c>
      <c r="H82" s="2">
        <v>5</v>
      </c>
      <c r="I82" s="2">
        <v>18</v>
      </c>
      <c r="J82" s="2">
        <v>16</v>
      </c>
      <c r="K82" s="2">
        <f t="shared" si="0"/>
        <v>126</v>
      </c>
      <c r="L82" s="80">
        <v>24</v>
      </c>
      <c r="M82" s="54" t="s">
        <v>111</v>
      </c>
      <c r="N82" s="20">
        <v>90</v>
      </c>
      <c r="O82" s="98">
        <v>22</v>
      </c>
      <c r="Q82" s="54" t="s">
        <v>146</v>
      </c>
      <c r="R82" s="55">
        <v>0</v>
      </c>
      <c r="T82" t="s">
        <v>170</v>
      </c>
      <c r="U82">
        <f>COUNTIF(A3:A8,"metacell-104")</f>
        <v>0</v>
      </c>
      <c r="V82">
        <f>COUNTIF(D3:D8,"metacell-104")</f>
        <v>0</v>
      </c>
      <c r="W82">
        <f>COUNTIF(G3:G8,"metacell-104")</f>
        <v>0</v>
      </c>
      <c r="X82">
        <f>COUNTIF(J3:J8,"metacell-104")</f>
        <v>0</v>
      </c>
      <c r="Y82">
        <f>COUNTIF(M3:M8,"metacell-104")</f>
        <v>0</v>
      </c>
      <c r="Z82">
        <f>COUNTIF(P3:P8,"metacell-104")</f>
        <v>0</v>
      </c>
      <c r="AA82">
        <f>COUNTIF(S3:S8,"metacell-104")</f>
        <v>0</v>
      </c>
      <c r="AB82">
        <f>COUNTIF(V3:V8,"metacell-104")</f>
        <v>0</v>
      </c>
      <c r="AC82">
        <f>COUNTIF(Y3:Y8,"metacell-104")</f>
        <v>0</v>
      </c>
      <c r="AD82">
        <f t="shared" si="1"/>
        <v>0</v>
      </c>
    </row>
    <row r="83" spans="1:30" x14ac:dyDescent="0.25">
      <c r="A83" s="67" t="s">
        <v>98</v>
      </c>
      <c r="B83" s="38">
        <v>18</v>
      </c>
      <c r="C83" s="2">
        <v>8</v>
      </c>
      <c r="D83" s="2">
        <v>20</v>
      </c>
      <c r="E83" s="2">
        <v>1</v>
      </c>
      <c r="F83" s="40">
        <v>15</v>
      </c>
      <c r="G83" s="2">
        <v>9</v>
      </c>
      <c r="H83" s="2">
        <v>9</v>
      </c>
      <c r="I83" s="2">
        <v>31</v>
      </c>
      <c r="J83" s="2">
        <v>17</v>
      </c>
      <c r="K83" s="2">
        <f t="shared" si="0"/>
        <v>128</v>
      </c>
      <c r="L83" s="80">
        <v>25</v>
      </c>
      <c r="M83" s="54" t="s">
        <v>170</v>
      </c>
      <c r="N83" s="20">
        <v>92</v>
      </c>
      <c r="O83" s="98">
        <v>23</v>
      </c>
      <c r="Q83" s="54" t="s">
        <v>14</v>
      </c>
      <c r="R83" s="55">
        <v>0</v>
      </c>
      <c r="T83" t="s">
        <v>98</v>
      </c>
      <c r="U83">
        <f>COUNTIF(A3:A8,"metacell-23")</f>
        <v>0</v>
      </c>
      <c r="V83">
        <f>COUNTIF(D3:D8,"metacell-23")</f>
        <v>0</v>
      </c>
      <c r="W83">
        <f>COUNTIF(G3:G8,"metacell-23")</f>
        <v>0</v>
      </c>
      <c r="X83">
        <f>COUNTIF(J3:J8,"metacell-23")</f>
        <v>1</v>
      </c>
      <c r="Y83">
        <f>COUNTIF(M3:M8,"metacell-23")</f>
        <v>0</v>
      </c>
      <c r="Z83">
        <f>COUNTIF(P3:P8,"metacell-23")</f>
        <v>0</v>
      </c>
      <c r="AA83">
        <f>COUNTIF(S3:S8,"metacell-23")</f>
        <v>0</v>
      </c>
      <c r="AB83">
        <f>COUNTIF(V3:V8,"metacell-23")</f>
        <v>0</v>
      </c>
      <c r="AC83">
        <f>COUNTIF(Y3:Y8,"metacell-23")</f>
        <v>0</v>
      </c>
      <c r="AD83">
        <f t="shared" si="1"/>
        <v>1</v>
      </c>
    </row>
    <row r="84" spans="1:30" x14ac:dyDescent="0.25">
      <c r="A84" s="67" t="s">
        <v>113</v>
      </c>
      <c r="B84" s="38">
        <v>24</v>
      </c>
      <c r="C84" s="2">
        <v>15</v>
      </c>
      <c r="D84" s="2">
        <v>9</v>
      </c>
      <c r="E84" s="2">
        <v>24</v>
      </c>
      <c r="F84" s="40">
        <v>11</v>
      </c>
      <c r="G84" s="2">
        <v>4</v>
      </c>
      <c r="H84" s="2">
        <v>11</v>
      </c>
      <c r="I84" s="2">
        <v>21</v>
      </c>
      <c r="J84" s="2">
        <v>10</v>
      </c>
      <c r="K84" s="2">
        <f t="shared" si="0"/>
        <v>129</v>
      </c>
      <c r="L84" s="80">
        <v>26</v>
      </c>
      <c r="M84" s="54" t="s">
        <v>140</v>
      </c>
      <c r="N84" s="20">
        <v>96</v>
      </c>
      <c r="O84" s="98">
        <v>24</v>
      </c>
      <c r="Q84" s="54" t="s">
        <v>111</v>
      </c>
      <c r="R84" s="55">
        <v>0</v>
      </c>
      <c r="T84" t="s">
        <v>113</v>
      </c>
      <c r="U84">
        <f>COUNTIF(A3:A8,"metacell-38")</f>
        <v>0</v>
      </c>
      <c r="V84">
        <f>COUNTIF(D3:D8,"metacell-38")</f>
        <v>0</v>
      </c>
      <c r="W84">
        <f>COUNTIF(G3:G8,"metacell-38")</f>
        <v>0</v>
      </c>
      <c r="X84">
        <f>COUNTIF(J3:J8,"metacell-38")</f>
        <v>0</v>
      </c>
      <c r="Y84">
        <f>COUNTIF(M3:M8,"metacell-38")</f>
        <v>0</v>
      </c>
      <c r="Z84">
        <f>COUNTIF(P3:P8,"metacell-38")</f>
        <v>0</v>
      </c>
      <c r="AA84">
        <f>COUNTIF(S3:S8,"metacell-38")</f>
        <v>0</v>
      </c>
      <c r="AB84">
        <f>COUNTIF(V3:V8,"metacell-38")</f>
        <v>0</v>
      </c>
      <c r="AC84">
        <f>COUNTIF(Y3:Y8,"metacell-38")</f>
        <v>0</v>
      </c>
      <c r="AD84">
        <f t="shared" si="1"/>
        <v>0</v>
      </c>
    </row>
    <row r="85" spans="1:30" x14ac:dyDescent="0.25">
      <c r="A85" s="67" t="s">
        <v>127</v>
      </c>
      <c r="B85" s="38">
        <v>29</v>
      </c>
      <c r="C85" s="2">
        <v>19</v>
      </c>
      <c r="D85" s="2">
        <v>18</v>
      </c>
      <c r="E85" s="2">
        <v>24</v>
      </c>
      <c r="F85" s="40">
        <v>15</v>
      </c>
      <c r="G85" s="2">
        <v>5</v>
      </c>
      <c r="H85" s="2">
        <v>13</v>
      </c>
      <c r="I85" s="2">
        <v>7</v>
      </c>
      <c r="J85" s="2">
        <v>3</v>
      </c>
      <c r="K85" s="2">
        <f t="shared" si="0"/>
        <v>133</v>
      </c>
      <c r="L85" s="80">
        <v>27</v>
      </c>
      <c r="M85" s="54" t="s">
        <v>113</v>
      </c>
      <c r="N85" s="20">
        <v>98</v>
      </c>
      <c r="O85" s="98">
        <v>25</v>
      </c>
      <c r="Q85" s="54" t="s">
        <v>170</v>
      </c>
      <c r="R85" s="55">
        <v>0</v>
      </c>
      <c r="T85" t="s">
        <v>127</v>
      </c>
      <c r="U85">
        <f>COUNTIF(A3:A8,"metacell-52")</f>
        <v>0</v>
      </c>
      <c r="V85">
        <f>COUNTIF(D3:D8,"metacell-52")</f>
        <v>0</v>
      </c>
      <c r="W85">
        <f>COUNTIF(G3:G8,"metacell-52")</f>
        <v>0</v>
      </c>
      <c r="X85">
        <f>COUNTIF(J3:J8,"metacell-52")</f>
        <v>0</v>
      </c>
      <c r="Y85">
        <f>COUNTIF(M3:M8,"metacell-52")</f>
        <v>0</v>
      </c>
      <c r="Z85">
        <f>COUNTIF(P3:P8,"metacell-52")</f>
        <v>0</v>
      </c>
      <c r="AA85">
        <f>COUNTIF(S3:S8,"metacell-52")</f>
        <v>0</v>
      </c>
      <c r="AB85">
        <f>COUNTIF(V3:V8,"metacell-52")</f>
        <v>0</v>
      </c>
      <c r="AC85">
        <f>COUNTIF(Y3:Y8,"metacell-52")</f>
        <v>1</v>
      </c>
      <c r="AD85">
        <f t="shared" si="1"/>
        <v>1</v>
      </c>
    </row>
    <row r="86" spans="1:30" x14ac:dyDescent="0.25">
      <c r="A86" s="67" t="s">
        <v>164</v>
      </c>
      <c r="B86" s="38">
        <v>17</v>
      </c>
      <c r="C86" s="2">
        <v>13</v>
      </c>
      <c r="D86" s="2">
        <v>4</v>
      </c>
      <c r="E86" s="2">
        <v>19</v>
      </c>
      <c r="F86" s="40">
        <v>16</v>
      </c>
      <c r="G86" s="2">
        <v>4</v>
      </c>
      <c r="H86" s="2">
        <v>13</v>
      </c>
      <c r="I86" s="2">
        <v>30</v>
      </c>
      <c r="J86" s="2">
        <v>17</v>
      </c>
      <c r="K86" s="2">
        <f t="shared" si="0"/>
        <v>133</v>
      </c>
      <c r="L86" s="80">
        <v>27</v>
      </c>
      <c r="M86" s="54" t="s">
        <v>151</v>
      </c>
      <c r="N86" s="20">
        <v>98</v>
      </c>
      <c r="O86" s="98">
        <v>25</v>
      </c>
      <c r="Q86" s="54" t="s">
        <v>113</v>
      </c>
      <c r="R86" s="55">
        <v>0</v>
      </c>
      <c r="T86" t="s">
        <v>164</v>
      </c>
      <c r="U86">
        <f>COUNTIF(A3:A8,"metacell-98")</f>
        <v>0</v>
      </c>
      <c r="V86">
        <f>COUNTIF(D3:D8,"metacell-98")</f>
        <v>0</v>
      </c>
      <c r="W86">
        <f>COUNTIF(G3:G8,"metacell-98")</f>
        <v>1</v>
      </c>
      <c r="X86">
        <f>COUNTIF(J3:J8,"metacell-98")</f>
        <v>0</v>
      </c>
      <c r="Y86">
        <f>COUNTIF(M3:M8,"metacell-98")</f>
        <v>0</v>
      </c>
      <c r="Z86">
        <f>COUNTIF(P3:P8,"metacell-98")</f>
        <v>0</v>
      </c>
      <c r="AA86">
        <f>COUNTIF(S3:S8,"metacell-98")</f>
        <v>0</v>
      </c>
      <c r="AB86">
        <f>COUNTIF(V3:V8,"metacell-98")</f>
        <v>0</v>
      </c>
      <c r="AC86">
        <f>COUNTIF(Y3:Y8,"metacell-98")</f>
        <v>0</v>
      </c>
      <c r="AD86">
        <f t="shared" si="1"/>
        <v>1</v>
      </c>
    </row>
    <row r="87" spans="1:30" x14ac:dyDescent="0.25">
      <c r="A87" s="67" t="s">
        <v>89</v>
      </c>
      <c r="B87" s="38">
        <v>31</v>
      </c>
      <c r="C87" s="2">
        <v>11</v>
      </c>
      <c r="D87" s="2">
        <v>16</v>
      </c>
      <c r="E87" s="2">
        <v>8</v>
      </c>
      <c r="F87" s="38">
        <v>7</v>
      </c>
      <c r="G87" s="2">
        <v>4</v>
      </c>
      <c r="H87" s="2">
        <v>5</v>
      </c>
      <c r="I87" s="2">
        <v>33</v>
      </c>
      <c r="J87" s="2">
        <v>19</v>
      </c>
      <c r="K87" s="2">
        <f t="shared" si="0"/>
        <v>134</v>
      </c>
      <c r="L87" s="80">
        <v>28</v>
      </c>
      <c r="M87" s="54" t="s">
        <v>131</v>
      </c>
      <c r="N87" s="20">
        <v>103</v>
      </c>
      <c r="O87" s="98">
        <v>26</v>
      </c>
      <c r="Q87" s="54" t="s">
        <v>89</v>
      </c>
      <c r="R87" s="55">
        <v>0</v>
      </c>
      <c r="T87" t="s">
        <v>89</v>
      </c>
      <c r="U87">
        <f>COUNTIF(A3:A8,"metacell-14")</f>
        <v>0</v>
      </c>
      <c r="V87">
        <f>COUNTIF(D3:D8,"metacell-14")</f>
        <v>0</v>
      </c>
      <c r="W87">
        <f>COUNTIF(G3:G8,"metacell-14")</f>
        <v>0</v>
      </c>
      <c r="X87">
        <f>COUNTIF(J3:J8,"metacell-14")</f>
        <v>0</v>
      </c>
      <c r="Y87">
        <f>COUNTIF(M3:M8,"metacell-14")</f>
        <v>0</v>
      </c>
      <c r="Z87">
        <f>COUNTIF(P3:P8,"metacell-14")</f>
        <v>0</v>
      </c>
      <c r="AA87">
        <f>COUNTIF(S3:S8,"metacell-14")</f>
        <v>0</v>
      </c>
      <c r="AB87">
        <f>COUNTIF(V3:V8,"metacell-14")</f>
        <v>0</v>
      </c>
      <c r="AC87">
        <f>COUNTIF(Y3:Y8,"metacell-14")</f>
        <v>0</v>
      </c>
      <c r="AD87">
        <f t="shared" si="1"/>
        <v>0</v>
      </c>
    </row>
    <row r="88" spans="1:30" x14ac:dyDescent="0.25">
      <c r="A88" s="67" t="s">
        <v>151</v>
      </c>
      <c r="B88" s="38">
        <v>16</v>
      </c>
      <c r="C88" s="2">
        <v>18</v>
      </c>
      <c r="D88" s="2">
        <v>9</v>
      </c>
      <c r="E88" s="2">
        <v>26</v>
      </c>
      <c r="F88" s="40">
        <v>14</v>
      </c>
      <c r="G88" s="2">
        <v>3</v>
      </c>
      <c r="H88" s="2">
        <v>12</v>
      </c>
      <c r="I88" s="2">
        <v>21</v>
      </c>
      <c r="J88" s="2">
        <v>17</v>
      </c>
      <c r="K88" s="2">
        <f t="shared" si="0"/>
        <v>136</v>
      </c>
      <c r="L88" s="80">
        <v>29</v>
      </c>
      <c r="M88" s="54" t="s">
        <v>147</v>
      </c>
      <c r="N88" s="20">
        <v>105</v>
      </c>
      <c r="O88" s="98">
        <v>26</v>
      </c>
      <c r="Q88" s="54" t="s">
        <v>151</v>
      </c>
      <c r="R88" s="55">
        <v>0</v>
      </c>
      <c r="T88" t="s">
        <v>151</v>
      </c>
      <c r="U88">
        <f>COUNTIF(A3:A8,"metacell-79")</f>
        <v>0</v>
      </c>
      <c r="V88">
        <f>COUNTIF(D3:D8,"metacell-79")</f>
        <v>0</v>
      </c>
      <c r="W88">
        <f>COUNTIF(G3:G8,"metacell-79")</f>
        <v>0</v>
      </c>
      <c r="X88">
        <f>COUNTIF(J3:J8,"metacell-79")</f>
        <v>0</v>
      </c>
      <c r="Y88">
        <f>COUNTIF(M3:M8,"metacell-79")</f>
        <v>0</v>
      </c>
      <c r="Z88">
        <f>COUNTIF(P3:P8,"metacell-79")</f>
        <v>0</v>
      </c>
      <c r="AA88">
        <f>COUNTIF(S3:S8,"metacell-79")</f>
        <v>0</v>
      </c>
      <c r="AB88">
        <f>COUNTIF(V3:V8,"metacell-79")</f>
        <v>0</v>
      </c>
      <c r="AC88">
        <f>COUNTIF(Y3:Y8,"metacell-79")</f>
        <v>0</v>
      </c>
      <c r="AD88">
        <f t="shared" si="1"/>
        <v>0</v>
      </c>
    </row>
    <row r="89" spans="1:30" x14ac:dyDescent="0.25">
      <c r="A89" s="67" t="s">
        <v>148</v>
      </c>
      <c r="B89" s="38">
        <v>13</v>
      </c>
      <c r="C89" s="2">
        <v>21</v>
      </c>
      <c r="D89" s="2">
        <v>20</v>
      </c>
      <c r="E89" s="2">
        <v>27</v>
      </c>
      <c r="F89" s="40">
        <v>13</v>
      </c>
      <c r="G89" s="2">
        <v>7</v>
      </c>
      <c r="H89" s="2">
        <v>7</v>
      </c>
      <c r="I89" s="2">
        <v>16</v>
      </c>
      <c r="J89" s="2">
        <v>14</v>
      </c>
      <c r="K89" s="2">
        <f t="shared" si="0"/>
        <v>138</v>
      </c>
      <c r="L89" s="80">
        <v>30</v>
      </c>
      <c r="M89" s="54" t="s">
        <v>119</v>
      </c>
      <c r="N89" s="20">
        <v>106</v>
      </c>
      <c r="O89" s="98">
        <v>27</v>
      </c>
      <c r="Q89" s="54" t="s">
        <v>148</v>
      </c>
      <c r="R89" s="55">
        <v>0</v>
      </c>
      <c r="T89" t="s">
        <v>148</v>
      </c>
      <c r="U89">
        <f>COUNTIF(A3:A8,"metacell-74")</f>
        <v>0</v>
      </c>
      <c r="V89">
        <f>COUNTIF(D3:D8,"metacell-74")</f>
        <v>0</v>
      </c>
      <c r="W89">
        <f>COUNTIF(G3:G8,"metacell-74")</f>
        <v>0</v>
      </c>
      <c r="X89">
        <f>COUNTIF(J3:J8,"metacell-74")</f>
        <v>0</v>
      </c>
      <c r="Y89">
        <f>COUNTIF(M3:M8,"metacell-74")</f>
        <v>0</v>
      </c>
      <c r="Z89">
        <f>COUNTIF(P3:P8,"metacell-74")</f>
        <v>0</v>
      </c>
      <c r="AA89">
        <f>COUNTIF(S3:S8,"metacell-74")</f>
        <v>0</v>
      </c>
      <c r="AB89">
        <f>COUNTIF(V3:V8,"metacell-74")</f>
        <v>0</v>
      </c>
      <c r="AC89">
        <f>COUNTIF(Y3:Y8,"metacell-74")</f>
        <v>0</v>
      </c>
      <c r="AD89">
        <f t="shared" si="1"/>
        <v>0</v>
      </c>
    </row>
    <row r="90" spans="1:30" x14ac:dyDescent="0.25">
      <c r="A90" s="67" t="s">
        <v>147</v>
      </c>
      <c r="B90" s="38">
        <v>18</v>
      </c>
      <c r="C90" s="2">
        <v>17</v>
      </c>
      <c r="D90" s="2">
        <v>14</v>
      </c>
      <c r="E90" s="2">
        <v>22</v>
      </c>
      <c r="F90" s="40">
        <v>15</v>
      </c>
      <c r="G90" s="2">
        <v>6</v>
      </c>
      <c r="H90" s="2">
        <v>13</v>
      </c>
      <c r="I90" s="2">
        <v>17</v>
      </c>
      <c r="J90" s="2">
        <v>17</v>
      </c>
      <c r="K90" s="2">
        <f t="shared" si="0"/>
        <v>139</v>
      </c>
      <c r="L90" s="80">
        <v>31</v>
      </c>
      <c r="M90" s="54" t="s">
        <v>148</v>
      </c>
      <c r="N90" s="20">
        <v>108</v>
      </c>
      <c r="O90" s="98">
        <v>28</v>
      </c>
      <c r="Q90" s="54" t="s">
        <v>147</v>
      </c>
      <c r="R90" s="55">
        <v>0</v>
      </c>
      <c r="T90" t="s">
        <v>147</v>
      </c>
      <c r="U90">
        <f>COUNTIF(A3:A8,"metacell-73")</f>
        <v>0</v>
      </c>
      <c r="V90">
        <f>COUNTIF(D3:D8,"metacell-73")</f>
        <v>0</v>
      </c>
      <c r="W90">
        <f>COUNTIF(G3:G8,"metacell-73")</f>
        <v>0</v>
      </c>
      <c r="X90">
        <f>COUNTIF(J3:J8,"metacell-73")</f>
        <v>0</v>
      </c>
      <c r="Y90">
        <f>COUNTIF(M3:M8,"metacell-73")</f>
        <v>0</v>
      </c>
      <c r="Z90">
        <f>COUNTIF(P3:P8,"metacell-73")</f>
        <v>0</v>
      </c>
      <c r="AA90">
        <f>COUNTIF(S3:S8,"metacell-73")</f>
        <v>0</v>
      </c>
      <c r="AB90">
        <f>COUNTIF(V3:V8,"metacell-73")</f>
        <v>0</v>
      </c>
      <c r="AC90">
        <f>COUNTIF(Y3:Y8,"metacell-73")</f>
        <v>0</v>
      </c>
      <c r="AD90">
        <f t="shared" si="1"/>
        <v>0</v>
      </c>
    </row>
    <row r="91" spans="1:30" x14ac:dyDescent="0.25">
      <c r="A91" s="67" t="s">
        <v>154</v>
      </c>
      <c r="B91" s="38">
        <v>22</v>
      </c>
      <c r="C91" s="2">
        <v>20</v>
      </c>
      <c r="D91" s="2">
        <v>18</v>
      </c>
      <c r="E91" s="2">
        <v>27</v>
      </c>
      <c r="F91" s="40">
        <v>11</v>
      </c>
      <c r="G91" s="2">
        <v>6</v>
      </c>
      <c r="H91" s="2">
        <v>9</v>
      </c>
      <c r="I91" s="2">
        <v>26</v>
      </c>
      <c r="J91" s="2">
        <v>15</v>
      </c>
      <c r="K91" s="2">
        <f t="shared" si="0"/>
        <v>154</v>
      </c>
      <c r="L91" s="80">
        <v>32</v>
      </c>
      <c r="M91" s="54" t="s">
        <v>154</v>
      </c>
      <c r="N91" s="20">
        <v>113</v>
      </c>
      <c r="O91" s="98">
        <v>29</v>
      </c>
      <c r="Q91" s="54" t="s">
        <v>154</v>
      </c>
      <c r="R91" s="55">
        <v>0</v>
      </c>
      <c r="T91" t="s">
        <v>154</v>
      </c>
      <c r="U91">
        <f>COUNTIF(A3:A8,"metacell-82")</f>
        <v>0</v>
      </c>
      <c r="V91">
        <f>COUNTIF(D3:D8,"metacell-82")</f>
        <v>0</v>
      </c>
      <c r="W91">
        <f>COUNTIF(G3:G8,"metacell-82")</f>
        <v>0</v>
      </c>
      <c r="X91">
        <f>COUNTIF(J3:J8,"metacell-82")</f>
        <v>0</v>
      </c>
      <c r="Y91">
        <f>COUNTIF(M3:M8,"metacell-82")</f>
        <v>0</v>
      </c>
      <c r="Z91">
        <f>COUNTIF(P3:P8,"metacell-82")</f>
        <v>0</v>
      </c>
      <c r="AA91">
        <f>COUNTIF(S3:S8,"metacell-82")</f>
        <v>0</v>
      </c>
      <c r="AB91">
        <f>COUNTIF(V3:V8,"metacell-82")</f>
        <v>0</v>
      </c>
      <c r="AC91">
        <f>COUNTIF(Y3:Y8,"metacell-82")</f>
        <v>0</v>
      </c>
      <c r="AD91">
        <f t="shared" si="1"/>
        <v>0</v>
      </c>
    </row>
    <row r="92" spans="1:30" x14ac:dyDescent="0.25">
      <c r="A92" s="67" t="s">
        <v>119</v>
      </c>
      <c r="B92" s="38">
        <v>30</v>
      </c>
      <c r="C92" s="2">
        <v>15</v>
      </c>
      <c r="D92" s="2">
        <v>18</v>
      </c>
      <c r="E92" s="2">
        <v>15</v>
      </c>
      <c r="F92" s="40">
        <v>13</v>
      </c>
      <c r="G92" s="2">
        <v>8</v>
      </c>
      <c r="H92" s="2">
        <v>7</v>
      </c>
      <c r="I92" s="2">
        <v>34</v>
      </c>
      <c r="J92" s="2">
        <v>18</v>
      </c>
      <c r="K92" s="2">
        <f t="shared" si="0"/>
        <v>158</v>
      </c>
      <c r="L92" s="80">
        <v>33</v>
      </c>
      <c r="M92" s="54" t="s">
        <v>91</v>
      </c>
      <c r="N92" s="20">
        <v>117</v>
      </c>
      <c r="O92" s="98">
        <v>30</v>
      </c>
      <c r="Q92" s="54" t="s">
        <v>119</v>
      </c>
      <c r="R92" s="55">
        <v>0</v>
      </c>
      <c r="T92" t="s">
        <v>119</v>
      </c>
      <c r="U92">
        <f>COUNTIF(A3:A8,"metacell-44")</f>
        <v>0</v>
      </c>
      <c r="V92">
        <f>COUNTIF(D3:D8,"metacell-44")</f>
        <v>0</v>
      </c>
      <c r="W92">
        <f>COUNTIF(G3:G8,"metacell-44")</f>
        <v>0</v>
      </c>
      <c r="X92">
        <f>COUNTIF(J3:J8,"metacell-44")</f>
        <v>0</v>
      </c>
      <c r="Y92">
        <f>COUNTIF(M3:M8,"metacell-44")</f>
        <v>0</v>
      </c>
      <c r="Z92">
        <f>COUNTIF(P3:P8,"metacell-44")</f>
        <v>0</v>
      </c>
      <c r="AA92">
        <f>COUNTIF(S3:S8,"metacell-44")</f>
        <v>0</v>
      </c>
      <c r="AB92">
        <f>COUNTIF(V3:V8,"metacell-44")</f>
        <v>0</v>
      </c>
      <c r="AC92">
        <f>COUNTIF(Y3:Y8,"metacell-44")</f>
        <v>0</v>
      </c>
      <c r="AD92">
        <f t="shared" si="1"/>
        <v>0</v>
      </c>
    </row>
    <row r="93" spans="1:30" x14ac:dyDescent="0.25">
      <c r="A93" s="67" t="s">
        <v>160</v>
      </c>
      <c r="B93" s="38">
        <v>27</v>
      </c>
      <c r="C93" s="2">
        <v>21</v>
      </c>
      <c r="D93" s="2">
        <v>19</v>
      </c>
      <c r="E93" s="2">
        <v>29</v>
      </c>
      <c r="F93" s="40">
        <v>21</v>
      </c>
      <c r="G93" s="2">
        <v>8</v>
      </c>
      <c r="H93" s="2">
        <v>16</v>
      </c>
      <c r="I93" s="2">
        <v>11</v>
      </c>
      <c r="J93" s="2">
        <v>8</v>
      </c>
      <c r="K93" s="2">
        <f t="shared" si="0"/>
        <v>160</v>
      </c>
      <c r="L93" s="80">
        <v>34</v>
      </c>
      <c r="M93" s="54" t="s">
        <v>122</v>
      </c>
      <c r="N93" s="20">
        <v>118</v>
      </c>
      <c r="O93" s="98">
        <v>31</v>
      </c>
      <c r="Q93" s="54" t="s">
        <v>160</v>
      </c>
      <c r="R93" s="55">
        <v>0</v>
      </c>
      <c r="T93" t="s">
        <v>160</v>
      </c>
      <c r="U93">
        <f>COUNTIF(A3:A8,"metacell-90")</f>
        <v>0</v>
      </c>
      <c r="V93">
        <f>COUNTIF(D3:D8,"metacell-90")</f>
        <v>0</v>
      </c>
      <c r="W93">
        <f>COUNTIF(G3:G8,"metacell-90")</f>
        <v>0</v>
      </c>
      <c r="X93">
        <f>COUNTIF(J3:J8,"metacell-90")</f>
        <v>0</v>
      </c>
      <c r="Y93">
        <f>COUNTIF(M3:M8,"metacell-90")</f>
        <v>0</v>
      </c>
      <c r="Z93">
        <f>COUNTIF(P3:P8,"metacell-90")</f>
        <v>0</v>
      </c>
      <c r="AA93">
        <f>COUNTIF(S3:S8,"metacell-90")</f>
        <v>0</v>
      </c>
      <c r="AB93">
        <f>COUNTIF(V3:V8,"metacell-90")</f>
        <v>0</v>
      </c>
      <c r="AC93">
        <f>COUNTIF(Y3:Y8,"metacell-90")</f>
        <v>0</v>
      </c>
      <c r="AD93">
        <f t="shared" si="1"/>
        <v>0</v>
      </c>
    </row>
    <row r="94" spans="1:30" x14ac:dyDescent="0.25">
      <c r="A94" s="67" t="s">
        <v>173</v>
      </c>
      <c r="B94" s="38">
        <v>7</v>
      </c>
      <c r="C94" s="2">
        <v>24</v>
      </c>
      <c r="D94" s="2">
        <v>24</v>
      </c>
      <c r="E94" s="2">
        <v>22</v>
      </c>
      <c r="F94" s="40">
        <v>23</v>
      </c>
      <c r="G94" s="2">
        <v>11</v>
      </c>
      <c r="H94" s="2">
        <v>14</v>
      </c>
      <c r="I94" s="2">
        <v>24</v>
      </c>
      <c r="J94" s="2">
        <v>14</v>
      </c>
      <c r="K94" s="2">
        <f t="shared" si="0"/>
        <v>163</v>
      </c>
      <c r="L94" s="80">
        <v>35</v>
      </c>
      <c r="M94" s="54" t="s">
        <v>127</v>
      </c>
      <c r="N94" s="20">
        <v>123</v>
      </c>
      <c r="O94" s="98">
        <v>32</v>
      </c>
      <c r="Q94" s="54" t="s">
        <v>173</v>
      </c>
      <c r="R94" s="55">
        <v>0</v>
      </c>
      <c r="T94" t="s">
        <v>173</v>
      </c>
      <c r="U94">
        <f>COUNTIF(A3:A8,"metacell-107")</f>
        <v>0</v>
      </c>
      <c r="V94">
        <f>COUNTIF(D3:D8,"metacell-107")</f>
        <v>0</v>
      </c>
      <c r="W94">
        <f>COUNTIF(G3:G8,"metacell-107")</f>
        <v>0</v>
      </c>
      <c r="X94">
        <f>COUNTIF(J3:J8,"metacell-107")</f>
        <v>0</v>
      </c>
      <c r="Y94">
        <f>COUNTIF(M3:M8,"metacell-107")</f>
        <v>0</v>
      </c>
      <c r="Z94">
        <f>COUNTIF(P3:P8,"metacell-107")</f>
        <v>0</v>
      </c>
      <c r="AA94">
        <f>COUNTIF(S3:S8,"metacell-107")</f>
        <v>0</v>
      </c>
      <c r="AB94">
        <f>COUNTIF(V3:V8,"metacell-107")</f>
        <v>0</v>
      </c>
      <c r="AC94">
        <f>COUNTIF(Y3:Y8,"metacell-107")</f>
        <v>0</v>
      </c>
      <c r="AD94">
        <f t="shared" si="1"/>
        <v>0</v>
      </c>
    </row>
    <row r="95" spans="1:30" x14ac:dyDescent="0.25">
      <c r="A95" s="67" t="s">
        <v>174</v>
      </c>
      <c r="B95" s="38">
        <v>18</v>
      </c>
      <c r="C95" s="2">
        <v>23</v>
      </c>
      <c r="D95" s="2">
        <v>23</v>
      </c>
      <c r="E95" s="2">
        <v>17</v>
      </c>
      <c r="F95" s="40">
        <v>20</v>
      </c>
      <c r="G95" s="2">
        <v>9</v>
      </c>
      <c r="H95" s="2">
        <v>14</v>
      </c>
      <c r="I95" s="2">
        <v>27</v>
      </c>
      <c r="J95" s="2">
        <v>16</v>
      </c>
      <c r="K95" s="2">
        <f t="shared" si="0"/>
        <v>167</v>
      </c>
      <c r="L95" s="80">
        <v>36</v>
      </c>
      <c r="M95" s="54" t="s">
        <v>174</v>
      </c>
      <c r="N95" s="20">
        <v>124</v>
      </c>
      <c r="O95" s="98">
        <v>33</v>
      </c>
      <c r="Q95" s="54" t="s">
        <v>174</v>
      </c>
      <c r="R95" s="55">
        <v>0</v>
      </c>
      <c r="T95" t="s">
        <v>174</v>
      </c>
      <c r="U95">
        <f>COUNTIF(A3:A8,"metacell-108")</f>
        <v>0</v>
      </c>
      <c r="V95">
        <f>COUNTIF(D3:D8,"metacell-108")</f>
        <v>0</v>
      </c>
      <c r="W95">
        <f>COUNTIF(G3:G8,"metacell-108")</f>
        <v>0</v>
      </c>
      <c r="X95">
        <f>COUNTIF(J3:J8,"metacell-108")</f>
        <v>0</v>
      </c>
      <c r="Y95">
        <f>COUNTIF(M3:M8,"metacell-108")</f>
        <v>0</v>
      </c>
      <c r="Z95">
        <f>COUNTIF(P3:P8,"metacell-108")</f>
        <v>0</v>
      </c>
      <c r="AA95">
        <f>COUNTIF(S3:S8,"metacell-108")</f>
        <v>0</v>
      </c>
      <c r="AB95">
        <f>COUNTIF(V3:V8,"metacell-108")</f>
        <v>0</v>
      </c>
      <c r="AC95">
        <f>COUNTIF(Y3:Y8,"metacell-108")</f>
        <v>0</v>
      </c>
      <c r="AD95">
        <f t="shared" si="1"/>
        <v>0</v>
      </c>
    </row>
    <row r="96" spans="1:30" x14ac:dyDescent="0.25">
      <c r="A96" s="67" t="s">
        <v>122</v>
      </c>
      <c r="B96" s="38">
        <v>15</v>
      </c>
      <c r="C96" s="2">
        <v>21</v>
      </c>
      <c r="D96" s="2">
        <v>16</v>
      </c>
      <c r="E96" s="2">
        <v>28</v>
      </c>
      <c r="F96" s="40">
        <v>18</v>
      </c>
      <c r="G96" s="2">
        <v>7</v>
      </c>
      <c r="H96" s="2">
        <v>13</v>
      </c>
      <c r="I96" s="2">
        <v>32</v>
      </c>
      <c r="J96" s="2">
        <v>18</v>
      </c>
      <c r="K96" s="2">
        <f t="shared" si="0"/>
        <v>168</v>
      </c>
      <c r="L96" s="80">
        <v>37</v>
      </c>
      <c r="M96" s="54" t="s">
        <v>173</v>
      </c>
      <c r="N96" s="20">
        <v>125</v>
      </c>
      <c r="O96" s="98">
        <v>34</v>
      </c>
      <c r="Q96" s="54" t="s">
        <v>122</v>
      </c>
      <c r="R96" s="55">
        <v>0</v>
      </c>
      <c r="T96" t="s">
        <v>122</v>
      </c>
      <c r="U96">
        <f>COUNTIF(A3:A8,"metacell-47")</f>
        <v>0</v>
      </c>
      <c r="V96">
        <f>COUNTIF(D3:D8,"metacell-47")</f>
        <v>0</v>
      </c>
      <c r="W96">
        <f>COUNTIF(G3:G8,"metacell-47")</f>
        <v>0</v>
      </c>
      <c r="X96">
        <f>COUNTIF(J3:J8,"metacell-47")</f>
        <v>0</v>
      </c>
      <c r="Y96">
        <f>COUNTIF(M3:M8,"metacell-47")</f>
        <v>0</v>
      </c>
      <c r="Z96">
        <f>COUNTIF(P3:P8,"metacell-47")</f>
        <v>0</v>
      </c>
      <c r="AA96">
        <f>COUNTIF(S3:S8,"metacell-47")</f>
        <v>0</v>
      </c>
      <c r="AB96">
        <f>COUNTIF(V3:V8,"metacell-47")</f>
        <v>0</v>
      </c>
      <c r="AC96">
        <f>COUNTIF(Y3:Y8,"metacell-47")</f>
        <v>0</v>
      </c>
      <c r="AD96">
        <f t="shared" si="1"/>
        <v>0</v>
      </c>
    </row>
    <row r="97" spans="1:30" x14ac:dyDescent="0.25">
      <c r="A97" s="67" t="s">
        <v>91</v>
      </c>
      <c r="B97" s="38">
        <v>25</v>
      </c>
      <c r="C97" s="2">
        <v>17</v>
      </c>
      <c r="D97" s="2">
        <v>14</v>
      </c>
      <c r="E97" s="2">
        <v>19</v>
      </c>
      <c r="F97" s="40">
        <v>19</v>
      </c>
      <c r="G97" s="2">
        <v>7</v>
      </c>
      <c r="H97" s="2">
        <v>16</v>
      </c>
      <c r="I97" s="2">
        <v>33</v>
      </c>
      <c r="J97" s="2">
        <v>19</v>
      </c>
      <c r="K97" s="2">
        <f t="shared" si="0"/>
        <v>169</v>
      </c>
      <c r="L97" s="80">
        <v>38</v>
      </c>
      <c r="M97" s="54" t="s">
        <v>177</v>
      </c>
      <c r="N97" s="20">
        <v>130</v>
      </c>
      <c r="O97" s="98">
        <v>35</v>
      </c>
      <c r="Q97" s="54" t="s">
        <v>91</v>
      </c>
      <c r="R97" s="55">
        <v>0</v>
      </c>
      <c r="T97" t="s">
        <v>91</v>
      </c>
      <c r="U97">
        <f>COUNTIF(A3:A8,"metacell-16")</f>
        <v>0</v>
      </c>
      <c r="V97">
        <f>COUNTIF(D3:D8,"metacell-16")</f>
        <v>0</v>
      </c>
      <c r="W97">
        <f>COUNTIF(G3:G8,"metacell-16")</f>
        <v>0</v>
      </c>
      <c r="X97">
        <f>COUNTIF(J3:J8,"metacell-16")</f>
        <v>0</v>
      </c>
      <c r="Y97">
        <f>COUNTIF(M3:M8,"metacell-16")</f>
        <v>0</v>
      </c>
      <c r="Z97">
        <f>COUNTIF(P3:P8,"metacell-16")</f>
        <v>0</v>
      </c>
      <c r="AA97">
        <f>COUNTIF(S3:S8,"metacell-16")</f>
        <v>0</v>
      </c>
      <c r="AB97">
        <f>COUNTIF(V3:V8,"metacell-16")</f>
        <v>0</v>
      </c>
      <c r="AC97">
        <f>COUNTIF(Y3:Y8,"metacell-16")</f>
        <v>0</v>
      </c>
      <c r="AD97">
        <f t="shared" si="1"/>
        <v>0</v>
      </c>
    </row>
    <row r="98" spans="1:30" x14ac:dyDescent="0.25">
      <c r="A98" s="67" t="s">
        <v>177</v>
      </c>
      <c r="B98" s="38">
        <v>29</v>
      </c>
      <c r="C98" s="2">
        <v>22</v>
      </c>
      <c r="D98" s="2">
        <v>21</v>
      </c>
      <c r="E98" s="2">
        <v>24</v>
      </c>
      <c r="F98" s="40">
        <v>16</v>
      </c>
      <c r="G98" s="2">
        <v>7</v>
      </c>
      <c r="H98" s="2">
        <v>11</v>
      </c>
      <c r="I98" s="2">
        <v>30</v>
      </c>
      <c r="J98" s="2">
        <v>15</v>
      </c>
      <c r="K98" s="2">
        <f t="shared" si="0"/>
        <v>175</v>
      </c>
      <c r="L98" s="80">
        <v>39</v>
      </c>
      <c r="M98" s="54" t="s">
        <v>82</v>
      </c>
      <c r="N98" s="20">
        <v>139</v>
      </c>
      <c r="O98" s="98">
        <v>36</v>
      </c>
      <c r="Q98" s="54" t="s">
        <v>177</v>
      </c>
      <c r="R98" s="55">
        <v>0</v>
      </c>
      <c r="T98" t="s">
        <v>177</v>
      </c>
      <c r="U98">
        <f>COUNTIF(A3:A8,"metacell-111")</f>
        <v>0</v>
      </c>
      <c r="V98">
        <f>COUNTIF(D3:D8,"metacell-111")</f>
        <v>0</v>
      </c>
      <c r="W98">
        <f>COUNTIF(G3:G8,"metacell-111")</f>
        <v>0</v>
      </c>
      <c r="X98">
        <f>COUNTIF(J3:J8,"metacell-111")</f>
        <v>0</v>
      </c>
      <c r="Y98">
        <f>COUNTIF(M3:M8,"metacell-111")</f>
        <v>0</v>
      </c>
      <c r="Z98">
        <f>COUNTIF(P3:P8,"metacell-111")</f>
        <v>0</v>
      </c>
      <c r="AA98">
        <f>COUNTIF(S3:S8,"metacell-111")</f>
        <v>0</v>
      </c>
      <c r="AB98">
        <f>COUNTIF(V3:V8,"metacell-111")</f>
        <v>0</v>
      </c>
      <c r="AC98">
        <f>COUNTIF(Y3:Y8,"metacell-111")</f>
        <v>0</v>
      </c>
      <c r="AD98">
        <f t="shared" si="1"/>
        <v>0</v>
      </c>
    </row>
    <row r="99" spans="1:30" x14ac:dyDescent="0.25">
      <c r="A99" s="67" t="s">
        <v>82</v>
      </c>
      <c r="B99" s="38">
        <v>14</v>
      </c>
      <c r="C99" s="2">
        <v>24</v>
      </c>
      <c r="D99" s="2">
        <v>22</v>
      </c>
      <c r="E99" s="2">
        <v>30</v>
      </c>
      <c r="F99" s="40">
        <v>23</v>
      </c>
      <c r="G99" s="2">
        <v>11</v>
      </c>
      <c r="H99" s="2">
        <v>15</v>
      </c>
      <c r="I99" s="2">
        <v>27</v>
      </c>
      <c r="J99" s="2">
        <v>19</v>
      </c>
      <c r="K99" s="2">
        <f t="shared" si="0"/>
        <v>185</v>
      </c>
      <c r="L99" s="80">
        <v>40</v>
      </c>
      <c r="M99" s="54" t="s">
        <v>160</v>
      </c>
      <c r="N99" s="20">
        <v>141</v>
      </c>
      <c r="O99" s="98">
        <v>37</v>
      </c>
      <c r="Q99" s="54" t="s">
        <v>82</v>
      </c>
      <c r="R99" s="55">
        <v>0</v>
      </c>
      <c r="T99" t="s">
        <v>82</v>
      </c>
      <c r="U99">
        <f>COUNTIF(A3:A8,"metacell-7")</f>
        <v>0</v>
      </c>
      <c r="V99">
        <f>COUNTIF(D3:D8,"metacell-7")</f>
        <v>0</v>
      </c>
      <c r="W99">
        <f>COUNTIF(G3:G8,"metacell-7")</f>
        <v>0</v>
      </c>
      <c r="X99">
        <f>COUNTIF(J3:J8,"metacell-7")</f>
        <v>0</v>
      </c>
      <c r="Y99">
        <f>COUNTIF(M3:M8,"metacell-7")</f>
        <v>0</v>
      </c>
      <c r="Z99">
        <f>COUNTIF(P3:P8,"metacell-7")</f>
        <v>0</v>
      </c>
      <c r="AA99">
        <f>COUNTIF(S3:S8,"metacell-7")</f>
        <v>0</v>
      </c>
      <c r="AB99">
        <f>COUNTIF(V3:V8,"metacell-7")</f>
        <v>0</v>
      </c>
      <c r="AC99">
        <f>COUNTIF(Y3:Y8,"metacell-7")</f>
        <v>0</v>
      </c>
      <c r="AD99">
        <f t="shared" si="1"/>
        <v>0</v>
      </c>
    </row>
    <row r="100" spans="1:30" ht="15.75" thickBot="1" x14ac:dyDescent="0.3">
      <c r="A100" s="68" t="s">
        <v>167</v>
      </c>
      <c r="B100" s="81">
        <v>26</v>
      </c>
      <c r="C100" s="11">
        <v>24</v>
      </c>
      <c r="D100" s="11">
        <v>21</v>
      </c>
      <c r="E100" s="11">
        <v>30</v>
      </c>
      <c r="F100" s="82">
        <v>22</v>
      </c>
      <c r="G100" s="11">
        <v>10</v>
      </c>
      <c r="H100" s="11">
        <v>13</v>
      </c>
      <c r="I100" s="11">
        <v>29</v>
      </c>
      <c r="J100" s="11">
        <v>16</v>
      </c>
      <c r="K100" s="11">
        <f t="shared" si="0"/>
        <v>191</v>
      </c>
      <c r="L100" s="83">
        <v>41</v>
      </c>
      <c r="M100" s="107" t="s">
        <v>167</v>
      </c>
      <c r="N100" s="71">
        <v>146</v>
      </c>
      <c r="O100" s="108">
        <v>38</v>
      </c>
      <c r="Q100" s="107" t="s">
        <v>167</v>
      </c>
      <c r="R100" s="75">
        <v>0</v>
      </c>
      <c r="T100" t="s">
        <v>167</v>
      </c>
      <c r="U100">
        <f>COUNTIF(A3:A8,"metacell-101")</f>
        <v>0</v>
      </c>
      <c r="V100">
        <f>COUNTIF(D3:D8,"metacell-101")</f>
        <v>0</v>
      </c>
      <c r="W100">
        <f>COUNTIF(G3:G8,"metacell-101")</f>
        <v>0</v>
      </c>
      <c r="X100">
        <f>COUNTIF(J3:J8,"metacell-101")</f>
        <v>0</v>
      </c>
      <c r="Y100">
        <f>COUNTIF(M3:M8,"metacell-101")</f>
        <v>0</v>
      </c>
      <c r="Z100">
        <f>COUNTIF(P3:P8,"metacell-101")</f>
        <v>0</v>
      </c>
      <c r="AA100">
        <f>COUNTIF(S3:S8,"metacell-101")</f>
        <v>0</v>
      </c>
      <c r="AB100">
        <f>COUNTIF(V3:V8,"metacell-101")</f>
        <v>0</v>
      </c>
      <c r="AC100">
        <f>COUNTIF(Y3:Y8,"metacell-101")</f>
        <v>0</v>
      </c>
      <c r="AD100">
        <f t="shared" si="1"/>
        <v>0</v>
      </c>
    </row>
    <row r="101" spans="1:30" x14ac:dyDescent="0.25">
      <c r="F101" s="37"/>
      <c r="G101" s="25"/>
      <c r="H101" s="2"/>
    </row>
    <row r="102" spans="1:30" x14ac:dyDescent="0.25">
      <c r="F102" s="37"/>
      <c r="G102" s="25"/>
      <c r="H102" s="2"/>
    </row>
    <row r="103" spans="1:30" x14ac:dyDescent="0.25">
      <c r="F103" s="16"/>
      <c r="G103" s="34"/>
      <c r="H103" s="39"/>
    </row>
    <row r="104" spans="1:30" x14ac:dyDescent="0.25">
      <c r="F104" s="16"/>
      <c r="G104" s="34"/>
      <c r="H104" s="39"/>
    </row>
    <row r="105" spans="1:30" x14ac:dyDescent="0.25">
      <c r="N105" s="93"/>
    </row>
    <row r="106" spans="1:30" x14ac:dyDescent="0.25">
      <c r="N106" s="93"/>
    </row>
    <row r="107" spans="1:30" x14ac:dyDescent="0.25">
      <c r="N107" s="93"/>
    </row>
    <row r="108" spans="1:30" x14ac:dyDescent="0.25">
      <c r="N108" s="93"/>
    </row>
    <row r="109" spans="1:30" x14ac:dyDescent="0.25">
      <c r="N109" s="93"/>
    </row>
    <row r="110" spans="1:30" x14ac:dyDescent="0.25">
      <c r="N110" s="93"/>
    </row>
    <row r="111" spans="1:30" x14ac:dyDescent="0.25">
      <c r="N111" s="93"/>
    </row>
    <row r="112" spans="1:30" x14ac:dyDescent="0.25">
      <c r="N112" s="93"/>
      <c r="Q112" s="43"/>
    </row>
    <row r="113" spans="14:14" x14ac:dyDescent="0.25">
      <c r="N113" s="93"/>
    </row>
    <row r="114" spans="14:14" x14ac:dyDescent="0.25">
      <c r="N114" s="93"/>
    </row>
    <row r="115" spans="14:14" x14ac:dyDescent="0.25">
      <c r="N115" s="93"/>
    </row>
    <row r="116" spans="14:14" x14ac:dyDescent="0.25">
      <c r="N116" s="93"/>
    </row>
    <row r="117" spans="14:14" x14ac:dyDescent="0.25">
      <c r="N117" s="93"/>
    </row>
    <row r="118" spans="14:14" x14ac:dyDescent="0.25">
      <c r="N118" s="93"/>
    </row>
    <row r="119" spans="14:14" x14ac:dyDescent="0.25">
      <c r="N119" s="93"/>
    </row>
    <row r="120" spans="14:14" x14ac:dyDescent="0.25">
      <c r="N120" s="93"/>
    </row>
    <row r="121" spans="14:14" x14ac:dyDescent="0.25">
      <c r="N121" s="93"/>
    </row>
    <row r="122" spans="14:14" x14ac:dyDescent="0.25">
      <c r="N122" s="93"/>
    </row>
    <row r="123" spans="14:14" x14ac:dyDescent="0.25">
      <c r="N123" s="93"/>
    </row>
    <row r="124" spans="14:14" x14ac:dyDescent="0.25">
      <c r="N124" s="93"/>
    </row>
    <row r="125" spans="14:14" x14ac:dyDescent="0.25">
      <c r="N125" s="93"/>
    </row>
    <row r="126" spans="14:14" x14ac:dyDescent="0.25">
      <c r="N126" s="93"/>
    </row>
    <row r="127" spans="14:14" x14ac:dyDescent="0.25">
      <c r="N127" s="93"/>
    </row>
    <row r="128" spans="14:14" x14ac:dyDescent="0.25">
      <c r="N128" s="93"/>
    </row>
    <row r="129" spans="14:14" x14ac:dyDescent="0.25">
      <c r="N129" s="93"/>
    </row>
    <row r="130" spans="14:14" x14ac:dyDescent="0.25">
      <c r="N130" s="93"/>
    </row>
    <row r="131" spans="14:14" x14ac:dyDescent="0.25">
      <c r="N131" s="93"/>
    </row>
    <row r="132" spans="14:14" x14ac:dyDescent="0.25">
      <c r="N132" s="93"/>
    </row>
    <row r="133" spans="14:14" x14ac:dyDescent="0.25">
      <c r="N133" s="93"/>
    </row>
    <row r="134" spans="14:14" x14ac:dyDescent="0.25">
      <c r="N134" s="93"/>
    </row>
    <row r="135" spans="14:14" x14ac:dyDescent="0.25">
      <c r="N135" s="93"/>
    </row>
    <row r="136" spans="14:14" x14ac:dyDescent="0.25">
      <c r="N136" s="93"/>
    </row>
    <row r="137" spans="14:14" x14ac:dyDescent="0.25">
      <c r="N137" s="93"/>
    </row>
    <row r="138" spans="14:14" x14ac:dyDescent="0.25">
      <c r="N138" s="93"/>
    </row>
    <row r="139" spans="14:14" x14ac:dyDescent="0.25">
      <c r="N139" s="93"/>
    </row>
    <row r="140" spans="14:14" x14ac:dyDescent="0.25">
      <c r="N140" s="93"/>
    </row>
    <row r="141" spans="14:14" x14ac:dyDescent="0.25">
      <c r="N141" s="93"/>
    </row>
    <row r="142" spans="14:14" x14ac:dyDescent="0.25">
      <c r="N142" s="93"/>
    </row>
    <row r="143" spans="14:14" x14ac:dyDescent="0.25">
      <c r="N143" s="93"/>
    </row>
    <row r="144" spans="14:14" x14ac:dyDescent="0.25">
      <c r="N144" s="93"/>
    </row>
    <row r="145" spans="14:14" x14ac:dyDescent="0.25">
      <c r="N145" s="93"/>
    </row>
    <row r="146" spans="14:14" x14ac:dyDescent="0.25">
      <c r="N146" s="93"/>
    </row>
    <row r="147" spans="14:14" x14ac:dyDescent="0.25">
      <c r="N147" s="93"/>
    </row>
    <row r="148" spans="14:14" x14ac:dyDescent="0.25">
      <c r="N148" s="93"/>
    </row>
    <row r="149" spans="14:14" x14ac:dyDescent="0.25">
      <c r="N149" s="93"/>
    </row>
    <row r="150" spans="14:14" x14ac:dyDescent="0.25">
      <c r="N150" s="93"/>
    </row>
  </sheetData>
  <sortState ref="M55:N100">
    <sortCondition ref="N55:N100"/>
  </sortState>
  <mergeCells count="21">
    <mergeCell ref="G1:I1"/>
    <mergeCell ref="J1:L1"/>
    <mergeCell ref="P1:R1"/>
    <mergeCell ref="A53:L53"/>
    <mergeCell ref="Q52:R53"/>
    <mergeCell ref="A50:C50"/>
    <mergeCell ref="D50:F50"/>
    <mergeCell ref="G50:I50"/>
    <mergeCell ref="J50:L50"/>
    <mergeCell ref="P50:R50"/>
    <mergeCell ref="A1:C1"/>
    <mergeCell ref="D1:F1"/>
    <mergeCell ref="M53:O53"/>
    <mergeCell ref="M1:O1"/>
    <mergeCell ref="S1:U1"/>
    <mergeCell ref="M50:O50"/>
    <mergeCell ref="S50:U50"/>
    <mergeCell ref="Y50:AA50"/>
    <mergeCell ref="V1:X1"/>
    <mergeCell ref="Y1:AA1"/>
    <mergeCell ref="V50:X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73" sqref="K73"/>
    </sheetView>
  </sheetViews>
  <sheetFormatPr defaultRowHeight="15" x14ac:dyDescent="0.25"/>
  <cols>
    <col min="1" max="1" width="15.28515625" customWidth="1"/>
    <col min="2" max="2" width="27.85546875" customWidth="1"/>
    <col min="3" max="11" width="10.42578125" bestFit="1" customWidth="1"/>
    <col min="12" max="101" width="11.42578125" bestFit="1" customWidth="1"/>
    <col min="102" max="116" width="12.42578125" bestFit="1" customWidth="1"/>
  </cols>
  <sheetData>
    <row r="1" spans="1:116" x14ac:dyDescent="0.25">
      <c r="A1" s="8"/>
      <c r="B1" s="8" t="s">
        <v>80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78</v>
      </c>
      <c r="H1" s="9" t="s">
        <v>79</v>
      </c>
      <c r="I1" s="13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  <c r="O1" s="8" t="s">
        <v>88</v>
      </c>
      <c r="P1" s="13" t="s">
        <v>89</v>
      </c>
      <c r="Q1" s="8" t="s">
        <v>90</v>
      </c>
      <c r="R1" s="13" t="s">
        <v>91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13" t="s">
        <v>98</v>
      </c>
      <c r="Z1" s="8" t="s">
        <v>99</v>
      </c>
      <c r="AA1" s="8" t="s">
        <v>100</v>
      </c>
      <c r="AB1" s="13" t="s">
        <v>101</v>
      </c>
      <c r="AC1" s="8" t="s">
        <v>102</v>
      </c>
      <c r="AD1" s="8" t="s">
        <v>103</v>
      </c>
      <c r="AE1" s="13" t="s">
        <v>104</v>
      </c>
      <c r="AF1" s="8" t="s">
        <v>105</v>
      </c>
      <c r="AG1" s="8" t="s">
        <v>106</v>
      </c>
      <c r="AH1" s="13" t="s">
        <v>107</v>
      </c>
      <c r="AI1" s="8" t="s">
        <v>108</v>
      </c>
      <c r="AJ1" s="8" t="s">
        <v>109</v>
      </c>
      <c r="AK1" s="8" t="s">
        <v>110</v>
      </c>
      <c r="AL1" s="13" t="s">
        <v>111</v>
      </c>
      <c r="AM1" s="8" t="s">
        <v>112</v>
      </c>
      <c r="AN1" s="13" t="s">
        <v>113</v>
      </c>
      <c r="AO1" s="8" t="s">
        <v>114</v>
      </c>
      <c r="AP1" s="8" t="s">
        <v>115</v>
      </c>
      <c r="AQ1" s="8" t="s">
        <v>116</v>
      </c>
      <c r="AR1" s="8" t="s">
        <v>117</v>
      </c>
      <c r="AS1" s="8" t="s">
        <v>118</v>
      </c>
      <c r="AT1" s="13" t="s">
        <v>119</v>
      </c>
      <c r="AU1" s="8" t="s">
        <v>120</v>
      </c>
      <c r="AV1" s="8" t="s">
        <v>121</v>
      </c>
      <c r="AW1" s="13" t="s">
        <v>122</v>
      </c>
      <c r="AX1" s="8" t="s">
        <v>123</v>
      </c>
      <c r="AY1" s="8" t="s">
        <v>124</v>
      </c>
      <c r="AZ1" s="8" t="s">
        <v>125</v>
      </c>
      <c r="BA1" s="8" t="s">
        <v>126</v>
      </c>
      <c r="BB1" s="13" t="s">
        <v>127</v>
      </c>
      <c r="BC1" s="13" t="s">
        <v>128</v>
      </c>
      <c r="BD1" s="13" t="s">
        <v>129</v>
      </c>
      <c r="BE1" s="13" t="s">
        <v>130</v>
      </c>
      <c r="BF1" s="13" t="s">
        <v>131</v>
      </c>
      <c r="BG1" s="8" t="s">
        <v>132</v>
      </c>
      <c r="BH1" s="8" t="s">
        <v>133</v>
      </c>
      <c r="BI1" s="13" t="s">
        <v>134</v>
      </c>
      <c r="BJ1" s="13" t="s">
        <v>135</v>
      </c>
      <c r="BK1" s="13" t="s">
        <v>136</v>
      </c>
      <c r="BL1" s="8" t="s">
        <v>137</v>
      </c>
      <c r="BM1" s="13" t="s">
        <v>14</v>
      </c>
      <c r="BN1" s="8" t="s">
        <v>138</v>
      </c>
      <c r="BO1" s="13" t="s">
        <v>139</v>
      </c>
      <c r="BP1" s="13" t="s">
        <v>140</v>
      </c>
      <c r="BQ1" s="13" t="s">
        <v>141</v>
      </c>
      <c r="BR1" s="8" t="s">
        <v>142</v>
      </c>
      <c r="BS1" s="13" t="s">
        <v>143</v>
      </c>
      <c r="BT1" s="8" t="s">
        <v>144</v>
      </c>
      <c r="BU1" s="8" t="s">
        <v>145</v>
      </c>
      <c r="BV1" s="13" t="s">
        <v>146</v>
      </c>
      <c r="BW1" s="13" t="s">
        <v>147</v>
      </c>
      <c r="BX1" s="13" t="s">
        <v>148</v>
      </c>
      <c r="BY1" s="8" t="s">
        <v>149</v>
      </c>
      <c r="BZ1" s="8" t="s">
        <v>10</v>
      </c>
      <c r="CA1" s="8" t="s">
        <v>150</v>
      </c>
      <c r="CB1" s="13" t="s">
        <v>16</v>
      </c>
      <c r="CC1" s="13" t="s">
        <v>151</v>
      </c>
      <c r="CD1" s="8" t="s">
        <v>152</v>
      </c>
      <c r="CE1" s="8" t="s">
        <v>153</v>
      </c>
      <c r="CF1" s="13" t="s">
        <v>154</v>
      </c>
      <c r="CG1" s="8" t="s">
        <v>155</v>
      </c>
      <c r="CH1" s="8" t="s">
        <v>156</v>
      </c>
      <c r="CI1" s="8" t="s">
        <v>157</v>
      </c>
      <c r="CJ1" s="13" t="s">
        <v>158</v>
      </c>
      <c r="CK1" s="8" t="s">
        <v>159</v>
      </c>
      <c r="CL1" s="8" t="s">
        <v>15</v>
      </c>
      <c r="CM1" s="8" t="s">
        <v>9</v>
      </c>
      <c r="CN1" s="13" t="s">
        <v>160</v>
      </c>
      <c r="CO1" s="13" t="s">
        <v>161</v>
      </c>
      <c r="CP1" s="13" t="s">
        <v>162</v>
      </c>
      <c r="CQ1" s="13" t="s">
        <v>7</v>
      </c>
      <c r="CR1" s="13" t="s">
        <v>3</v>
      </c>
      <c r="CS1" s="13" t="s">
        <v>13</v>
      </c>
      <c r="CT1" s="8" t="s">
        <v>6</v>
      </c>
      <c r="CU1" s="8" t="s">
        <v>163</v>
      </c>
      <c r="CV1" s="13" t="s">
        <v>164</v>
      </c>
      <c r="CW1" s="8" t="s">
        <v>165</v>
      </c>
      <c r="CX1" s="8" t="s">
        <v>166</v>
      </c>
      <c r="CY1" s="13" t="s">
        <v>167</v>
      </c>
      <c r="CZ1" s="8" t="s">
        <v>168</v>
      </c>
      <c r="DA1" s="8" t="s">
        <v>169</v>
      </c>
      <c r="DB1" s="13" t="s">
        <v>170</v>
      </c>
      <c r="DC1" s="8" t="s">
        <v>171</v>
      </c>
      <c r="DD1" s="8" t="s">
        <v>172</v>
      </c>
      <c r="DE1" s="13" t="s">
        <v>173</v>
      </c>
      <c r="DF1" s="13" t="s">
        <v>174</v>
      </c>
      <c r="DG1" s="13" t="s">
        <v>175</v>
      </c>
      <c r="DH1" s="8" t="s">
        <v>176</v>
      </c>
      <c r="DI1" s="13" t="s">
        <v>177</v>
      </c>
      <c r="DJ1" s="8" t="s">
        <v>178</v>
      </c>
      <c r="DK1" s="13" t="s">
        <v>179</v>
      </c>
      <c r="DL1" s="13" t="s">
        <v>180</v>
      </c>
    </row>
    <row r="2" spans="1:116" x14ac:dyDescent="0.25">
      <c r="A2" t="s">
        <v>265</v>
      </c>
      <c r="B2" t="s">
        <v>287</v>
      </c>
      <c r="C2">
        <v>0</v>
      </c>
      <c r="D2">
        <v>0</v>
      </c>
      <c r="E2">
        <v>0</v>
      </c>
      <c r="F2">
        <v>0</v>
      </c>
      <c r="G2">
        <v>0.130623375670984</v>
      </c>
      <c r="H2">
        <v>0</v>
      </c>
      <c r="I2">
        <v>0</v>
      </c>
      <c r="J2">
        <v>0</v>
      </c>
      <c r="K2">
        <v>0</v>
      </c>
      <c r="L2">
        <v>4.6598827448176797E-2</v>
      </c>
      <c r="M2">
        <v>0</v>
      </c>
      <c r="N2">
        <v>0</v>
      </c>
      <c r="O2">
        <v>0</v>
      </c>
      <c r="P2">
        <v>5.0166953788657001E-2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0.33940822977996699</v>
      </c>
      <c r="Z2">
        <v>0</v>
      </c>
      <c r="AA2">
        <v>0</v>
      </c>
      <c r="AB2">
        <v>0.29651911787012702</v>
      </c>
      <c r="AC2">
        <v>0</v>
      </c>
      <c r="AD2">
        <v>0</v>
      </c>
      <c r="AE2">
        <v>0.79401254997513304</v>
      </c>
      <c r="AF2">
        <v>0</v>
      </c>
      <c r="AG2">
        <v>0</v>
      </c>
      <c r="AH2">
        <v>0</v>
      </c>
      <c r="AI2">
        <v>8.3021341941576607E-2</v>
      </c>
      <c r="AJ2">
        <v>0</v>
      </c>
      <c r="AK2">
        <v>0</v>
      </c>
      <c r="AL2">
        <v>0</v>
      </c>
      <c r="AM2">
        <v>9.5298979165987202E-2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8.2254860091494797E-2</v>
      </c>
      <c r="BA2">
        <v>0.24267215520618199</v>
      </c>
      <c r="BB2">
        <v>0.110014938322038</v>
      </c>
      <c r="BC2">
        <v>0</v>
      </c>
      <c r="BD2">
        <v>0</v>
      </c>
      <c r="BE2">
        <v>0.11587114638932999</v>
      </c>
      <c r="BF2">
        <v>0</v>
      </c>
      <c r="BG2">
        <v>0</v>
      </c>
      <c r="BH2">
        <v>7.84986768135741E-2</v>
      </c>
      <c r="BI2">
        <v>0.101570633658979</v>
      </c>
      <c r="BJ2">
        <v>0</v>
      </c>
      <c r="BK2">
        <v>0</v>
      </c>
      <c r="BL2">
        <v>0.28641220320821198</v>
      </c>
      <c r="BM2">
        <v>0.46365566017978299</v>
      </c>
      <c r="BN2">
        <v>0.236197940418992</v>
      </c>
      <c r="BO2">
        <v>0.17086606301399801</v>
      </c>
      <c r="BP2">
        <v>0</v>
      </c>
      <c r="BQ2">
        <v>0.32279553391810001</v>
      </c>
      <c r="BR2">
        <v>0</v>
      </c>
      <c r="BS2">
        <v>0.76779873670389098</v>
      </c>
      <c r="BT2">
        <v>0</v>
      </c>
      <c r="BU2">
        <v>0</v>
      </c>
      <c r="BV2">
        <v>0.13509667069407999</v>
      </c>
      <c r="BW2">
        <v>0</v>
      </c>
      <c r="BX2">
        <v>0.40533470098027002</v>
      </c>
      <c r="BY2">
        <v>6.6730016548299104E-2</v>
      </c>
      <c r="BZ2">
        <v>0.49565246741122798</v>
      </c>
      <c r="CA2">
        <v>0.45460488935843302</v>
      </c>
      <c r="CB2">
        <v>0.46583827453625398</v>
      </c>
      <c r="CC2">
        <v>0</v>
      </c>
      <c r="CD2">
        <v>0</v>
      </c>
      <c r="CE2">
        <v>0</v>
      </c>
      <c r="CF2">
        <v>0.19004723575346599</v>
      </c>
      <c r="CG2">
        <v>0</v>
      </c>
      <c r="CH2">
        <v>0</v>
      </c>
      <c r="CI2">
        <v>0</v>
      </c>
      <c r="CJ2">
        <v>0.462027594301675</v>
      </c>
      <c r="CK2">
        <v>0</v>
      </c>
      <c r="CL2">
        <v>0</v>
      </c>
      <c r="CM2">
        <v>0.65814622659458399</v>
      </c>
      <c r="CN2">
        <v>0.23324810170267499</v>
      </c>
      <c r="CO2">
        <v>0</v>
      </c>
      <c r="CP2">
        <v>0.217657136201276</v>
      </c>
      <c r="CQ2">
        <v>0</v>
      </c>
      <c r="CR2">
        <v>0.27279311510486598</v>
      </c>
      <c r="CS2">
        <v>0.23052697223931101</v>
      </c>
      <c r="CT2">
        <v>0.15195116403984699</v>
      </c>
      <c r="CU2">
        <v>0.16359893375523801</v>
      </c>
      <c r="CV2">
        <v>0</v>
      </c>
      <c r="CW2">
        <v>0</v>
      </c>
      <c r="CX2">
        <v>0</v>
      </c>
      <c r="CY2">
        <v>0</v>
      </c>
      <c r="CZ2">
        <v>0</v>
      </c>
      <c r="DA2">
        <v>4.6235909720434197E-2</v>
      </c>
      <c r="DB2">
        <v>0.20356000629849599</v>
      </c>
      <c r="DC2">
        <v>0.30198137790881602</v>
      </c>
      <c r="DD2">
        <v>0</v>
      </c>
      <c r="DE2">
        <v>0</v>
      </c>
      <c r="DF2">
        <v>0</v>
      </c>
      <c r="DG2">
        <v>0.55502055533356998</v>
      </c>
      <c r="DH2">
        <v>0</v>
      </c>
      <c r="DI2">
        <v>0</v>
      </c>
      <c r="DJ2">
        <v>9.8181958951384596E-2</v>
      </c>
      <c r="DK2">
        <v>0.93416075437614698</v>
      </c>
      <c r="DL2">
        <v>0.367380373363423</v>
      </c>
    </row>
    <row r="3" spans="1:116" x14ac:dyDescent="0.25">
      <c r="A3" t="s">
        <v>265</v>
      </c>
      <c r="B3" t="s">
        <v>288</v>
      </c>
      <c r="C3">
        <v>2.9113528826904501E-3</v>
      </c>
      <c r="D3">
        <v>-0.12664508207896299</v>
      </c>
      <c r="E3">
        <v>-0.12664508207896299</v>
      </c>
      <c r="F3">
        <v>9.8959242342754007E-4</v>
      </c>
      <c r="G3">
        <v>-0.12664508207896299</v>
      </c>
      <c r="H3">
        <v>9.6572858666323105E-2</v>
      </c>
      <c r="I3">
        <v>-0.12664508207896299</v>
      </c>
      <c r="J3">
        <v>-5.9356850635582797E-4</v>
      </c>
      <c r="K3">
        <v>-0.12664508207896299</v>
      </c>
      <c r="L3">
        <v>-0.12664508207896299</v>
      </c>
      <c r="M3">
        <v>-4.58227102469069E-2</v>
      </c>
      <c r="N3">
        <v>0.31061357116485</v>
      </c>
      <c r="O3">
        <v>-0.12664508207896299</v>
      </c>
      <c r="P3">
        <v>-9.4827708165055799E-2</v>
      </c>
      <c r="Q3">
        <v>7.3481574990049503E-3</v>
      </c>
      <c r="R3">
        <v>-0.12664508207896299</v>
      </c>
      <c r="S3">
        <v>-8.7309953457947301E-2</v>
      </c>
      <c r="T3">
        <v>-0.12664508207896299</v>
      </c>
      <c r="U3">
        <v>-0.12664508207896299</v>
      </c>
      <c r="V3">
        <v>-0.12664508207896299</v>
      </c>
      <c r="W3">
        <v>-0.12664508207896299</v>
      </c>
      <c r="X3">
        <v>0.167994982914179</v>
      </c>
      <c r="Y3">
        <v>0.48850765345524599</v>
      </c>
      <c r="Z3">
        <v>-0.12664508207896299</v>
      </c>
      <c r="AA3">
        <v>-0.12664508207896299</v>
      </c>
      <c r="AB3">
        <v>-0.12664508207896299</v>
      </c>
      <c r="AC3">
        <v>-0.12664508207896299</v>
      </c>
      <c r="AD3">
        <v>-1.5985232059657E-2</v>
      </c>
      <c r="AE3">
        <v>0.32241856570317501</v>
      </c>
      <c r="AF3">
        <v>-0.12664508207896299</v>
      </c>
      <c r="AG3">
        <v>-0.12664508207896299</v>
      </c>
      <c r="AH3">
        <v>-0.12664508207896299</v>
      </c>
      <c r="AI3">
        <v>-0.12664508207896299</v>
      </c>
      <c r="AJ3">
        <v>-1.9371686138291801E-2</v>
      </c>
      <c r="AK3">
        <v>-6.4962341219283598E-2</v>
      </c>
      <c r="AL3">
        <v>-0.12664508207896299</v>
      </c>
      <c r="AM3">
        <v>-3.1346102912975599E-2</v>
      </c>
      <c r="AN3">
        <v>4.1021971025502799E-2</v>
      </c>
      <c r="AO3">
        <v>-1.48363669712313E-2</v>
      </c>
      <c r="AP3">
        <v>2.11296013635336E-2</v>
      </c>
      <c r="AQ3">
        <v>-3.4150452465851798E-4</v>
      </c>
      <c r="AR3">
        <v>7.8618109375751893E-2</v>
      </c>
      <c r="AS3">
        <v>-6.11301621067845E-2</v>
      </c>
      <c r="AT3">
        <v>7.4540925520789503E-2</v>
      </c>
      <c r="AU3">
        <v>-0.12664508207896299</v>
      </c>
      <c r="AV3">
        <v>-2.8958959605441599E-2</v>
      </c>
      <c r="AW3">
        <v>-0.12664508207896299</v>
      </c>
      <c r="AX3">
        <v>3.1712440174835798E-3</v>
      </c>
      <c r="AY3">
        <v>-0.12664508207896299</v>
      </c>
      <c r="AZ3">
        <v>-0.12664508207896299</v>
      </c>
      <c r="BA3">
        <v>0.91588008783098895</v>
      </c>
      <c r="BB3">
        <v>8.6126539971157601E-2</v>
      </c>
      <c r="BC3">
        <v>0.41549818532252197</v>
      </c>
      <c r="BD3">
        <v>1.86098007847958</v>
      </c>
      <c r="BE3">
        <v>9.7892553030119706E-2</v>
      </c>
      <c r="BF3">
        <v>0.25422145140313501</v>
      </c>
      <c r="BG3">
        <v>-0.12664508207896299</v>
      </c>
      <c r="BH3">
        <v>0.76212413772451304</v>
      </c>
      <c r="BI3">
        <v>0.72053635833261198</v>
      </c>
      <c r="BJ3">
        <v>0.32304914804428497</v>
      </c>
      <c r="BK3">
        <v>0.84281715783704303</v>
      </c>
      <c r="BL3">
        <v>8.4531954134083001E-2</v>
      </c>
      <c r="BM3">
        <v>0.15998859821130901</v>
      </c>
      <c r="BN3">
        <v>-4.3184023288505603E-3</v>
      </c>
      <c r="BO3">
        <v>4.4220980935034897E-2</v>
      </c>
      <c r="BP3">
        <v>0.40682027732924297</v>
      </c>
      <c r="BQ3">
        <v>5.8785337826238997E-3</v>
      </c>
      <c r="BR3">
        <v>-0.12664508207896299</v>
      </c>
      <c r="BS3">
        <v>-8.3917278297382693E-3</v>
      </c>
      <c r="BT3">
        <v>0.31159881484843199</v>
      </c>
      <c r="BU3">
        <v>0.23249583138767499</v>
      </c>
      <c r="BV3">
        <v>0.66768245195581799</v>
      </c>
      <c r="BW3">
        <v>0.29721333323480098</v>
      </c>
      <c r="BX3">
        <v>0.16281783077238299</v>
      </c>
      <c r="BY3">
        <v>-0.12664508207896299</v>
      </c>
      <c r="BZ3">
        <v>-0.12664508207896299</v>
      </c>
      <c r="CA3">
        <v>0.51523478155673996</v>
      </c>
      <c r="CB3">
        <v>1.7315126827240401E-2</v>
      </c>
      <c r="CC3">
        <v>-0.12664508207896299</v>
      </c>
      <c r="CD3">
        <v>0.410241598864582</v>
      </c>
      <c r="CE3">
        <v>-2.63196660935071E-3</v>
      </c>
      <c r="CF3">
        <v>6.3402153674503303E-2</v>
      </c>
      <c r="CG3">
        <v>-0.12664508207896299</v>
      </c>
      <c r="CH3">
        <v>-2.8606993946590002E-2</v>
      </c>
      <c r="CI3">
        <v>-0.12664508207896299</v>
      </c>
      <c r="CJ3">
        <v>-0.12664508207896299</v>
      </c>
      <c r="CK3">
        <v>0.81620963660495505</v>
      </c>
      <c r="CL3">
        <v>0.26212066984501398</v>
      </c>
      <c r="CM3">
        <v>-0.12664508207896299</v>
      </c>
      <c r="CN3">
        <v>0.49144168581481901</v>
      </c>
      <c r="CO3">
        <v>0.32764189691700402</v>
      </c>
      <c r="CP3">
        <v>0.28173992337574999</v>
      </c>
      <c r="CQ3">
        <v>0.23378853112547601</v>
      </c>
      <c r="CR3">
        <v>0.64007188705259399</v>
      </c>
      <c r="CS3">
        <v>0.53660376315970304</v>
      </c>
      <c r="CT3">
        <v>2.5306081960884599E-2</v>
      </c>
      <c r="CU3">
        <v>0.26686161235040401</v>
      </c>
      <c r="CV3">
        <v>0.222801516619963</v>
      </c>
      <c r="CW3">
        <v>0.22763322077777101</v>
      </c>
      <c r="CX3">
        <v>3.4142370526312003E-4</v>
      </c>
      <c r="CY3">
        <v>-0.12664508207896299</v>
      </c>
      <c r="CZ3">
        <v>0.25999231216709401</v>
      </c>
      <c r="DA3">
        <v>0.29151841213392599</v>
      </c>
      <c r="DB3">
        <v>-0.12664508207896299</v>
      </c>
      <c r="DC3">
        <v>0.64857099239752103</v>
      </c>
      <c r="DD3">
        <v>-0.12664508207896299</v>
      </c>
      <c r="DE3">
        <v>-7.6244985283549796E-2</v>
      </c>
      <c r="DF3">
        <v>-4.71522881540248E-2</v>
      </c>
      <c r="DG3">
        <v>0.17595228504730101</v>
      </c>
      <c r="DH3">
        <v>-0.12664508207896299</v>
      </c>
      <c r="DI3">
        <v>6.2074342025265202E-3</v>
      </c>
      <c r="DJ3">
        <v>-2.8463123127578201E-2</v>
      </c>
      <c r="DK3">
        <v>0.14019456937521499</v>
      </c>
      <c r="DL3">
        <v>5.3251199477274396E-3</v>
      </c>
    </row>
    <row r="4" spans="1:116" x14ac:dyDescent="0.25">
      <c r="A4" t="s">
        <v>265</v>
      </c>
      <c r="B4" t="s">
        <v>289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4.6598827448176797E-2</v>
      </c>
      <c r="M4">
        <v>0</v>
      </c>
      <c r="N4">
        <v>0</v>
      </c>
      <c r="O4">
        <v>0</v>
      </c>
      <c r="P4">
        <v>0</v>
      </c>
      <c r="Q4">
        <v>6.8391646479245893E-2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0.50893036196711605</v>
      </c>
      <c r="AG4">
        <v>0.10664777605980701</v>
      </c>
      <c r="AH4">
        <v>0.50321268230660099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0.12630357755430399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0.36007967930370399</v>
      </c>
      <c r="AY4">
        <v>0</v>
      </c>
      <c r="AZ4">
        <v>8.2254860091494797E-2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0.12861585771394601</v>
      </c>
      <c r="CK4">
        <v>0</v>
      </c>
      <c r="CL4">
        <v>0.26886049758978797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0.23052697223931101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4.6235909720434197E-2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0.13197020202668999</v>
      </c>
    </row>
    <row r="5" spans="1:116" x14ac:dyDescent="0.25">
      <c r="A5" t="s">
        <v>265</v>
      </c>
      <c r="B5" t="s">
        <v>291</v>
      </c>
      <c r="C5">
        <v>0</v>
      </c>
      <c r="D5">
        <v>0.325856752706215</v>
      </c>
      <c r="E5">
        <v>0</v>
      </c>
      <c r="F5">
        <v>0</v>
      </c>
      <c r="G5">
        <v>0</v>
      </c>
      <c r="H5">
        <v>5.8623842836973E-2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6.8391646479245893E-2</v>
      </c>
      <c r="R5">
        <v>0</v>
      </c>
      <c r="S5">
        <v>3.9335128621015299E-2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0.10727339594067101</v>
      </c>
      <c r="AK5">
        <v>0</v>
      </c>
      <c r="AL5">
        <v>0</v>
      </c>
      <c r="AM5">
        <v>0</v>
      </c>
      <c r="AN5">
        <v>0</v>
      </c>
      <c r="AO5">
        <v>0.17384567240889201</v>
      </c>
      <c r="AP5">
        <v>0.147774683442496</v>
      </c>
      <c r="AQ5">
        <v>0</v>
      </c>
      <c r="AR5">
        <v>0.16475253933776399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8.2254860091494797E-2</v>
      </c>
      <c r="BA5">
        <v>0</v>
      </c>
      <c r="BB5">
        <v>0</v>
      </c>
      <c r="BC5">
        <v>0</v>
      </c>
      <c r="BD5">
        <v>0</v>
      </c>
      <c r="BE5">
        <v>0</v>
      </c>
      <c r="BF5">
        <v>9.0700995247064903E-2</v>
      </c>
      <c r="BG5">
        <v>0</v>
      </c>
      <c r="BH5">
        <v>0.122800032780194</v>
      </c>
      <c r="BI5">
        <v>0</v>
      </c>
      <c r="BJ5">
        <v>0</v>
      </c>
      <c r="BK5">
        <v>0</v>
      </c>
      <c r="BL5">
        <v>8.4806986430203804E-2</v>
      </c>
      <c r="BM5">
        <v>0</v>
      </c>
      <c r="BN5">
        <v>0.12232667975011199</v>
      </c>
      <c r="BO5">
        <v>0.17086606301399801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0.17811190281414799</v>
      </c>
      <c r="CD5">
        <v>0</v>
      </c>
      <c r="CE5">
        <v>0.23918447933008</v>
      </c>
      <c r="CF5">
        <v>0.57332822725211097</v>
      </c>
      <c r="CG5">
        <v>0</v>
      </c>
      <c r="CH5">
        <v>0</v>
      </c>
      <c r="CI5">
        <v>0.16841973569637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0.23052697223931101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9.93986854276247E-2</v>
      </c>
      <c r="DF5">
        <v>1.2469271330929601</v>
      </c>
      <c r="DG5">
        <v>0</v>
      </c>
      <c r="DH5">
        <v>0.16597282567273</v>
      </c>
      <c r="DI5">
        <v>0.25565648700443699</v>
      </c>
      <c r="DJ5">
        <v>0</v>
      </c>
      <c r="DK5">
        <v>0.139114541524025</v>
      </c>
      <c r="DL5">
        <v>0</v>
      </c>
    </row>
    <row r="6" spans="1:116" x14ac:dyDescent="0.25">
      <c r="A6" t="s">
        <v>265</v>
      </c>
      <c r="B6" t="s">
        <v>296</v>
      </c>
      <c r="C6">
        <v>-8.3438213473972997E-2</v>
      </c>
      <c r="D6">
        <v>0.174561460996048</v>
      </c>
      <c r="E6">
        <v>-8.3438213473972997E-2</v>
      </c>
      <c r="F6">
        <v>0.33520100491177801</v>
      </c>
      <c r="G6">
        <v>0.16799635080390701</v>
      </c>
      <c r="H6">
        <v>8.6663322610699506E-2</v>
      </c>
      <c r="I6">
        <v>0.39998704138984997</v>
      </c>
      <c r="J6">
        <v>-8.3438213473972997E-2</v>
      </c>
      <c r="K6">
        <v>-8.3438213473972997E-2</v>
      </c>
      <c r="L6">
        <v>0.18027618578987301</v>
      </c>
      <c r="M6">
        <v>-8.3438213473972997E-2</v>
      </c>
      <c r="N6">
        <v>-8.3438213473972997E-2</v>
      </c>
      <c r="O6">
        <v>0.445155861357385</v>
      </c>
      <c r="P6">
        <v>0.29613869040902302</v>
      </c>
      <c r="Q6">
        <v>0.343904011683144</v>
      </c>
      <c r="R6">
        <v>-8.3438213473972997E-2</v>
      </c>
      <c r="S6">
        <v>-5.67170779051945E-3</v>
      </c>
      <c r="T6">
        <v>-8.3438213473972997E-2</v>
      </c>
      <c r="U6">
        <v>0.16584068220096501</v>
      </c>
      <c r="V6">
        <v>-8.3438213473972997E-2</v>
      </c>
      <c r="W6">
        <v>-8.3438213473972997E-2</v>
      </c>
      <c r="X6">
        <v>-8.3438213473972997E-2</v>
      </c>
      <c r="Y6">
        <v>0.25597001630599397</v>
      </c>
      <c r="Z6">
        <v>-8.3438213473972997E-2</v>
      </c>
      <c r="AA6">
        <v>0.35690316468474997</v>
      </c>
      <c r="AB6">
        <v>-8.3438213473972997E-2</v>
      </c>
      <c r="AC6">
        <v>-8.3438213473972997E-2</v>
      </c>
      <c r="AD6">
        <v>2.7221636545332599E-2</v>
      </c>
      <c r="AE6">
        <v>-8.3438213473972997E-2</v>
      </c>
      <c r="AF6">
        <v>0.807850997588761</v>
      </c>
      <c r="AG6">
        <v>8.6926022828055893E-2</v>
      </c>
      <c r="AH6">
        <v>0.1890384038679</v>
      </c>
      <c r="AI6">
        <v>-4.1687153239628301E-4</v>
      </c>
      <c r="AJ6">
        <v>-8.3438213473972997E-2</v>
      </c>
      <c r="AK6">
        <v>0.181757300708868</v>
      </c>
      <c r="AL6">
        <v>-8.3438213473972997E-2</v>
      </c>
      <c r="AM6">
        <v>1.18607656920142E-2</v>
      </c>
      <c r="AN6">
        <v>8.4228839630492602E-2</v>
      </c>
      <c r="AO6">
        <v>-8.3438213473972997E-2</v>
      </c>
      <c r="AP6">
        <v>6.4336469968523199E-2</v>
      </c>
      <c r="AQ6">
        <v>-8.3438213473972997E-2</v>
      </c>
      <c r="AR6">
        <v>-8.3438213473972997E-2</v>
      </c>
      <c r="AS6">
        <v>-8.3438213473972997E-2</v>
      </c>
      <c r="AT6">
        <v>-8.3438213473972997E-2</v>
      </c>
      <c r="AU6">
        <v>-8.3438213473972997E-2</v>
      </c>
      <c r="AV6">
        <v>0.22170650037297299</v>
      </c>
      <c r="AW6">
        <v>0.28702705207469897</v>
      </c>
      <c r="AX6">
        <v>0.33786589471362399</v>
      </c>
      <c r="AY6">
        <v>-8.3438213473972997E-2</v>
      </c>
      <c r="AZ6">
        <v>0.121420746026634</v>
      </c>
      <c r="BA6">
        <v>-8.3438213473972997E-2</v>
      </c>
      <c r="BB6">
        <v>2.6576724848064701E-2</v>
      </c>
      <c r="BC6">
        <v>-8.3438213473972997E-2</v>
      </c>
      <c r="BD6">
        <v>-8.3438213473972997E-2</v>
      </c>
      <c r="BE6">
        <v>6.4916423760654596E-2</v>
      </c>
      <c r="BF6">
        <v>0.141683643131959</v>
      </c>
      <c r="BG6">
        <v>-8.3438213473972997E-2</v>
      </c>
      <c r="BH6">
        <v>7.0115806911623293E-2</v>
      </c>
      <c r="BI6">
        <v>1.81324201850055E-2</v>
      </c>
      <c r="BJ6">
        <v>-8.3438213473972997E-2</v>
      </c>
      <c r="BK6">
        <v>0.16891093930321299</v>
      </c>
      <c r="BL6">
        <v>0.127738822739073</v>
      </c>
      <c r="BM6">
        <v>-2.2422809262089501E-2</v>
      </c>
      <c r="BN6">
        <v>0.106444848535957</v>
      </c>
      <c r="BO6">
        <v>8.7427849540024596E-2</v>
      </c>
      <c r="BP6">
        <v>-8.3438213473972997E-2</v>
      </c>
      <c r="BQ6">
        <v>4.9085402387613698E-2</v>
      </c>
      <c r="BR6">
        <v>-8.3438213473972997E-2</v>
      </c>
      <c r="BS6">
        <v>3.4815140775251302E-2</v>
      </c>
      <c r="BT6">
        <v>2.6855634914642799E-2</v>
      </c>
      <c r="BU6">
        <v>0.10555812866504399</v>
      </c>
      <c r="BV6">
        <v>5.1658457220106799E-2</v>
      </c>
      <c r="BW6">
        <v>-8.3438213473972997E-2</v>
      </c>
      <c r="BX6">
        <v>1.6440325660135699E-3</v>
      </c>
      <c r="BY6">
        <v>-8.3438213473972997E-2</v>
      </c>
      <c r="BZ6">
        <v>-8.3438213473972997E-2</v>
      </c>
      <c r="CA6">
        <v>-8.3438213473972997E-2</v>
      </c>
      <c r="CB6">
        <v>0.31490234891209301</v>
      </c>
      <c r="CC6">
        <v>-8.3438213473972997E-2</v>
      </c>
      <c r="CD6">
        <v>8.3101586905491603E-2</v>
      </c>
      <c r="CE6">
        <v>0.21952492074247301</v>
      </c>
      <c r="CF6">
        <v>1.43588810927426E-2</v>
      </c>
      <c r="CG6">
        <v>0.134204164996477</v>
      </c>
      <c r="CH6">
        <v>0.24567790551537799</v>
      </c>
      <c r="CI6">
        <v>-8.3438213473972997E-2</v>
      </c>
      <c r="CJ6">
        <v>0.43629888838531999</v>
      </c>
      <c r="CK6">
        <v>0.38945566490389699</v>
      </c>
      <c r="CL6">
        <v>0.18542228411581399</v>
      </c>
      <c r="CM6">
        <v>-8.3438213473972997E-2</v>
      </c>
      <c r="CN6">
        <v>-8.3438213473972997E-2</v>
      </c>
      <c r="CO6">
        <v>-8.3438213473972997E-2</v>
      </c>
      <c r="CP6">
        <v>0.13421892272730301</v>
      </c>
      <c r="CQ6">
        <v>-8.3438213473972997E-2</v>
      </c>
      <c r="CR6">
        <v>5.8713208505911101E-2</v>
      </c>
      <c r="CS6">
        <v>0.52637773740282401</v>
      </c>
      <c r="CT6">
        <v>0.207207367178839</v>
      </c>
      <c r="CU6">
        <v>4.1675111077547601E-4</v>
      </c>
      <c r="CV6">
        <v>-8.3438213473972997E-2</v>
      </c>
      <c r="CW6">
        <v>-8.3438213473972997E-2</v>
      </c>
      <c r="CX6">
        <v>4.3548292310252701E-2</v>
      </c>
      <c r="CY6">
        <v>-8.3438213473972997E-2</v>
      </c>
      <c r="CZ6">
        <v>-8.3438213473972997E-2</v>
      </c>
      <c r="DA6">
        <v>5.1469294863544603E-2</v>
      </c>
      <c r="DB6">
        <v>-8.3438213473972997E-2</v>
      </c>
      <c r="DC6">
        <v>0.47233760305316402</v>
      </c>
      <c r="DD6">
        <v>-8.3438213473972997E-2</v>
      </c>
      <c r="DE6">
        <v>-8.3438213473972997E-2</v>
      </c>
      <c r="DF6">
        <v>-3.9454195490351996E-3</v>
      </c>
      <c r="DG6">
        <v>-8.3438213473972997E-2</v>
      </c>
      <c r="DH6">
        <v>-8.3438213473972997E-2</v>
      </c>
      <c r="DI6">
        <v>-8.3438213473972997E-2</v>
      </c>
      <c r="DJ6">
        <v>-8.3438213473972997E-2</v>
      </c>
      <c r="DK6">
        <v>0.253567462136842</v>
      </c>
      <c r="DL6">
        <v>-8.3438213473972997E-2</v>
      </c>
    </row>
    <row r="7" spans="1:116" x14ac:dyDescent="0.25">
      <c r="A7" t="s">
        <v>265</v>
      </c>
      <c r="B7" t="s">
        <v>298</v>
      </c>
      <c r="C7">
        <v>-0.50989153307587898</v>
      </c>
      <c r="D7">
        <v>-0.38700112268125902</v>
      </c>
      <c r="E7">
        <v>-0.52627683191503205</v>
      </c>
      <c r="F7">
        <v>-0.53695530511205203</v>
      </c>
      <c r="G7">
        <v>-0.395359341086851</v>
      </c>
      <c r="H7">
        <v>-0.53601720317714596</v>
      </c>
      <c r="I7">
        <v>-0.27580988905860798</v>
      </c>
      <c r="J7">
        <v>0.101294946597675</v>
      </c>
      <c r="K7">
        <v>-0.20751633445631901</v>
      </c>
      <c r="L7">
        <v>-0.40843540620200902</v>
      </c>
      <c r="M7">
        <v>-0.282543234938059</v>
      </c>
      <c r="N7">
        <v>0.16149192661973499</v>
      </c>
      <c r="O7">
        <v>-0.26238630613351599</v>
      </c>
      <c r="P7">
        <v>-0.13599887565985699</v>
      </c>
      <c r="Q7">
        <v>0.25904061373514897</v>
      </c>
      <c r="R7">
        <v>0.75298658950167996</v>
      </c>
      <c r="S7">
        <v>0.43057781466692702</v>
      </c>
      <c r="T7">
        <v>-0.21749110701208699</v>
      </c>
      <c r="U7">
        <v>-0.38782062968189901</v>
      </c>
      <c r="V7">
        <v>0.50805921645681096</v>
      </c>
      <c r="W7">
        <v>-0.75923514392243097</v>
      </c>
      <c r="X7">
        <v>-0.21893559913829799</v>
      </c>
      <c r="Y7">
        <v>-0.75923514392243097</v>
      </c>
      <c r="Z7">
        <v>1.5067618307414701</v>
      </c>
      <c r="AA7">
        <v>0.298700214647451</v>
      </c>
      <c r="AB7">
        <v>0.285860328995027</v>
      </c>
      <c r="AC7">
        <v>0.79918831462790596</v>
      </c>
      <c r="AD7">
        <v>0.62160962429591504</v>
      </c>
      <c r="AE7">
        <v>0.55241364865445697</v>
      </c>
      <c r="AF7">
        <v>0.50820986619670205</v>
      </c>
      <c r="AG7">
        <v>0.89677570249840799</v>
      </c>
      <c r="AH7">
        <v>0.121420005458799</v>
      </c>
      <c r="AI7">
        <v>0.51099563515095003</v>
      </c>
      <c r="AJ7">
        <v>0.29835841431900401</v>
      </c>
      <c r="AK7">
        <v>-0.13229115837841801</v>
      </c>
      <c r="AL7">
        <v>-0.12537005095159201</v>
      </c>
      <c r="AM7">
        <v>0.33522846710772602</v>
      </c>
      <c r="AN7">
        <v>-5.93799596911549E-2</v>
      </c>
      <c r="AO7">
        <v>-0.54274608439401795</v>
      </c>
      <c r="AP7">
        <v>-0.23313476290996701</v>
      </c>
      <c r="AQ7">
        <v>-0.51541184776666704</v>
      </c>
      <c r="AR7">
        <v>-0.37168881209633198</v>
      </c>
      <c r="AS7">
        <v>-0.16748622093382401</v>
      </c>
      <c r="AT7">
        <v>0.58944877136919804</v>
      </c>
      <c r="AU7">
        <v>-0.16601095950259501</v>
      </c>
      <c r="AV7">
        <v>-0.18271088241719899</v>
      </c>
      <c r="AW7">
        <v>-0.29568621636272502</v>
      </c>
      <c r="AX7">
        <v>0.83834262143961902</v>
      </c>
      <c r="AY7">
        <v>-0.75923514392243097</v>
      </c>
      <c r="AZ7">
        <v>0.31827989996126699</v>
      </c>
      <c r="BA7">
        <v>0.250343605309782</v>
      </c>
      <c r="BB7">
        <v>7.0694010148488098E-2</v>
      </c>
      <c r="BC7">
        <v>6.8401308518348206E-2</v>
      </c>
      <c r="BD7">
        <v>0.12914676038694101</v>
      </c>
      <c r="BE7">
        <v>0.287686278724894</v>
      </c>
      <c r="BF7">
        <v>0.26915569270142498</v>
      </c>
      <c r="BG7">
        <v>-5.4061266675056702E-2</v>
      </c>
      <c r="BH7">
        <v>-6.6571080722283807E-2</v>
      </c>
      <c r="BI7">
        <v>-0.21258246338995401</v>
      </c>
      <c r="BJ7">
        <v>0.27292175773455202</v>
      </c>
      <c r="BK7">
        <v>0.33707939403444698</v>
      </c>
      <c r="BL7">
        <v>0.175045477183738</v>
      </c>
      <c r="BM7">
        <v>-0.18893042587710601</v>
      </c>
      <c r="BN7">
        <v>0.666107859507719</v>
      </c>
      <c r="BO7">
        <v>0.33726530085395701</v>
      </c>
      <c r="BP7">
        <v>0.172358323236559</v>
      </c>
      <c r="BQ7">
        <v>0.47369532384949797</v>
      </c>
      <c r="BR7">
        <v>0.27343040163594301</v>
      </c>
      <c r="BS7">
        <v>0.20818545259448901</v>
      </c>
      <c r="BT7">
        <v>0.20991739351698299</v>
      </c>
      <c r="BU7">
        <v>0.47841336507033799</v>
      </c>
      <c r="BV7">
        <v>0.52988958646852902</v>
      </c>
      <c r="BW7">
        <v>-0.19662122131613999</v>
      </c>
      <c r="BX7">
        <v>-1.55781132285284E-2</v>
      </c>
      <c r="BY7">
        <v>-0.14907071111846501</v>
      </c>
      <c r="BZ7">
        <v>-0.57711070011029697</v>
      </c>
      <c r="CA7">
        <v>5.10461059223246E-2</v>
      </c>
      <c r="CB7">
        <v>1.54116972735367E-2</v>
      </c>
      <c r="CC7">
        <v>-0.27408124264801498</v>
      </c>
      <c r="CD7">
        <v>-0.59269534354296705</v>
      </c>
      <c r="CE7">
        <v>0.131229514476114</v>
      </c>
      <c r="CF7">
        <v>-0.66143804935571604</v>
      </c>
      <c r="CG7">
        <v>-9.7739527339673393E-2</v>
      </c>
      <c r="CH7">
        <v>-3.4407120699586798E-2</v>
      </c>
      <c r="CI7">
        <v>6.1643727394139099E-2</v>
      </c>
      <c r="CJ7">
        <v>0.18566790328525401</v>
      </c>
      <c r="CK7">
        <v>0.33817045315156102</v>
      </c>
      <c r="CL7">
        <v>4.0354283683539202E-2</v>
      </c>
      <c r="CM7">
        <v>-0.29313661149572201</v>
      </c>
      <c r="CN7">
        <v>-0.32228107415796098</v>
      </c>
      <c r="CO7">
        <v>0.13004669224363799</v>
      </c>
      <c r="CP7">
        <v>5.5649833230296201E-2</v>
      </c>
      <c r="CQ7">
        <v>0.42510737478713101</v>
      </c>
      <c r="CR7">
        <v>1.22654997319778</v>
      </c>
      <c r="CS7">
        <v>1.03007920892848</v>
      </c>
      <c r="CT7">
        <v>-5.0948529238274698E-2</v>
      </c>
      <c r="CU7">
        <v>0.287965000716287</v>
      </c>
      <c r="CV7">
        <v>-0.12153324702481599</v>
      </c>
      <c r="CW7">
        <v>-0.43603103130131499</v>
      </c>
      <c r="CX7">
        <v>-0.35092874238649102</v>
      </c>
      <c r="CY7">
        <v>-0.12281768813590099</v>
      </c>
      <c r="CZ7">
        <v>-6.4229212591305401E-2</v>
      </c>
      <c r="DA7">
        <v>-5.53513183642209E-2</v>
      </c>
      <c r="DB7">
        <v>-0.374528349991052</v>
      </c>
      <c r="DC7">
        <v>-0.20345932739529399</v>
      </c>
      <c r="DD7">
        <v>0.32716225319880998</v>
      </c>
      <c r="DE7">
        <v>-0.56571559784380998</v>
      </c>
      <c r="DF7">
        <v>-0.29380513163348099</v>
      </c>
      <c r="DG7">
        <v>0.46435308785459301</v>
      </c>
      <c r="DH7">
        <v>-4.3763955729530103E-2</v>
      </c>
      <c r="DI7">
        <v>-0.28245359207810999</v>
      </c>
      <c r="DJ7">
        <v>0.47323833210312</v>
      </c>
      <c r="DK7">
        <v>0.38959274968540403</v>
      </c>
      <c r="DL7">
        <v>0.283151907389463</v>
      </c>
    </row>
    <row r="8" spans="1:116" x14ac:dyDescent="0.25">
      <c r="A8" t="s">
        <v>265</v>
      </c>
      <c r="B8" t="s">
        <v>302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4.9697262887010499E-2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0.34944659869892603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0.32606599187555002</v>
      </c>
      <c r="DF8">
        <v>0.26903920706853102</v>
      </c>
      <c r="DG8">
        <v>0</v>
      </c>
      <c r="DH8">
        <v>0</v>
      </c>
      <c r="DI8">
        <v>0</v>
      </c>
      <c r="DJ8">
        <v>9.8181958951384596E-2</v>
      </c>
      <c r="DK8">
        <v>0</v>
      </c>
      <c r="DL8">
        <v>0</v>
      </c>
    </row>
    <row r="9" spans="1:116" x14ac:dyDescent="0.25">
      <c r="A9" t="s">
        <v>265</v>
      </c>
      <c r="B9" t="s">
        <v>305</v>
      </c>
      <c r="C9">
        <v>3.0183648882566201E-2</v>
      </c>
      <c r="D9">
        <v>0.158626888390934</v>
      </c>
      <c r="E9">
        <v>-9.9372786079086894E-2</v>
      </c>
      <c r="F9">
        <v>-9.9372786079086894E-2</v>
      </c>
      <c r="G9">
        <v>-9.9372786079086894E-2</v>
      </c>
      <c r="H9">
        <v>-9.9372786079086894E-2</v>
      </c>
      <c r="I9">
        <v>5.0835989413949297E-2</v>
      </c>
      <c r="J9">
        <v>-9.9372786079086894E-2</v>
      </c>
      <c r="K9">
        <v>5.7876686024665301E-2</v>
      </c>
      <c r="L9">
        <v>-9.9372786079086894E-2</v>
      </c>
      <c r="M9">
        <v>-9.9372786079086894E-2</v>
      </c>
      <c r="N9">
        <v>0.135110927450178</v>
      </c>
      <c r="O9">
        <v>-5.7696062189640997E-2</v>
      </c>
      <c r="P9">
        <v>-3.6300991925902297E-2</v>
      </c>
      <c r="Q9">
        <v>-3.0981139599841102E-2</v>
      </c>
      <c r="R9">
        <v>-9.9372786079086894E-2</v>
      </c>
      <c r="S9">
        <v>-6.0037657458071401E-2</v>
      </c>
      <c r="T9">
        <v>-9.9372786079086894E-2</v>
      </c>
      <c r="U9">
        <v>1.57397244133248E-3</v>
      </c>
      <c r="V9">
        <v>-9.9372786079086894E-2</v>
      </c>
      <c r="W9">
        <v>-9.9372786079086894E-2</v>
      </c>
      <c r="X9">
        <v>-9.9372786079086894E-2</v>
      </c>
      <c r="Y9">
        <v>0.24003544370088001</v>
      </c>
      <c r="Z9">
        <v>-9.9372786079086894E-2</v>
      </c>
      <c r="AA9">
        <v>0.34096859207963598</v>
      </c>
      <c r="AB9">
        <v>0.19714633179103999</v>
      </c>
      <c r="AC9">
        <v>-9.9372786079086894E-2</v>
      </c>
      <c r="AD9">
        <v>0.17198784681472701</v>
      </c>
      <c r="AE9">
        <v>0.34969086170305003</v>
      </c>
      <c r="AF9">
        <v>1.4731970863757899</v>
      </c>
      <c r="AG9">
        <v>0.53249424754317298</v>
      </c>
      <c r="AH9">
        <v>-9.9372786079086894E-2</v>
      </c>
      <c r="AI9">
        <v>0.28012763093333098</v>
      </c>
      <c r="AJ9">
        <v>7.9006098615838193E-3</v>
      </c>
      <c r="AK9">
        <v>-3.7690045219407699E-2</v>
      </c>
      <c r="AL9">
        <v>0.208207092996223</v>
      </c>
      <c r="AM9">
        <v>8.5635016152802501E-2</v>
      </c>
      <c r="AN9">
        <v>6.8294267025378497E-2</v>
      </c>
      <c r="AO9">
        <v>-9.9372786079086894E-2</v>
      </c>
      <c r="AP9">
        <v>4.8401897363409399E-2</v>
      </c>
      <c r="AQ9">
        <v>2.69307914752175E-2</v>
      </c>
      <c r="AR9">
        <v>6.5116768449758099E-3</v>
      </c>
      <c r="AS9">
        <v>2.9201889789455201E-2</v>
      </c>
      <c r="AT9">
        <v>-9.9372786079086894E-2</v>
      </c>
      <c r="AU9">
        <v>-9.9372786079086894E-2</v>
      </c>
      <c r="AV9">
        <v>4.7643296121655403E-2</v>
      </c>
      <c r="AW9">
        <v>-9.9372786079086894E-2</v>
      </c>
      <c r="AX9">
        <v>0.26070689322461699</v>
      </c>
      <c r="AY9">
        <v>0.74051620766353299</v>
      </c>
      <c r="AZ9">
        <v>6.1271881740372403E-2</v>
      </c>
      <c r="BA9">
        <v>-9.9372786079086894E-2</v>
      </c>
      <c r="BB9">
        <v>-9.9372786079086894E-2</v>
      </c>
      <c r="BC9">
        <v>0.33760000501799697</v>
      </c>
      <c r="BD9">
        <v>0.33570279448315099</v>
      </c>
      <c r="BE9">
        <v>-9.9372786079086894E-2</v>
      </c>
      <c r="BF9">
        <v>-9.9372786079086894E-2</v>
      </c>
      <c r="BG9">
        <v>-9.9372786079086894E-2</v>
      </c>
      <c r="BH9">
        <v>0.234356381548772</v>
      </c>
      <c r="BI9">
        <v>-9.9372786079086894E-2</v>
      </c>
      <c r="BJ9">
        <v>2.44491683110729E-2</v>
      </c>
      <c r="BK9">
        <v>-1.138919059598E-2</v>
      </c>
      <c r="BL9">
        <v>-1.4565799648883101E-2</v>
      </c>
      <c r="BM9">
        <v>2.0681011988788401E-2</v>
      </c>
      <c r="BN9">
        <v>-9.9372786079086894E-2</v>
      </c>
      <c r="BO9">
        <v>-9.9372786079086894E-2</v>
      </c>
      <c r="BP9">
        <v>-9.9372786079086894E-2</v>
      </c>
      <c r="BQ9">
        <v>3.3150829782499801E-2</v>
      </c>
      <c r="BR9">
        <v>-9.9372786079086894E-2</v>
      </c>
      <c r="BS9">
        <v>-9.9372786079086894E-2</v>
      </c>
      <c r="BT9">
        <v>-9.9372786079086894E-2</v>
      </c>
      <c r="BU9">
        <v>-3.3996700139922398E-2</v>
      </c>
      <c r="BV9">
        <v>0.16086500158213199</v>
      </c>
      <c r="BW9">
        <v>0.17317946693798</v>
      </c>
      <c r="BX9">
        <v>-1.42905400391003E-2</v>
      </c>
      <c r="BY9">
        <v>5.2051623965622802E-2</v>
      </c>
      <c r="BZ9">
        <v>0.39627968133214098</v>
      </c>
      <c r="CA9">
        <v>-9.9372786079086894E-2</v>
      </c>
      <c r="CB9">
        <v>-9.9372786079086894E-2</v>
      </c>
      <c r="CC9">
        <v>7.8739116735060802E-2</v>
      </c>
      <c r="CD9">
        <v>-9.9372786079086894E-2</v>
      </c>
      <c r="CE9">
        <v>-9.9372786079086894E-2</v>
      </c>
      <c r="CF9">
        <v>-1.57569151237139E-3</v>
      </c>
      <c r="CG9">
        <v>0.118269592391363</v>
      </c>
      <c r="CH9">
        <v>0.13219710609113899</v>
      </c>
      <c r="CI9">
        <v>-9.9372786079086894E-2</v>
      </c>
      <c r="CJ9">
        <v>-9.9372786079086894E-2</v>
      </c>
      <c r="CK9">
        <v>0.23104882056273399</v>
      </c>
      <c r="CL9">
        <v>0.24064601016047699</v>
      </c>
      <c r="CM9">
        <v>-9.9372786079086894E-2</v>
      </c>
      <c r="CN9">
        <v>-9.9372786079086894E-2</v>
      </c>
      <c r="CO9">
        <v>0.89813146740919503</v>
      </c>
      <c r="CP9">
        <v>0.63224730125474304</v>
      </c>
      <c r="CQ9">
        <v>-9.9372786079086894E-2</v>
      </c>
      <c r="CR9">
        <v>4.2778635900797002E-2</v>
      </c>
      <c r="CS9">
        <v>0.60625676075536405</v>
      </c>
      <c r="CT9">
        <v>-9.9372786079086894E-2</v>
      </c>
      <c r="CU9">
        <v>0.485951112368946</v>
      </c>
      <c r="CV9">
        <v>-9.9372786079086894E-2</v>
      </c>
      <c r="CW9">
        <v>1.5867304518299399E-2</v>
      </c>
      <c r="CX9">
        <v>-3.4680938654285003E-2</v>
      </c>
      <c r="CY9">
        <v>0.14365591424221</v>
      </c>
      <c r="CZ9">
        <v>0.28726460816697003</v>
      </c>
      <c r="DA9">
        <v>3.5534722258430601E-2</v>
      </c>
      <c r="DB9">
        <v>-9.9372786079086894E-2</v>
      </c>
      <c r="DC9">
        <v>0.355875628955718</v>
      </c>
      <c r="DD9">
        <v>-9.9372786079086894E-2</v>
      </c>
      <c r="DE9">
        <v>-9.9372786079086894E-2</v>
      </c>
      <c r="DF9">
        <v>-9.9372786079086894E-2</v>
      </c>
      <c r="DG9">
        <v>0.67251784392119796</v>
      </c>
      <c r="DH9">
        <v>0.54946724663227497</v>
      </c>
      <c r="DI9">
        <v>3.34797302024024E-2</v>
      </c>
      <c r="DJ9">
        <v>0.23046969706979201</v>
      </c>
      <c r="DK9">
        <v>0.39550724955968197</v>
      </c>
      <c r="DL9">
        <v>0.52948394393312603</v>
      </c>
    </row>
    <row r="10" spans="1:116" x14ac:dyDescent="0.25">
      <c r="A10" t="s">
        <v>265</v>
      </c>
      <c r="B10" t="s">
        <v>306</v>
      </c>
      <c r="C10">
        <v>0.12955643496165301</v>
      </c>
      <c r="D10">
        <v>0</v>
      </c>
      <c r="E10">
        <v>0</v>
      </c>
      <c r="F10">
        <v>0.22227983881037999</v>
      </c>
      <c r="G10">
        <v>0</v>
      </c>
      <c r="H10">
        <v>5.8623842836973E-2</v>
      </c>
      <c r="I10">
        <v>0</v>
      </c>
      <c r="J10">
        <v>0</v>
      </c>
      <c r="K10">
        <v>0.30004121119495297</v>
      </c>
      <c r="L10">
        <v>4.6598827448176797E-2</v>
      </c>
      <c r="M10">
        <v>0.20198182223608099</v>
      </c>
      <c r="N10">
        <v>0</v>
      </c>
      <c r="O10">
        <v>4.1676723889446002E-2</v>
      </c>
      <c r="P10">
        <v>0</v>
      </c>
      <c r="Q10">
        <v>0</v>
      </c>
      <c r="R10">
        <v>0</v>
      </c>
      <c r="S10">
        <v>3.9335128621015299E-2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0.14395444885848199</v>
      </c>
      <c r="AG10">
        <v>0.10664777605980701</v>
      </c>
      <c r="AH10">
        <v>0</v>
      </c>
      <c r="AI10">
        <v>0</v>
      </c>
      <c r="AJ10">
        <v>0</v>
      </c>
      <c r="AK10">
        <v>6.1682740859679203E-2</v>
      </c>
      <c r="AL10">
        <v>0</v>
      </c>
      <c r="AM10">
        <v>0</v>
      </c>
      <c r="AN10">
        <v>0.31879673672200698</v>
      </c>
      <c r="AO10">
        <v>0</v>
      </c>
      <c r="AP10">
        <v>0</v>
      </c>
      <c r="AQ10">
        <v>0.12630357755430399</v>
      </c>
      <c r="AR10">
        <v>0.10588446292406301</v>
      </c>
      <c r="AS10">
        <v>6.5514919972178107E-2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0.49705628469840502</v>
      </c>
      <c r="BD10">
        <v>0.15714149864759899</v>
      </c>
      <c r="BE10">
        <v>0.11587114638932999</v>
      </c>
      <c r="BF10">
        <v>0</v>
      </c>
      <c r="BG10">
        <v>0</v>
      </c>
      <c r="BH10">
        <v>0.22548061461388699</v>
      </c>
      <c r="BI10">
        <v>0.101570633658979</v>
      </c>
      <c r="BJ10">
        <v>0.40804613805461099</v>
      </c>
      <c r="BK10">
        <v>0.62168150290319002</v>
      </c>
      <c r="BL10">
        <v>0.16560864824292801</v>
      </c>
      <c r="BM10">
        <v>6.1015404211883499E-2</v>
      </c>
      <c r="BN10">
        <v>0.299363522461846</v>
      </c>
      <c r="BO10">
        <v>0.44089871471383701</v>
      </c>
      <c r="BP10">
        <v>0</v>
      </c>
      <c r="BQ10">
        <v>0.96686887515425102</v>
      </c>
      <c r="BR10">
        <v>0</v>
      </c>
      <c r="BS10">
        <v>0.22874618175196801</v>
      </c>
      <c r="BT10">
        <v>0.95819122059361905</v>
      </c>
      <c r="BU10">
        <v>0.84726256996681004</v>
      </c>
      <c r="BV10">
        <v>0</v>
      </c>
      <c r="BW10">
        <v>0.85747481626387301</v>
      </c>
      <c r="BX10">
        <v>8.5082246039986695E-2</v>
      </c>
      <c r="BY10">
        <v>6.6730016548299104E-2</v>
      </c>
      <c r="BZ10">
        <v>0.98042695602385199</v>
      </c>
      <c r="CA10">
        <v>0</v>
      </c>
      <c r="CB10">
        <v>1.0496726489916699</v>
      </c>
      <c r="CC10">
        <v>0</v>
      </c>
      <c r="CD10">
        <v>0.45936577667998202</v>
      </c>
      <c r="CE10">
        <v>0</v>
      </c>
      <c r="CF10">
        <v>0</v>
      </c>
      <c r="CG10">
        <v>0.21764237847045001</v>
      </c>
      <c r="CH10">
        <v>0.12571907559179701</v>
      </c>
      <c r="CI10">
        <v>0</v>
      </c>
      <c r="CJ10">
        <v>0.12861585771394601</v>
      </c>
      <c r="CK10">
        <v>0</v>
      </c>
      <c r="CL10">
        <v>0</v>
      </c>
      <c r="CM10">
        <v>0.129438387714083</v>
      </c>
      <c r="CN10">
        <v>0</v>
      </c>
      <c r="CO10">
        <v>0.45428697899596698</v>
      </c>
      <c r="CP10">
        <v>0</v>
      </c>
      <c r="CQ10">
        <v>0</v>
      </c>
      <c r="CR10">
        <v>0.14215142197988401</v>
      </c>
      <c r="CS10">
        <v>0</v>
      </c>
      <c r="CT10">
        <v>0</v>
      </c>
      <c r="CU10">
        <v>0</v>
      </c>
      <c r="CV10">
        <v>0</v>
      </c>
      <c r="CW10">
        <v>0.41782147314368401</v>
      </c>
      <c r="CX10">
        <v>0</v>
      </c>
      <c r="CY10">
        <v>0</v>
      </c>
      <c r="CZ10">
        <v>0</v>
      </c>
      <c r="DA10">
        <v>0.218975647732923</v>
      </c>
      <c r="DB10">
        <v>0</v>
      </c>
      <c r="DC10">
        <v>0.30198137790881602</v>
      </c>
      <c r="DD10">
        <v>0</v>
      </c>
      <c r="DE10">
        <v>0</v>
      </c>
      <c r="DF10">
        <v>7.9492793924937993E-2</v>
      </c>
      <c r="DG10">
        <v>0</v>
      </c>
      <c r="DH10">
        <v>0</v>
      </c>
      <c r="DI10">
        <v>0.53627171949262697</v>
      </c>
      <c r="DJ10">
        <v>0</v>
      </c>
      <c r="DK10">
        <v>0.38496244708180299</v>
      </c>
      <c r="DL10">
        <v>0.13197020202668999</v>
      </c>
    </row>
    <row r="11" spans="1:116" x14ac:dyDescent="0.25">
      <c r="A11" t="s">
        <v>265</v>
      </c>
      <c r="B11" t="s">
        <v>309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6.4237856559453299E-2</v>
      </c>
      <c r="K11">
        <v>0</v>
      </c>
      <c r="L11">
        <v>4.6598827448176797E-2</v>
      </c>
      <c r="M11">
        <v>0.158193887922188</v>
      </c>
      <c r="N11">
        <v>0</v>
      </c>
      <c r="O11">
        <v>0</v>
      </c>
      <c r="P11">
        <v>3.1817373913906898E-2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0.50104433366211498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0.16212805827433099</v>
      </c>
      <c r="AJ11">
        <v>0</v>
      </c>
      <c r="AK11">
        <v>0</v>
      </c>
      <c r="AL11">
        <v>0</v>
      </c>
      <c r="AM11">
        <v>0</v>
      </c>
      <c r="AN11">
        <v>0.167667053104465</v>
      </c>
      <c r="AO11">
        <v>0</v>
      </c>
      <c r="AP11">
        <v>0</v>
      </c>
      <c r="AQ11">
        <v>0</v>
      </c>
      <c r="AR11">
        <v>0.10588446292406301</v>
      </c>
      <c r="AS11">
        <v>0</v>
      </c>
      <c r="AT11">
        <v>0.201186007599752</v>
      </c>
      <c r="AU11">
        <v>0.22439787909986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0.51151068973082403</v>
      </c>
      <c r="BB11">
        <v>0</v>
      </c>
      <c r="BC11">
        <v>0.18380778093133299</v>
      </c>
      <c r="BD11">
        <v>0.55963863388852897</v>
      </c>
      <c r="BE11">
        <v>0</v>
      </c>
      <c r="BF11">
        <v>0</v>
      </c>
      <c r="BG11">
        <v>0</v>
      </c>
      <c r="BH11">
        <v>0</v>
      </c>
      <c r="BI11">
        <v>0.19728845589355801</v>
      </c>
      <c r="BJ11">
        <v>0.12382195439016</v>
      </c>
      <c r="BK11">
        <v>0</v>
      </c>
      <c r="BL11">
        <v>8.4806986430203804E-2</v>
      </c>
      <c r="BM11">
        <v>0</v>
      </c>
      <c r="BN11">
        <v>0</v>
      </c>
      <c r="BO11">
        <v>0.17086606301399801</v>
      </c>
      <c r="BP11">
        <v>0</v>
      </c>
      <c r="BQ11">
        <v>0.13252361586158701</v>
      </c>
      <c r="BR11">
        <v>0</v>
      </c>
      <c r="BS11">
        <v>0</v>
      </c>
      <c r="BT11">
        <v>0.70955882982524399</v>
      </c>
      <c r="BU11">
        <v>0.12831164949259399</v>
      </c>
      <c r="BV11">
        <v>0.26023778766121902</v>
      </c>
      <c r="BW11">
        <v>0</v>
      </c>
      <c r="BX11">
        <v>0</v>
      </c>
      <c r="BY11">
        <v>0.131148567779208</v>
      </c>
      <c r="BZ11">
        <v>0.182124443812134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9.7797094566715606E-2</v>
      </c>
      <c r="CG11">
        <v>0</v>
      </c>
      <c r="CH11">
        <v>7.8134200811843704E-2</v>
      </c>
      <c r="CI11">
        <v>0</v>
      </c>
      <c r="CJ11">
        <v>0</v>
      </c>
      <c r="CK11">
        <v>0.173879202773114</v>
      </c>
      <c r="CL11">
        <v>0</v>
      </c>
      <c r="CM11">
        <v>0.361254048670961</v>
      </c>
      <c r="CN11">
        <v>0</v>
      </c>
      <c r="CO11">
        <v>0.68619788132825199</v>
      </c>
      <c r="CP11">
        <v>0</v>
      </c>
      <c r="CQ11">
        <v>0</v>
      </c>
      <c r="CR11">
        <v>0.56894460569401595</v>
      </c>
      <c r="CS11">
        <v>0.23052697223931101</v>
      </c>
      <c r="CT11">
        <v>0</v>
      </c>
      <c r="CU11">
        <v>0.208505541600389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4.6235909720434197E-2</v>
      </c>
      <c r="DB11">
        <v>0.20356000629849599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0.25393590542001898</v>
      </c>
    </row>
    <row r="12" spans="1:116" x14ac:dyDescent="0.25">
      <c r="A12" t="s">
        <v>265</v>
      </c>
      <c r="B12" t="s">
        <v>311</v>
      </c>
      <c r="C12">
        <v>-0.80670076038091998</v>
      </c>
      <c r="D12">
        <v>-0.19055246345874999</v>
      </c>
      <c r="E12">
        <v>-1.01092072679776E-2</v>
      </c>
      <c r="F12">
        <v>-0.70309094924971405</v>
      </c>
      <c r="G12">
        <v>-1.09108915426533</v>
      </c>
      <c r="H12">
        <v>-1.2014345461081799</v>
      </c>
      <c r="I12">
        <v>-0.68566228724725897</v>
      </c>
      <c r="J12">
        <v>-1.0113173858275599</v>
      </c>
      <c r="K12">
        <v>-0.75667704586288898</v>
      </c>
      <c r="L12">
        <v>-1.4128762722863</v>
      </c>
      <c r="M12">
        <v>-0.66469039409785102</v>
      </c>
      <c r="N12">
        <v>4.7889440719289</v>
      </c>
      <c r="O12">
        <v>3.2614510035188502</v>
      </c>
      <c r="P12">
        <v>3.7985641507754901</v>
      </c>
      <c r="Q12">
        <v>1.9709367291970099</v>
      </c>
      <c r="R12">
        <v>0.90915629048304203</v>
      </c>
      <c r="S12">
        <v>3.4490102908433702</v>
      </c>
      <c r="T12">
        <v>0.90871880902274704</v>
      </c>
      <c r="U12">
        <v>0.67196954151838195</v>
      </c>
      <c r="V12">
        <v>4.0947004745394704</v>
      </c>
      <c r="W12">
        <v>5.5814049578624001</v>
      </c>
      <c r="X12">
        <v>5.7598788542390702</v>
      </c>
      <c r="Y12">
        <v>6.6585554401847196</v>
      </c>
      <c r="Z12">
        <v>6.9971201809667098</v>
      </c>
      <c r="AA12">
        <v>-1.17589096215442</v>
      </c>
      <c r="AB12">
        <v>4.1644724760860097</v>
      </c>
      <c r="AC12">
        <v>2.0566614706103801</v>
      </c>
      <c r="AD12">
        <v>3.1591178054887799</v>
      </c>
      <c r="AE12">
        <v>5.2782374495292199</v>
      </c>
      <c r="AF12">
        <v>4.1763636801544699</v>
      </c>
      <c r="AG12">
        <v>4.2483775471414704</v>
      </c>
      <c r="AH12">
        <v>4.3728240613476999</v>
      </c>
      <c r="AI12">
        <v>3.52780648126098</v>
      </c>
      <c r="AJ12">
        <v>2.8026813331391698</v>
      </c>
      <c r="AK12">
        <v>3.40855665200767</v>
      </c>
      <c r="AL12">
        <v>3.75771729037749</v>
      </c>
      <c r="AM12">
        <v>3.0529916396721801</v>
      </c>
      <c r="AN12">
        <v>-0.43247375859652198</v>
      </c>
      <c r="AO12">
        <v>1.40608985580598</v>
      </c>
      <c r="AP12">
        <v>0.86976203472434999</v>
      </c>
      <c r="AQ12">
        <v>0.37294357136436301</v>
      </c>
      <c r="AR12">
        <v>0.67596557440537597</v>
      </c>
      <c r="AS12">
        <v>-0.353019591610023</v>
      </c>
      <c r="AT12">
        <v>1.1024922186657</v>
      </c>
      <c r="AU12">
        <v>-0.118219877089782</v>
      </c>
      <c r="AV12">
        <v>1.75173960991773</v>
      </c>
      <c r="AW12">
        <v>-1.3043195957049101</v>
      </c>
      <c r="AX12">
        <v>-0.60292509565441699</v>
      </c>
      <c r="AY12">
        <v>-0.58814315238759396</v>
      </c>
      <c r="AZ12">
        <v>-1.73924391687519E-2</v>
      </c>
      <c r="BA12">
        <v>-0.54939823955833</v>
      </c>
      <c r="BB12">
        <v>-0.332955582821583</v>
      </c>
      <c r="BC12">
        <v>-0.68113391094772902</v>
      </c>
      <c r="BD12">
        <v>-0.71506777511647601</v>
      </c>
      <c r="BE12">
        <v>-0.44243753406879399</v>
      </c>
      <c r="BF12">
        <v>-1.1540283708071399</v>
      </c>
      <c r="BG12">
        <v>0.27966149945358998</v>
      </c>
      <c r="BH12">
        <v>-0.78159303314934403</v>
      </c>
      <c r="BI12">
        <v>1.0038862977565399E-2</v>
      </c>
      <c r="BJ12">
        <v>4.6941529000472298E-2</v>
      </c>
      <c r="BK12">
        <v>-0.63652718521761897</v>
      </c>
      <c r="BL12">
        <v>-0.52147888469566395</v>
      </c>
      <c r="BM12">
        <v>-0.473229046851665</v>
      </c>
      <c r="BN12">
        <v>-0.37647045581939098</v>
      </c>
      <c r="BO12">
        <v>-0.66207332130704899</v>
      </c>
      <c r="BP12">
        <v>1.0102493524431999</v>
      </c>
      <c r="BQ12">
        <v>-6.3130852012239405E-2</v>
      </c>
      <c r="BR12">
        <v>-5.2405526497596701E-2</v>
      </c>
      <c r="BS12">
        <v>-0.35313872459561402</v>
      </c>
      <c r="BT12">
        <v>-1.2485572923556401</v>
      </c>
      <c r="BU12">
        <v>-7.3920773030984502E-2</v>
      </c>
      <c r="BV12">
        <v>0.11301828606058199</v>
      </c>
      <c r="BW12">
        <v>-0.551179542647527</v>
      </c>
      <c r="BX12">
        <v>-1.24959761751708</v>
      </c>
      <c r="BY12">
        <v>-1.1040250932825399</v>
      </c>
      <c r="BZ12">
        <v>-1.08661640517613</v>
      </c>
      <c r="CA12">
        <v>0.978213972491494</v>
      </c>
      <c r="CB12">
        <v>0.14282679803729501</v>
      </c>
      <c r="CC12">
        <v>-0.74857184438257596</v>
      </c>
      <c r="CD12">
        <v>-1.94041450586162</v>
      </c>
      <c r="CE12">
        <v>-2.5398067249184201E-2</v>
      </c>
      <c r="CF12">
        <v>-1.06745208123318</v>
      </c>
      <c r="CG12">
        <v>-0.92197248882247396</v>
      </c>
      <c r="CH12">
        <v>-0.842554066235357</v>
      </c>
      <c r="CI12">
        <v>-0.23234708520613601</v>
      </c>
      <c r="CJ12">
        <v>1.24874935099558</v>
      </c>
      <c r="CK12">
        <v>0.70621919518327703</v>
      </c>
      <c r="CL12">
        <v>-0.62501666051611104</v>
      </c>
      <c r="CM12">
        <v>-0.77500970960720905</v>
      </c>
      <c r="CN12">
        <v>-0.318982283724422</v>
      </c>
      <c r="CO12">
        <v>1.89286021675741</v>
      </c>
      <c r="CP12">
        <v>1.72145880712926</v>
      </c>
      <c r="CQ12">
        <v>-5.2069815799820098E-2</v>
      </c>
      <c r="CR12">
        <v>0.63307388694940503</v>
      </c>
      <c r="CS12">
        <v>0.91864923556227995</v>
      </c>
      <c r="CT12">
        <v>0.75605774363451395</v>
      </c>
      <c r="CU12">
        <v>-0.543039817513153</v>
      </c>
      <c r="CV12">
        <v>-0.760785772542939</v>
      </c>
      <c r="CW12">
        <v>0.59789195279305396</v>
      </c>
      <c r="CX12">
        <v>-0.83510179073172497</v>
      </c>
      <c r="CY12">
        <v>-0.85423094008832301</v>
      </c>
      <c r="CZ12">
        <v>-0.55856053749504997</v>
      </c>
      <c r="DA12">
        <v>1.23638976285893</v>
      </c>
      <c r="DB12">
        <v>0.89749093513489198</v>
      </c>
      <c r="DC12">
        <v>0.65626919505678405</v>
      </c>
      <c r="DD12">
        <v>2.81845507750044</v>
      </c>
      <c r="DE12">
        <v>0.70115967865370799</v>
      </c>
      <c r="DF12">
        <v>-0.31137023855687901</v>
      </c>
      <c r="DG12">
        <v>1.50290191725581</v>
      </c>
      <c r="DH12">
        <v>1.3578396146293701</v>
      </c>
      <c r="DI12">
        <v>8.2249642788770005E-2</v>
      </c>
      <c r="DJ12">
        <v>2.1048848541865501</v>
      </c>
      <c r="DK12">
        <v>3.0769050893623699</v>
      </c>
      <c r="DL12">
        <v>3.4821257902915499</v>
      </c>
    </row>
    <row r="13" spans="1:116" x14ac:dyDescent="0.25">
      <c r="A13" t="s">
        <v>265</v>
      </c>
      <c r="B13" t="s">
        <v>312</v>
      </c>
      <c r="C13">
        <v>-6.5686382171686597E-2</v>
      </c>
      <c r="D13">
        <v>-0.19524281713333999</v>
      </c>
      <c r="E13">
        <v>-7.4477748946859698E-2</v>
      </c>
      <c r="F13">
        <v>-0.130200216977682</v>
      </c>
      <c r="G13">
        <v>-6.4619441462356E-2</v>
      </c>
      <c r="H13">
        <v>-7.9964562592379995E-2</v>
      </c>
      <c r="I13">
        <v>-0.19524281713333999</v>
      </c>
      <c r="J13">
        <v>8.0632892893476193E-2</v>
      </c>
      <c r="K13">
        <v>4.7111781138795501E-2</v>
      </c>
      <c r="L13">
        <v>-0.19524281713333999</v>
      </c>
      <c r="M13">
        <v>0.17732483403642901</v>
      </c>
      <c r="N13">
        <v>-0.19524281713333999</v>
      </c>
      <c r="O13">
        <v>3.9316986560959501E-3</v>
      </c>
      <c r="P13">
        <v>0.169052746894091</v>
      </c>
      <c r="Q13">
        <v>0.31514091672995698</v>
      </c>
      <c r="R13">
        <v>-0.19524281713333999</v>
      </c>
      <c r="S13">
        <v>0.43995974232200202</v>
      </c>
      <c r="T13">
        <v>0.34650121977700499</v>
      </c>
      <c r="U13">
        <v>-3.7994345597102498E-2</v>
      </c>
      <c r="V13">
        <v>0.18558156655098701</v>
      </c>
      <c r="W13">
        <v>0.30580151652877602</v>
      </c>
      <c r="X13">
        <v>9.9397247859802695E-2</v>
      </c>
      <c r="Y13">
        <v>0.14416541264662699</v>
      </c>
      <c r="Z13">
        <v>-0.19524281713333999</v>
      </c>
      <c r="AA13">
        <v>0.24509856102538299</v>
      </c>
      <c r="AB13">
        <v>0.34918880374487099</v>
      </c>
      <c r="AC13">
        <v>0.51251550924903599</v>
      </c>
      <c r="AD13">
        <v>0.293129995158044</v>
      </c>
      <c r="AE13">
        <v>-0.19524281713333999</v>
      </c>
      <c r="AF13">
        <v>-5.1288368274857797E-2</v>
      </c>
      <c r="AG13">
        <v>0.50135908710310795</v>
      </c>
      <c r="AH13">
        <v>7.7233800208533293E-2</v>
      </c>
      <c r="AI13">
        <v>0.22362056612950401</v>
      </c>
      <c r="AJ13">
        <v>1.2850261988785E-2</v>
      </c>
      <c r="AK13">
        <v>0.64919445713982005</v>
      </c>
      <c r="AL13">
        <v>-3.4019478078551497E-2</v>
      </c>
      <c r="AM13">
        <v>0.15485629754192101</v>
      </c>
      <c r="AN13">
        <v>-2.75757640288741E-2</v>
      </c>
      <c r="AO13">
        <v>0.119706581839527</v>
      </c>
      <c r="AP13">
        <v>-0.19524281713333999</v>
      </c>
      <c r="AQ13">
        <v>-6.8939239579035305E-2</v>
      </c>
      <c r="AR13">
        <v>1.0020374321374899E-2</v>
      </c>
      <c r="AS13">
        <v>-6.6668141264797406E-2</v>
      </c>
      <c r="AT13">
        <v>0.34564236090240702</v>
      </c>
      <c r="AU13">
        <v>-0.19524281713333999</v>
      </c>
      <c r="AV13">
        <v>5.3255286722757603E-2</v>
      </c>
      <c r="AW13">
        <v>-0.19524281713333999</v>
      </c>
      <c r="AX13">
        <v>0.164836862170365</v>
      </c>
      <c r="AY13">
        <v>-0.19524281713333999</v>
      </c>
      <c r="AZ13">
        <v>-0.112987957041845</v>
      </c>
      <c r="BA13">
        <v>-6.9427415925027394E-2</v>
      </c>
      <c r="BB13">
        <v>-8.5227878811301602E-2</v>
      </c>
      <c r="BC13">
        <v>-0.19524281713333999</v>
      </c>
      <c r="BD13">
        <v>-3.8101318485740401E-2</v>
      </c>
      <c r="BE13">
        <v>-0.19524281713333999</v>
      </c>
      <c r="BF13">
        <v>-0.104541821886275</v>
      </c>
      <c r="BG13">
        <v>0.509931060114035</v>
      </c>
      <c r="BH13">
        <v>-0.19524281713333999</v>
      </c>
      <c r="BI13">
        <v>0.205309773625555</v>
      </c>
      <c r="BJ13">
        <v>4.4079259596101102E-2</v>
      </c>
      <c r="BK13">
        <v>8.2272882036127898E-2</v>
      </c>
      <c r="BL13">
        <v>4.7554719763472302E-2</v>
      </c>
      <c r="BM13">
        <v>-1.7988035553607701E-2</v>
      </c>
      <c r="BN13">
        <v>0.10412070532850599</v>
      </c>
      <c r="BO13">
        <v>0.27202858533851199</v>
      </c>
      <c r="BP13">
        <v>-0.19524281713333999</v>
      </c>
      <c r="BQ13">
        <v>5.98585733279174E-2</v>
      </c>
      <c r="BR13">
        <v>-9.0187525392908096E-3</v>
      </c>
      <c r="BS13">
        <v>-1.1484136477596101E-2</v>
      </c>
      <c r="BT13">
        <v>-0.19524281713333999</v>
      </c>
      <c r="BU13">
        <v>-0.19524281713333999</v>
      </c>
      <c r="BV13">
        <v>0.21760763247730799</v>
      </c>
      <c r="BW13">
        <v>7.7309435883727295E-2</v>
      </c>
      <c r="BX13">
        <v>-2.8605276301051901E-2</v>
      </c>
      <c r="BY13">
        <v>-0.19524281713333999</v>
      </c>
      <c r="BZ13">
        <v>-0.19524281713333999</v>
      </c>
      <c r="CA13">
        <v>4.7985379712227202E-2</v>
      </c>
      <c r="CB13">
        <v>-0.19524281713333999</v>
      </c>
      <c r="CC13">
        <v>-0.19524281713333999</v>
      </c>
      <c r="CD13">
        <v>-0.19524281713333999</v>
      </c>
      <c r="CE13">
        <v>4.3941662196740103E-2</v>
      </c>
      <c r="CF13">
        <v>-5.1955813798737101E-3</v>
      </c>
      <c r="CG13">
        <v>2.23995613371103E-2</v>
      </c>
      <c r="CH13">
        <v>-9.72047290009668E-2</v>
      </c>
      <c r="CI13">
        <v>0.125756861360414</v>
      </c>
      <c r="CJ13">
        <v>0.118076636217086</v>
      </c>
      <c r="CK13">
        <v>-0.19524281713333999</v>
      </c>
      <c r="CL13">
        <v>7.3617680456448106E-2</v>
      </c>
      <c r="CM13">
        <v>-0.19524281713333999</v>
      </c>
      <c r="CN13">
        <v>-0.19524281713333999</v>
      </c>
      <c r="CO13">
        <v>0.35935190478177997</v>
      </c>
      <c r="CP13">
        <v>2.2414319067936301E-2</v>
      </c>
      <c r="CQ13">
        <v>0.25638555951312703</v>
      </c>
      <c r="CR13">
        <v>0.37370178856067598</v>
      </c>
      <c r="CS13">
        <v>0.57508097990960605</v>
      </c>
      <c r="CT13">
        <v>-4.3291653093492297E-2</v>
      </c>
      <c r="CU13">
        <v>0.15816760620642101</v>
      </c>
      <c r="CV13">
        <v>-0.19524281713333999</v>
      </c>
      <c r="CW13">
        <v>0.12796129548777699</v>
      </c>
      <c r="CX13">
        <v>0.272775983313225</v>
      </c>
      <c r="CY13">
        <v>-0.19524281713333999</v>
      </c>
      <c r="CZ13">
        <v>-0.19524281713333999</v>
      </c>
      <c r="DA13">
        <v>-1.7757676295042199E-2</v>
      </c>
      <c r="DB13">
        <v>8.3171891651569203E-3</v>
      </c>
      <c r="DC13">
        <v>0.36053299939379801</v>
      </c>
      <c r="DD13">
        <v>-0.19524281713333999</v>
      </c>
      <c r="DE13">
        <v>-0.19524281713333999</v>
      </c>
      <c r="DF13">
        <v>-3.9872045180496897E-2</v>
      </c>
      <c r="DG13">
        <v>0.25999830009734398</v>
      </c>
      <c r="DH13">
        <v>6.0245626800247802E-2</v>
      </c>
      <c r="DI13">
        <v>6.0413669871097302E-2</v>
      </c>
      <c r="DJ13">
        <v>-3.9424427885660198E-3</v>
      </c>
      <c r="DK13">
        <v>0.29963721850542901</v>
      </c>
      <c r="DL13">
        <v>-6.3272615106649402E-2</v>
      </c>
    </row>
    <row r="14" spans="1:116" x14ac:dyDescent="0.25">
      <c r="A14" t="s">
        <v>265</v>
      </c>
      <c r="B14" t="s">
        <v>318</v>
      </c>
      <c r="C14">
        <v>0</v>
      </c>
      <c r="D14">
        <v>0</v>
      </c>
      <c r="E14">
        <v>0</v>
      </c>
      <c r="F14">
        <v>6.5042600155658103E-2</v>
      </c>
      <c r="G14">
        <v>0.130623375670984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0.23646396155512001</v>
      </c>
      <c r="P14">
        <v>0.153668388546395</v>
      </c>
      <c r="Q14">
        <v>0.31623017018691602</v>
      </c>
      <c r="R14">
        <v>0.24827729026701201</v>
      </c>
      <c r="S14">
        <v>0.29162295010240602</v>
      </c>
      <c r="T14">
        <v>0</v>
      </c>
      <c r="U14">
        <v>0.157248471536237</v>
      </c>
      <c r="V14">
        <v>0</v>
      </c>
      <c r="W14">
        <v>0</v>
      </c>
      <c r="X14">
        <v>0</v>
      </c>
      <c r="Y14">
        <v>0.33940822977996699</v>
      </c>
      <c r="Z14">
        <v>0</v>
      </c>
      <c r="AA14">
        <v>0.78036257759733896</v>
      </c>
      <c r="AB14">
        <v>0.29651911787012702</v>
      </c>
      <c r="AC14">
        <v>0</v>
      </c>
      <c r="AD14">
        <v>0.31084840710513101</v>
      </c>
      <c r="AE14">
        <v>0</v>
      </c>
      <c r="AF14">
        <v>0.61364299163736602</v>
      </c>
      <c r="AG14">
        <v>0.849902157043676</v>
      </c>
      <c r="AH14">
        <v>0.50321268230660099</v>
      </c>
      <c r="AI14">
        <v>0</v>
      </c>
      <c r="AJ14">
        <v>0.20809307912212399</v>
      </c>
      <c r="AK14">
        <v>0.12107996412071501</v>
      </c>
      <c r="AL14">
        <v>0.161223339054788</v>
      </c>
      <c r="AM14">
        <v>0</v>
      </c>
      <c r="AN14">
        <v>0</v>
      </c>
      <c r="AO14">
        <v>0.11180871510773099</v>
      </c>
      <c r="AP14">
        <v>0.147774683442496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9.7686122473521098E-2</v>
      </c>
      <c r="AW14">
        <v>0</v>
      </c>
      <c r="AX14">
        <v>0.129816326096446</v>
      </c>
      <c r="AY14">
        <v>0</v>
      </c>
      <c r="AZ14">
        <v>8.2254860091494797E-2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0.122800032780194</v>
      </c>
      <c r="BI14">
        <v>0</v>
      </c>
      <c r="BJ14">
        <v>0</v>
      </c>
      <c r="BK14">
        <v>8.7983595483106997E-2</v>
      </c>
      <c r="BL14">
        <v>8.4806986430203804E-2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0.13509667069407999</v>
      </c>
      <c r="BW14">
        <v>0.33703031418659102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0.247604935315307</v>
      </c>
      <c r="CK14">
        <v>0</v>
      </c>
      <c r="CL14">
        <v>0</v>
      </c>
      <c r="CM14">
        <v>0.129438387714083</v>
      </c>
      <c r="CN14">
        <v>0</v>
      </c>
      <c r="CO14">
        <v>0</v>
      </c>
      <c r="CP14">
        <v>0</v>
      </c>
      <c r="CQ14">
        <v>0.190809532306667</v>
      </c>
      <c r="CR14">
        <v>0</v>
      </c>
      <c r="CS14">
        <v>0</v>
      </c>
      <c r="CT14">
        <v>0</v>
      </c>
      <c r="CU14">
        <v>8.3854964584748407E-2</v>
      </c>
      <c r="CV14">
        <v>0</v>
      </c>
      <c r="CW14">
        <v>0.11524009059738601</v>
      </c>
      <c r="CX14">
        <v>0</v>
      </c>
      <c r="CY14">
        <v>0</v>
      </c>
      <c r="CZ14">
        <v>0</v>
      </c>
      <c r="DA14">
        <v>0.218975647732923</v>
      </c>
      <c r="DB14">
        <v>0.20356000629849599</v>
      </c>
      <c r="DC14">
        <v>0.30198137790881602</v>
      </c>
      <c r="DD14">
        <v>0</v>
      </c>
      <c r="DE14">
        <v>5.0400096795412901E-2</v>
      </c>
      <c r="DF14">
        <v>0.15537077195284299</v>
      </c>
      <c r="DG14">
        <v>0</v>
      </c>
      <c r="DH14">
        <v>0</v>
      </c>
      <c r="DI14">
        <v>0</v>
      </c>
      <c r="DJ14">
        <v>9.8181958951384596E-2</v>
      </c>
      <c r="DK14">
        <v>0.139114541524025</v>
      </c>
      <c r="DL14">
        <v>0.25393590542001898</v>
      </c>
    </row>
    <row r="15" spans="1:116" x14ac:dyDescent="0.25">
      <c r="A15" t="s">
        <v>265</v>
      </c>
      <c r="B15" t="s">
        <v>322</v>
      </c>
      <c r="C15">
        <v>0</v>
      </c>
      <c r="D15">
        <v>0</v>
      </c>
      <c r="E15">
        <v>0</v>
      </c>
      <c r="F15">
        <v>6.5042600155658103E-2</v>
      </c>
      <c r="G15">
        <v>0</v>
      </c>
      <c r="H15">
        <v>0</v>
      </c>
      <c r="I15">
        <v>0</v>
      </c>
      <c r="J15">
        <v>6.4237856559453299E-2</v>
      </c>
      <c r="K15">
        <v>0</v>
      </c>
      <c r="L15">
        <v>4.6598827448176797E-2</v>
      </c>
      <c r="M15">
        <v>8.0822371832055803E-2</v>
      </c>
      <c r="N15">
        <v>0</v>
      </c>
      <c r="O15">
        <v>0</v>
      </c>
      <c r="P15">
        <v>0</v>
      </c>
      <c r="Q15">
        <v>6.8391646479245893E-2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0.29464006499314199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8.3021341941576607E-2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0.11180871510773099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0.125815401208312</v>
      </c>
      <c r="BB15">
        <v>0</v>
      </c>
      <c r="BC15">
        <v>0.18380778093133299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0.13197020202668999</v>
      </c>
    </row>
    <row r="16" spans="1:116" x14ac:dyDescent="0.25">
      <c r="A16" t="s">
        <v>265</v>
      </c>
      <c r="B16" t="s">
        <v>323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3.9335128621015299E-2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0.10727339594067101</v>
      </c>
      <c r="AK16">
        <v>6.1682740859679203E-2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0.19665104976499501</v>
      </c>
      <c r="AX16">
        <v>0.20086918440971199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6.1015404211883499E-2</v>
      </c>
      <c r="BN16">
        <v>0</v>
      </c>
      <c r="BO16">
        <v>0.17086606301399801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6.5376085939164497E-2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9.7797094566715606E-2</v>
      </c>
      <c r="CG16">
        <v>0</v>
      </c>
      <c r="CH16">
        <v>4.9697262887010499E-2</v>
      </c>
      <c r="CI16">
        <v>0</v>
      </c>
      <c r="CJ16">
        <v>0.12861585771394601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4.6235909720434197E-2</v>
      </c>
      <c r="DB16">
        <v>0</v>
      </c>
      <c r="DC16">
        <v>0</v>
      </c>
      <c r="DD16">
        <v>0</v>
      </c>
      <c r="DE16">
        <v>0.78954901447711801</v>
      </c>
      <c r="DF16">
        <v>0.75935097910228599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s="11" customFormat="1" ht="15.75" thickBot="1" x14ac:dyDescent="0.3">
      <c r="A17" s="11" t="s">
        <v>265</v>
      </c>
      <c r="B17" s="11" t="s">
        <v>327</v>
      </c>
      <c r="C17" s="11">
        <v>0.360794219445149</v>
      </c>
      <c r="D17" s="11">
        <v>0</v>
      </c>
      <c r="E17" s="11">
        <v>0</v>
      </c>
      <c r="F17" s="11">
        <v>6.5042600155658103E-2</v>
      </c>
      <c r="G17" s="11">
        <v>0</v>
      </c>
      <c r="H17" s="11">
        <v>0</v>
      </c>
      <c r="I17" s="11">
        <v>0</v>
      </c>
      <c r="J17" s="11">
        <v>6.4237856559453299E-2</v>
      </c>
      <c r="K17" s="11">
        <v>0</v>
      </c>
      <c r="L17" s="11">
        <v>4.6598827448176797E-2</v>
      </c>
      <c r="M17" s="11">
        <v>8.0822371832055803E-2</v>
      </c>
      <c r="N17" s="11">
        <v>0.234483713529265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0.257863041362421</v>
      </c>
      <c r="AO17" s="11">
        <v>0.21648905952841399</v>
      </c>
      <c r="AP17" s="11">
        <v>0</v>
      </c>
      <c r="AQ17" s="11">
        <v>0</v>
      </c>
      <c r="AR17" s="11">
        <v>0.205263191454715</v>
      </c>
      <c r="AS17" s="11">
        <v>0</v>
      </c>
      <c r="AT17" s="11">
        <v>0</v>
      </c>
      <c r="AU17" s="11">
        <v>0</v>
      </c>
      <c r="AV17" s="11">
        <v>3.3221521174110202E-2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0.348214867001022</v>
      </c>
      <c r="BD17" s="11">
        <v>0</v>
      </c>
      <c r="BE17" s="11">
        <v>0</v>
      </c>
      <c r="BF17" s="11">
        <v>9.0700995247064903E-2</v>
      </c>
      <c r="BG17" s="11">
        <v>0</v>
      </c>
      <c r="BH17" s="11">
        <v>7.84986768135741E-2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0.17086606301399801</v>
      </c>
      <c r="BP17" s="11">
        <v>0</v>
      </c>
      <c r="BQ17" s="11">
        <v>0</v>
      </c>
      <c r="BR17" s="11">
        <v>0</v>
      </c>
      <c r="BS17" s="11">
        <v>0.11825335424922399</v>
      </c>
      <c r="BT17" s="11">
        <v>0.17204818137918601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0.22256583751067299</v>
      </c>
      <c r="CC17" s="11">
        <v>0</v>
      </c>
      <c r="CD17" s="11">
        <v>0</v>
      </c>
      <c r="CE17" s="11">
        <v>0</v>
      </c>
      <c r="CF17" s="11">
        <v>0.277380872410462</v>
      </c>
      <c r="CG17" s="11">
        <v>0</v>
      </c>
      <c r="CH17" s="11">
        <v>0</v>
      </c>
      <c r="CI17" s="11">
        <v>0</v>
      </c>
      <c r="CJ17" s="11">
        <v>0.12861585771394601</v>
      </c>
      <c r="CK17" s="11">
        <v>0.173879202773114</v>
      </c>
      <c r="CL17" s="11">
        <v>0.139823774586291</v>
      </c>
      <c r="CM17" s="11">
        <v>0.31573832326177198</v>
      </c>
      <c r="CN17" s="11">
        <v>0</v>
      </c>
      <c r="CO17" s="11">
        <v>0</v>
      </c>
      <c r="CP17" s="11">
        <v>0</v>
      </c>
      <c r="CQ17" s="11">
        <v>0</v>
      </c>
      <c r="CR17" s="11">
        <v>0.72753101923611196</v>
      </c>
      <c r="CS17" s="11">
        <v>0.23052697223931101</v>
      </c>
      <c r="CT17" s="11">
        <v>0</v>
      </c>
      <c r="CU17" s="11">
        <v>0</v>
      </c>
      <c r="CV17" s="11">
        <v>0</v>
      </c>
      <c r="CW17" s="11">
        <v>0.11524009059738601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0.30198137790881602</v>
      </c>
      <c r="DD17" s="11">
        <v>0</v>
      </c>
      <c r="DE17" s="11">
        <v>0</v>
      </c>
      <c r="DF17" s="11">
        <v>0</v>
      </c>
      <c r="DG17" s="11">
        <v>0</v>
      </c>
      <c r="DH17" s="11">
        <v>0.16597282567273</v>
      </c>
      <c r="DI17" s="11">
        <v>0</v>
      </c>
      <c r="DJ17" s="11">
        <v>0</v>
      </c>
      <c r="DK17" s="11">
        <v>0</v>
      </c>
      <c r="DL17" s="11">
        <v>0</v>
      </c>
    </row>
    <row r="18" spans="1:116" x14ac:dyDescent="0.25">
      <c r="A18" t="s">
        <v>266</v>
      </c>
      <c r="B18" t="s">
        <v>286</v>
      </c>
      <c r="C18">
        <v>-0.44064911579371402</v>
      </c>
      <c r="D18">
        <v>-0.66086488684164002</v>
      </c>
      <c r="E18">
        <v>-1.13757094673439</v>
      </c>
      <c r="F18">
        <v>-0.47239277403067997</v>
      </c>
      <c r="G18">
        <v>-0.50206449635683104</v>
      </c>
      <c r="H18">
        <v>-0.74764431473433901</v>
      </c>
      <c r="I18">
        <v>-0.67760487652474599</v>
      </c>
      <c r="J18">
        <v>-0.14264240407880699</v>
      </c>
      <c r="K18">
        <v>-0.77472031337844205</v>
      </c>
      <c r="L18">
        <v>-0.46093846941612798</v>
      </c>
      <c r="M18">
        <v>0.26072418090721899</v>
      </c>
      <c r="N18">
        <v>-0.34520840098953598</v>
      </c>
      <c r="O18">
        <v>-0.22850095099954601</v>
      </c>
      <c r="P18">
        <v>-0.17944580035514601</v>
      </c>
      <c r="Q18">
        <v>0.61331552179470505</v>
      </c>
      <c r="R18">
        <v>-0.227362778307726</v>
      </c>
      <c r="S18">
        <v>-0.20037207924602099</v>
      </c>
      <c r="T18">
        <v>-0.58545348386026197</v>
      </c>
      <c r="U18">
        <v>-0.86779948675695995</v>
      </c>
      <c r="V18">
        <v>6.4414919100407406E-2</v>
      </c>
      <c r="W18">
        <v>-0.96243855517459598</v>
      </c>
      <c r="X18">
        <v>-0.26118991624626198</v>
      </c>
      <c r="Y18">
        <v>-0.78888627236023401</v>
      </c>
      <c r="Z18">
        <v>-1.8374323403625901</v>
      </c>
      <c r="AA18">
        <v>0.86054392946374203</v>
      </c>
      <c r="AB18">
        <v>-0.1910438826501</v>
      </c>
      <c r="AC18">
        <v>0.27376624907006297</v>
      </c>
      <c r="AD18">
        <v>0.37169993110707999</v>
      </c>
      <c r="AE18">
        <v>0.327938813208625</v>
      </c>
      <c r="AF18">
        <v>0.13817682657980801</v>
      </c>
      <c r="AG18">
        <v>0.375455441499631</v>
      </c>
      <c r="AH18">
        <v>-0.22392320553806</v>
      </c>
      <c r="AI18">
        <v>0.34413441166589998</v>
      </c>
      <c r="AJ18">
        <v>-8.3489559088722506E-2</v>
      </c>
      <c r="AK18">
        <v>-0.29960337991807801</v>
      </c>
      <c r="AL18">
        <v>-0.28957958734601202</v>
      </c>
      <c r="AM18">
        <v>-7.0445690891195498E-2</v>
      </c>
      <c r="AN18">
        <v>0.20580947670238001</v>
      </c>
      <c r="AO18">
        <v>-0.91280091590517298</v>
      </c>
      <c r="AP18">
        <v>-0.68915103694031798</v>
      </c>
      <c r="AQ18">
        <v>-0.60772867573325395</v>
      </c>
      <c r="AR18">
        <v>-0.43214965084776402</v>
      </c>
      <c r="AS18">
        <v>-0.72900992865231695</v>
      </c>
      <c r="AT18">
        <v>0.46166839782785002</v>
      </c>
      <c r="AU18">
        <v>-0.84779377637220199</v>
      </c>
      <c r="AV18">
        <v>-0.62483945729896495</v>
      </c>
      <c r="AW18">
        <v>-0.41976442367821398</v>
      </c>
      <c r="AX18">
        <v>0.100502847974489</v>
      </c>
      <c r="AY18">
        <v>-6.7503952664926897E-2</v>
      </c>
      <c r="AZ18">
        <v>0.88665962685045097</v>
      </c>
      <c r="BA18">
        <v>0.65030504650219201</v>
      </c>
      <c r="BB18">
        <v>0.30842024278692298</v>
      </c>
      <c r="BC18">
        <v>0.41472242018844502</v>
      </c>
      <c r="BD18">
        <v>0.57968284329128095</v>
      </c>
      <c r="BE18">
        <v>0.64648999105208105</v>
      </c>
      <c r="BF18">
        <v>0.25932823839929797</v>
      </c>
      <c r="BG18">
        <v>0.19425328390318</v>
      </c>
      <c r="BH18">
        <v>0.438409539595567</v>
      </c>
      <c r="BI18">
        <v>0.47537659706769197</v>
      </c>
      <c r="BJ18">
        <v>0.65479383735378105</v>
      </c>
      <c r="BK18">
        <v>0.17564513885347599</v>
      </c>
      <c r="BL18">
        <v>0.25893847714812501</v>
      </c>
      <c r="BM18">
        <v>6.0730549004030102E-4</v>
      </c>
      <c r="BN18">
        <v>0.44588986824564703</v>
      </c>
      <c r="BO18">
        <v>0.18283095629511201</v>
      </c>
      <c r="BP18">
        <v>0.59200954948318096</v>
      </c>
      <c r="BQ18">
        <v>0.69255000003213496</v>
      </c>
      <c r="BR18">
        <v>2.8150646642350199E-2</v>
      </c>
      <c r="BS18">
        <v>0.51536481999027295</v>
      </c>
      <c r="BT18">
        <v>0.523217598254337</v>
      </c>
      <c r="BU18">
        <v>0.80776322375861098</v>
      </c>
      <c r="BV18">
        <v>0.51906488592359801</v>
      </c>
      <c r="BW18">
        <v>0.184842322627885</v>
      </c>
      <c r="BX18">
        <v>4.9755928166255702E-2</v>
      </c>
      <c r="BY18">
        <v>-6.0756124421851895E-4</v>
      </c>
      <c r="BZ18">
        <v>0.21381833115207699</v>
      </c>
      <c r="CA18">
        <v>-0.46153045086764999</v>
      </c>
      <c r="CB18">
        <v>0.19089080771018199</v>
      </c>
      <c r="CC18">
        <v>0.50262131984264602</v>
      </c>
      <c r="CD18">
        <v>0.10412087133480399</v>
      </c>
      <c r="CE18">
        <v>0.25598395232285598</v>
      </c>
      <c r="CF18">
        <v>0.208920370098644</v>
      </c>
      <c r="CG18">
        <v>0.19822670225036601</v>
      </c>
      <c r="CH18">
        <v>-0.371203003086781</v>
      </c>
      <c r="CI18">
        <v>-0.92105759334793103</v>
      </c>
      <c r="CJ18">
        <v>0.20468138163824001</v>
      </c>
      <c r="CK18">
        <v>-0.402958459776038</v>
      </c>
      <c r="CL18">
        <v>-0.375843272270177</v>
      </c>
      <c r="CM18">
        <v>-7.36495033585403E-2</v>
      </c>
      <c r="CN18">
        <v>-6.2033161914810397E-2</v>
      </c>
      <c r="CO18">
        <v>1.22190762820117</v>
      </c>
      <c r="CP18">
        <v>0.34721149477054197</v>
      </c>
      <c r="CQ18">
        <v>0.61945580743832496</v>
      </c>
      <c r="CR18">
        <v>1.15796870471087</v>
      </c>
      <c r="CS18">
        <v>1.10198157204516</v>
      </c>
      <c r="CT18">
        <v>-7.7561712445839995E-2</v>
      </c>
      <c r="CU18">
        <v>0.53840288280397097</v>
      </c>
      <c r="CV18">
        <v>6.2037881582704402E-2</v>
      </c>
      <c r="CW18">
        <v>-0.236424318532752</v>
      </c>
      <c r="CX18">
        <v>-0.54503131302493102</v>
      </c>
      <c r="CY18">
        <v>-0.948086506140841</v>
      </c>
      <c r="CZ18">
        <v>-0.36690454867059002</v>
      </c>
      <c r="DA18">
        <v>-0.13039468468110199</v>
      </c>
      <c r="DB18">
        <v>1.99534391597418E-2</v>
      </c>
      <c r="DC18">
        <v>0.171478699984278</v>
      </c>
      <c r="DD18">
        <v>-9.3899402683369396E-2</v>
      </c>
      <c r="DE18">
        <v>-1.11055197395867</v>
      </c>
      <c r="DF18">
        <v>-0.96777473902122002</v>
      </c>
      <c r="DG18">
        <v>0.47793381725114698</v>
      </c>
      <c r="DH18">
        <v>-0.66341327053301502</v>
      </c>
      <c r="DI18">
        <v>-0.90877306994654095</v>
      </c>
      <c r="DJ18">
        <v>-6.0774464207777698E-2</v>
      </c>
      <c r="DK18">
        <v>-0.61888744425821796</v>
      </c>
      <c r="DL18">
        <v>0.42957363798404602</v>
      </c>
    </row>
    <row r="19" spans="1:116" x14ac:dyDescent="0.25">
      <c r="A19" t="s">
        <v>266</v>
      </c>
      <c r="B19" t="s">
        <v>274</v>
      </c>
      <c r="C19">
        <v>0.12955643496165301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0.12605151357260699</v>
      </c>
      <c r="K19">
        <v>0.15724947210375201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0.29651911787012702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8.3021341941576607E-2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0.12630357755430399</v>
      </c>
      <c r="AR19">
        <v>0.10588446292406301</v>
      </c>
      <c r="AS19">
        <v>6.5514919972178107E-2</v>
      </c>
      <c r="AT19">
        <v>0.201186007599752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0.18380778093133299</v>
      </c>
      <c r="BD19">
        <v>0</v>
      </c>
      <c r="BE19">
        <v>0</v>
      </c>
      <c r="BF19">
        <v>9.0700995247064903E-2</v>
      </c>
      <c r="BG19">
        <v>0</v>
      </c>
      <c r="BH19">
        <v>0</v>
      </c>
      <c r="BI19">
        <v>0.19728845589355801</v>
      </c>
      <c r="BJ19">
        <v>0</v>
      </c>
      <c r="BK19">
        <v>0</v>
      </c>
      <c r="BL19">
        <v>0</v>
      </c>
      <c r="BM19">
        <v>0</v>
      </c>
      <c r="BN19">
        <v>0.12232667975011199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0.192371448039793</v>
      </c>
      <c r="CF19">
        <v>0</v>
      </c>
      <c r="CG19">
        <v>0</v>
      </c>
      <c r="CH19">
        <v>0</v>
      </c>
      <c r="CI19">
        <v>0</v>
      </c>
      <c r="CJ19">
        <v>0.12861585771394601</v>
      </c>
      <c r="CK19">
        <v>0</v>
      </c>
      <c r="CL19">
        <v>0</v>
      </c>
      <c r="CM19">
        <v>0.129438387714083</v>
      </c>
      <c r="CN19">
        <v>0</v>
      </c>
      <c r="CO19">
        <v>1.2973487183636401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0.13097369018431201</v>
      </c>
      <c r="CV19">
        <v>0</v>
      </c>
      <c r="CW19">
        <v>0.11524009059738601</v>
      </c>
      <c r="CX19">
        <v>0</v>
      </c>
      <c r="CY19">
        <v>0</v>
      </c>
      <c r="CZ19">
        <v>0</v>
      </c>
      <c r="DA19">
        <v>0</v>
      </c>
      <c r="DB19">
        <v>0.20356000629849599</v>
      </c>
      <c r="DC19">
        <v>0</v>
      </c>
      <c r="DD19">
        <v>0</v>
      </c>
      <c r="DE19">
        <v>0</v>
      </c>
      <c r="DF19">
        <v>0</v>
      </c>
      <c r="DG19">
        <v>0.68552920130230199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25">
      <c r="A20" t="s">
        <v>266</v>
      </c>
      <c r="B20" t="s">
        <v>290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8.3021341941576607E-2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0.147774683442496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3.3221521174110202E-2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8.7983595483106997E-2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0.16407190986283399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9.7797094566715606E-2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0.159949246231812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25">
      <c r="A21" t="s">
        <v>266</v>
      </c>
      <c r="B21" t="s">
        <v>283</v>
      </c>
      <c r="C21">
        <v>0</v>
      </c>
      <c r="D21">
        <v>0</v>
      </c>
      <c r="E21">
        <v>0</v>
      </c>
      <c r="F21">
        <v>0</v>
      </c>
      <c r="G21">
        <v>0</v>
      </c>
      <c r="H21">
        <v>5.8623842836973E-2</v>
      </c>
      <c r="I21">
        <v>0</v>
      </c>
      <c r="J21">
        <v>6.4237856559453299E-2</v>
      </c>
      <c r="K21">
        <v>0</v>
      </c>
      <c r="L21">
        <v>0.118153623874991</v>
      </c>
      <c r="M21">
        <v>0</v>
      </c>
      <c r="N21">
        <v>0</v>
      </c>
      <c r="O21">
        <v>0.122175707090292</v>
      </c>
      <c r="P21">
        <v>0.141405180883896</v>
      </c>
      <c r="Q21">
        <v>0.13399323957796799</v>
      </c>
      <c r="R21">
        <v>0.24827729026701201</v>
      </c>
      <c r="S21">
        <v>0.11533785141882499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0.14395444885848199</v>
      </c>
      <c r="AG21">
        <v>0</v>
      </c>
      <c r="AH21">
        <v>0.27247661734187301</v>
      </c>
      <c r="AI21">
        <v>8.3021341941576607E-2</v>
      </c>
      <c r="AJ21">
        <v>0</v>
      </c>
      <c r="AK21">
        <v>6.1682740859679203E-2</v>
      </c>
      <c r="AL21">
        <v>0</v>
      </c>
      <c r="AM21">
        <v>9.5298979165987202E-2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0.101570633658979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0.13509667069407999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7.8134200811843704E-2</v>
      </c>
      <c r="CI21">
        <v>0.16841973569637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0.13097369018431201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4.6235909720434197E-2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0.19130037434477401</v>
      </c>
      <c r="DK21">
        <v>0.21508661454271299</v>
      </c>
      <c r="DL21">
        <v>0.204426864966681</v>
      </c>
    </row>
    <row r="22" spans="1:116" x14ac:dyDescent="0.25">
      <c r="A22" t="s">
        <v>266</v>
      </c>
      <c r="B22" t="s">
        <v>299</v>
      </c>
      <c r="C22">
        <v>8.9801684860283601E-2</v>
      </c>
      <c r="D22">
        <v>-0.110912105501709</v>
      </c>
      <c r="E22">
        <v>-0.110912105501709</v>
      </c>
      <c r="F22">
        <v>1.6722569000681298E-2</v>
      </c>
      <c r="G22">
        <v>-0.110912105501709</v>
      </c>
      <c r="H22">
        <v>-1.8917696353287401E-2</v>
      </c>
      <c r="I22">
        <v>-0.110912105501709</v>
      </c>
      <c r="J22">
        <v>-0.110912105501709</v>
      </c>
      <c r="K22">
        <v>-0.110912105501709</v>
      </c>
      <c r="L22">
        <v>-1.8850602575369298E-2</v>
      </c>
      <c r="M22">
        <v>-3.0089733669653201E-2</v>
      </c>
      <c r="N22">
        <v>0.32634654774210398</v>
      </c>
      <c r="O22">
        <v>0.11016930848793299</v>
      </c>
      <c r="P22">
        <v>0.14534692366786101</v>
      </c>
      <c r="Q22">
        <v>0.18128809298964599</v>
      </c>
      <c r="R22">
        <v>-0.110912105501709</v>
      </c>
      <c r="S22">
        <v>0.16675188329327101</v>
      </c>
      <c r="T22">
        <v>-0.110912105501709</v>
      </c>
      <c r="U22">
        <v>-0.110912105501709</v>
      </c>
      <c r="V22">
        <v>0.26991227818261698</v>
      </c>
      <c r="W22">
        <v>-0.110912105501709</v>
      </c>
      <c r="X22">
        <v>0.183727959491433</v>
      </c>
      <c r="Y22">
        <v>0.64455837898083601</v>
      </c>
      <c r="Z22">
        <v>-0.110912105501709</v>
      </c>
      <c r="AA22">
        <v>-0.110912105501709</v>
      </c>
      <c r="AB22">
        <v>-0.110912105501709</v>
      </c>
      <c r="AC22">
        <v>-0.110912105501709</v>
      </c>
      <c r="AD22">
        <v>0.34222515304036499</v>
      </c>
      <c r="AE22">
        <v>-0.110912105501709</v>
      </c>
      <c r="AF22">
        <v>0.78037710556102502</v>
      </c>
      <c r="AG22">
        <v>0.49341593747755103</v>
      </c>
      <c r="AH22">
        <v>0.16156451184016399</v>
      </c>
      <c r="AI22">
        <v>0.57961150750630097</v>
      </c>
      <c r="AJ22">
        <v>9.7180973620415598E-2</v>
      </c>
      <c r="AK22">
        <v>0.29412969654883703</v>
      </c>
      <c r="AL22">
        <v>0.19666777357360099</v>
      </c>
      <c r="AM22">
        <v>-0.110912105501709</v>
      </c>
      <c r="AN22">
        <v>0.14695093586071201</v>
      </c>
      <c r="AO22">
        <v>8.9660960602242195E-4</v>
      </c>
      <c r="AP22">
        <v>3.6862577940787303E-2</v>
      </c>
      <c r="AQ22">
        <v>0.34628094468481002</v>
      </c>
      <c r="AR22">
        <v>9.43510859530058E-2</v>
      </c>
      <c r="AS22">
        <v>-4.53971855295306E-2</v>
      </c>
      <c r="AT22">
        <v>0.26899276350864498</v>
      </c>
      <c r="AU22">
        <v>0.30897691729278698</v>
      </c>
      <c r="AV22">
        <v>6.6476994682578505E-2</v>
      </c>
      <c r="AW22">
        <v>-0.110912105501709</v>
      </c>
      <c r="AX22">
        <v>-0.110912105501709</v>
      </c>
      <c r="AY22">
        <v>-0.110912105501709</v>
      </c>
      <c r="AZ22">
        <v>4.9732562317750501E-2</v>
      </c>
      <c r="BA22">
        <v>0.16768928318082199</v>
      </c>
      <c r="BB22">
        <v>-8.9716717967093496E-4</v>
      </c>
      <c r="BC22">
        <v>-0.110912105501709</v>
      </c>
      <c r="BD22">
        <v>0.19054478770747399</v>
      </c>
      <c r="BE22">
        <v>-0.110912105501709</v>
      </c>
      <c r="BF22">
        <v>-2.02111102546438E-2</v>
      </c>
      <c r="BG22">
        <v>-0.110912105501709</v>
      </c>
      <c r="BH22">
        <v>-0.110912105501709</v>
      </c>
      <c r="BI22">
        <v>-9.3414718427302992E-3</v>
      </c>
      <c r="BJ22">
        <v>1.2909848888450899E-2</v>
      </c>
      <c r="BK22">
        <v>-2.29285100186019E-2</v>
      </c>
      <c r="BL22">
        <v>-0.110912105501709</v>
      </c>
      <c r="BM22">
        <v>-0.110912105501709</v>
      </c>
      <c r="BN22">
        <v>-0.110912105501709</v>
      </c>
      <c r="BO22">
        <v>5.99539575122887E-2</v>
      </c>
      <c r="BP22">
        <v>0.32581977328162798</v>
      </c>
      <c r="BQ22">
        <v>2.1611510359877802E-2</v>
      </c>
      <c r="BR22">
        <v>-0.110912105501709</v>
      </c>
      <c r="BS22">
        <v>-0.110912105501709</v>
      </c>
      <c r="BT22">
        <v>-0.110912105501709</v>
      </c>
      <c r="BU22">
        <v>5.3159804361125197E-2</v>
      </c>
      <c r="BV22">
        <v>-0.110912105501709</v>
      </c>
      <c r="BW22">
        <v>6.6259302602471398E-2</v>
      </c>
      <c r="BX22">
        <v>-0.110912105501709</v>
      </c>
      <c r="BY22">
        <v>-0.110912105501709</v>
      </c>
      <c r="BZ22">
        <v>-0.110912105501709</v>
      </c>
      <c r="CA22">
        <v>0.13231609134385799</v>
      </c>
      <c r="CB22">
        <v>3.30481034044941E-2</v>
      </c>
      <c r="CC22">
        <v>6.71997973124389E-2</v>
      </c>
      <c r="CD22">
        <v>-0.110912105501709</v>
      </c>
      <c r="CE22">
        <v>-0.110912105501709</v>
      </c>
      <c r="CF22">
        <v>-0.110912105501709</v>
      </c>
      <c r="CG22">
        <v>1.56641350386434E-3</v>
      </c>
      <c r="CH22">
        <v>-6.1214842614698298E-2</v>
      </c>
      <c r="CI22">
        <v>-0.110912105501709</v>
      </c>
      <c r="CJ22">
        <v>0.202407347848716</v>
      </c>
      <c r="CK22">
        <v>0.15641062960236601</v>
      </c>
      <c r="CL22">
        <v>-0.110912105501709</v>
      </c>
      <c r="CM22">
        <v>1.8526282212374099E-2</v>
      </c>
      <c r="CN22">
        <v>-0.110912105501709</v>
      </c>
      <c r="CO22">
        <v>0.19043584351019399</v>
      </c>
      <c r="CP22">
        <v>0.29747289995300402</v>
      </c>
      <c r="CQ22">
        <v>7.9897426804958593E-2</v>
      </c>
      <c r="CR22">
        <v>-0.110912105501709</v>
      </c>
      <c r="CS22">
        <v>-0.110912105501709</v>
      </c>
      <c r="CT22">
        <v>0.17973347515110299</v>
      </c>
      <c r="CU22">
        <v>9.7593436098679598E-2</v>
      </c>
      <c r="CV22">
        <v>0.41310312042878899</v>
      </c>
      <c r="CW22">
        <v>4.3279850956774802E-3</v>
      </c>
      <c r="CX22">
        <v>1.60744002825172E-2</v>
      </c>
      <c r="CY22">
        <v>-0.110912105501709</v>
      </c>
      <c r="CZ22">
        <v>-0.110912105501709</v>
      </c>
      <c r="DA22">
        <v>-1.9731715030102102E-2</v>
      </c>
      <c r="DB22">
        <v>0.27379468842967097</v>
      </c>
      <c r="DC22">
        <v>0.44486371102542799</v>
      </c>
      <c r="DD22">
        <v>-0.110912105501709</v>
      </c>
      <c r="DE22">
        <v>-0.110912105501709</v>
      </c>
      <c r="DF22">
        <v>-0.110912105501709</v>
      </c>
      <c r="DG22">
        <v>0.44410844983186099</v>
      </c>
      <c r="DH22">
        <v>5.5060720171021003E-2</v>
      </c>
      <c r="DI22">
        <v>-0.110912105501709</v>
      </c>
      <c r="DJ22">
        <v>0.25356594049229497</v>
      </c>
      <c r="DK22">
        <v>0.50362826909452396</v>
      </c>
      <c r="DL22">
        <v>0.25646826786171401</v>
      </c>
    </row>
    <row r="23" spans="1:116" x14ac:dyDescent="0.25">
      <c r="A23" t="s">
        <v>266</v>
      </c>
      <c r="B23" t="s">
        <v>301</v>
      </c>
      <c r="C23">
        <v>0.10625326529453</v>
      </c>
      <c r="D23">
        <v>0.184647447374198</v>
      </c>
      <c r="E23">
        <v>9.7461898519357201E-2</v>
      </c>
      <c r="F23">
        <v>4.1739430488535102E-2</v>
      </c>
      <c r="G23">
        <v>0.107320206003861</v>
      </c>
      <c r="H23">
        <v>-2.33031696671228E-2</v>
      </c>
      <c r="I23">
        <v>0.12690560582591401</v>
      </c>
      <c r="J23">
        <v>-2.33031696671228E-2</v>
      </c>
      <c r="K23">
        <v>0.13394630243663</v>
      </c>
      <c r="L23">
        <v>-2.33031696671228E-2</v>
      </c>
      <c r="M23">
        <v>-2.33031696671228E-2</v>
      </c>
      <c r="N23">
        <v>0.211180543862142</v>
      </c>
      <c r="O23">
        <v>9.8872537423169093E-2</v>
      </c>
      <c r="P23">
        <v>7.0481801575834002E-2</v>
      </c>
      <c r="Q23">
        <v>0.110690069910845</v>
      </c>
      <c r="R23">
        <v>-2.33031696671228E-2</v>
      </c>
      <c r="S23">
        <v>5.4463336016330799E-2</v>
      </c>
      <c r="T23">
        <v>-2.33031696671228E-2</v>
      </c>
      <c r="U23">
        <v>-2.33031696671228E-2</v>
      </c>
      <c r="V23">
        <v>-2.33031696671228E-2</v>
      </c>
      <c r="W23">
        <v>-2.33031696671228E-2</v>
      </c>
      <c r="X23">
        <v>0.27133689532601901</v>
      </c>
      <c r="Y23">
        <v>-2.33031696671228E-2</v>
      </c>
      <c r="Z23">
        <v>-2.33031696671228E-2</v>
      </c>
      <c r="AA23">
        <v>-2.33031696671228E-2</v>
      </c>
      <c r="AB23">
        <v>-2.33031696671228E-2</v>
      </c>
      <c r="AC23">
        <v>-2.33031696671228E-2</v>
      </c>
      <c r="AD23">
        <v>0.190656041704834</v>
      </c>
      <c r="AE23">
        <v>-2.33031696671228E-2</v>
      </c>
      <c r="AF23">
        <v>0.120651279191359</v>
      </c>
      <c r="AG23">
        <v>-2.33031696671228E-2</v>
      </c>
      <c r="AH23">
        <v>-2.33031696671228E-2</v>
      </c>
      <c r="AI23">
        <v>5.9718172274453897E-2</v>
      </c>
      <c r="AJ23">
        <v>-2.33031696671228E-2</v>
      </c>
      <c r="AK23">
        <v>3.8379571192556201E-2</v>
      </c>
      <c r="AL23">
        <v>-2.33031696671228E-2</v>
      </c>
      <c r="AM23">
        <v>-2.33031696671228E-2</v>
      </c>
      <c r="AN23">
        <v>0.37748706887602901</v>
      </c>
      <c r="AO23">
        <v>-2.33031696671228E-2</v>
      </c>
      <c r="AP23">
        <v>-2.33031696671228E-2</v>
      </c>
      <c r="AQ23">
        <v>-2.33031696671228E-2</v>
      </c>
      <c r="AR23">
        <v>-2.33031696671228E-2</v>
      </c>
      <c r="AS23">
        <v>-2.33031696671228E-2</v>
      </c>
      <c r="AT23">
        <v>-2.33031696671228E-2</v>
      </c>
      <c r="AU23">
        <v>-2.33031696671228E-2</v>
      </c>
      <c r="AV23">
        <v>0.74007731624420103</v>
      </c>
      <c r="AW23">
        <v>1.2189300593250201</v>
      </c>
      <c r="AX23">
        <v>0.226024324394379</v>
      </c>
      <c r="AY23">
        <v>-2.33031696671228E-2</v>
      </c>
      <c r="AZ23">
        <v>0.10525082251177099</v>
      </c>
      <c r="BA23">
        <v>0.38923598180029101</v>
      </c>
      <c r="BB23">
        <v>0.28589815170125199</v>
      </c>
      <c r="BC23">
        <v>1.1004867590270699</v>
      </c>
      <c r="BD23">
        <v>-2.33031696671228E-2</v>
      </c>
      <c r="BE23">
        <v>6.9149169773375596E-2</v>
      </c>
      <c r="BF23">
        <v>0.92082616322146305</v>
      </c>
      <c r="BG23">
        <v>-2.33031696671228E-2</v>
      </c>
      <c r="BH23">
        <v>-2.33031696671228E-2</v>
      </c>
      <c r="BI23">
        <v>7.8267463991855801E-2</v>
      </c>
      <c r="BJ23">
        <v>0.716350776198594</v>
      </c>
      <c r="BK23">
        <v>0.27453114681545399</v>
      </c>
      <c r="BL23">
        <v>-2.33031696671228E-2</v>
      </c>
      <c r="BM23">
        <v>0.130425763125539</v>
      </c>
      <c r="BN23">
        <v>-2.33031696671228E-2</v>
      </c>
      <c r="BO23">
        <v>-2.33031696671228E-2</v>
      </c>
      <c r="BP23">
        <v>-2.33031696671228E-2</v>
      </c>
      <c r="BQ23">
        <v>0.23179822079413401</v>
      </c>
      <c r="BR23">
        <v>0.56723616860593795</v>
      </c>
      <c r="BS23">
        <v>0.46186529522924902</v>
      </c>
      <c r="BT23">
        <v>8.6990678721492895E-2</v>
      </c>
      <c r="BU23">
        <v>4.2072916272041697E-2</v>
      </c>
      <c r="BV23">
        <v>0.111793501026957</v>
      </c>
      <c r="BW23">
        <v>-2.33031696671228E-2</v>
      </c>
      <c r="BX23">
        <v>0.18953928325845701</v>
      </c>
      <c r="BY23">
        <v>4.3426846881176102E-2</v>
      </c>
      <c r="BZ23">
        <v>-2.33031696671228E-2</v>
      </c>
      <c r="CA23">
        <v>0.219925027178444</v>
      </c>
      <c r="CB23">
        <v>0.12065703923908</v>
      </c>
      <c r="CC23">
        <v>0.46185073160729301</v>
      </c>
      <c r="CD23">
        <v>0.14323663071234199</v>
      </c>
      <c r="CE23">
        <v>-2.33031696671228E-2</v>
      </c>
      <c r="CF23">
        <v>0.16674406608634301</v>
      </c>
      <c r="CG23">
        <v>0.29313102188304402</v>
      </c>
      <c r="CH23">
        <v>-2.33031696671228E-2</v>
      </c>
      <c r="CI23">
        <v>0.145116566029247</v>
      </c>
      <c r="CJ23">
        <v>0.10531268804682301</v>
      </c>
      <c r="CK23">
        <v>-2.33031696671228E-2</v>
      </c>
      <c r="CL23">
        <v>-2.33031696671228E-2</v>
      </c>
      <c r="CM23">
        <v>-2.33031696671228E-2</v>
      </c>
      <c r="CN23">
        <v>0.20994493203555201</v>
      </c>
      <c r="CO23">
        <v>0.27804477934478</v>
      </c>
      <c r="CP23">
        <v>-2.33031696671228E-2</v>
      </c>
      <c r="CQ23">
        <v>-2.33031696671228E-2</v>
      </c>
      <c r="CR23">
        <v>-2.33031696671228E-2</v>
      </c>
      <c r="CS23">
        <v>0.58651278120967398</v>
      </c>
      <c r="CT23">
        <v>-2.33031696671228E-2</v>
      </c>
      <c r="CU23">
        <v>0.58692654820062096</v>
      </c>
      <c r="CV23">
        <v>0.76273777006253896</v>
      </c>
      <c r="CW23">
        <v>-2.33031696671228E-2</v>
      </c>
      <c r="CX23">
        <v>-2.33031696671228E-2</v>
      </c>
      <c r="CY23">
        <v>0.219725530654173</v>
      </c>
      <c r="CZ23">
        <v>-2.33031696671228E-2</v>
      </c>
      <c r="DA23">
        <v>2.2932740053311401E-2</v>
      </c>
      <c r="DB23">
        <v>-2.33031696671228E-2</v>
      </c>
      <c r="DC23">
        <v>-2.33031696671228E-2</v>
      </c>
      <c r="DD23">
        <v>-2.33031696671228E-2</v>
      </c>
      <c r="DE23">
        <v>-2.33031696671228E-2</v>
      </c>
      <c r="DF23">
        <v>-2.33031696671228E-2</v>
      </c>
      <c r="DG23">
        <v>-2.33031696671228E-2</v>
      </c>
      <c r="DH23">
        <v>0.14266965600560699</v>
      </c>
      <c r="DI23">
        <v>0.10954934661436599</v>
      </c>
      <c r="DJ23">
        <v>7.4878789284261602E-2</v>
      </c>
      <c r="DK23">
        <v>-2.33031696671228E-2</v>
      </c>
      <c r="DL23">
        <v>-2.33031696671228E-2</v>
      </c>
    </row>
    <row r="24" spans="1:116" x14ac:dyDescent="0.25">
      <c r="A24" t="s">
        <v>266</v>
      </c>
      <c r="B24" t="s">
        <v>276</v>
      </c>
      <c r="C24">
        <v>0</v>
      </c>
      <c r="D24">
        <v>0</v>
      </c>
      <c r="E24">
        <v>0</v>
      </c>
      <c r="F24">
        <v>0</v>
      </c>
      <c r="G24">
        <v>0.130623375670984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3.1817373913906898E-2</v>
      </c>
      <c r="Q24">
        <v>0</v>
      </c>
      <c r="R24">
        <v>0.24827729026701201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6.5514919972178107E-2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9.0700995247064903E-2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0.124013115469612</v>
      </c>
      <c r="CF24">
        <v>0</v>
      </c>
      <c r="CG24">
        <v>0</v>
      </c>
      <c r="CH24">
        <v>0</v>
      </c>
      <c r="CI24">
        <v>0</v>
      </c>
      <c r="CJ24">
        <v>0.12861585771394601</v>
      </c>
      <c r="CK24">
        <v>0</v>
      </c>
      <c r="CL24">
        <v>0</v>
      </c>
      <c r="CM24">
        <v>0.129438387714083</v>
      </c>
      <c r="CN24">
        <v>0</v>
      </c>
      <c r="CO24">
        <v>0</v>
      </c>
      <c r="CP24">
        <v>0</v>
      </c>
      <c r="CQ24">
        <v>0</v>
      </c>
      <c r="CR24">
        <v>0.79650443090166101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6.4691847424801996E-2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0.58455757671721797</v>
      </c>
      <c r="DF24">
        <v>0.33702916776744601</v>
      </c>
      <c r="DG24">
        <v>0</v>
      </c>
      <c r="DH24">
        <v>0.16597282567273</v>
      </c>
      <c r="DI24">
        <v>0.20580418093581601</v>
      </c>
      <c r="DJ24">
        <v>0</v>
      </c>
      <c r="DK24">
        <v>0.139114541524025</v>
      </c>
      <c r="DL24">
        <v>0.204426864966681</v>
      </c>
    </row>
    <row r="25" spans="1:116" x14ac:dyDescent="0.25">
      <c r="A25" t="s">
        <v>266</v>
      </c>
      <c r="B25" t="s">
        <v>303</v>
      </c>
      <c r="C25">
        <v>0</v>
      </c>
      <c r="D25">
        <v>0</v>
      </c>
      <c r="E25">
        <v>0</v>
      </c>
      <c r="F25">
        <v>0</v>
      </c>
      <c r="G25">
        <v>0</v>
      </c>
      <c r="H25">
        <v>5.8623842836973E-2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0.11065985001930601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0.120053798067875</v>
      </c>
      <c r="BN25">
        <v>0</v>
      </c>
      <c r="BO25">
        <v>0</v>
      </c>
      <c r="BP25">
        <v>0</v>
      </c>
      <c r="BQ25">
        <v>0</v>
      </c>
      <c r="BR25">
        <v>0.186224064594049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0.10468129003427799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9.7797094566715606E-2</v>
      </c>
      <c r="CG25">
        <v>0</v>
      </c>
      <c r="CH25">
        <v>0</v>
      </c>
      <c r="CI25">
        <v>0.16841973569637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0.11524009059738601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0.132852516281489</v>
      </c>
      <c r="DJ25">
        <v>0</v>
      </c>
      <c r="DK25">
        <v>0</v>
      </c>
      <c r="DL25">
        <v>0</v>
      </c>
    </row>
    <row r="26" spans="1:116" x14ac:dyDescent="0.25">
      <c r="A26" t="s">
        <v>266</v>
      </c>
      <c r="B26" t="s">
        <v>307</v>
      </c>
      <c r="C26">
        <v>-0.16968081011279601</v>
      </c>
      <c r="D26">
        <v>-0.16968081011279601</v>
      </c>
      <c r="E26">
        <v>-0.16968081011279601</v>
      </c>
      <c r="F26">
        <v>-0.16968081011279601</v>
      </c>
      <c r="G26">
        <v>-0.16968081011279601</v>
      </c>
      <c r="H26">
        <v>-0.16968081011279601</v>
      </c>
      <c r="I26">
        <v>-1.9472034619759802E-2</v>
      </c>
      <c r="J26">
        <v>-4.3629296540189301E-2</v>
      </c>
      <c r="K26">
        <v>-0.16968081011279601</v>
      </c>
      <c r="L26">
        <v>-0.16968081011279601</v>
      </c>
      <c r="M26">
        <v>-0.16968081011279601</v>
      </c>
      <c r="N26">
        <v>0.44633471789853502</v>
      </c>
      <c r="O26">
        <v>0.67060422905266504</v>
      </c>
      <c r="P26">
        <v>0.87912524332738295</v>
      </c>
      <c r="Q26">
        <v>1.45413173273598</v>
      </c>
      <c r="R26">
        <v>0.478452806846418</v>
      </c>
      <c r="S26">
        <v>0.59143079987403002</v>
      </c>
      <c r="T26">
        <v>-0.16968081011279601</v>
      </c>
      <c r="U26">
        <v>0.41691085863885702</v>
      </c>
      <c r="V26">
        <v>-0.16968081011279601</v>
      </c>
      <c r="W26">
        <v>-0.16968081011279601</v>
      </c>
      <c r="X26">
        <v>0.93070193112219202</v>
      </c>
      <c r="Y26">
        <v>0.44547192542141201</v>
      </c>
      <c r="Z26">
        <v>2.0963161645511001</v>
      </c>
      <c r="AA26">
        <v>0.27066056804592697</v>
      </c>
      <c r="AB26">
        <v>0.374750810765414</v>
      </c>
      <c r="AC26">
        <v>0.53807751626958</v>
      </c>
      <c r="AD26">
        <v>0.79375815573349995</v>
      </c>
      <c r="AE26">
        <v>0.90499172806315198</v>
      </c>
      <c r="AF26">
        <v>0.29362466024631301</v>
      </c>
      <c r="AG26">
        <v>0.52692109412365096</v>
      </c>
      <c r="AH26">
        <v>0.102795807229077</v>
      </c>
      <c r="AI26">
        <v>1.0758614277737799</v>
      </c>
      <c r="AJ26">
        <v>1.1700200592988099</v>
      </c>
      <c r="AK26">
        <v>0.19886427502121101</v>
      </c>
      <c r="AL26">
        <v>0.137899068962514</v>
      </c>
      <c r="AM26">
        <v>1.2352134591264901</v>
      </c>
      <c r="AN26">
        <v>0.53017437411848001</v>
      </c>
      <c r="AO26">
        <v>-5.7872095005064898E-2</v>
      </c>
      <c r="AP26">
        <v>-2.19061266702998E-2</v>
      </c>
      <c r="AQ26">
        <v>-0.16968081011279601</v>
      </c>
      <c r="AR26">
        <v>3.5582381341918497E-2</v>
      </c>
      <c r="AS26">
        <v>-0.104165890140618</v>
      </c>
      <c r="AT26">
        <v>0.21022405889755799</v>
      </c>
      <c r="AU26">
        <v>0.516578124430916</v>
      </c>
      <c r="AV26">
        <v>0.57233729484430595</v>
      </c>
      <c r="AW26">
        <v>2.6970239652198701E-2</v>
      </c>
      <c r="AX26">
        <v>-3.9864484016349899E-2</v>
      </c>
      <c r="AY26">
        <v>-0.16968081011279601</v>
      </c>
      <c r="AZ26">
        <v>0.24543984159749199</v>
      </c>
      <c r="BA26">
        <v>-4.3865408904484003E-2</v>
      </c>
      <c r="BB26">
        <v>1.25997306108125E-3</v>
      </c>
      <c r="BC26">
        <v>0.29976991071412101</v>
      </c>
      <c r="BD26">
        <v>-0.16968081011279601</v>
      </c>
      <c r="BE26">
        <v>1.3619229805549801E-3</v>
      </c>
      <c r="BF26">
        <v>-0.16968081011279601</v>
      </c>
      <c r="BG26">
        <v>-0.16968081011279601</v>
      </c>
      <c r="BH26">
        <v>5.5799804501090997E-2</v>
      </c>
      <c r="BI26">
        <v>2.7607645780761601E-2</v>
      </c>
      <c r="BJ26">
        <v>-4.5858855722636302E-2</v>
      </c>
      <c r="BK26">
        <v>-8.1697214629689305E-2</v>
      </c>
      <c r="BL26">
        <v>4.14962261002495E-2</v>
      </c>
      <c r="BM26">
        <v>-0.108665405900913</v>
      </c>
      <c r="BN26">
        <v>-0.16968081011279601</v>
      </c>
      <c r="BO26">
        <v>-0.16968081011279601</v>
      </c>
      <c r="BP26">
        <v>-0.16968081011279601</v>
      </c>
      <c r="BQ26">
        <v>-0.16968081011279601</v>
      </c>
      <c r="BR26">
        <v>0.184320075774488</v>
      </c>
      <c r="BS26">
        <v>-0.16968081011279601</v>
      </c>
      <c r="BT26">
        <v>2.3673712663899102E-3</v>
      </c>
      <c r="BU26">
        <v>1.93155320262209E-2</v>
      </c>
      <c r="BV26">
        <v>-0.16968081011279601</v>
      </c>
      <c r="BW26">
        <v>-0.16968081011279601</v>
      </c>
      <c r="BX26">
        <v>-0.16968081011279601</v>
      </c>
      <c r="BY26">
        <v>-0.16968081011279601</v>
      </c>
      <c r="BZ26">
        <v>-0.16968081011279601</v>
      </c>
      <c r="CA26">
        <v>-0.16968081011279601</v>
      </c>
      <c r="CB26">
        <v>-2.5720601206593099E-2</v>
      </c>
      <c r="CC26">
        <v>-0.16968081011279601</v>
      </c>
      <c r="CD26">
        <v>-0.16968081011279601</v>
      </c>
      <c r="CE26">
        <v>-4.5667694643184202E-2</v>
      </c>
      <c r="CF26">
        <v>-0.16968081011279601</v>
      </c>
      <c r="CG26">
        <v>4.7961568357653597E-2</v>
      </c>
      <c r="CH26">
        <v>-0.16968081011279601</v>
      </c>
      <c r="CI26">
        <v>-1.26107441642593E-3</v>
      </c>
      <c r="CJ26">
        <v>0.18868903985233901</v>
      </c>
      <c r="CK26">
        <v>4.1983926603177601E-3</v>
      </c>
      <c r="CL26">
        <v>-2.9857035526505302E-2</v>
      </c>
      <c r="CM26">
        <v>-0.16968081011279601</v>
      </c>
      <c r="CN26">
        <v>-0.16968081011279601</v>
      </c>
      <c r="CO26">
        <v>0.38491391180232298</v>
      </c>
      <c r="CP26">
        <v>0.238704195341917</v>
      </c>
      <c r="CQ26">
        <v>0.190752803091643</v>
      </c>
      <c r="CR26">
        <v>0.224060048855445</v>
      </c>
      <c r="CS26">
        <v>0.44013514076400101</v>
      </c>
      <c r="CT26">
        <v>0.36696452766792098</v>
      </c>
      <c r="CU26">
        <v>-8.5825845528047603E-2</v>
      </c>
      <c r="CV26">
        <v>0.17976578858612999</v>
      </c>
      <c r="CW26">
        <v>-5.4440719515409901E-2</v>
      </c>
      <c r="CX26">
        <v>-0.16968081011279601</v>
      </c>
      <c r="CY26">
        <v>-0.16968081011279601</v>
      </c>
      <c r="CZ26">
        <v>-0.16968081011279601</v>
      </c>
      <c r="DA26">
        <v>-0.123444900392362</v>
      </c>
      <c r="DB26">
        <v>0.21502598381858401</v>
      </c>
      <c r="DC26">
        <v>0.285567604922009</v>
      </c>
      <c r="DD26">
        <v>0.91671658700844605</v>
      </c>
      <c r="DE26">
        <v>-7.0282124685171393E-2</v>
      </c>
      <c r="DF26">
        <v>-1.43100381599534E-2</v>
      </c>
      <c r="DG26">
        <v>-0.16968081011279601</v>
      </c>
      <c r="DH26">
        <v>0.28344150852479499</v>
      </c>
      <c r="DI26">
        <v>8.5975676891640804E-2</v>
      </c>
      <c r="DJ26">
        <v>0.110228802221912</v>
      </c>
      <c r="DK26">
        <v>0.48525274275629099</v>
      </c>
      <c r="DL26">
        <v>0.303799125600482</v>
      </c>
    </row>
    <row r="27" spans="1:116" x14ac:dyDescent="0.25">
      <c r="A27" t="s">
        <v>266</v>
      </c>
      <c r="B27" t="s">
        <v>282</v>
      </c>
      <c r="C27">
        <v>0.12955643496165301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8.0822371832055803E-2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6.1682740859679203E-2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6.5514919972178107E-2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0.125815401208312</v>
      </c>
      <c r="BB27">
        <v>0</v>
      </c>
      <c r="BC27">
        <v>0</v>
      </c>
      <c r="BD27">
        <v>0</v>
      </c>
      <c r="BE27">
        <v>0.25509697989276597</v>
      </c>
      <c r="BF27">
        <v>9.0700995247064903E-2</v>
      </c>
      <c r="BG27">
        <v>0</v>
      </c>
      <c r="BH27">
        <v>0</v>
      </c>
      <c r="BI27">
        <v>0</v>
      </c>
      <c r="BJ27">
        <v>0</v>
      </c>
      <c r="BK27">
        <v>0.252349152777186</v>
      </c>
      <c r="BL27">
        <v>8.4806986430203804E-2</v>
      </c>
      <c r="BM27">
        <v>0.209914053111145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0.430372669073393</v>
      </c>
      <c r="BT27">
        <v>0</v>
      </c>
      <c r="BU27">
        <v>0</v>
      </c>
      <c r="BV27">
        <v>0</v>
      </c>
      <c r="BW27">
        <v>0</v>
      </c>
      <c r="BX27">
        <v>0.34414706678415002</v>
      </c>
      <c r="BY27">
        <v>6.6730016548299104E-2</v>
      </c>
      <c r="BZ27">
        <v>0</v>
      </c>
      <c r="CA27">
        <v>0</v>
      </c>
      <c r="CB27">
        <v>0</v>
      </c>
      <c r="CC27">
        <v>0</v>
      </c>
      <c r="CD27">
        <v>0.166539800379465</v>
      </c>
      <c r="CE27">
        <v>0</v>
      </c>
      <c r="CF27">
        <v>0</v>
      </c>
      <c r="CG27">
        <v>0</v>
      </c>
      <c r="CH27">
        <v>9.8038088132372594E-2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5.0400096795412901E-2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25">
      <c r="A28" t="s">
        <v>266</v>
      </c>
      <c r="B28" t="s">
        <v>280</v>
      </c>
      <c r="C28">
        <v>0</v>
      </c>
      <c r="D28">
        <v>0</v>
      </c>
      <c r="E28">
        <v>0</v>
      </c>
      <c r="F28">
        <v>0.12763467450238999</v>
      </c>
      <c r="G28">
        <v>0</v>
      </c>
      <c r="H28">
        <v>0</v>
      </c>
      <c r="I28">
        <v>0</v>
      </c>
      <c r="J28">
        <v>0</v>
      </c>
      <c r="K28">
        <v>0</v>
      </c>
      <c r="L28">
        <v>4.6598827448176797E-2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3.3221521174110202E-2</v>
      </c>
      <c r="AW28">
        <v>0</v>
      </c>
      <c r="AX28">
        <v>0</v>
      </c>
      <c r="AY28">
        <v>0</v>
      </c>
      <c r="AZ28">
        <v>8.2254860091494797E-2</v>
      </c>
      <c r="BA28">
        <v>0</v>
      </c>
      <c r="BB28">
        <v>0.110014938322038</v>
      </c>
      <c r="BC28">
        <v>0</v>
      </c>
      <c r="BD28">
        <v>0</v>
      </c>
      <c r="BE28">
        <v>0.43178506663772098</v>
      </c>
      <c r="BF28">
        <v>0.17674735397305999</v>
      </c>
      <c r="BG28">
        <v>0</v>
      </c>
      <c r="BH28">
        <v>0</v>
      </c>
      <c r="BI28">
        <v>0.19728845589355801</v>
      </c>
      <c r="BJ28">
        <v>0.239322076729441</v>
      </c>
      <c r="BK28">
        <v>0.39681662891199199</v>
      </c>
      <c r="BL28">
        <v>0</v>
      </c>
      <c r="BM28">
        <v>0.364276087422988</v>
      </c>
      <c r="BN28">
        <v>0</v>
      </c>
      <c r="BO28">
        <v>0</v>
      </c>
      <c r="BP28">
        <v>0.289421710183766</v>
      </c>
      <c r="BQ28">
        <v>0</v>
      </c>
      <c r="BR28">
        <v>0.186224064594049</v>
      </c>
      <c r="BS28">
        <v>0</v>
      </c>
      <c r="BT28">
        <v>0.110293848388616</v>
      </c>
      <c r="BU28">
        <v>0</v>
      </c>
      <c r="BV28">
        <v>0.20940545077688999</v>
      </c>
      <c r="BW28">
        <v>0</v>
      </c>
      <c r="BX28">
        <v>8.5082246039986695E-2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9.7797094566715606E-2</v>
      </c>
      <c r="CG28">
        <v>0</v>
      </c>
      <c r="CH28">
        <v>0.17207099026560799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0.34944659869892603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7.9492793924937993E-2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25">
      <c r="A29" t="s">
        <v>266</v>
      </c>
      <c r="B29" t="s">
        <v>279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3.1817373913906898E-2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0.44906364778213698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0.257863041362421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8.2254860091494797E-2</v>
      </c>
      <c r="BA29">
        <v>0.125815401208312</v>
      </c>
      <c r="BB29">
        <v>0</v>
      </c>
      <c r="BC29">
        <v>0</v>
      </c>
      <c r="BD29">
        <v>0.30145689320918301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8.7983595483106997E-2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0.290202118260177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0.38728073778307698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0.13197020202668999</v>
      </c>
    </row>
    <row r="30" spans="1:116" x14ac:dyDescent="0.25">
      <c r="A30" t="s">
        <v>266</v>
      </c>
      <c r="B30" t="s">
        <v>277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6.5514919972178107E-2</v>
      </c>
      <c r="AT30">
        <v>0</v>
      </c>
      <c r="AU30">
        <v>0</v>
      </c>
      <c r="AV30">
        <v>0</v>
      </c>
      <c r="AW30">
        <v>0.19665104976499501</v>
      </c>
      <c r="AX30">
        <v>0</v>
      </c>
      <c r="AY30">
        <v>0</v>
      </c>
      <c r="AZ30">
        <v>8.2254860091494797E-2</v>
      </c>
      <c r="BA30">
        <v>0</v>
      </c>
      <c r="BB30">
        <v>0.21277162205012001</v>
      </c>
      <c r="BC30">
        <v>0.70767672497012102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0.188996342139017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0.17811190281414799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0.23052697223931101</v>
      </c>
      <c r="CT30">
        <v>0</v>
      </c>
      <c r="CU30">
        <v>8.3854964584748407E-2</v>
      </c>
      <c r="CV30">
        <v>0.34944659869892603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7.9492793924937993E-2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</row>
    <row r="31" spans="1:116" x14ac:dyDescent="0.25">
      <c r="A31" t="s">
        <v>266</v>
      </c>
      <c r="B31" t="s">
        <v>313</v>
      </c>
      <c r="C31">
        <v>-0.12762803174484</v>
      </c>
      <c r="D31">
        <v>-0.12762803174484</v>
      </c>
      <c r="E31">
        <v>-0.12762803174484</v>
      </c>
      <c r="F31">
        <v>-0.12762803174484</v>
      </c>
      <c r="G31">
        <v>-0.12762803174484</v>
      </c>
      <c r="H31">
        <v>-0.12762803174484</v>
      </c>
      <c r="I31">
        <v>-0.12762803174484</v>
      </c>
      <c r="J31">
        <v>-0.12762803174484</v>
      </c>
      <c r="K31">
        <v>-0.12762803174484</v>
      </c>
      <c r="L31">
        <v>-9.4744078698487701E-3</v>
      </c>
      <c r="M31">
        <v>-0.12762803174484</v>
      </c>
      <c r="N31">
        <v>-0.12762803174484</v>
      </c>
      <c r="O31">
        <v>-8.5951307855394204E-2</v>
      </c>
      <c r="P31">
        <v>-9.5810657830933302E-2</v>
      </c>
      <c r="Q31">
        <v>-5.9236385265594299E-2</v>
      </c>
      <c r="R31">
        <v>0.120649258522172</v>
      </c>
      <c r="S31">
        <v>-8.8292903123824706E-2</v>
      </c>
      <c r="T31">
        <v>-0.12762803174484</v>
      </c>
      <c r="U31">
        <v>-0.12762803174484</v>
      </c>
      <c r="V31">
        <v>-0.12762803174484</v>
      </c>
      <c r="W31">
        <v>0.37341630191727498</v>
      </c>
      <c r="X31">
        <v>0.16701203324830199</v>
      </c>
      <c r="Y31">
        <v>0.48752470378936902</v>
      </c>
      <c r="Z31">
        <v>-0.12762803174484</v>
      </c>
      <c r="AA31">
        <v>-0.12762803174484</v>
      </c>
      <c r="AB31">
        <v>0.41680358913337001</v>
      </c>
      <c r="AC31">
        <v>0.58013029463753596</v>
      </c>
      <c r="AD31">
        <v>-1.6968181725534701E-2</v>
      </c>
      <c r="AE31">
        <v>-0.12762803174484</v>
      </c>
      <c r="AF31">
        <v>-0.12762803174484</v>
      </c>
      <c r="AG31">
        <v>-5.9494867872347701E-2</v>
      </c>
      <c r="AH31">
        <v>0.14484858559703301</v>
      </c>
      <c r="AI31">
        <v>0.15277144070819801</v>
      </c>
      <c r="AJ31">
        <v>0.43307860519809499</v>
      </c>
      <c r="AK31">
        <v>-6.5480676241247296E-3</v>
      </c>
      <c r="AL31">
        <v>3.3595307309947801E-2</v>
      </c>
      <c r="AM31">
        <v>0.14213520466153501</v>
      </c>
      <c r="AN31">
        <v>0.40401284737894699</v>
      </c>
      <c r="AO31">
        <v>0.332413855592817</v>
      </c>
      <c r="AP31">
        <v>0.39847234926762398</v>
      </c>
      <c r="AQ31">
        <v>0.28739027417302998</v>
      </c>
      <c r="AR31">
        <v>-2.1743568820777499E-2</v>
      </c>
      <c r="AS31">
        <v>-0.12762803174484</v>
      </c>
      <c r="AT31">
        <v>-0.12762803174484</v>
      </c>
      <c r="AU31">
        <v>9.6769847355019797E-2</v>
      </c>
      <c r="AV31">
        <v>-0.12762803174484</v>
      </c>
      <c r="AW31">
        <v>6.9023018020154397E-2</v>
      </c>
      <c r="AX31">
        <v>-0.12762803174484</v>
      </c>
      <c r="AY31">
        <v>-0.12762803174484</v>
      </c>
      <c r="AZ31">
        <v>-0.12762803174484</v>
      </c>
      <c r="BA31">
        <v>-1.8126305365279999E-3</v>
      </c>
      <c r="BB31">
        <v>4.3312751429037302E-2</v>
      </c>
      <c r="BC31">
        <v>5.6179749186492198E-2</v>
      </c>
      <c r="BD31">
        <v>-0.12762803174484</v>
      </c>
      <c r="BE31">
        <v>2.07266054897873E-2</v>
      </c>
      <c r="BF31">
        <v>-0.12762803174484</v>
      </c>
      <c r="BG31">
        <v>-0.12762803174484</v>
      </c>
      <c r="BH31">
        <v>0.17839464770771299</v>
      </c>
      <c r="BI31">
        <v>6.9660424148717703E-2</v>
      </c>
      <c r="BJ31">
        <v>-0.12762803174484</v>
      </c>
      <c r="BK31">
        <v>9.9426187343554292E-3</v>
      </c>
      <c r="BL31">
        <v>0.15878417146337201</v>
      </c>
      <c r="BM31">
        <v>0.136826618950394</v>
      </c>
      <c r="BN31">
        <v>0.21514945370590499</v>
      </c>
      <c r="BO31">
        <v>4.3238031269157498E-2</v>
      </c>
      <c r="BP31">
        <v>-0.12762803174484</v>
      </c>
      <c r="BQ31">
        <v>4.8955841167465002E-3</v>
      </c>
      <c r="BR31">
        <v>-0.12762803174484</v>
      </c>
      <c r="BS31">
        <v>-9.3746774956157894E-3</v>
      </c>
      <c r="BT31">
        <v>-0.12762803174484</v>
      </c>
      <c r="BU31">
        <v>6.1368310394176798E-2</v>
      </c>
      <c r="BV31">
        <v>-0.12762803174484</v>
      </c>
      <c r="BW31">
        <v>0.29623038356892401</v>
      </c>
      <c r="BX31">
        <v>0.16183488110650601</v>
      </c>
      <c r="BY31">
        <v>-6.08980151965412E-2</v>
      </c>
      <c r="BZ31">
        <v>-0.12762803174484</v>
      </c>
      <c r="CA31">
        <v>0.115600165100726</v>
      </c>
      <c r="CB31">
        <v>0.14848440828262599</v>
      </c>
      <c r="CC31">
        <v>-0.12762803174484</v>
      </c>
      <c r="CD31">
        <v>-0.12762803174484</v>
      </c>
      <c r="CE31">
        <v>6.4743416294952796E-2</v>
      </c>
      <c r="CF31">
        <v>-0.12762803174484</v>
      </c>
      <c r="CG31">
        <v>-0.12762803174484</v>
      </c>
      <c r="CH31">
        <v>-0.12762803174484</v>
      </c>
      <c r="CI31">
        <v>4.0791703951529999E-2</v>
      </c>
      <c r="CJ31">
        <v>0.33439956255683501</v>
      </c>
      <c r="CK31">
        <v>0.20279357489698099</v>
      </c>
      <c r="CL31">
        <v>8.8871366874682306E-2</v>
      </c>
      <c r="CM31">
        <v>1.8103559692426499E-3</v>
      </c>
      <c r="CN31">
        <v>0.105620069957835</v>
      </c>
      <c r="CO31">
        <v>0.32665894725112599</v>
      </c>
      <c r="CP31">
        <v>0.60399205558899005</v>
      </c>
      <c r="CQ31">
        <v>6.3181500561827197E-2</v>
      </c>
      <c r="CR31">
        <v>0.58359547671846701</v>
      </c>
      <c r="CS31">
        <v>0.94468748837739303</v>
      </c>
      <c r="CT31">
        <v>0.47446523312685301</v>
      </c>
      <c r="CU31">
        <v>0.22578239159492</v>
      </c>
      <c r="CV31">
        <v>-0.12762803174484</v>
      </c>
      <c r="CW31">
        <v>0.154600966544712</v>
      </c>
      <c r="CX31">
        <v>-0.12762803174484</v>
      </c>
      <c r="CY31">
        <v>-0.12762803174484</v>
      </c>
      <c r="CZ31">
        <v>-0.12762803174484</v>
      </c>
      <c r="DA31">
        <v>0.23199121054205299</v>
      </c>
      <c r="DB31">
        <v>0.35459893268090598</v>
      </c>
      <c r="DC31">
        <v>0.945049893911865</v>
      </c>
      <c r="DD31">
        <v>-0.12762803174484</v>
      </c>
      <c r="DE31">
        <v>-0.12762803174484</v>
      </c>
      <c r="DF31">
        <v>-0.12762803174484</v>
      </c>
      <c r="DG31">
        <v>0.42739252358872898</v>
      </c>
      <c r="DH31">
        <v>0.27003206045101602</v>
      </c>
      <c r="DI31">
        <v>0.128028455259597</v>
      </c>
      <c r="DJ31">
        <v>6.3672342599933401E-2</v>
      </c>
      <c r="DK31">
        <v>0.56671128772918</v>
      </c>
      <c r="DL31">
        <v>1.16063473211464</v>
      </c>
    </row>
    <row r="32" spans="1:116" x14ac:dyDescent="0.25">
      <c r="A32" t="s">
        <v>266</v>
      </c>
      <c r="B32" t="s">
        <v>315</v>
      </c>
      <c r="C32">
        <v>-0.24077720450633</v>
      </c>
      <c r="D32">
        <v>-0.421468116718066</v>
      </c>
      <c r="E32">
        <v>-0.83952554848739003</v>
      </c>
      <c r="F32">
        <v>-0.17990702499738201</v>
      </c>
      <c r="G32">
        <v>-1.0208581385603801</v>
      </c>
      <c r="H32">
        <v>-1.20280912245327</v>
      </c>
      <c r="I32">
        <v>-0.66601417380634997</v>
      </c>
      <c r="J32">
        <v>-0.24253725784823599</v>
      </c>
      <c r="K32">
        <v>-0.58730270028325904</v>
      </c>
      <c r="L32">
        <v>-0.86899676395830405</v>
      </c>
      <c r="M32">
        <v>-4.9466869832306401E-2</v>
      </c>
      <c r="N32">
        <v>3.37673111961031E-2</v>
      </c>
      <c r="O32">
        <v>-0.41931441363657601</v>
      </c>
      <c r="P32">
        <v>-0.124756337588029</v>
      </c>
      <c r="Q32">
        <v>0.15208770369966701</v>
      </c>
      <c r="R32">
        <v>0.68958526520442098</v>
      </c>
      <c r="S32">
        <v>0.48128216280858299</v>
      </c>
      <c r="T32">
        <v>-0.163503253725582</v>
      </c>
      <c r="U32">
        <v>8.9555679011085798E-2</v>
      </c>
      <c r="V32">
        <v>0.48271372033920501</v>
      </c>
      <c r="W32">
        <v>9.2983539317601102E-2</v>
      </c>
      <c r="X32">
        <v>-0.25318701538397798</v>
      </c>
      <c r="Y32">
        <v>-0.65989238298041597</v>
      </c>
      <c r="Z32">
        <v>-2.2654743897851999</v>
      </c>
      <c r="AA32">
        <v>1.34569105757283</v>
      </c>
      <c r="AB32">
        <v>0.52451543885942797</v>
      </c>
      <c r="AC32">
        <v>0.85599758191645303</v>
      </c>
      <c r="AD32">
        <v>0.81930654150152504</v>
      </c>
      <c r="AE32">
        <v>0.72932346176075002</v>
      </c>
      <c r="AF32">
        <v>9.6670252760018699E-2</v>
      </c>
      <c r="AG32">
        <v>0.77764568470496298</v>
      </c>
      <c r="AH32">
        <v>1.1169162618605699</v>
      </c>
      <c r="AI32">
        <v>0.82757667567623705</v>
      </c>
      <c r="AJ32">
        <v>0.30675048280044998</v>
      </c>
      <c r="AK32">
        <v>0.62097020759779498</v>
      </c>
      <c r="AL32">
        <v>9.2955652444639297E-2</v>
      </c>
      <c r="AM32">
        <v>0.133894066577145</v>
      </c>
      <c r="AN32">
        <v>0.49821884558488599</v>
      </c>
      <c r="AO32">
        <v>-0.433989516981792</v>
      </c>
      <c r="AP32">
        <v>-0.57331717105862701</v>
      </c>
      <c r="AQ32">
        <v>-0.83626926929794099</v>
      </c>
      <c r="AR32">
        <v>-0.61621251951526301</v>
      </c>
      <c r="AS32">
        <v>-1.04066891860865</v>
      </c>
      <c r="AT32">
        <v>-0.33327619296337102</v>
      </c>
      <c r="AU32">
        <v>0.140425583536576</v>
      </c>
      <c r="AV32">
        <v>-0.39430031978552599</v>
      </c>
      <c r="AW32">
        <v>-0.27949610934507002</v>
      </c>
      <c r="AX32">
        <v>1.01070825729933</v>
      </c>
      <c r="AY32">
        <v>-1.4255853960425799</v>
      </c>
      <c r="AZ32">
        <v>0.60271250340275695</v>
      </c>
      <c r="BA32">
        <v>0.35041533289909799</v>
      </c>
      <c r="BB32">
        <v>-0.68246538175319005</v>
      </c>
      <c r="BC32">
        <v>0.61441233803667294</v>
      </c>
      <c r="BD32">
        <v>-0.12651732854953901</v>
      </c>
      <c r="BE32">
        <v>0.35853056363205199</v>
      </c>
      <c r="BF32">
        <v>-3.2938123031294703E-2</v>
      </c>
      <c r="BG32">
        <v>-0.446656332763743</v>
      </c>
      <c r="BH32">
        <v>-4.7595894757504101E-2</v>
      </c>
      <c r="BI32">
        <v>0.74963206603028998</v>
      </c>
      <c r="BJ32">
        <v>0.31535097457209998</v>
      </c>
      <c r="BK32">
        <v>0.49124637427569801</v>
      </c>
      <c r="BL32">
        <v>1.94169717584598E-2</v>
      </c>
      <c r="BM32">
        <v>-0.44133737215284902</v>
      </c>
      <c r="BN32">
        <v>4.0513796748386503E-2</v>
      </c>
      <c r="BO32">
        <v>0.61418335567679405</v>
      </c>
      <c r="BP32">
        <v>5.6098550696135299E-2</v>
      </c>
      <c r="BQ32">
        <v>0.498682525467807</v>
      </c>
      <c r="BR32">
        <v>0.67715498340227898</v>
      </c>
      <c r="BS32">
        <v>0.58537539487924695</v>
      </c>
      <c r="BT32">
        <v>0.46687940881890799</v>
      </c>
      <c r="BU32">
        <v>0.60316797156854896</v>
      </c>
      <c r="BV32">
        <v>6.6385778806868204E-2</v>
      </c>
      <c r="BW32">
        <v>0.38554620611162099</v>
      </c>
      <c r="BX32">
        <v>-0.36920884540054599</v>
      </c>
      <c r="BY32">
        <v>0.158086681779635</v>
      </c>
      <c r="BZ32">
        <v>-0.44326386436031001</v>
      </c>
      <c r="CA32">
        <v>0.43652996644634301</v>
      </c>
      <c r="CB32">
        <v>-0.28301102674516698</v>
      </c>
      <c r="CC32">
        <v>8.17746275527408E-2</v>
      </c>
      <c r="CD32">
        <v>-0.70939299695851099</v>
      </c>
      <c r="CE32">
        <v>-6.4536488213909796E-2</v>
      </c>
      <c r="CF32">
        <v>-0.157763720983601</v>
      </c>
      <c r="CG32">
        <v>-0.33380591068478499</v>
      </c>
      <c r="CH32">
        <v>-0.107634749315015</v>
      </c>
      <c r="CI32">
        <v>0.295441853659688</v>
      </c>
      <c r="CJ32">
        <v>-0.57622045907434305</v>
      </c>
      <c r="CK32">
        <v>-0.35221018441400898</v>
      </c>
      <c r="CL32">
        <v>-0.28602651187010197</v>
      </c>
      <c r="CM32">
        <v>-0.44003278378175198</v>
      </c>
      <c r="CN32">
        <v>0.15196318579849899</v>
      </c>
      <c r="CO32">
        <v>0.58861979454381197</v>
      </c>
      <c r="CP32">
        <v>0.53062649881166901</v>
      </c>
      <c r="CQ32">
        <v>-3.4435283006163601E-2</v>
      </c>
      <c r="CR32">
        <v>0.81788888053414199</v>
      </c>
      <c r="CS32">
        <v>1.1866379634678199</v>
      </c>
      <c r="CT32">
        <v>1.5014378227578999</v>
      </c>
      <c r="CU32">
        <v>1.3700253210598801</v>
      </c>
      <c r="CV32">
        <v>0.89215464298283897</v>
      </c>
      <c r="CW32">
        <v>-1.9681870549438801E-2</v>
      </c>
      <c r="CX32">
        <v>-0.60005345489721795</v>
      </c>
      <c r="CY32">
        <v>-0.33820412574585101</v>
      </c>
      <c r="CZ32">
        <v>-0.18670674928182801</v>
      </c>
      <c r="DA32">
        <v>-0.17214547722392501</v>
      </c>
      <c r="DB32">
        <v>5.1489843203831001E-2</v>
      </c>
      <c r="DC32">
        <v>-0.15157938577320801</v>
      </c>
      <c r="DD32">
        <v>-0.76612089499318003</v>
      </c>
      <c r="DE32">
        <v>-1.41878102504828</v>
      </c>
      <c r="DF32">
        <v>-1.17166257127213</v>
      </c>
      <c r="DG32">
        <v>-0.131363110157276</v>
      </c>
      <c r="DH32">
        <v>-5.6643026309041097E-2</v>
      </c>
      <c r="DI32">
        <v>-0.29841963424262002</v>
      </c>
      <c r="DJ32">
        <v>0.55918992075137997</v>
      </c>
      <c r="DK32">
        <v>0.71530348078530104</v>
      </c>
      <c r="DL32">
        <v>1.27129439371144</v>
      </c>
    </row>
    <row r="33" spans="1:116" x14ac:dyDescent="0.25">
      <c r="A33" t="s">
        <v>266</v>
      </c>
      <c r="B33" t="s">
        <v>319</v>
      </c>
      <c r="C33">
        <v>-0.112143655928109</v>
      </c>
      <c r="D33">
        <v>-0.112143655928109</v>
      </c>
      <c r="E33">
        <v>-0.112143655928109</v>
      </c>
      <c r="F33">
        <v>-0.112143655928109</v>
      </c>
      <c r="G33">
        <v>0.13929090834977101</v>
      </c>
      <c r="H33">
        <v>-0.112143655928109</v>
      </c>
      <c r="I33">
        <v>-0.112143655928109</v>
      </c>
      <c r="J33">
        <v>-0.112143655928109</v>
      </c>
      <c r="K33">
        <v>-0.112143655928109</v>
      </c>
      <c r="L33">
        <v>-0.112143655928109</v>
      </c>
      <c r="M33">
        <v>-0.112143655928109</v>
      </c>
      <c r="N33">
        <v>0.32511499731570398</v>
      </c>
      <c r="O33">
        <v>-2.9757854046462799E-2</v>
      </c>
      <c r="P33">
        <v>0.116078349978348</v>
      </c>
      <c r="Q33">
        <v>0.14557734291145899</v>
      </c>
      <c r="R33">
        <v>-0.112143655928109</v>
      </c>
      <c r="S33">
        <v>3.9946137870013797E-2</v>
      </c>
      <c r="T33">
        <v>-0.112143655928109</v>
      </c>
      <c r="U33">
        <v>-1.11968974076893E-2</v>
      </c>
      <c r="V33">
        <v>-0.112143655928109</v>
      </c>
      <c r="W33">
        <v>-0.112143655928109</v>
      </c>
      <c r="X33">
        <v>-0.112143655928109</v>
      </c>
      <c r="Y33">
        <v>-0.112143655928109</v>
      </c>
      <c r="Z33">
        <v>-0.112143655928109</v>
      </c>
      <c r="AA33">
        <v>0.328197722230615</v>
      </c>
      <c r="AB33">
        <v>-0.112143655928109</v>
      </c>
      <c r="AC33">
        <v>0.28266927176976198</v>
      </c>
      <c r="AD33">
        <v>0.19870475117702199</v>
      </c>
      <c r="AE33">
        <v>-0.112143655928109</v>
      </c>
      <c r="AF33">
        <v>0.59961284697837702</v>
      </c>
      <c r="AG33">
        <v>0.36448812088451499</v>
      </c>
      <c r="AH33">
        <v>0.16033296141376399</v>
      </c>
      <c r="AI33">
        <v>0.16825581652492899</v>
      </c>
      <c r="AJ33">
        <v>-0.112143655928109</v>
      </c>
      <c r="AK33">
        <v>6.6219933244169998E-2</v>
      </c>
      <c r="AL33">
        <v>-0.112143655928109</v>
      </c>
      <c r="AM33">
        <v>-1.6844676762121501E-2</v>
      </c>
      <c r="AN33">
        <v>5.5523397176357001E-2</v>
      </c>
      <c r="AO33">
        <v>-3.3494082037723201E-4</v>
      </c>
      <c r="AP33">
        <v>0.116348738116753</v>
      </c>
      <c r="AQ33">
        <v>-0.112143655928109</v>
      </c>
      <c r="AR33">
        <v>-0.112143655928109</v>
      </c>
      <c r="AS33">
        <v>-0.112143655928109</v>
      </c>
      <c r="AT33">
        <v>-0.112143655928109</v>
      </c>
      <c r="AU33">
        <v>-0.112143655928109</v>
      </c>
      <c r="AV33">
        <v>4.7547003457051103E-2</v>
      </c>
      <c r="AW33">
        <v>-0.112143655928109</v>
      </c>
      <c r="AX33">
        <v>0.13718383813339299</v>
      </c>
      <c r="AY33">
        <v>-0.112143655928109</v>
      </c>
      <c r="AZ33">
        <v>-2.9888795836613798E-2</v>
      </c>
      <c r="BA33">
        <v>0.130528499278073</v>
      </c>
      <c r="BB33">
        <v>0.157751522121097</v>
      </c>
      <c r="BC33">
        <v>-0.112143655928109</v>
      </c>
      <c r="BD33">
        <v>4.4997842719490699E-2</v>
      </c>
      <c r="BE33">
        <v>3.7274904612214798E-3</v>
      </c>
      <c r="BF33">
        <v>-2.1442660681043699E-2</v>
      </c>
      <c r="BG33">
        <v>-0.112143655928109</v>
      </c>
      <c r="BH33">
        <v>1.0656376852085399E-2</v>
      </c>
      <c r="BI33">
        <v>4.60821853009451E-2</v>
      </c>
      <c r="BJ33">
        <v>-0.112143655928109</v>
      </c>
      <c r="BK33">
        <v>-2.41600604450018E-2</v>
      </c>
      <c r="BL33">
        <v>5.3464992314819097E-2</v>
      </c>
      <c r="BM33">
        <v>0.120600077704078</v>
      </c>
      <c r="BN33">
        <v>1.01830238220036E-2</v>
      </c>
      <c r="BO33">
        <v>0.151006011706071</v>
      </c>
      <c r="BP33">
        <v>0.17727805425565701</v>
      </c>
      <c r="BQ33">
        <v>0.320355055655627</v>
      </c>
      <c r="BR33">
        <v>7.4080408665940095E-2</v>
      </c>
      <c r="BS33">
        <v>-0.112143655928109</v>
      </c>
      <c r="BT33">
        <v>-0.112143655928109</v>
      </c>
      <c r="BU33">
        <v>-4.6767569988944102E-2</v>
      </c>
      <c r="BV33">
        <v>2.29530147659712E-2</v>
      </c>
      <c r="BW33">
        <v>0.31171475938565602</v>
      </c>
      <c r="BX33">
        <v>-0.112143655928109</v>
      </c>
      <c r="BY33">
        <v>-0.112143655928109</v>
      </c>
      <c r="BZ33">
        <v>0.234042034954142</v>
      </c>
      <c r="CA33">
        <v>0.34246123343032397</v>
      </c>
      <c r="CB33">
        <v>0.30609052024280398</v>
      </c>
      <c r="CC33">
        <v>0.45309678309939999</v>
      </c>
      <c r="CD33">
        <v>5.4396144451356099E-2</v>
      </c>
      <c r="CE33">
        <v>0.12704082340197101</v>
      </c>
      <c r="CF33">
        <v>-1.43465613613931E-2</v>
      </c>
      <c r="CG33">
        <v>3.3486307746469299E-4</v>
      </c>
      <c r="CH33">
        <v>-6.24463930410981E-2</v>
      </c>
      <c r="CI33">
        <v>-0.112143655928109</v>
      </c>
      <c r="CJ33">
        <v>1.64722017858372E-2</v>
      </c>
      <c r="CK33">
        <v>6.1735546845005103E-2</v>
      </c>
      <c r="CL33">
        <v>2.7680118658182401E-2</v>
      </c>
      <c r="CM33">
        <v>0.13725525504252201</v>
      </c>
      <c r="CN33">
        <v>-0.112143655928109</v>
      </c>
      <c r="CO33">
        <v>-0.112143655928109</v>
      </c>
      <c r="CP33">
        <v>0.29624134952660502</v>
      </c>
      <c r="CQ33">
        <v>7.8665876378558694E-2</v>
      </c>
      <c r="CR33">
        <v>0.59907985253519902</v>
      </c>
      <c r="CS33">
        <v>0.42605346277762102</v>
      </c>
      <c r="CT33">
        <v>0.178501924724703</v>
      </c>
      <c r="CU33">
        <v>-2.8288691343360199E-2</v>
      </c>
      <c r="CV33">
        <v>0.23730294277081701</v>
      </c>
      <c r="CW33">
        <v>3.0964346692776601E-3</v>
      </c>
      <c r="CX33">
        <v>-0.112143655928109</v>
      </c>
      <c r="CY33">
        <v>-0.112143655928109</v>
      </c>
      <c r="CZ33">
        <v>-0.112143655928109</v>
      </c>
      <c r="DA33">
        <v>2.2763852409409001E-2</v>
      </c>
      <c r="DB33">
        <v>9.1416350370387603E-2</v>
      </c>
      <c r="DC33">
        <v>-0.112143655928109</v>
      </c>
      <c r="DD33">
        <v>0.97425374119313302</v>
      </c>
      <c r="DE33">
        <v>-6.1743559132695698E-2</v>
      </c>
      <c r="DF33">
        <v>-0.112143655928109</v>
      </c>
      <c r="DG33">
        <v>0.19045371119815499</v>
      </c>
      <c r="DH33">
        <v>-0.112143655928109</v>
      </c>
      <c r="DI33">
        <v>-0.112143655928109</v>
      </c>
      <c r="DJ33">
        <v>7.9156718416664898E-2</v>
      </c>
      <c r="DK33">
        <v>0.724438681202766</v>
      </c>
      <c r="DL33">
        <v>0.42038224956980402</v>
      </c>
    </row>
    <row r="34" spans="1:116" x14ac:dyDescent="0.25">
      <c r="A34" t="s">
        <v>266</v>
      </c>
      <c r="B34" t="s">
        <v>278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0.36256667208792498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0.10727339594067101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3.3221521174110202E-2</v>
      </c>
      <c r="AW34">
        <v>0.37046526554867198</v>
      </c>
      <c r="AX34">
        <v>0.129816326096446</v>
      </c>
      <c r="AY34">
        <v>0</v>
      </c>
      <c r="AZ34">
        <v>8.2254860091494797E-2</v>
      </c>
      <c r="BA34">
        <v>0</v>
      </c>
      <c r="BB34">
        <v>0</v>
      </c>
      <c r="BC34">
        <v>0.18380778093133299</v>
      </c>
      <c r="BD34">
        <v>0</v>
      </c>
      <c r="BE34">
        <v>0.22453763510908201</v>
      </c>
      <c r="BF34">
        <v>0.30476192811571401</v>
      </c>
      <c r="BG34">
        <v>0</v>
      </c>
      <c r="BH34">
        <v>7.84986768135741E-2</v>
      </c>
      <c r="BI34">
        <v>0.28783564734133998</v>
      </c>
      <c r="BJ34">
        <v>0.48134421483502998</v>
      </c>
      <c r="BK34">
        <v>0.68584345676819702</v>
      </c>
      <c r="BL34">
        <v>8.4806986430203804E-2</v>
      </c>
      <c r="BM34">
        <v>0.51866906591272399</v>
      </c>
      <c r="BN34">
        <v>0.12232667975011199</v>
      </c>
      <c r="BO34">
        <v>0.32564352408612501</v>
      </c>
      <c r="BP34">
        <v>0</v>
      </c>
      <c r="BQ34">
        <v>0.369204664527014</v>
      </c>
      <c r="BR34">
        <v>0.186224064594049</v>
      </c>
      <c r="BS34">
        <v>0</v>
      </c>
      <c r="BT34">
        <v>0.17204818137918601</v>
      </c>
      <c r="BU34">
        <v>0.188996342139017</v>
      </c>
      <c r="BV34">
        <v>0.37689875185925997</v>
      </c>
      <c r="BW34">
        <v>0.33703031418659102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0.42592937291090399</v>
      </c>
      <c r="CD34">
        <v>0.166539800379465</v>
      </c>
      <c r="CE34">
        <v>0.124013115469612</v>
      </c>
      <c r="CF34">
        <v>0.277380872410462</v>
      </c>
      <c r="CG34">
        <v>0</v>
      </c>
      <c r="CH34">
        <v>4.9697262887010499E-2</v>
      </c>
      <c r="CI34">
        <v>0.16841973569637</v>
      </c>
      <c r="CJ34">
        <v>0.35836984996513499</v>
      </c>
      <c r="CK34">
        <v>0</v>
      </c>
      <c r="CL34">
        <v>0</v>
      </c>
      <c r="CM34">
        <v>0</v>
      </c>
      <c r="CN34">
        <v>0.23324810170267499</v>
      </c>
      <c r="CO34">
        <v>0</v>
      </c>
      <c r="CP34">
        <v>0.40838500545471301</v>
      </c>
      <c r="CQ34">
        <v>0.36043361320443901</v>
      </c>
      <c r="CR34">
        <v>0</v>
      </c>
      <c r="CS34">
        <v>0.23052697223931101</v>
      </c>
      <c r="CT34">
        <v>0</v>
      </c>
      <c r="CU34">
        <v>0.13097369018431201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9.8181958951384596E-2</v>
      </c>
      <c r="DK34">
        <v>0.139114541524025</v>
      </c>
      <c r="DL34">
        <v>0.13197020202668999</v>
      </c>
    </row>
    <row r="35" spans="1:116" x14ac:dyDescent="0.25">
      <c r="A35" t="s">
        <v>266</v>
      </c>
      <c r="B35" t="s">
        <v>281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3.1817373913906898E-2</v>
      </c>
      <c r="Q35">
        <v>0</v>
      </c>
      <c r="R35">
        <v>0.24827729026701201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3.3221521174110202E-2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0.13252361586158701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0.16663754083228799</v>
      </c>
      <c r="BY35">
        <v>0</v>
      </c>
      <c r="BZ35">
        <v>0</v>
      </c>
      <c r="CA35">
        <v>0</v>
      </c>
      <c r="CB35">
        <v>0.39834056238606602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0.40838500545471301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0.68552920130230199</v>
      </c>
      <c r="DH35">
        <v>0</v>
      </c>
      <c r="DI35">
        <v>0</v>
      </c>
      <c r="DJ35">
        <v>0</v>
      </c>
      <c r="DK35">
        <v>0</v>
      </c>
      <c r="DL35">
        <v>0</v>
      </c>
    </row>
    <row r="36" spans="1:116" x14ac:dyDescent="0.25">
      <c r="A36" t="s">
        <v>266</v>
      </c>
      <c r="B36" t="s">
        <v>324</v>
      </c>
      <c r="C36">
        <v>-0.10264521885413</v>
      </c>
      <c r="D36">
        <v>-0.10264521885413</v>
      </c>
      <c r="E36">
        <v>-0.10264521885413</v>
      </c>
      <c r="F36">
        <v>-0.10264521885413</v>
      </c>
      <c r="G36">
        <v>2.7978156816853901E-2</v>
      </c>
      <c r="H36">
        <v>-4.4021376017156701E-2</v>
      </c>
      <c r="I36">
        <v>-0.10264521885413</v>
      </c>
      <c r="J36">
        <v>-0.10264521885413</v>
      </c>
      <c r="K36">
        <v>-0.10264521885413</v>
      </c>
      <c r="L36">
        <v>0.102094596594167</v>
      </c>
      <c r="M36">
        <v>5.5548669068058401E-2</v>
      </c>
      <c r="N36">
        <v>0.131838494675135</v>
      </c>
      <c r="O36">
        <v>-2.0259416972483801E-2</v>
      </c>
      <c r="P36">
        <v>-8.8602476111729507E-3</v>
      </c>
      <c r="Q36">
        <v>-3.4253572374883703E-2</v>
      </c>
      <c r="R36">
        <v>-0.10264521885413</v>
      </c>
      <c r="S36">
        <v>1.2692632564694901E-2</v>
      </c>
      <c r="T36">
        <v>-0.10264521885413</v>
      </c>
      <c r="U36">
        <v>-0.10264521885413</v>
      </c>
      <c r="V36">
        <v>-0.10264521885413</v>
      </c>
      <c r="W36">
        <v>0.39839911480798501</v>
      </c>
      <c r="X36">
        <v>-0.10264521885413</v>
      </c>
      <c r="Y36">
        <v>-0.10264521885413</v>
      </c>
      <c r="Z36">
        <v>-0.10264521885413</v>
      </c>
      <c r="AA36">
        <v>0.33769615930459301</v>
      </c>
      <c r="AB36">
        <v>-0.10264521885413</v>
      </c>
      <c r="AC36">
        <v>-0.10264521885413</v>
      </c>
      <c r="AD36">
        <v>0.48104136338002701</v>
      </c>
      <c r="AE36">
        <v>-0.10264521885413</v>
      </c>
      <c r="AF36">
        <v>-0.10264521885413</v>
      </c>
      <c r="AG36">
        <v>-3.4512054981637098E-2</v>
      </c>
      <c r="AH36">
        <v>0.16983139848774301</v>
      </c>
      <c r="AI36">
        <v>5.9482839420201501E-2</v>
      </c>
      <c r="AJ36">
        <v>-0.10264521885413</v>
      </c>
      <c r="AK36">
        <v>-0.10264521885413</v>
      </c>
      <c r="AL36">
        <v>-0.10264521885413</v>
      </c>
      <c r="AM36">
        <v>-7.3462396881425101E-3</v>
      </c>
      <c r="AN36">
        <v>6.5021834250335697E-2</v>
      </c>
      <c r="AO36">
        <v>9.1634962536016797E-3</v>
      </c>
      <c r="AP36">
        <v>-0.10264521885413</v>
      </c>
      <c r="AQ36">
        <v>-0.10264521885413</v>
      </c>
      <c r="AR36">
        <v>3.2392440699332802E-3</v>
      </c>
      <c r="AS36">
        <v>-3.7130298881951303E-2</v>
      </c>
      <c r="AT36">
        <v>9.8540788745622596E-2</v>
      </c>
      <c r="AU36">
        <v>-0.10264521885413</v>
      </c>
      <c r="AV36">
        <v>-0.10264521885413</v>
      </c>
      <c r="AW36">
        <v>9.4005830910864993E-2</v>
      </c>
      <c r="AX36">
        <v>2.71711072423165E-2</v>
      </c>
      <c r="AY36">
        <v>-0.10264521885413</v>
      </c>
      <c r="AZ36">
        <v>2.5244327745827202</v>
      </c>
      <c r="BA36">
        <v>0.53977214702502097</v>
      </c>
      <c r="BB36">
        <v>0.110126403195991</v>
      </c>
      <c r="BC36">
        <v>8.1162562077203099E-2</v>
      </c>
      <c r="BD36">
        <v>-0.10264521885413</v>
      </c>
      <c r="BE36">
        <v>-4.3743432571264999E-2</v>
      </c>
      <c r="BF36">
        <v>7.4102135118931003E-2</v>
      </c>
      <c r="BG36">
        <v>-0.10264521885413</v>
      </c>
      <c r="BH36">
        <v>0.12283539575975699</v>
      </c>
      <c r="BI36">
        <v>0.14819883679902399</v>
      </c>
      <c r="BJ36">
        <v>2.1176735536030101E-2</v>
      </c>
      <c r="BK36">
        <v>-1.4661623371022701E-2</v>
      </c>
      <c r="BL36">
        <v>-0.10264521885413</v>
      </c>
      <c r="BM36">
        <v>0.13009851477805701</v>
      </c>
      <c r="BN36">
        <v>1.9681460895982501E-2</v>
      </c>
      <c r="BO36">
        <v>6.8220844159867899E-2</v>
      </c>
      <c r="BP36">
        <v>0.186776491329637</v>
      </c>
      <c r="BQ36">
        <v>-0.10264521885413</v>
      </c>
      <c r="BR36">
        <v>-0.10264521885413</v>
      </c>
      <c r="BS36">
        <v>-0.10264521885413</v>
      </c>
      <c r="BT36">
        <v>-0.10264521885413</v>
      </c>
      <c r="BU36">
        <v>2.5666430638464698E-2</v>
      </c>
      <c r="BV36">
        <v>0.10676023192276</v>
      </c>
      <c r="BW36">
        <v>7.4526189250050695E-2</v>
      </c>
      <c r="BX36">
        <v>-0.10264521885413</v>
      </c>
      <c r="BY36">
        <v>6.5185366508186293E-2</v>
      </c>
      <c r="BZ36">
        <v>7.9479224958004593E-2</v>
      </c>
      <c r="CA36">
        <v>-0.10264521885413</v>
      </c>
      <c r="CB36">
        <v>-0.10264521885413</v>
      </c>
      <c r="CC36">
        <v>7.5466683960018099E-2</v>
      </c>
      <c r="CD36">
        <v>6.3894581525335004E-2</v>
      </c>
      <c r="CE36">
        <v>0.37631260592868698</v>
      </c>
      <c r="CF36">
        <v>0.174735653556333</v>
      </c>
      <c r="CG36">
        <v>0.11499715961632</v>
      </c>
      <c r="CH36">
        <v>4.2457195866030598E-2</v>
      </c>
      <c r="CI36">
        <v>-0.10264521885413</v>
      </c>
      <c r="CJ36">
        <v>2.5970638859816101E-2</v>
      </c>
      <c r="CK36">
        <v>-0.10264521885413</v>
      </c>
      <c r="CL36">
        <v>0.166215278735658</v>
      </c>
      <c r="CM36">
        <v>-0.10264521885413</v>
      </c>
      <c r="CN36">
        <v>0.13060288284854499</v>
      </c>
      <c r="CO36">
        <v>-0.10264521885413</v>
      </c>
      <c r="CP36">
        <v>0.76878764531687804</v>
      </c>
      <c r="CQ36">
        <v>0.25778839435030998</v>
      </c>
      <c r="CR36">
        <v>2.76360356993712</v>
      </c>
      <c r="CS36">
        <v>0.91602046325573105</v>
      </c>
      <c r="CT36">
        <v>0.18800036179868199</v>
      </c>
      <c r="CU36">
        <v>0.95159791205109001</v>
      </c>
      <c r="CV36">
        <v>0.91083254359589405</v>
      </c>
      <c r="CW36">
        <v>1.2594871743256599E-2</v>
      </c>
      <c r="CX36">
        <v>8.4423455088320901E-2</v>
      </c>
      <c r="CY36">
        <v>0.53377223693240095</v>
      </c>
      <c r="CZ36">
        <v>0.283992175391927</v>
      </c>
      <c r="DA36">
        <v>-5.6409309133695303E-2</v>
      </c>
      <c r="DB36">
        <v>0.10091478744436699</v>
      </c>
      <c r="DC36">
        <v>-0.10264521885413</v>
      </c>
      <c r="DD36">
        <v>-0.10264521885413</v>
      </c>
      <c r="DE36">
        <v>-3.2465334265048499E-3</v>
      </c>
      <c r="DF36">
        <v>-0.10264521885413</v>
      </c>
      <c r="DG36">
        <v>-0.10264521885413</v>
      </c>
      <c r="DH36">
        <v>0.21340683362146101</v>
      </c>
      <c r="DI36">
        <v>3.02072974273596E-2</v>
      </c>
      <c r="DJ36">
        <v>-0.10264521885413</v>
      </c>
      <c r="DK36">
        <v>-0.10264521885413</v>
      </c>
      <c r="DL36">
        <v>2.93249831725606E-2</v>
      </c>
    </row>
    <row r="37" spans="1:116" x14ac:dyDescent="0.25">
      <c r="A37" t="s">
        <v>266</v>
      </c>
      <c r="B37" t="s">
        <v>275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0.33940822977996699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6.1682740859679203E-2</v>
      </c>
      <c r="AL37">
        <v>0.24845583297274201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3.3221521174110202E-2</v>
      </c>
      <c r="AW37">
        <v>0</v>
      </c>
      <c r="AX37">
        <v>0.129816326096446</v>
      </c>
      <c r="AY37">
        <v>0</v>
      </c>
      <c r="AZ37">
        <v>8.2254860091494797E-2</v>
      </c>
      <c r="BA37">
        <v>0</v>
      </c>
      <c r="BB37">
        <v>0</v>
      </c>
      <c r="BC37">
        <v>0</v>
      </c>
      <c r="BD37">
        <v>1.2005602136290801</v>
      </c>
      <c r="BE37">
        <v>0</v>
      </c>
      <c r="BF37">
        <v>0</v>
      </c>
      <c r="BG37">
        <v>0</v>
      </c>
      <c r="BH37">
        <v>7.84986768135741E-2</v>
      </c>
      <c r="BI37">
        <v>0</v>
      </c>
      <c r="BJ37">
        <v>0</v>
      </c>
      <c r="BK37">
        <v>8.7983595483106997E-2</v>
      </c>
      <c r="BL37">
        <v>0</v>
      </c>
      <c r="BM37">
        <v>6.1015404211883499E-2</v>
      </c>
      <c r="BN37">
        <v>0</v>
      </c>
      <c r="BO37">
        <v>0</v>
      </c>
      <c r="BP37">
        <v>0</v>
      </c>
      <c r="BQ37">
        <v>0</v>
      </c>
      <c r="BR37">
        <v>0.186224064594049</v>
      </c>
      <c r="BS37">
        <v>0.63850331358867596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0.12861585771394601</v>
      </c>
      <c r="CK37">
        <v>0</v>
      </c>
      <c r="CL37">
        <v>0</v>
      </c>
      <c r="CM37">
        <v>0</v>
      </c>
      <c r="CN37">
        <v>0</v>
      </c>
      <c r="CO37">
        <v>0.45428697899596698</v>
      </c>
      <c r="CP37">
        <v>0</v>
      </c>
      <c r="CQ37">
        <v>0</v>
      </c>
      <c r="CR37">
        <v>0</v>
      </c>
      <c r="CS37">
        <v>0.23052697223931101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0.243028700321296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7.9492793924937993E-2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0.13197020202668999</v>
      </c>
    </row>
    <row r="38" spans="1:116" s="11" customFormat="1" ht="15.75" thickBot="1" x14ac:dyDescent="0.3">
      <c r="A38" s="11" t="s">
        <v>266</v>
      </c>
      <c r="B38" s="11" t="s">
        <v>330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4.1676723889446002E-2</v>
      </c>
      <c r="P38" s="11">
        <v>5.0166953788657001E-2</v>
      </c>
      <c r="Q38" s="11">
        <v>6.8391646479245893E-2</v>
      </c>
      <c r="R38" s="11">
        <v>0</v>
      </c>
      <c r="S38" s="11">
        <v>0.24355621594132201</v>
      </c>
      <c r="T38" s="11">
        <v>0</v>
      </c>
      <c r="U38" s="11">
        <v>0</v>
      </c>
      <c r="V38" s="11">
        <v>0.68422046769249301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0.40210489606639599</v>
      </c>
      <c r="AE38" s="11">
        <v>0</v>
      </c>
      <c r="AF38" s="11">
        <v>0.46330547035910902</v>
      </c>
      <c r="AG38" s="11">
        <v>0.13340867828452299</v>
      </c>
      <c r="AH38" s="11">
        <v>0.50321268230660099</v>
      </c>
      <c r="AI38" s="11">
        <v>0.31006239416138598</v>
      </c>
      <c r="AJ38" s="11">
        <v>0.10727339594067101</v>
      </c>
      <c r="AK38" s="11">
        <v>0</v>
      </c>
      <c r="AL38" s="11">
        <v>0</v>
      </c>
      <c r="AM38" s="11">
        <v>0.26976323640637601</v>
      </c>
      <c r="AN38" s="11">
        <v>0</v>
      </c>
      <c r="AO38" s="11">
        <v>0.11180871510773099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8.2254860091494797E-2</v>
      </c>
      <c r="BA38" s="11">
        <v>0</v>
      </c>
      <c r="BB38" s="11">
        <v>0</v>
      </c>
      <c r="BC38" s="11">
        <v>0.18380778093133299</v>
      </c>
      <c r="BD38" s="11">
        <v>0</v>
      </c>
      <c r="BE38" s="11">
        <v>0</v>
      </c>
      <c r="BF38" s="11">
        <v>0</v>
      </c>
      <c r="BG38" s="11">
        <v>0</v>
      </c>
      <c r="BH38" s="11">
        <v>7.84986768135741E-2</v>
      </c>
      <c r="BI38" s="11">
        <v>0</v>
      </c>
      <c r="BJ38" s="11">
        <v>0.12382195439016</v>
      </c>
      <c r="BK38" s="11">
        <v>0</v>
      </c>
      <c r="BL38" s="11">
        <v>0</v>
      </c>
      <c r="BM38" s="11">
        <v>0</v>
      </c>
      <c r="BN38" s="11">
        <v>0.12232667975011199</v>
      </c>
      <c r="BO38" s="11">
        <v>0</v>
      </c>
      <c r="BP38" s="11">
        <v>0</v>
      </c>
      <c r="BQ38" s="11">
        <v>0</v>
      </c>
      <c r="BR38" s="11">
        <v>0</v>
      </c>
      <c r="BS38" s="11">
        <v>0.11825335424922399</v>
      </c>
      <c r="BT38" s="11">
        <v>0</v>
      </c>
      <c r="BU38" s="11">
        <v>0.102474605072317</v>
      </c>
      <c r="BV38" s="11">
        <v>0.13509667069407999</v>
      </c>
      <c r="BW38" s="11">
        <v>0</v>
      </c>
      <c r="BX38" s="11">
        <v>0</v>
      </c>
      <c r="BY38" s="11">
        <v>0</v>
      </c>
      <c r="BZ38" s="11">
        <v>0.182124443812134</v>
      </c>
      <c r="CA38" s="11">
        <v>0</v>
      </c>
      <c r="CB38" s="11">
        <v>0</v>
      </c>
      <c r="CC38" s="11">
        <v>0.27395300014331903</v>
      </c>
      <c r="CD38" s="11">
        <v>0.166539800379465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0.462027594301675</v>
      </c>
      <c r="CK38" s="11">
        <v>0.173879202773114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0.50641237320782595</v>
      </c>
      <c r="CS38" s="11">
        <v>0.23052697223931101</v>
      </c>
      <c r="CT38" s="11">
        <v>0.15195116403984699</v>
      </c>
      <c r="CU38" s="11">
        <v>8.3854964584748407E-2</v>
      </c>
      <c r="CV38" s="11">
        <v>0</v>
      </c>
      <c r="CW38" s="11">
        <v>0</v>
      </c>
      <c r="CX38" s="11">
        <v>6.4691847424801996E-2</v>
      </c>
      <c r="CY38" s="11">
        <v>0</v>
      </c>
      <c r="CZ38" s="11">
        <v>0</v>
      </c>
      <c r="DA38" s="11">
        <v>0</v>
      </c>
      <c r="DB38" s="11">
        <v>0</v>
      </c>
      <c r="DC38" s="11">
        <v>0</v>
      </c>
      <c r="DD38" s="11">
        <v>0</v>
      </c>
      <c r="DE38" s="11">
        <v>0</v>
      </c>
      <c r="DF38" s="11">
        <v>0</v>
      </c>
      <c r="DG38" s="11">
        <v>0.30259736712626401</v>
      </c>
      <c r="DH38" s="11">
        <v>0</v>
      </c>
      <c r="DI38" s="11">
        <v>0</v>
      </c>
      <c r="DJ38" s="11">
        <v>0</v>
      </c>
      <c r="DK38" s="11">
        <v>0.139114541524025</v>
      </c>
      <c r="DL38" s="11">
        <v>0</v>
      </c>
    </row>
    <row r="39" spans="1:116" x14ac:dyDescent="0.25">
      <c r="A39" t="s">
        <v>267</v>
      </c>
      <c r="B39" t="s">
        <v>285</v>
      </c>
      <c r="C39">
        <v>-0.26546156821810402</v>
      </c>
      <c r="D39">
        <v>0.16983636393645399</v>
      </c>
      <c r="E39">
        <v>-0.26546156821810402</v>
      </c>
      <c r="F39">
        <v>-0.13782689371571399</v>
      </c>
      <c r="G39">
        <v>-1.40270039402245E-2</v>
      </c>
      <c r="H39">
        <v>3.8717715424135199E-2</v>
      </c>
      <c r="I39">
        <v>-0.26546156821810402</v>
      </c>
      <c r="J39">
        <v>6.4938894233718694E-2</v>
      </c>
      <c r="K39">
        <v>0.16543179110195899</v>
      </c>
      <c r="L39">
        <v>-1.8858232966506999E-2</v>
      </c>
      <c r="M39">
        <v>0.11854521258648</v>
      </c>
      <c r="N39">
        <v>0.35055395979322701</v>
      </c>
      <c r="O39">
        <v>-8.1994478357003894E-2</v>
      </c>
      <c r="P39">
        <v>2.3082017190286801E-3</v>
      </c>
      <c r="Q39">
        <v>8.4049974330379695E-2</v>
      </c>
      <c r="R39">
        <v>0.38267204874110999</v>
      </c>
      <c r="S39">
        <v>-2.1905352276782399E-2</v>
      </c>
      <c r="T39">
        <v>-0.26546156821810402</v>
      </c>
      <c r="U39">
        <v>-0.26546156821810402</v>
      </c>
      <c r="V39">
        <v>1.1789844797737501</v>
      </c>
      <c r="W39">
        <v>-0.26546156821810402</v>
      </c>
      <c r="X39">
        <v>0.76880455307750595</v>
      </c>
      <c r="Y39">
        <v>7.3946661561862304E-2</v>
      </c>
      <c r="Z39">
        <v>-0.26546156821810402</v>
      </c>
      <c r="AA39">
        <v>0.79247379035177801</v>
      </c>
      <c r="AB39">
        <v>0.93706544410635395</v>
      </c>
      <c r="AC39">
        <v>0.129351359479766</v>
      </c>
      <c r="AD39">
        <v>0.31822501401605202</v>
      </c>
      <c r="AE39">
        <v>-0.26546156821810402</v>
      </c>
      <c r="AF39">
        <v>0.53862029007648304</v>
      </c>
      <c r="AG39">
        <v>1.11087485453776</v>
      </c>
      <c r="AH39">
        <v>0.91826965122405702</v>
      </c>
      <c r="AI39">
        <v>0.25579670650789699</v>
      </c>
      <c r="AJ39">
        <v>3.7784176485183001E-2</v>
      </c>
      <c r="AK39">
        <v>0.27349396646414997</v>
      </c>
      <c r="AL39">
        <v>0.30008203904459901</v>
      </c>
      <c r="AM39">
        <v>0.23379250996332801</v>
      </c>
      <c r="AN39">
        <v>0.190979614471635</v>
      </c>
      <c r="AO39">
        <v>-0.26546156821810402</v>
      </c>
      <c r="AP39">
        <v>-0.26546156821810402</v>
      </c>
      <c r="AQ39">
        <v>-2.1638272062339502E-2</v>
      </c>
      <c r="AR39">
        <v>-6.0198376763389801E-2</v>
      </c>
      <c r="AS39">
        <v>-0.19994664824592601</v>
      </c>
      <c r="AT39">
        <v>-0.26546156821810402</v>
      </c>
      <c r="AU39">
        <v>-0.26546156821810402</v>
      </c>
      <c r="AV39">
        <v>-0.149394732395738</v>
      </c>
      <c r="AW39">
        <v>-6.8810518453109606E-2</v>
      </c>
      <c r="AX39">
        <v>0.519302017879398</v>
      </c>
      <c r="AY39">
        <v>0.57442742552451598</v>
      </c>
      <c r="AZ39">
        <v>-6.06026087174968E-2</v>
      </c>
      <c r="BA39">
        <v>-0.13964616700979199</v>
      </c>
      <c r="BB39">
        <v>-5.2689946167983899E-2</v>
      </c>
      <c r="BC39">
        <v>0.49308723451995601</v>
      </c>
      <c r="BD39">
        <v>-0.108320069570505</v>
      </c>
      <c r="BE39">
        <v>1.10035716358986E-2</v>
      </c>
      <c r="BF39">
        <v>-8.8714214245043596E-2</v>
      </c>
      <c r="BG39">
        <v>-0.26546156821810402</v>
      </c>
      <c r="BH39">
        <v>0.266730396355499</v>
      </c>
      <c r="BI39">
        <v>-6.8173112324546495E-2</v>
      </c>
      <c r="BJ39">
        <v>0.55696725078846898</v>
      </c>
      <c r="BK39">
        <v>0.28996392843893898</v>
      </c>
      <c r="BL39">
        <v>-0.13292897430612199</v>
      </c>
      <c r="BM39">
        <v>-0.20444616400622101</v>
      </c>
      <c r="BN39">
        <v>0.177542912025484</v>
      </c>
      <c r="BO39">
        <v>-2.3119005839246998E-3</v>
      </c>
      <c r="BP39">
        <v>-0.26546156821810402</v>
      </c>
      <c r="BQ39">
        <v>0.210539447852436</v>
      </c>
      <c r="BR39">
        <v>8.8539317669179607E-2</v>
      </c>
      <c r="BS39">
        <v>6.70453785639364E-2</v>
      </c>
      <c r="BT39">
        <v>-5.0733392328601898E-2</v>
      </c>
      <c r="BU39">
        <v>3.8807006065380699E-2</v>
      </c>
      <c r="BV39">
        <v>-0.26546156821810402</v>
      </c>
      <c r="BW39">
        <v>7.1568745968486697E-2</v>
      </c>
      <c r="BX39">
        <v>-0.26546156821810402</v>
      </c>
      <c r="BY39">
        <v>-0.16078027818382601</v>
      </c>
      <c r="BZ39">
        <v>8.0724122664145803E-2</v>
      </c>
      <c r="CA39">
        <v>-0.26546156821810402</v>
      </c>
      <c r="CB39">
        <v>0.170366800267964</v>
      </c>
      <c r="CC39">
        <v>-0.26546156821810402</v>
      </c>
      <c r="CD39">
        <v>-0.26546156821810402</v>
      </c>
      <c r="CE39">
        <v>3.75015659983415E-2</v>
      </c>
      <c r="CF39">
        <v>-0.16766447365138901</v>
      </c>
      <c r="CG39">
        <v>5.0972623332062601E-2</v>
      </c>
      <c r="CH39">
        <v>-0.16742348008573199</v>
      </c>
      <c r="CI39">
        <v>-6.0690735671486201E-3</v>
      </c>
      <c r="CJ39">
        <v>9.2908281747031293E-2</v>
      </c>
      <c r="CK39">
        <v>6.4960038423716795E-2</v>
      </c>
      <c r="CL39">
        <v>0.23538002292506699</v>
      </c>
      <c r="CM39">
        <v>-0.26546156821810402</v>
      </c>
      <c r="CN39">
        <v>-3.22134665154293E-2</v>
      </c>
      <c r="CO39">
        <v>0.42073631311014797</v>
      </c>
      <c r="CP39">
        <v>0.31283077917857799</v>
      </c>
      <c r="CQ39">
        <v>-7.4652035911436904E-2</v>
      </c>
      <c r="CR39">
        <v>-0.12331014623821999</v>
      </c>
      <c r="CS39">
        <v>-3.4934595978793101E-2</v>
      </c>
      <c r="CT39">
        <v>-0.26546156821810402</v>
      </c>
      <c r="CU39">
        <v>4.6863037457671002E-2</v>
      </c>
      <c r="CV39">
        <v>0.25855365771239303</v>
      </c>
      <c r="CW39">
        <v>5.7742544403011999E-2</v>
      </c>
      <c r="CX39">
        <v>3.5773107371582902E-2</v>
      </c>
      <c r="CY39">
        <v>-0.26546156821810402</v>
      </c>
      <c r="CZ39">
        <v>-0.26546156821810402</v>
      </c>
      <c r="DA39">
        <v>0.109689526199212</v>
      </c>
      <c r="DB39">
        <v>0.282694910529045</v>
      </c>
      <c r="DC39">
        <v>3.6519809690712203E-2</v>
      </c>
      <c r="DD39">
        <v>-0.26546156821810402</v>
      </c>
      <c r="DE39">
        <v>-0.26546156821810402</v>
      </c>
      <c r="DF39">
        <v>-0.110090796265261</v>
      </c>
      <c r="DG39">
        <v>3.7135798908159802E-2</v>
      </c>
      <c r="DH39">
        <v>0.38337846449325802</v>
      </c>
      <c r="DI39">
        <v>-0.26546156821810402</v>
      </c>
      <c r="DJ39">
        <v>1.44480441166039E-2</v>
      </c>
      <c r="DK39">
        <v>-5.0374953675391E-2</v>
      </c>
      <c r="DL39">
        <v>-0.133491366191414</v>
      </c>
    </row>
    <row r="40" spans="1:116" x14ac:dyDescent="0.25">
      <c r="A40" t="s">
        <v>267</v>
      </c>
      <c r="B40" t="s">
        <v>292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0.15020877549303599</v>
      </c>
      <c r="J40">
        <v>0.12605151357260699</v>
      </c>
      <c r="K40">
        <v>0</v>
      </c>
      <c r="L40">
        <v>0.13644971503762601</v>
      </c>
      <c r="M40">
        <v>8.0822371832055803E-2</v>
      </c>
      <c r="N40">
        <v>0</v>
      </c>
      <c r="O40">
        <v>0.122175707090292</v>
      </c>
      <c r="P40">
        <v>3.1817373913906898E-2</v>
      </c>
      <c r="Q40">
        <v>0.13399323957796799</v>
      </c>
      <c r="R40">
        <v>0</v>
      </c>
      <c r="S40">
        <v>3.9335128621015299E-2</v>
      </c>
      <c r="T40">
        <v>1.4093625091543001</v>
      </c>
      <c r="U40">
        <v>0.157248471536237</v>
      </c>
      <c r="V40">
        <v>0</v>
      </c>
      <c r="W40">
        <v>0</v>
      </c>
      <c r="X40">
        <v>0</v>
      </c>
      <c r="Y40">
        <v>0.33940822977996699</v>
      </c>
      <c r="Z40">
        <v>0</v>
      </c>
      <c r="AA40">
        <v>0.78036257759733896</v>
      </c>
      <c r="AB40">
        <v>0</v>
      </c>
      <c r="AC40">
        <v>0.39481292769787102</v>
      </c>
      <c r="AD40">
        <v>0.40210489606639599</v>
      </c>
      <c r="AE40">
        <v>0</v>
      </c>
      <c r="AF40">
        <v>0.50893036196711605</v>
      </c>
      <c r="AG40">
        <v>0.19606515521269</v>
      </c>
      <c r="AH40">
        <v>0</v>
      </c>
      <c r="AI40">
        <v>0.48416063694161399</v>
      </c>
      <c r="AJ40">
        <v>0.39338270823756899</v>
      </c>
      <c r="AK40">
        <v>0.12107996412071501</v>
      </c>
      <c r="AL40">
        <v>0.387377562884412</v>
      </c>
      <c r="AM40">
        <v>0.26976323640637601</v>
      </c>
      <c r="AN40">
        <v>0.45644118268973899</v>
      </c>
      <c r="AO40">
        <v>0</v>
      </c>
      <c r="AP40">
        <v>0.147774683442496</v>
      </c>
      <c r="AQ40">
        <v>0.12630357755430399</v>
      </c>
      <c r="AR40">
        <v>0</v>
      </c>
      <c r="AS40">
        <v>0</v>
      </c>
      <c r="AT40">
        <v>0</v>
      </c>
      <c r="AU40">
        <v>0</v>
      </c>
      <c r="AV40">
        <v>6.5774247597981103E-2</v>
      </c>
      <c r="AW40">
        <v>0.19665104976499501</v>
      </c>
      <c r="AX40">
        <v>0.129816326096446</v>
      </c>
      <c r="AY40">
        <v>0</v>
      </c>
      <c r="AZ40">
        <v>0.30726683386722697</v>
      </c>
      <c r="BA40">
        <v>0.307392536824667</v>
      </c>
      <c r="BB40">
        <v>0</v>
      </c>
      <c r="BC40">
        <v>0</v>
      </c>
      <c r="BD40">
        <v>0</v>
      </c>
      <c r="BE40">
        <v>0</v>
      </c>
      <c r="BF40">
        <v>0.17674735397305999</v>
      </c>
      <c r="BG40">
        <v>0</v>
      </c>
      <c r="BH40">
        <v>0</v>
      </c>
      <c r="BI40">
        <v>0.101570633658979</v>
      </c>
      <c r="BJ40">
        <v>0</v>
      </c>
      <c r="BK40">
        <v>0.26567443356095199</v>
      </c>
      <c r="BL40">
        <v>0</v>
      </c>
      <c r="BM40">
        <v>0.120053798067875</v>
      </c>
      <c r="BN40">
        <v>0.34277748545074499</v>
      </c>
      <c r="BO40">
        <v>0.32564352408612501</v>
      </c>
      <c r="BP40">
        <v>0.289421710183766</v>
      </c>
      <c r="BQ40">
        <v>0</v>
      </c>
      <c r="BR40">
        <v>0</v>
      </c>
      <c r="BS40">
        <v>0.290202118260177</v>
      </c>
      <c r="BT40">
        <v>0</v>
      </c>
      <c r="BU40">
        <v>0.24759857446455899</v>
      </c>
      <c r="BV40">
        <v>0</v>
      </c>
      <c r="BW40">
        <v>0</v>
      </c>
      <c r="BX40">
        <v>0.16663754083228799</v>
      </c>
      <c r="BY40">
        <v>0.28815075084059599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9.7797094566715606E-2</v>
      </c>
      <c r="CG40">
        <v>0.112478519005573</v>
      </c>
      <c r="CH40">
        <v>0</v>
      </c>
      <c r="CI40">
        <v>0</v>
      </c>
      <c r="CJ40">
        <v>0</v>
      </c>
      <c r="CK40">
        <v>0</v>
      </c>
      <c r="CL40">
        <v>0.139823774586291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0.15195116403984699</v>
      </c>
      <c r="CU40">
        <v>0.28254418288324201</v>
      </c>
      <c r="CV40">
        <v>0</v>
      </c>
      <c r="CW40">
        <v>0</v>
      </c>
      <c r="CX40">
        <v>0</v>
      </c>
      <c r="CY40">
        <v>0.243028700321296</v>
      </c>
      <c r="CZ40">
        <v>0.38663739424605698</v>
      </c>
      <c r="DA40">
        <v>9.1180390471606795E-2</v>
      </c>
      <c r="DB40">
        <v>0.20356000629849599</v>
      </c>
      <c r="DC40">
        <v>0</v>
      </c>
      <c r="DD40">
        <v>0</v>
      </c>
      <c r="DE40">
        <v>0.12744513736240801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0.21508661454271299</v>
      </c>
      <c r="DL40">
        <v>0.25393590542001898</v>
      </c>
    </row>
    <row r="41" spans="1:116" x14ac:dyDescent="0.25">
      <c r="A41" t="s">
        <v>267</v>
      </c>
      <c r="B41" t="s">
        <v>293</v>
      </c>
      <c r="C41">
        <v>0.12955643496165301</v>
      </c>
      <c r="D41">
        <v>0</v>
      </c>
      <c r="E41">
        <v>0</v>
      </c>
      <c r="F41">
        <v>0</v>
      </c>
      <c r="G41">
        <v>0</v>
      </c>
      <c r="H41">
        <v>0.11527825454096</v>
      </c>
      <c r="I41">
        <v>0</v>
      </c>
      <c r="J41">
        <v>0.12605151357260699</v>
      </c>
      <c r="K41">
        <v>0</v>
      </c>
      <c r="L41">
        <v>0.118153623874991</v>
      </c>
      <c r="M41">
        <v>8.0822371832055803E-2</v>
      </c>
      <c r="N41">
        <v>0.234483713529265</v>
      </c>
      <c r="O41">
        <v>4.1676723889446002E-2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0.44906364778213698</v>
      </c>
      <c r="AF41">
        <v>0</v>
      </c>
      <c r="AG41">
        <v>0</v>
      </c>
      <c r="AH41">
        <v>0.27247661734187301</v>
      </c>
      <c r="AI41">
        <v>8.3021341941576607E-2</v>
      </c>
      <c r="AJ41">
        <v>0.10727339594067101</v>
      </c>
      <c r="AK41">
        <v>0.12107996412071501</v>
      </c>
      <c r="AL41">
        <v>0</v>
      </c>
      <c r="AM41">
        <v>0.18500780223188901</v>
      </c>
      <c r="AN41">
        <v>0</v>
      </c>
      <c r="AO41">
        <v>0.11180871510773099</v>
      </c>
      <c r="AP41">
        <v>0.22849239404486199</v>
      </c>
      <c r="AQ41">
        <v>0.19602928603289499</v>
      </c>
      <c r="AR41">
        <v>0</v>
      </c>
      <c r="AS41">
        <v>6.5514919972178107E-2</v>
      </c>
      <c r="AT41">
        <v>0.201186007599752</v>
      </c>
      <c r="AU41">
        <v>0</v>
      </c>
      <c r="AV41">
        <v>6.5774247597981103E-2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0.15714149864759899</v>
      </c>
      <c r="BE41">
        <v>5.89017862828645E-2</v>
      </c>
      <c r="BF41">
        <v>0</v>
      </c>
      <c r="BG41">
        <v>0</v>
      </c>
      <c r="BH41">
        <v>0</v>
      </c>
      <c r="BI41">
        <v>0.101570633658979</v>
      </c>
      <c r="BJ41">
        <v>0.30349224264376001</v>
      </c>
      <c r="BK41">
        <v>0</v>
      </c>
      <c r="BL41">
        <v>0</v>
      </c>
      <c r="BM41">
        <v>6.1015404211883499E-2</v>
      </c>
      <c r="BN41">
        <v>0</v>
      </c>
      <c r="BO41">
        <v>0.32564352408612501</v>
      </c>
      <c r="BP41">
        <v>0</v>
      </c>
      <c r="BQ41">
        <v>0</v>
      </c>
      <c r="BR41">
        <v>0</v>
      </c>
      <c r="BS41">
        <v>0</v>
      </c>
      <c r="BT41">
        <v>0.27338253115711802</v>
      </c>
      <c r="BU41">
        <v>0</v>
      </c>
      <c r="BV41">
        <v>0</v>
      </c>
      <c r="BW41">
        <v>0</v>
      </c>
      <c r="BX41">
        <v>0</v>
      </c>
      <c r="BY41">
        <v>0.131148567779208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0.112478519005573</v>
      </c>
      <c r="CH41">
        <v>0</v>
      </c>
      <c r="CI41">
        <v>0.46061287424797098</v>
      </c>
      <c r="CJ41">
        <v>0</v>
      </c>
      <c r="CK41">
        <v>0</v>
      </c>
      <c r="CL41">
        <v>0.139823774586291</v>
      </c>
      <c r="CM41">
        <v>0</v>
      </c>
      <c r="CN41">
        <v>0</v>
      </c>
      <c r="CO41">
        <v>0</v>
      </c>
      <c r="CP41">
        <v>0.217657136201276</v>
      </c>
      <c r="CQ41">
        <v>0</v>
      </c>
      <c r="CR41">
        <v>0</v>
      </c>
      <c r="CS41">
        <v>0</v>
      </c>
      <c r="CT41">
        <v>0</v>
      </c>
      <c r="CU41">
        <v>8.3854964584748407E-2</v>
      </c>
      <c r="CV41">
        <v>0</v>
      </c>
      <c r="CW41">
        <v>0.11524009059738601</v>
      </c>
      <c r="CX41">
        <v>0.162389938902049</v>
      </c>
      <c r="CY41">
        <v>0</v>
      </c>
      <c r="CZ41">
        <v>0</v>
      </c>
      <c r="DA41">
        <v>4.6235909720434197E-2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25">
      <c r="A42" t="s">
        <v>267</v>
      </c>
      <c r="B42" t="s">
        <v>294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0.122175707090292</v>
      </c>
      <c r="P42">
        <v>0</v>
      </c>
      <c r="Q42">
        <v>0</v>
      </c>
      <c r="R42">
        <v>0</v>
      </c>
      <c r="S42">
        <v>0</v>
      </c>
      <c r="T42">
        <v>0</v>
      </c>
      <c r="U42">
        <v>0.100946758520419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0.29651911787012702</v>
      </c>
      <c r="AC42">
        <v>0.39481292769787102</v>
      </c>
      <c r="AD42">
        <v>0</v>
      </c>
      <c r="AE42">
        <v>0</v>
      </c>
      <c r="AF42">
        <v>0</v>
      </c>
      <c r="AG42">
        <v>6.8133163872492603E-2</v>
      </c>
      <c r="AH42">
        <v>0</v>
      </c>
      <c r="AI42">
        <v>0</v>
      </c>
      <c r="AJ42">
        <v>0.10727339594067101</v>
      </c>
      <c r="AK42">
        <v>6.1682740859679203E-2</v>
      </c>
      <c r="AL42">
        <v>0</v>
      </c>
      <c r="AM42">
        <v>0.18500780223188901</v>
      </c>
      <c r="AN42">
        <v>0</v>
      </c>
      <c r="AO42">
        <v>0.11180871510773099</v>
      </c>
      <c r="AP42">
        <v>0</v>
      </c>
      <c r="AQ42">
        <v>0</v>
      </c>
      <c r="AR42">
        <v>0.10588446292406301</v>
      </c>
      <c r="AS42">
        <v>0</v>
      </c>
      <c r="AT42">
        <v>0</v>
      </c>
      <c r="AU42">
        <v>0</v>
      </c>
      <c r="AV42">
        <v>3.3221521174110202E-2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5.89017862828645E-2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0.183758680655743</v>
      </c>
      <c r="BT42">
        <v>0</v>
      </c>
      <c r="BU42">
        <v>6.5376085939164497E-2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9.7797094566715606E-2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0.43147311217744599</v>
      </c>
      <c r="CT42">
        <v>0</v>
      </c>
      <c r="CU42">
        <v>8.3854964584748407E-2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4.6235909720434197E-2</v>
      </c>
      <c r="DB42">
        <v>0</v>
      </c>
      <c r="DC42">
        <v>0.30198137790881602</v>
      </c>
      <c r="DD42">
        <v>0</v>
      </c>
      <c r="DE42">
        <v>0</v>
      </c>
      <c r="DF42">
        <v>7.9492793924937993E-2</v>
      </c>
      <c r="DG42">
        <v>0</v>
      </c>
      <c r="DH42">
        <v>0</v>
      </c>
      <c r="DI42">
        <v>0</v>
      </c>
      <c r="DJ42">
        <v>9.8181958951384596E-2</v>
      </c>
      <c r="DK42">
        <v>0.26683965145417798</v>
      </c>
      <c r="DL42">
        <v>0</v>
      </c>
    </row>
    <row r="43" spans="1:116" x14ac:dyDescent="0.25">
      <c r="A43" t="s">
        <v>267</v>
      </c>
      <c r="B43" t="s">
        <v>295</v>
      </c>
      <c r="C43">
        <v>-0.17103554785715699</v>
      </c>
      <c r="D43">
        <v>0.26426238429740201</v>
      </c>
      <c r="E43">
        <v>-5.0270479670676597E-2</v>
      </c>
      <c r="F43">
        <v>5.1244290953223401E-2</v>
      </c>
      <c r="G43">
        <v>-4.0412172186172997E-2</v>
      </c>
      <c r="H43">
        <v>-9.3401177248400504E-4</v>
      </c>
      <c r="I43">
        <v>0.116395917024922</v>
      </c>
      <c r="J43">
        <v>1.45930244308122E-2</v>
      </c>
      <c r="K43">
        <v>-1.3786075753404301E-2</v>
      </c>
      <c r="L43">
        <v>-7.8974044930817E-2</v>
      </c>
      <c r="M43">
        <v>0.10347974945597101</v>
      </c>
      <c r="N43">
        <v>6.3448165672108203E-2</v>
      </c>
      <c r="O43">
        <v>-4.8859840766864601E-2</v>
      </c>
      <c r="P43">
        <v>0.14003645973849699</v>
      </c>
      <c r="Q43">
        <v>2.5999769117598201E-2</v>
      </c>
      <c r="R43">
        <v>-0.17103554785715699</v>
      </c>
      <c r="S43">
        <v>-1.89457540590342E-2</v>
      </c>
      <c r="T43">
        <v>-0.17103554785715699</v>
      </c>
      <c r="U43">
        <v>2.5029213572259498E-2</v>
      </c>
      <c r="V43">
        <v>-0.17103554785715699</v>
      </c>
      <c r="W43">
        <v>-0.17103554785715699</v>
      </c>
      <c r="X43">
        <v>0.58007852503027302</v>
      </c>
      <c r="Y43">
        <v>-0.17103554785715699</v>
      </c>
      <c r="Z43">
        <v>-0.17103554785715699</v>
      </c>
      <c r="AA43">
        <v>-0.17103554785715699</v>
      </c>
      <c r="AB43">
        <v>-0.17103554785715699</v>
      </c>
      <c r="AC43">
        <v>-0.17103554785715699</v>
      </c>
      <c r="AD43">
        <v>-0.17103554785715699</v>
      </c>
      <c r="AE43">
        <v>0.27802809992498101</v>
      </c>
      <c r="AF43">
        <v>0.417586302890813</v>
      </c>
      <c r="AG43">
        <v>-0.102902383984664</v>
      </c>
      <c r="AH43">
        <v>0.101441069484716</v>
      </c>
      <c r="AI43">
        <v>0.339526707745613</v>
      </c>
      <c r="AJ43">
        <v>3.7057531264967997E-2</v>
      </c>
      <c r="AK43">
        <v>1.16584764196903</v>
      </c>
      <c r="AL43">
        <v>0.34424325208412698</v>
      </c>
      <c r="AM43">
        <v>-7.5736568691169404E-2</v>
      </c>
      <c r="AN43">
        <v>0.14776118886485101</v>
      </c>
      <c r="AO43">
        <v>4.5453511671257003E-2</v>
      </c>
      <c r="AP43">
        <v>-0.17103554785715699</v>
      </c>
      <c r="AQ43">
        <v>0.39987452067148599</v>
      </c>
      <c r="AR43">
        <v>-6.2830085193929398E-3</v>
      </c>
      <c r="AS43">
        <v>-0.17103554785715699</v>
      </c>
      <c r="AT43">
        <v>0.20886932115319701</v>
      </c>
      <c r="AU43">
        <v>0.248853474937339</v>
      </c>
      <c r="AV43">
        <v>-7.3349425383635605E-2</v>
      </c>
      <c r="AW43">
        <v>-0.17103554785715699</v>
      </c>
      <c r="AX43">
        <v>0.292259728891404</v>
      </c>
      <c r="AY43">
        <v>0.66885344588546303</v>
      </c>
      <c r="AZ43">
        <v>0.25525700806856999</v>
      </c>
      <c r="BA43">
        <v>0.13635698896751</v>
      </c>
      <c r="BB43">
        <v>0.279862216022504</v>
      </c>
      <c r="BC43">
        <v>0.26593724323992701</v>
      </c>
      <c r="BD43">
        <v>-0.17103554785715699</v>
      </c>
      <c r="BE43">
        <v>-0.112133761574292</v>
      </c>
      <c r="BF43">
        <v>0.16572201363678701</v>
      </c>
      <c r="BG43">
        <v>-0.17103554785715699</v>
      </c>
      <c r="BH43">
        <v>0.16269361977070201</v>
      </c>
      <c r="BI43">
        <v>2.62529080364012E-2</v>
      </c>
      <c r="BJ43">
        <v>-4.7213593466996703E-2</v>
      </c>
      <c r="BK43">
        <v>9.3340747734325404E-4</v>
      </c>
      <c r="BL43">
        <v>7.1761989039655194E-2</v>
      </c>
      <c r="BM43">
        <v>-5.0981749789281397E-2</v>
      </c>
      <c r="BN43">
        <v>-4.8708868107044501E-2</v>
      </c>
      <c r="BO43">
        <v>-0.17103554785715699</v>
      </c>
      <c r="BP43">
        <v>0.11838616232661001</v>
      </c>
      <c r="BQ43">
        <v>-3.8511931995569897E-2</v>
      </c>
      <c r="BR43">
        <v>1.51885167368923E-2</v>
      </c>
      <c r="BS43">
        <v>1.2723132798587101E-2</v>
      </c>
      <c r="BT43">
        <v>0.37942478893140502</v>
      </c>
      <c r="BU43">
        <v>-0.105659461917992</v>
      </c>
      <c r="BV43">
        <v>-3.5938877163076803E-2</v>
      </c>
      <c r="BW43">
        <v>-0.17103554785715699</v>
      </c>
      <c r="BX43">
        <v>-0.17103554785715699</v>
      </c>
      <c r="BY43">
        <v>-6.6354257822878807E-2</v>
      </c>
      <c r="BZ43">
        <v>0.17515014302509399</v>
      </c>
      <c r="CA43">
        <v>0.283569341501276</v>
      </c>
      <c r="CB43">
        <v>-2.7075338950953501E-2</v>
      </c>
      <c r="CC43">
        <v>7.0763549569909804E-3</v>
      </c>
      <c r="CD43">
        <v>0.288330228822825</v>
      </c>
      <c r="CE43">
        <v>-4.7022432387544597E-2</v>
      </c>
      <c r="CF43">
        <v>-0.17103554785715699</v>
      </c>
      <c r="CG43">
        <v>-5.8557028851583398E-2</v>
      </c>
      <c r="CH43">
        <v>-2.59331331369963E-2</v>
      </c>
      <c r="CI43">
        <v>-0.17103554785715699</v>
      </c>
      <c r="CJ43">
        <v>-4.24196901432108E-2</v>
      </c>
      <c r="CK43">
        <v>2.84365491595719E-3</v>
      </c>
      <c r="CL43">
        <v>0.137353754995998</v>
      </c>
      <c r="CM43">
        <v>-0.17103554785715699</v>
      </c>
      <c r="CN43">
        <v>6.2212553845518402E-2</v>
      </c>
      <c r="CO43">
        <v>-0.17103554785715699</v>
      </c>
      <c r="CP43">
        <v>4.66215883441191E-2</v>
      </c>
      <c r="CQ43">
        <v>0.425037148695106</v>
      </c>
      <c r="CR43">
        <v>0.101757567247709</v>
      </c>
      <c r="CS43">
        <v>-0.17103554785715699</v>
      </c>
      <c r="CT43">
        <v>-1.90843838173093E-2</v>
      </c>
      <c r="CU43">
        <v>0.79278725769854796</v>
      </c>
      <c r="CV43">
        <v>-0.17103554785715699</v>
      </c>
      <c r="CW43">
        <v>-5.5795457259770399E-2</v>
      </c>
      <c r="CX43">
        <v>0.97884256216122301</v>
      </c>
      <c r="CY43">
        <v>0.28134134029082403</v>
      </c>
      <c r="CZ43">
        <v>1.46254104622596</v>
      </c>
      <c r="DA43">
        <v>6.4495929811409303E-3</v>
      </c>
      <c r="DB43">
        <v>-0.17103554785715699</v>
      </c>
      <c r="DC43">
        <v>0.13094583005165999</v>
      </c>
      <c r="DD43">
        <v>-0.17103554785715699</v>
      </c>
      <c r="DE43">
        <v>-2.3955908127202202E-2</v>
      </c>
      <c r="DF43">
        <v>-9.1542753932218696E-2</v>
      </c>
      <c r="DG43">
        <v>-0.17103554785715699</v>
      </c>
      <c r="DH43">
        <v>0.14501650461843399</v>
      </c>
      <c r="DI43">
        <v>-0.17103554785715699</v>
      </c>
      <c r="DJ43">
        <v>2.0264826487616999E-2</v>
      </c>
      <c r="DK43">
        <v>1.3208505897204199</v>
      </c>
      <c r="DL43">
        <v>1.16966860816401</v>
      </c>
    </row>
    <row r="44" spans="1:116" x14ac:dyDescent="0.25">
      <c r="A44" t="s">
        <v>267</v>
      </c>
      <c r="B44" t="s">
        <v>297</v>
      </c>
      <c r="C44">
        <v>0.13806203055372199</v>
      </c>
      <c r="D44">
        <v>0.14950183234974501</v>
      </c>
      <c r="E44">
        <v>-0.101967120704947</v>
      </c>
      <c r="F44">
        <v>-0.15768958873576899</v>
      </c>
      <c r="G44">
        <v>-9.2108813220443495E-2</v>
      </c>
      <c r="H44">
        <v>-0.16410834605445401</v>
      </c>
      <c r="I44">
        <v>-7.2523413398390801E-2</v>
      </c>
      <c r="J44">
        <v>5.3143521135388803E-2</v>
      </c>
      <c r="K44">
        <v>-6.5482716787674797E-2</v>
      </c>
      <c r="L44">
        <v>-0.14940555541544601</v>
      </c>
      <c r="M44">
        <v>-0.141909817059371</v>
      </c>
      <c r="N44">
        <v>1.17515246378376E-2</v>
      </c>
      <c r="O44">
        <v>-0.181055465001981</v>
      </c>
      <c r="P44">
        <v>-0.12894721764847</v>
      </c>
      <c r="Q44">
        <v>-8.8738949313459395E-2</v>
      </c>
      <c r="R44">
        <v>-0.22273218889142701</v>
      </c>
      <c r="S44">
        <v>-0.183397060270412</v>
      </c>
      <c r="T44">
        <v>-0.22273218889142701</v>
      </c>
      <c r="U44">
        <v>-0.22273218889142701</v>
      </c>
      <c r="V44">
        <v>0.46148827880106602</v>
      </c>
      <c r="W44">
        <v>-0.22273218889142701</v>
      </c>
      <c r="X44">
        <v>0.52838188399600206</v>
      </c>
      <c r="Y44">
        <v>-0.22273218889142701</v>
      </c>
      <c r="Z44">
        <v>-0.22273218889142701</v>
      </c>
      <c r="AA44">
        <v>-0.22273218889142701</v>
      </c>
      <c r="AB44">
        <v>-0.22273218889142701</v>
      </c>
      <c r="AC44">
        <v>0.17208073880644301</v>
      </c>
      <c r="AD44">
        <v>-8.7729775194705806E-3</v>
      </c>
      <c r="AE44">
        <v>0.22633145889070999</v>
      </c>
      <c r="AF44">
        <v>0.39091080274593898</v>
      </c>
      <c r="AG44">
        <v>3.3580338930203797E-2</v>
      </c>
      <c r="AH44">
        <v>-0.22273218889142701</v>
      </c>
      <c r="AI44">
        <v>-0.13971084694985</v>
      </c>
      <c r="AJ44">
        <v>8.0513555811860094E-2</v>
      </c>
      <c r="AK44">
        <v>-0.161049448031748</v>
      </c>
      <c r="AL44">
        <v>-6.1508849836639103E-2</v>
      </c>
      <c r="AM44">
        <v>4.70310475149485E-2</v>
      </c>
      <c r="AN44">
        <v>-5.5065135786961497E-2</v>
      </c>
      <c r="AO44">
        <v>-0.22273218889142701</v>
      </c>
      <c r="AP44">
        <v>0.18636678683881999</v>
      </c>
      <c r="AQ44">
        <v>-0.22273218889142701</v>
      </c>
      <c r="AR44">
        <v>-1.7468997436712499E-2</v>
      </c>
      <c r="AS44">
        <v>-0.157217268919249</v>
      </c>
      <c r="AT44">
        <v>0.15717268011892699</v>
      </c>
      <c r="AU44">
        <v>-0.22273218889142701</v>
      </c>
      <c r="AV44">
        <v>-0.15695794129344601</v>
      </c>
      <c r="AW44">
        <v>-0.22273218889142701</v>
      </c>
      <c r="AX44">
        <v>2.6595305170074999E-2</v>
      </c>
      <c r="AY44">
        <v>-0.22273218889142701</v>
      </c>
      <c r="AZ44">
        <v>-0.14047732879993199</v>
      </c>
      <c r="BA44">
        <v>0.73709799990970504</v>
      </c>
      <c r="BB44">
        <v>8.6469132476948096E-2</v>
      </c>
      <c r="BC44">
        <v>0.12548267810959499</v>
      </c>
      <c r="BD44">
        <v>0.58187246373085799</v>
      </c>
      <c r="BE44">
        <v>-2.02006683357728E-2</v>
      </c>
      <c r="BF44">
        <v>0.389427553670874</v>
      </c>
      <c r="BG44">
        <v>-0.22273218889142701</v>
      </c>
      <c r="BH44">
        <v>4.3483100918849597E-2</v>
      </c>
      <c r="BI44">
        <v>0.23287538375333899</v>
      </c>
      <c r="BJ44">
        <v>8.07600537523325E-2</v>
      </c>
      <c r="BK44">
        <v>0.30453978261470099</v>
      </c>
      <c r="BL44">
        <v>9.3979118065594003E-2</v>
      </c>
      <c r="BM44">
        <v>-1.28181357802817E-2</v>
      </c>
      <c r="BN44">
        <v>0.27626941768766</v>
      </c>
      <c r="BO44">
        <v>-5.1866125877429503E-2</v>
      </c>
      <c r="BP44">
        <v>6.6689521292339002E-2</v>
      </c>
      <c r="BQ44">
        <v>3.23692015698296E-2</v>
      </c>
      <c r="BR44">
        <v>6.3619042773102694E-2</v>
      </c>
      <c r="BS44">
        <v>0.38833380692205399</v>
      </c>
      <c r="BT44">
        <v>-0.22273218889142701</v>
      </c>
      <c r="BU44">
        <v>0.176714512805352</v>
      </c>
      <c r="BV44">
        <v>-0.22273218889142701</v>
      </c>
      <c r="BW44">
        <v>-4.55607807872467E-2</v>
      </c>
      <c r="BX44">
        <v>0.17048433496708601</v>
      </c>
      <c r="BY44">
        <v>6.2059789058433196E-3</v>
      </c>
      <c r="BZ44">
        <v>5.7307344704652201E-2</v>
      </c>
      <c r="CA44">
        <v>-0.22273218889142701</v>
      </c>
      <c r="CB44">
        <v>-7.8771979985224103E-2</v>
      </c>
      <c r="CC44">
        <v>0.591003593434827</v>
      </c>
      <c r="CD44">
        <v>-0.22273218889142701</v>
      </c>
      <c r="CE44">
        <v>1.64522904386524E-2</v>
      </c>
      <c r="CF44">
        <v>-3.2684953137961201E-2</v>
      </c>
      <c r="CG44">
        <v>9.3702002658739597E-2</v>
      </c>
      <c r="CH44">
        <v>-0.124694100759054</v>
      </c>
      <c r="CI44">
        <v>9.8267489602326299E-2</v>
      </c>
      <c r="CJ44">
        <v>-9.4116331177481194E-2</v>
      </c>
      <c r="CK44">
        <v>0.10768941775039401</v>
      </c>
      <c r="CL44">
        <v>-6.2327902719046804E-3</v>
      </c>
      <c r="CM44">
        <v>-9.3293801177344204E-2</v>
      </c>
      <c r="CN44">
        <v>-0.22273218889142701</v>
      </c>
      <c r="CO44">
        <v>0.33186253302369301</v>
      </c>
      <c r="CP44">
        <v>0.95193011179900799</v>
      </c>
      <c r="CQ44">
        <v>0.94535821935157205</v>
      </c>
      <c r="CR44">
        <v>1.9768831427870199</v>
      </c>
      <c r="CS44">
        <v>1.22675644115866</v>
      </c>
      <c r="CT44">
        <v>0.37936107598026603</v>
      </c>
      <c r="CU44">
        <v>1.18512639726297</v>
      </c>
      <c r="CV44">
        <v>0.69990571990214101</v>
      </c>
      <c r="CW44">
        <v>-0.10749209829404099</v>
      </c>
      <c r="CX44">
        <v>0.110509168402224</v>
      </c>
      <c r="CY44">
        <v>2.0296511429869098E-2</v>
      </c>
      <c r="CZ44">
        <v>-0.22273218889142701</v>
      </c>
      <c r="DA44">
        <v>0.18925292937567101</v>
      </c>
      <c r="DB44">
        <v>0.16197460503995301</v>
      </c>
      <c r="DC44">
        <v>0.84994573676527796</v>
      </c>
      <c r="DD44">
        <v>-0.22273218889142701</v>
      </c>
      <c r="DE44">
        <v>-9.5287051529018604E-2</v>
      </c>
      <c r="DF44">
        <v>-0.14323939496648899</v>
      </c>
      <c r="DG44">
        <v>0.33228836644214299</v>
      </c>
      <c r="DH44">
        <v>0.17492790330443</v>
      </c>
      <c r="DI44">
        <v>3.2924298113009801E-2</v>
      </c>
      <c r="DJ44">
        <v>-0.124550229940043</v>
      </c>
      <c r="DK44">
        <v>1.0627719999532601</v>
      </c>
      <c r="DL44">
        <v>0.665964099654338</v>
      </c>
    </row>
    <row r="45" spans="1:116" x14ac:dyDescent="0.25">
      <c r="A45" t="s">
        <v>267</v>
      </c>
      <c r="B45" t="s">
        <v>300</v>
      </c>
      <c r="C45">
        <v>0.244725838101855</v>
      </c>
      <c r="D45">
        <v>-7.7411505350238798E-4</v>
      </c>
      <c r="E45">
        <v>6.3133770704427494E-2</v>
      </c>
      <c r="F45">
        <v>0.14614340858943101</v>
      </c>
      <c r="G45">
        <v>9.6085140038389694E-2</v>
      </c>
      <c r="H45">
        <v>5.56089943227056E-2</v>
      </c>
      <c r="I45">
        <v>-0.373008136294674</v>
      </c>
      <c r="J45">
        <v>0.35779621151379298</v>
      </c>
      <c r="K45">
        <v>4.8920923728502297E-3</v>
      </c>
      <c r="L45">
        <v>0.32263635168624999</v>
      </c>
      <c r="M45">
        <v>-6.9199358349858506E-2</v>
      </c>
      <c r="N45">
        <v>0.243007391716656</v>
      </c>
      <c r="O45">
        <v>0.39680898395922198</v>
      </c>
      <c r="P45">
        <v>0.40768047788038098</v>
      </c>
      <c r="Q45">
        <v>0.15845329980248299</v>
      </c>
      <c r="R45">
        <v>0.44151766947598697</v>
      </c>
      <c r="S45">
        <v>0.68632821414259504</v>
      </c>
      <c r="T45">
        <v>0.16873590061567001</v>
      </c>
      <c r="U45">
        <v>0.314473561251778</v>
      </c>
      <c r="V45">
        <v>-0.373008136294674</v>
      </c>
      <c r="W45">
        <v>-0.373008136294674</v>
      </c>
      <c r="X45">
        <v>0.167291408489459</v>
      </c>
      <c r="Y45">
        <v>0.47455090161973401</v>
      </c>
      <c r="Z45">
        <v>-0.373008136294674</v>
      </c>
      <c r="AA45">
        <v>0.68492722227520797</v>
      </c>
      <c r="AB45">
        <v>0.17142348458353601</v>
      </c>
      <c r="AC45">
        <v>0.49197014148991502</v>
      </c>
      <c r="AD45">
        <v>0.43194566821510599</v>
      </c>
      <c r="AE45">
        <v>0.84468666993826502</v>
      </c>
      <c r="AF45">
        <v>0.33874836661181101</v>
      </c>
      <c r="AG45">
        <v>0.203301005414807</v>
      </c>
      <c r="AH45">
        <v>0.66654757172179402</v>
      </c>
      <c r="AI45">
        <v>0.42819409697036798</v>
      </c>
      <c r="AJ45">
        <v>0.18769850064826099</v>
      </c>
      <c r="AK45">
        <v>0.33754485563324099</v>
      </c>
      <c r="AL45">
        <v>0.64136281337985201</v>
      </c>
      <c r="AM45">
        <v>0.38760352003118198</v>
      </c>
      <c r="AN45">
        <v>-0.205341083190209</v>
      </c>
      <c r="AO45">
        <v>-9.8219430764173901E-2</v>
      </c>
      <c r="AP45">
        <v>-8.9514794106224801E-2</v>
      </c>
      <c r="AQ45">
        <v>-0.12918484013890999</v>
      </c>
      <c r="AR45">
        <v>-7.4076919256857804E-2</v>
      </c>
      <c r="AS45">
        <v>7.0465982771814206E-2</v>
      </c>
      <c r="AT45">
        <v>0.63223164234972395</v>
      </c>
      <c r="AU45">
        <v>-0.14861025719481399</v>
      </c>
      <c r="AV45">
        <v>0.16967733900232801</v>
      </c>
      <c r="AW45">
        <v>0.15326856825624899</v>
      </c>
      <c r="AX45">
        <v>9.0287140453885806E-2</v>
      </c>
      <c r="AY45">
        <v>0.466880857447946</v>
      </c>
      <c r="AZ45">
        <v>0.34423503631151298</v>
      </c>
      <c r="BA45">
        <v>-0.13033598108849301</v>
      </c>
      <c r="BB45">
        <v>-0.16023651424455401</v>
      </c>
      <c r="BC45">
        <v>-0.373008136294674</v>
      </c>
      <c r="BD45">
        <v>7.7947298376836198E-3</v>
      </c>
      <c r="BE45">
        <v>-0.31410635001180998</v>
      </c>
      <c r="BF45">
        <v>-0.11438046535676601</v>
      </c>
      <c r="BG45">
        <v>-0.373008136294674</v>
      </c>
      <c r="BH45">
        <v>-0.21945411590907801</v>
      </c>
      <c r="BI45">
        <v>7.7369990495021902E-4</v>
      </c>
      <c r="BJ45">
        <v>0.13378846869898101</v>
      </c>
      <c r="BK45">
        <v>0.23756697162700799</v>
      </c>
      <c r="BL45">
        <v>-0.130210599397863</v>
      </c>
      <c r="BM45">
        <v>-5.5550865619009702E-2</v>
      </c>
      <c r="BN45">
        <v>-0.13681019587568199</v>
      </c>
      <c r="BO45">
        <v>-0.20214207328067699</v>
      </c>
      <c r="BP45">
        <v>-8.3586426110908496E-2</v>
      </c>
      <c r="BQ45">
        <v>-0.24048452043308799</v>
      </c>
      <c r="BR45">
        <v>-0.186784071700626</v>
      </c>
      <c r="BS45">
        <v>-0.14426195454270699</v>
      </c>
      <c r="BT45">
        <v>0.117944968579691</v>
      </c>
      <c r="BU45">
        <v>3.9328474236269201E-2</v>
      </c>
      <c r="BV45">
        <v>-0.112770348633456</v>
      </c>
      <c r="BW45">
        <v>-0.373008136294674</v>
      </c>
      <c r="BX45">
        <v>-9.6886963196597901E-3</v>
      </c>
      <c r="BY45">
        <v>8.2661644288748504E-2</v>
      </c>
      <c r="BZ45">
        <v>-2.6822445412424401E-2</v>
      </c>
      <c r="CA45">
        <v>-0.373008136294674</v>
      </c>
      <c r="CB45">
        <v>-9.6895696267208606E-2</v>
      </c>
      <c r="CC45">
        <v>0.112145764979742</v>
      </c>
      <c r="CD45">
        <v>-5.4171813514231101E-2</v>
      </c>
      <c r="CE45">
        <v>-2.6253298225274901E-2</v>
      </c>
      <c r="CF45">
        <v>3.3986775781911401E-2</v>
      </c>
      <c r="CG45">
        <v>-0.15536575782422499</v>
      </c>
      <c r="CH45">
        <v>-6.8612450868035899E-2</v>
      </c>
      <c r="CI45">
        <v>0.61150225958124005</v>
      </c>
      <c r="CJ45">
        <v>-0.24439227858072901</v>
      </c>
      <c r="CK45">
        <v>-0.373008136294674</v>
      </c>
      <c r="CL45">
        <v>-0.373008136294674</v>
      </c>
      <c r="CM45">
        <v>-1.17540876237136E-2</v>
      </c>
      <c r="CN45">
        <v>-0.13976003459199901</v>
      </c>
      <c r="CO45">
        <v>0.31318974503357799</v>
      </c>
      <c r="CP45">
        <v>-0.155351000093399</v>
      </c>
      <c r="CQ45">
        <v>-0.182198603988007</v>
      </c>
      <c r="CR45">
        <v>2.07327226735665E-2</v>
      </c>
      <c r="CS45">
        <v>-0.373008136294674</v>
      </c>
      <c r="CT45">
        <v>-0.373008136294674</v>
      </c>
      <c r="CU45">
        <v>0.17658277404715</v>
      </c>
      <c r="CV45">
        <v>-2.35615375957486E-2</v>
      </c>
      <c r="CW45">
        <v>0.37607093957550602</v>
      </c>
      <c r="CX45">
        <v>5.1933424820696399E-2</v>
      </c>
      <c r="CY45">
        <v>-0.373008136294674</v>
      </c>
      <c r="CZ45">
        <v>0.80001421165244702</v>
      </c>
      <c r="DA45">
        <v>-0.373008136294674</v>
      </c>
      <c r="DB45">
        <v>-0.169448129996178</v>
      </c>
      <c r="DC45">
        <v>0.18276768023246301</v>
      </c>
      <c r="DD45">
        <v>-0.373008136294674</v>
      </c>
      <c r="DE45">
        <v>-6.4712972307185396E-2</v>
      </c>
      <c r="DF45">
        <v>-0.29351534236973698</v>
      </c>
      <c r="DG45">
        <v>-0.373008136294674</v>
      </c>
      <c r="DH45">
        <v>2.4651955901182201E-2</v>
      </c>
      <c r="DI45">
        <v>-0.24015562001318499</v>
      </c>
      <c r="DJ45">
        <v>0.60709959426763804</v>
      </c>
      <c r="DK45">
        <v>-0.23389359477065</v>
      </c>
      <c r="DL45">
        <v>-5.6277629312515703E-3</v>
      </c>
    </row>
    <row r="46" spans="1:116" x14ac:dyDescent="0.25">
      <c r="A46" t="s">
        <v>267</v>
      </c>
      <c r="B46" t="s">
        <v>304</v>
      </c>
      <c r="C46">
        <v>0</v>
      </c>
      <c r="D46">
        <v>0.25799967447002098</v>
      </c>
      <c r="E46">
        <v>0</v>
      </c>
      <c r="F46">
        <v>6.5042600155658103E-2</v>
      </c>
      <c r="G46">
        <v>0</v>
      </c>
      <c r="H46">
        <v>0.201372396514617</v>
      </c>
      <c r="I46">
        <v>0</v>
      </c>
      <c r="J46">
        <v>6.4237856559453299E-2</v>
      </c>
      <c r="K46">
        <v>0</v>
      </c>
      <c r="L46">
        <v>0</v>
      </c>
      <c r="M46">
        <v>8.0822371832055803E-2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0.29464006499314199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0.11065985001930601</v>
      </c>
      <c r="AE46">
        <v>0</v>
      </c>
      <c r="AF46">
        <v>0</v>
      </c>
      <c r="AG46">
        <v>6.8133163872492603E-2</v>
      </c>
      <c r="AH46">
        <v>0</v>
      </c>
      <c r="AI46">
        <v>0</v>
      </c>
      <c r="AJ46">
        <v>0</v>
      </c>
      <c r="AK46">
        <v>6.1682740859679203E-2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0.24382329615576501</v>
      </c>
      <c r="AR46">
        <v>0.10588446292406301</v>
      </c>
      <c r="AS46">
        <v>6.5514919972178107E-2</v>
      </c>
      <c r="AT46">
        <v>0.201186007599752</v>
      </c>
      <c r="AU46">
        <v>0</v>
      </c>
      <c r="AV46">
        <v>0</v>
      </c>
      <c r="AW46">
        <v>0.19665104976499501</v>
      </c>
      <c r="AX46">
        <v>0.129816326096446</v>
      </c>
      <c r="AY46">
        <v>0.83988899374262005</v>
      </c>
      <c r="AZ46">
        <v>0</v>
      </c>
      <c r="BA46">
        <v>0</v>
      </c>
      <c r="BB46">
        <v>0</v>
      </c>
      <c r="BC46">
        <v>0.18380778093133299</v>
      </c>
      <c r="BD46">
        <v>0</v>
      </c>
      <c r="BE46">
        <v>0</v>
      </c>
      <c r="BF46">
        <v>9.0700995247064903E-2</v>
      </c>
      <c r="BG46">
        <v>0</v>
      </c>
      <c r="BH46">
        <v>7.84986768135741E-2</v>
      </c>
      <c r="BI46">
        <v>0</v>
      </c>
      <c r="BJ46">
        <v>0</v>
      </c>
      <c r="BK46">
        <v>0</v>
      </c>
      <c r="BL46">
        <v>8.4806986430203804E-2</v>
      </c>
      <c r="BM46">
        <v>6.1015404211883499E-2</v>
      </c>
      <c r="BN46">
        <v>0.12232667975011199</v>
      </c>
      <c r="BO46">
        <v>0.17086606301399801</v>
      </c>
      <c r="BP46">
        <v>0.289421710183766</v>
      </c>
      <c r="BQ46">
        <v>0.13252361586158701</v>
      </c>
      <c r="BR46">
        <v>0.35400088588728401</v>
      </c>
      <c r="BS46">
        <v>0.22874618175196801</v>
      </c>
      <c r="BT46">
        <v>0</v>
      </c>
      <c r="BU46">
        <v>0.188996342139017</v>
      </c>
      <c r="BV46">
        <v>0.13509667069407999</v>
      </c>
      <c r="BW46">
        <v>0.17717140810418</v>
      </c>
      <c r="BX46">
        <v>0.16663754083228799</v>
      </c>
      <c r="BY46">
        <v>6.6730016548299104E-2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0.23918447933008</v>
      </c>
      <c r="CF46">
        <v>0.19004723575346599</v>
      </c>
      <c r="CG46">
        <v>0.40962551743102699</v>
      </c>
      <c r="CH46">
        <v>0.14510241472016</v>
      </c>
      <c r="CI46">
        <v>0</v>
      </c>
      <c r="CJ46">
        <v>0.247604935315307</v>
      </c>
      <c r="CK46">
        <v>0</v>
      </c>
      <c r="CL46">
        <v>0.139823774586291</v>
      </c>
      <c r="CM46">
        <v>0.129438387714083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0.32320411262111598</v>
      </c>
      <c r="CX46">
        <v>0</v>
      </c>
      <c r="CY46">
        <v>0.243028700321296</v>
      </c>
      <c r="CZ46">
        <v>0</v>
      </c>
      <c r="DA46">
        <v>0.218975647732923</v>
      </c>
      <c r="DB46">
        <v>0.20356000629849599</v>
      </c>
      <c r="DC46">
        <v>0.30198137790881602</v>
      </c>
      <c r="DD46">
        <v>0</v>
      </c>
      <c r="DE46">
        <v>0</v>
      </c>
      <c r="DF46">
        <v>0</v>
      </c>
      <c r="DG46">
        <v>0.30259736712626401</v>
      </c>
      <c r="DH46">
        <v>0</v>
      </c>
      <c r="DI46">
        <v>0</v>
      </c>
      <c r="DJ46">
        <v>0</v>
      </c>
      <c r="DK46">
        <v>0</v>
      </c>
      <c r="DL46">
        <v>0</v>
      </c>
    </row>
    <row r="47" spans="1:116" x14ac:dyDescent="0.25">
      <c r="A47" t="s">
        <v>267</v>
      </c>
      <c r="B47" t="s">
        <v>308</v>
      </c>
      <c r="C47">
        <v>2.07720223379152E-2</v>
      </c>
      <c r="D47">
        <v>0.149215261846283</v>
      </c>
      <c r="E47">
        <v>-0.108784412623738</v>
      </c>
      <c r="F47">
        <v>-4.3741812468079698E-2</v>
      </c>
      <c r="G47">
        <v>0.14265015165414199</v>
      </c>
      <c r="H47">
        <v>0.16595510182766399</v>
      </c>
      <c r="I47">
        <v>-0.108784412623738</v>
      </c>
      <c r="J47">
        <v>1.7267100948869001E-2</v>
      </c>
      <c r="K47">
        <v>0.50957258416697704</v>
      </c>
      <c r="L47">
        <v>0.120554600282248</v>
      </c>
      <c r="M47">
        <v>0.195024365321078</v>
      </c>
      <c r="N47">
        <v>0.125699300905527</v>
      </c>
      <c r="O47">
        <v>-4.3180134540680697E-2</v>
      </c>
      <c r="P47">
        <v>0.14747461654583199</v>
      </c>
      <c r="Q47">
        <v>-0.108784412623738</v>
      </c>
      <c r="R47">
        <v>-0.108784412623738</v>
      </c>
      <c r="S47">
        <v>-3.1017906940284098E-2</v>
      </c>
      <c r="T47">
        <v>-0.108784412623738</v>
      </c>
      <c r="U47">
        <v>-0.108784412623738</v>
      </c>
      <c r="V47">
        <v>0.27203997106058803</v>
      </c>
      <c r="W47">
        <v>0.39225992103837698</v>
      </c>
      <c r="X47">
        <v>0.64232966026369198</v>
      </c>
      <c r="Y47">
        <v>-0.108784412623738</v>
      </c>
      <c r="Z47">
        <v>-0.108784412623738</v>
      </c>
      <c r="AA47">
        <v>-0.108784412623738</v>
      </c>
      <c r="AB47">
        <v>0.18773470524638899</v>
      </c>
      <c r="AC47">
        <v>-0.108784412623738</v>
      </c>
      <c r="AD47">
        <v>0.37958839966764601</v>
      </c>
      <c r="AE47">
        <v>-0.108784412623738</v>
      </c>
      <c r="AF47">
        <v>0.166703502715524</v>
      </c>
      <c r="AG47">
        <v>0.181728834945665</v>
      </c>
      <c r="AH47">
        <v>0.39442826968286299</v>
      </c>
      <c r="AI47">
        <v>0.27071600438867999</v>
      </c>
      <c r="AJ47">
        <v>-1.5110166830669099E-3</v>
      </c>
      <c r="AK47">
        <v>0.25976067251026902</v>
      </c>
      <c r="AL47">
        <v>0.19879546645157201</v>
      </c>
      <c r="AM47">
        <v>0.241314702051522</v>
      </c>
      <c r="AN47">
        <v>-0.108784412623738</v>
      </c>
      <c r="AO47">
        <v>3.0243024839935202E-3</v>
      </c>
      <c r="AP47">
        <v>-0.108784412623738</v>
      </c>
      <c r="AQ47">
        <v>-0.108784412623738</v>
      </c>
      <c r="AR47">
        <v>9.64787788309769E-2</v>
      </c>
      <c r="AS47">
        <v>-4.3269492651559403E-2</v>
      </c>
      <c r="AT47">
        <v>9.2401594976014495E-2</v>
      </c>
      <c r="AU47">
        <v>0.31110461017075802</v>
      </c>
      <c r="AV47">
        <v>-4.3010165025756698E-2</v>
      </c>
      <c r="AW47">
        <v>8.7866637141256795E-2</v>
      </c>
      <c r="AX47">
        <v>0.14054308143776401</v>
      </c>
      <c r="AY47">
        <v>-0.108784412623738</v>
      </c>
      <c r="AZ47">
        <v>-2.6529552532243001E-2</v>
      </c>
      <c r="BA47">
        <v>-0.108784412623738</v>
      </c>
      <c r="BB47">
        <v>-0.108784412623738</v>
      </c>
      <c r="BC47">
        <v>0.173276086670829</v>
      </c>
      <c r="BD47">
        <v>0.27201845350861997</v>
      </c>
      <c r="BE47">
        <v>-4.98826263408731E-2</v>
      </c>
      <c r="BF47">
        <v>-1.8083417376672802E-2</v>
      </c>
      <c r="BG47">
        <v>-0.108784412623738</v>
      </c>
      <c r="BH47">
        <v>-0.108784412623738</v>
      </c>
      <c r="BI47">
        <v>-7.2137789647591499E-3</v>
      </c>
      <c r="BJ47">
        <v>0.19470783002002201</v>
      </c>
      <c r="BK47">
        <v>-0.108784412623738</v>
      </c>
      <c r="BL47">
        <v>5.6824235619189901E-2</v>
      </c>
      <c r="BM47">
        <v>-4.7769008411853997E-2</v>
      </c>
      <c r="BN47">
        <v>1.3542267126374401E-2</v>
      </c>
      <c r="BO47">
        <v>-0.108784412623738</v>
      </c>
      <c r="BP47">
        <v>0.55170629985220998</v>
      </c>
      <c r="BQ47">
        <v>-0.108784412623738</v>
      </c>
      <c r="BR47">
        <v>-0.108784412623738</v>
      </c>
      <c r="BS47">
        <v>9.4689416254866102E-3</v>
      </c>
      <c r="BT47">
        <v>1.50943576487811E-3</v>
      </c>
      <c r="BU47">
        <v>0.114734813910918</v>
      </c>
      <c r="BV47">
        <v>2.6312258070342098E-2</v>
      </c>
      <c r="BW47">
        <v>-0.108784412623738</v>
      </c>
      <c r="BX47">
        <v>5.7853128208549903E-2</v>
      </c>
      <c r="BY47">
        <v>-4.2054396075438601E-2</v>
      </c>
      <c r="BZ47">
        <v>-0.108784412623738</v>
      </c>
      <c r="CA47">
        <v>-0.108784412623738</v>
      </c>
      <c r="CB47">
        <v>-0.108784412623738</v>
      </c>
      <c r="CC47">
        <v>0.42091315659480599</v>
      </c>
      <c r="CD47">
        <v>-0.108784412623738</v>
      </c>
      <c r="CE47">
        <v>-0.108784412623738</v>
      </c>
      <c r="CF47">
        <v>-0.108784412623738</v>
      </c>
      <c r="CG47">
        <v>3.6941063818355401E-3</v>
      </c>
      <c r="CH47">
        <v>-0.108784412623738</v>
      </c>
      <c r="CI47">
        <v>5.9635323072632397E-2</v>
      </c>
      <c r="CJ47">
        <v>0.138820522691569</v>
      </c>
      <c r="CK47">
        <v>0.22163719401808399</v>
      </c>
      <c r="CL47">
        <v>0.49734612809601297</v>
      </c>
      <c r="CM47">
        <v>0.20695391063803401</v>
      </c>
      <c r="CN47">
        <v>-0.108784412623738</v>
      </c>
      <c r="CO47">
        <v>-0.108784412623738</v>
      </c>
      <c r="CP47">
        <v>0.223265924068867</v>
      </c>
      <c r="CQ47">
        <v>0.251649200580701</v>
      </c>
      <c r="CR47">
        <v>-0.108784412623738</v>
      </c>
      <c r="CS47">
        <v>-0.108784412623738</v>
      </c>
      <c r="CT47">
        <v>4.31667514161094E-2</v>
      </c>
      <c r="CU47">
        <v>5.4814521131499899E-2</v>
      </c>
      <c r="CV47">
        <v>-0.108784412623738</v>
      </c>
      <c r="CW47">
        <v>0.113842265520359</v>
      </c>
      <c r="CX47">
        <v>0.30832234397464298</v>
      </c>
      <c r="CY47">
        <v>0.134244287697559</v>
      </c>
      <c r="CZ47">
        <v>1.18053574738024</v>
      </c>
      <c r="DA47">
        <v>-6.2548502903303493E-2</v>
      </c>
      <c r="DB47">
        <v>-0.108784412623738</v>
      </c>
      <c r="DC47">
        <v>-0.108784412623738</v>
      </c>
      <c r="DD47">
        <v>-0.108784412623738</v>
      </c>
      <c r="DE47">
        <v>-5.8384315828324998E-2</v>
      </c>
      <c r="DF47">
        <v>-0.108784412623738</v>
      </c>
      <c r="DG47">
        <v>0.193812954502526</v>
      </c>
      <c r="DH47">
        <v>-0.108784412623738</v>
      </c>
      <c r="DI47">
        <v>2.4068103657751399E-2</v>
      </c>
      <c r="DJ47">
        <v>-1.06024536723532E-2</v>
      </c>
      <c r="DK47">
        <v>3.0330128900287301E-2</v>
      </c>
      <c r="DL47">
        <v>-0.108784412623738</v>
      </c>
    </row>
    <row r="48" spans="1:116" x14ac:dyDescent="0.25">
      <c r="A48" t="s">
        <v>267</v>
      </c>
      <c r="B48" t="s">
        <v>310</v>
      </c>
      <c r="C48">
        <v>-0.12834852294284599</v>
      </c>
      <c r="D48">
        <v>-0.123419051599018</v>
      </c>
      <c r="E48">
        <v>-0.25790495790450002</v>
      </c>
      <c r="F48">
        <v>-6.9938040599048401E-2</v>
      </c>
      <c r="G48">
        <v>-0.12728158223351599</v>
      </c>
      <c r="H48">
        <v>-0.25790495790450002</v>
      </c>
      <c r="I48">
        <v>0.15592244051370699</v>
      </c>
      <c r="J48">
        <v>-0.131853444331893</v>
      </c>
      <c r="K48">
        <v>-0.25790495790450002</v>
      </c>
      <c r="L48">
        <v>-7.8084671352348797E-2</v>
      </c>
      <c r="M48">
        <v>-0.25790495790450002</v>
      </c>
      <c r="N48">
        <v>-0.25790495790450002</v>
      </c>
      <c r="O48">
        <v>-2.1440996349379401E-2</v>
      </c>
      <c r="P48">
        <v>0.106390606122931</v>
      </c>
      <c r="Q48">
        <v>-6.0869640929744999E-2</v>
      </c>
      <c r="R48">
        <v>-0.25790495790450002</v>
      </c>
      <c r="S48">
        <v>-0.21856982928348401</v>
      </c>
      <c r="T48">
        <v>-0.25790495790450002</v>
      </c>
      <c r="U48">
        <v>-0.25790495790450002</v>
      </c>
      <c r="V48">
        <v>0.12291942577982599</v>
      </c>
      <c r="W48">
        <v>0.24313937575761499</v>
      </c>
      <c r="X48">
        <v>3.6735107088642298E-2</v>
      </c>
      <c r="Y48">
        <v>0.357247777629709</v>
      </c>
      <c r="Z48">
        <v>-0.25790495790450002</v>
      </c>
      <c r="AA48">
        <v>0.18243642025422299</v>
      </c>
      <c r="AB48">
        <v>0.28652666297371099</v>
      </c>
      <c r="AC48">
        <v>-0.25790495790450002</v>
      </c>
      <c r="AD48">
        <v>0.144199938161896</v>
      </c>
      <c r="AE48">
        <v>0.19115868987763801</v>
      </c>
      <c r="AF48">
        <v>0.25102540406261598</v>
      </c>
      <c r="AG48">
        <v>5.6431511951277602E-2</v>
      </c>
      <c r="AH48">
        <v>0.62275019147673105</v>
      </c>
      <c r="AI48">
        <v>-2.02054889736639E-2</v>
      </c>
      <c r="AJ48">
        <v>-4.9811878782375203E-2</v>
      </c>
      <c r="AK48">
        <v>5.9782096038219303E-2</v>
      </c>
      <c r="AL48">
        <v>0.18378676922474599</v>
      </c>
      <c r="AM48">
        <v>9.2194156770760496E-2</v>
      </c>
      <c r="AN48">
        <v>6.0891778817507902E-2</v>
      </c>
      <c r="AO48">
        <v>-0.25790495790450002</v>
      </c>
      <c r="AP48">
        <v>-0.11013027446200301</v>
      </c>
      <c r="AQ48">
        <v>-0.25790495790450002</v>
      </c>
      <c r="AR48">
        <v>-0.25790495790450002</v>
      </c>
      <c r="AS48">
        <v>-6.8534376517292897E-2</v>
      </c>
      <c r="AT48">
        <v>-5.6718950304747398E-2</v>
      </c>
      <c r="AU48">
        <v>-3.3507078804639601E-2</v>
      </c>
      <c r="AV48">
        <v>0.10200952022757299</v>
      </c>
      <c r="AW48">
        <v>-6.1253908139504903E-2</v>
      </c>
      <c r="AX48">
        <v>-0.12808863180805299</v>
      </c>
      <c r="AY48">
        <v>-0.25790495790450002</v>
      </c>
      <c r="AZ48">
        <v>1.2297763254681799</v>
      </c>
      <c r="BA48">
        <v>0.25360573182632401</v>
      </c>
      <c r="BB48">
        <v>0.22809620337703401</v>
      </c>
      <c r="BC48">
        <v>0.17906783319258401</v>
      </c>
      <c r="BD48">
        <v>-0.25790495790450002</v>
      </c>
      <c r="BE48">
        <v>0.39486484172564901</v>
      </c>
      <c r="BF48">
        <v>7.2271303340861804E-4</v>
      </c>
      <c r="BG48">
        <v>0.44726891934287499</v>
      </c>
      <c r="BH48">
        <v>3.66469468250969E-2</v>
      </c>
      <c r="BI48">
        <v>8.0731895578896096E-2</v>
      </c>
      <c r="BJ48">
        <v>0.51654746375016103</v>
      </c>
      <c r="BK48">
        <v>-0.169921362421393</v>
      </c>
      <c r="BL48">
        <v>0.197941271939191</v>
      </c>
      <c r="BM48">
        <v>0.23831886230563701</v>
      </c>
      <c r="BN48">
        <v>-6.8021895894569598E-2</v>
      </c>
      <c r="BO48">
        <v>0.46147030601067002</v>
      </c>
      <c r="BP48">
        <v>0.27556040150370598</v>
      </c>
      <c r="BQ48">
        <v>0.111299706622514</v>
      </c>
      <c r="BR48">
        <v>0.18716000898539201</v>
      </c>
      <c r="BS48">
        <v>0.31715324076668</v>
      </c>
      <c r="BT48">
        <v>-4.3176782014997202E-2</v>
      </c>
      <c r="BU48">
        <v>1.11170394859636</v>
      </c>
      <c r="BV48">
        <v>0.1837825977467</v>
      </c>
      <c r="BW48">
        <v>-0.25790495790450002</v>
      </c>
      <c r="BX48">
        <v>6.2532826276157097E-2</v>
      </c>
      <c r="BY48">
        <v>-0.191174941356201</v>
      </c>
      <c r="BZ48">
        <v>0.50251146834909899</v>
      </c>
      <c r="CA48">
        <v>0.38397490573120302</v>
      </c>
      <c r="CB48">
        <v>0.140435604481566</v>
      </c>
      <c r="CC48">
        <v>-0.25790495790450002</v>
      </c>
      <c r="CD48">
        <v>-7.2307525543585996E-4</v>
      </c>
      <c r="CE48">
        <v>-1.872047857442E-2</v>
      </c>
      <c r="CF48">
        <v>6.8498458346434393E-2</v>
      </c>
      <c r="CG48">
        <v>-4.0262579434049997E-2</v>
      </c>
      <c r="CH48">
        <v>-0.11280254318433899</v>
      </c>
      <c r="CI48">
        <v>-0.25790495790450002</v>
      </c>
      <c r="CJ48">
        <v>-0.12928910019055401</v>
      </c>
      <c r="CK48">
        <v>-8.4025755131385799E-2</v>
      </c>
      <c r="CL48">
        <v>-0.25790495790450002</v>
      </c>
      <c r="CM48">
        <v>-0.12846657019041699</v>
      </c>
      <c r="CN48">
        <v>-0.25790495790450002</v>
      </c>
      <c r="CO48">
        <v>4.3442991107403399E-2</v>
      </c>
      <c r="CP48">
        <v>0.32038738949218298</v>
      </c>
      <c r="CQ48">
        <v>0.27983995792791699</v>
      </c>
      <c r="CR48">
        <v>0.59969761579848901</v>
      </c>
      <c r="CS48">
        <v>0.351910992972298</v>
      </c>
      <c r="CT48">
        <v>0.389093730609958</v>
      </c>
      <c r="CU48">
        <v>0.476956006746039</v>
      </c>
      <c r="CV48">
        <v>0.26611026802599802</v>
      </c>
      <c r="CW48">
        <v>-0.142664867307113</v>
      </c>
      <c r="CX48">
        <v>-0.130918452120274</v>
      </c>
      <c r="CY48">
        <v>-0.25790495790450002</v>
      </c>
      <c r="CZ48">
        <v>-0.25790495790450002</v>
      </c>
      <c r="DA48">
        <v>7.9572003829181906E-2</v>
      </c>
      <c r="DB48">
        <v>0.82289072430583898</v>
      </c>
      <c r="DC48">
        <v>4.4076420004316899E-2</v>
      </c>
      <c r="DD48">
        <v>-0.25790495790450002</v>
      </c>
      <c r="DE48">
        <v>-0.207504861109087</v>
      </c>
      <c r="DF48">
        <v>-0.178412163979562</v>
      </c>
      <c r="DG48">
        <v>0.29711559742907001</v>
      </c>
      <c r="DH48">
        <v>-9.1932132231769895E-2</v>
      </c>
      <c r="DI48">
        <v>-0.25790495790450002</v>
      </c>
      <c r="DJ48">
        <v>0.38212359995031597</v>
      </c>
      <c r="DK48">
        <v>0.52761661018140504</v>
      </c>
      <c r="DL48">
        <v>0.66382200201291897</v>
      </c>
    </row>
    <row r="49" spans="1:116" x14ac:dyDescent="0.25">
      <c r="A49" t="s">
        <v>267</v>
      </c>
      <c r="B49" t="s">
        <v>314</v>
      </c>
      <c r="C49">
        <v>0.20312643020068599</v>
      </c>
      <c r="D49">
        <v>-2.3181882938981699E-2</v>
      </c>
      <c r="E49">
        <v>7.5290522762936296E-2</v>
      </c>
      <c r="F49">
        <v>-3.0033114742073E-2</v>
      </c>
      <c r="G49">
        <v>9.3766775033416599E-2</v>
      </c>
      <c r="H49">
        <v>-4.2389534703503602E-2</v>
      </c>
      <c r="I49">
        <v>-7.4590137514268396E-3</v>
      </c>
      <c r="J49">
        <v>3.4944461993423799E-3</v>
      </c>
      <c r="K49">
        <v>-0.15766778924446301</v>
      </c>
      <c r="L49">
        <v>-0.111068961796286</v>
      </c>
      <c r="M49">
        <v>5.2609867772473301E-4</v>
      </c>
      <c r="N49">
        <v>7.6815924284801801E-2</v>
      </c>
      <c r="O49">
        <v>0.13636030723902601</v>
      </c>
      <c r="P49">
        <v>4.2076978203412101E-2</v>
      </c>
      <c r="Q49">
        <v>0.100053209595105</v>
      </c>
      <c r="R49">
        <v>0.21886536778908899</v>
      </c>
      <c r="S49">
        <v>-5.57799544634076E-3</v>
      </c>
      <c r="T49">
        <v>0.88887054023779299</v>
      </c>
      <c r="U49">
        <v>-5.6721030724043699E-2</v>
      </c>
      <c r="V49">
        <v>0.526552678448029</v>
      </c>
      <c r="W49">
        <v>-0.15766778924446301</v>
      </c>
      <c r="X49">
        <v>0.38263175553966999</v>
      </c>
      <c r="Y49">
        <v>0.18174044053550301</v>
      </c>
      <c r="Z49">
        <v>-0.15766778924446301</v>
      </c>
      <c r="AA49">
        <v>0.62269478835287595</v>
      </c>
      <c r="AB49">
        <v>0.386763831633747</v>
      </c>
      <c r="AC49">
        <v>-0.15766778924446301</v>
      </c>
      <c r="AD49">
        <v>0.153180617860668</v>
      </c>
      <c r="AE49">
        <v>-0.15766778924446301</v>
      </c>
      <c r="AF49">
        <v>0.30563768111464601</v>
      </c>
      <c r="AG49">
        <v>0.24447721498344399</v>
      </c>
      <c r="AH49">
        <v>0.11480882809741</v>
      </c>
      <c r="AI49">
        <v>4.9073831618356101E-2</v>
      </c>
      <c r="AJ49">
        <v>5.0425289877661303E-2</v>
      </c>
      <c r="AK49">
        <v>7.6019065945344702E-2</v>
      </c>
      <c r="AL49">
        <v>0.40787581801824002</v>
      </c>
      <c r="AM49">
        <v>2.73400129874261E-2</v>
      </c>
      <c r="AN49">
        <v>9.9992638600024907E-3</v>
      </c>
      <c r="AO49">
        <v>0.15728160972840399</v>
      </c>
      <c r="AP49">
        <v>-9.8931058019669192E-3</v>
      </c>
      <c r="AQ49">
        <v>0.15133061815505999</v>
      </c>
      <c r="AR49">
        <v>4.7595402210251297E-2</v>
      </c>
      <c r="AS49">
        <v>-9.2152869272284804E-2</v>
      </c>
      <c r="AT49">
        <v>-0.15766778924446301</v>
      </c>
      <c r="AU49">
        <v>-0.15766778924446301</v>
      </c>
      <c r="AV49">
        <v>-5.9981666770942098E-2</v>
      </c>
      <c r="AW49">
        <v>-0.15766778924446301</v>
      </c>
      <c r="AX49">
        <v>-2.7851463148016901E-2</v>
      </c>
      <c r="AY49">
        <v>-0.15766778924446301</v>
      </c>
      <c r="AZ49">
        <v>7.7873867330390506E-2</v>
      </c>
      <c r="BA49">
        <v>8.5004365961718398E-2</v>
      </c>
      <c r="BB49">
        <v>-4.7652850922425299E-2</v>
      </c>
      <c r="BC49">
        <v>-0.15766778924446301</v>
      </c>
      <c r="BD49">
        <v>-5.26290596863797E-4</v>
      </c>
      <c r="BE49">
        <v>3.0773978610081899E-2</v>
      </c>
      <c r="BF49">
        <v>-0.15766778924446301</v>
      </c>
      <c r="BG49">
        <v>-0.15766778924446301</v>
      </c>
      <c r="BH49">
        <v>-4.1137688588669102E-3</v>
      </c>
      <c r="BI49">
        <v>-0.15766778924446301</v>
      </c>
      <c r="BJ49">
        <v>-0.15766778924446301</v>
      </c>
      <c r="BK49">
        <v>9.4681363532722704E-2</v>
      </c>
      <c r="BL49">
        <v>-7.2860802814259204E-2</v>
      </c>
      <c r="BM49">
        <v>-6.1886446103406802E-2</v>
      </c>
      <c r="BN49">
        <v>-0.15766778924446301</v>
      </c>
      <c r="BO49">
        <v>0.21488675346983599</v>
      </c>
      <c r="BP49">
        <v>0.13175392093930299</v>
      </c>
      <c r="BQ49">
        <v>0.58188218246303502</v>
      </c>
      <c r="BR49">
        <v>0.196333096642821</v>
      </c>
      <c r="BS49">
        <v>-0.15766778924446301</v>
      </c>
      <c r="BT49">
        <v>-0.15766778924446301</v>
      </c>
      <c r="BU49">
        <v>3.13285528945541E-2</v>
      </c>
      <c r="BV49">
        <v>0.28401976640673599</v>
      </c>
      <c r="BW49">
        <v>0.583752613965278</v>
      </c>
      <c r="BX49">
        <v>8.7326604926699802E-2</v>
      </c>
      <c r="BY49">
        <v>1.01627961178528E-2</v>
      </c>
      <c r="BZ49">
        <v>-0.15766778924446301</v>
      </c>
      <c r="CA49">
        <v>-0.15766778924446301</v>
      </c>
      <c r="CB49">
        <v>-0.15766778924446301</v>
      </c>
      <c r="CC49">
        <v>-0.15766778924446301</v>
      </c>
      <c r="CD49">
        <v>-0.15766778924446301</v>
      </c>
      <c r="CE49">
        <v>8.1516690085616406E-2</v>
      </c>
      <c r="CF49">
        <v>0.281665307792685</v>
      </c>
      <c r="CG49">
        <v>0.21391604402498501</v>
      </c>
      <c r="CH49">
        <v>-0.10797052635745299</v>
      </c>
      <c r="CI49">
        <v>-0.15766778924446301</v>
      </c>
      <c r="CJ49">
        <v>0.45624798595712102</v>
      </c>
      <c r="CK49">
        <v>0.17275381739735801</v>
      </c>
      <c r="CL49">
        <v>-0.15766778924446301</v>
      </c>
      <c r="CM49">
        <v>9.1731121726167097E-2</v>
      </c>
      <c r="CN49">
        <v>-0.15766778924446301</v>
      </c>
      <c r="CO49">
        <v>-0.15766778924446301</v>
      </c>
      <c r="CP49">
        <v>5.9989346956812697E-2</v>
      </c>
      <c r="CQ49">
        <v>-0.15766778924446301</v>
      </c>
      <c r="CR49">
        <v>0.186953494660134</v>
      </c>
      <c r="CS49">
        <v>-0.15766778924446301</v>
      </c>
      <c r="CT49">
        <v>-0.15766778924446301</v>
      </c>
      <c r="CU49">
        <v>8.1971186742655494E-2</v>
      </c>
      <c r="CV49">
        <v>-0.15766778924446301</v>
      </c>
      <c r="CW49">
        <v>-4.2427698647077003E-2</v>
      </c>
      <c r="CX49">
        <v>-3.06812834602373E-2</v>
      </c>
      <c r="CY49">
        <v>-0.15766778924446301</v>
      </c>
      <c r="CZ49">
        <v>-0.15766778924446301</v>
      </c>
      <c r="DA49">
        <v>1.9817351593834201E-2</v>
      </c>
      <c r="DB49">
        <v>-0.15766778924446301</v>
      </c>
      <c r="DC49">
        <v>-0.15766778924446301</v>
      </c>
      <c r="DD49">
        <v>-0.15766778924446301</v>
      </c>
      <c r="DE49">
        <v>-0.10726769244905</v>
      </c>
      <c r="DF49">
        <v>0.11137141782406799</v>
      </c>
      <c r="DG49">
        <v>0.144929577881801</v>
      </c>
      <c r="DH49">
        <v>0.42168045309100299</v>
      </c>
      <c r="DI49">
        <v>-0.15766778924446301</v>
      </c>
      <c r="DJ49">
        <v>0.12224182309024501</v>
      </c>
      <c r="DK49">
        <v>0.33721224639430603</v>
      </c>
      <c r="DL49">
        <v>-2.5697587217772998E-2</v>
      </c>
    </row>
    <row r="50" spans="1:116" x14ac:dyDescent="0.25">
      <c r="A50" t="s">
        <v>267</v>
      </c>
      <c r="B50" t="s">
        <v>316</v>
      </c>
      <c r="C50">
        <v>-0.20195290803117699</v>
      </c>
      <c r="D50">
        <v>-0.66700032818661603</v>
      </c>
      <c r="E50">
        <v>-5.0405134423329903E-2</v>
      </c>
      <c r="F50">
        <v>-0.33239937836040701</v>
      </c>
      <c r="G50">
        <v>-0.30312452535103601</v>
      </c>
      <c r="H50">
        <v>-0.60837648534964395</v>
      </c>
      <c r="I50">
        <v>-0.37956886330453798</v>
      </c>
      <c r="J50">
        <v>-0.481371755898648</v>
      </c>
      <c r="K50">
        <v>-2.9954620263713499E-3</v>
      </c>
      <c r="L50">
        <v>-0.24917414991685799</v>
      </c>
      <c r="M50">
        <v>-0.66700032818661603</v>
      </c>
      <c r="N50">
        <v>-0.22974167494280401</v>
      </c>
      <c r="O50">
        <v>1.2785093885659101E-2</v>
      </c>
      <c r="P50">
        <v>0.223323758311987</v>
      </c>
      <c r="Q50">
        <v>0.19938121429842801</v>
      </c>
      <c r="R50">
        <v>-1.88667112274023E-2</v>
      </c>
      <c r="S50">
        <v>0.34425428791117502</v>
      </c>
      <c r="T50">
        <v>-0.125256291276272</v>
      </c>
      <c r="U50">
        <v>-0.4709355667572</v>
      </c>
      <c r="V50">
        <v>0.93652055980183802</v>
      </c>
      <c r="W50">
        <v>0.50696978413682703</v>
      </c>
      <c r="X50">
        <v>0.58173659604386296</v>
      </c>
      <c r="Y50">
        <v>-0.32759209840664999</v>
      </c>
      <c r="Z50">
        <v>-0.66700032818661603</v>
      </c>
      <c r="AA50">
        <v>0.62585601138091596</v>
      </c>
      <c r="AB50">
        <v>9.0725735237216706E-2</v>
      </c>
      <c r="AC50">
        <v>4.07579981957596E-2</v>
      </c>
      <c r="AD50">
        <v>0.232668841484722</v>
      </c>
      <c r="AE50">
        <v>0.12701222178851601</v>
      </c>
      <c r="AF50">
        <v>0.65031214416168404</v>
      </c>
      <c r="AG50">
        <v>0.66660271748970201</v>
      </c>
      <c r="AH50">
        <v>0.51673089125554506</v>
      </c>
      <c r="AI50">
        <v>0.66862028621283398</v>
      </c>
      <c r="AJ50">
        <v>-0.13972447405824401</v>
      </c>
      <c r="AK50">
        <v>-1.5170450777518499E-2</v>
      </c>
      <c r="AL50">
        <v>-0.101456720923913</v>
      </c>
      <c r="AM50">
        <v>0.31781613344627802</v>
      </c>
      <c r="AN50">
        <v>0.52943693940730496</v>
      </c>
      <c r="AO50">
        <v>0.28021443235418902</v>
      </c>
      <c r="AP50">
        <v>-0.25790135245636903</v>
      </c>
      <c r="AQ50">
        <v>-0.251982022268746</v>
      </c>
      <c r="AR50">
        <v>-0.46173713673190198</v>
      </c>
      <c r="AS50">
        <v>-0.38549901543757797</v>
      </c>
      <c r="AT50">
        <v>-0.287095459176263</v>
      </c>
      <c r="AU50">
        <v>-0.24711130539212101</v>
      </c>
      <c r="AV50">
        <v>-0.24963611820085899</v>
      </c>
      <c r="AW50">
        <v>-5.6507739071473301E-2</v>
      </c>
      <c r="AX50">
        <v>0.38364959248604802</v>
      </c>
      <c r="AY50">
        <v>-0.66700032818661603</v>
      </c>
      <c r="AZ50">
        <v>0.43704735388617699</v>
      </c>
      <c r="BA50">
        <v>0.22406435285034701</v>
      </c>
      <c r="BB50">
        <v>-2.18831993619352E-2</v>
      </c>
      <c r="BC50">
        <v>-0.16994404348821099</v>
      </c>
      <c r="BD50">
        <v>9.4372402161913508E-3</v>
      </c>
      <c r="BE50">
        <v>0.42679652637377502</v>
      </c>
      <c r="BF50">
        <v>0.14636739564533799</v>
      </c>
      <c r="BG50">
        <v>0.52462715698326301</v>
      </c>
      <c r="BH50">
        <v>2.9892554448496E-3</v>
      </c>
      <c r="BI50">
        <v>5.38045386814269E-2</v>
      </c>
      <c r="BJ50">
        <v>0.65044886493220999</v>
      </c>
      <c r="BK50">
        <v>0.21003944997777599</v>
      </c>
      <c r="BL50">
        <v>1.4114136855175E-2</v>
      </c>
      <c r="BM50">
        <v>0.34456441775443297</v>
      </c>
      <c r="BN50">
        <v>0.68214975359887997</v>
      </c>
      <c r="BO50">
        <v>0.429500116589772</v>
      </c>
      <c r="BP50">
        <v>0.52271299148561301</v>
      </c>
      <c r="BQ50">
        <v>-9.0567807924860896E-2</v>
      </c>
      <c r="BR50">
        <v>0.110992741993466</v>
      </c>
      <c r="BS50">
        <v>0.29382802653380002</v>
      </c>
      <c r="BT50">
        <v>0.30884183411147498</v>
      </c>
      <c r="BU50">
        <v>0.78803287172425696</v>
      </c>
      <c r="BV50">
        <v>-0.290101576327357</v>
      </c>
      <c r="BW50">
        <v>7.4420075023125004E-2</v>
      </c>
      <c r="BX50">
        <v>-0.34656254400595998</v>
      </c>
      <c r="BY50">
        <v>0.10594892294245201</v>
      </c>
      <c r="BZ50">
        <v>-0.32081463730436599</v>
      </c>
      <c r="CA50">
        <v>-0.29682741060720202</v>
      </c>
      <c r="CB50">
        <v>-0.154889203751504</v>
      </c>
      <c r="CC50">
        <v>-0.48888842537246902</v>
      </c>
      <c r="CD50">
        <v>-0.34816400540617298</v>
      </c>
      <c r="CE50">
        <v>0.12544317053350501</v>
      </c>
      <c r="CF50">
        <v>-0.30667348634179598</v>
      </c>
      <c r="CG50">
        <v>-0.25737481075558899</v>
      </c>
      <c r="CH50">
        <v>-0.23918691605756301</v>
      </c>
      <c r="CI50">
        <v>-0.498580592490246</v>
      </c>
      <c r="CJ50">
        <v>0.42192305365625998</v>
      </c>
      <c r="CK50">
        <v>-0.66700032818661603</v>
      </c>
      <c r="CL50">
        <v>-0.527176553600326</v>
      </c>
      <c r="CM50">
        <v>-0.53756194047253403</v>
      </c>
      <c r="CN50">
        <v>-0.43375222648394102</v>
      </c>
      <c r="CO50">
        <v>0.22228150797945301</v>
      </c>
      <c r="CP50">
        <v>1.0545658162362199</v>
      </c>
      <c r="CQ50">
        <v>0.40197543469677999</v>
      </c>
      <c r="CR50">
        <v>0.73279597171356703</v>
      </c>
      <c r="CS50">
        <v>0.45729388877934601</v>
      </c>
      <c r="CT50">
        <v>4.12862864975405E-2</v>
      </c>
      <c r="CU50">
        <v>0.37229370384712002</v>
      </c>
      <c r="CV50">
        <v>-2.9298431289001399E-2</v>
      </c>
      <c r="CW50">
        <v>-0.15982192139541401</v>
      </c>
      <c r="CX50">
        <v>-0.38884049396162801</v>
      </c>
      <c r="CY50">
        <v>-0.21462344003863601</v>
      </c>
      <c r="CZ50">
        <v>-0.280362933940559</v>
      </c>
      <c r="DA50">
        <v>7.1797055908889504E-2</v>
      </c>
      <c r="DB50">
        <v>0.29491380922539701</v>
      </c>
      <c r="DC50">
        <v>0.65879863303793396</v>
      </c>
      <c r="DD50">
        <v>-0.66700032818661603</v>
      </c>
      <c r="DE50">
        <v>-0.316177178927455</v>
      </c>
      <c r="DF50">
        <v>-0.30252745719444202</v>
      </c>
      <c r="DG50">
        <v>1.8528873115685799E-2</v>
      </c>
      <c r="DH50">
        <v>-0.13884038379755101</v>
      </c>
      <c r="DI50">
        <v>-0.190218776342295</v>
      </c>
      <c r="DJ50">
        <v>0.51326581445112596</v>
      </c>
      <c r="DK50">
        <v>0.28689074346938498</v>
      </c>
      <c r="DL50">
        <v>0.97963083311819499</v>
      </c>
    </row>
    <row r="51" spans="1:116" x14ac:dyDescent="0.25">
      <c r="A51" t="s">
        <v>267</v>
      </c>
      <c r="B51" t="s">
        <v>317</v>
      </c>
      <c r="C51">
        <v>-0.12371270738130299</v>
      </c>
      <c r="D51">
        <v>4.7305321270641803E-3</v>
      </c>
      <c r="E51">
        <v>-2.0310830335557299E-2</v>
      </c>
      <c r="F51">
        <v>-0.18822654218729901</v>
      </c>
      <c r="G51">
        <v>-1.8345780650767399E-3</v>
      </c>
      <c r="H51">
        <v>-0.194645299505984</v>
      </c>
      <c r="I51">
        <v>3.41623225391222E-2</v>
      </c>
      <c r="J51">
        <v>-0.18903128578350301</v>
      </c>
      <c r="K51">
        <v>0.124631086324568</v>
      </c>
      <c r="L51">
        <v>-7.3448855790805803E-2</v>
      </c>
      <c r="M51">
        <v>-0.17244677051090099</v>
      </c>
      <c r="N51">
        <v>-1.8785428813691701E-2</v>
      </c>
      <c r="O51">
        <v>-9.2177772279342596E-2</v>
      </c>
      <c r="P51">
        <v>-0.129291754722658</v>
      </c>
      <c r="Q51">
        <v>4.4518564966112501E-3</v>
      </c>
      <c r="R51">
        <v>-0.253269142342957</v>
      </c>
      <c r="S51">
        <v>-0.101179348544834</v>
      </c>
      <c r="T51">
        <v>0.28847489456738801</v>
      </c>
      <c r="U51">
        <v>-0.253269142342957</v>
      </c>
      <c r="V51">
        <v>0.58374002465659003</v>
      </c>
      <c r="W51">
        <v>-0.253269142342957</v>
      </c>
      <c r="X51">
        <v>0.41393049374337798</v>
      </c>
      <c r="Y51">
        <v>0.502201342139589</v>
      </c>
      <c r="Z51">
        <v>-0.253269142342957</v>
      </c>
      <c r="AA51">
        <v>0.18707223581576601</v>
      </c>
      <c r="AB51">
        <v>0.50445692108087603</v>
      </c>
      <c r="AC51">
        <v>0.45448918403941901</v>
      </c>
      <c r="AD51">
        <v>5.75792647621741E-2</v>
      </c>
      <c r="AE51">
        <v>-0.253269142342957</v>
      </c>
      <c r="AF51">
        <v>0.73429588941288904</v>
      </c>
      <c r="AG51">
        <v>0.17108727147837399</v>
      </c>
      <c r="AH51">
        <v>1.9207474998916198E-2</v>
      </c>
      <c r="AI51">
        <v>0.25140460302239698</v>
      </c>
      <c r="AJ51">
        <v>-4.5176063220832202E-2</v>
      </c>
      <c r="AK51">
        <v>-7.4905553170677902E-2</v>
      </c>
      <c r="AL51">
        <v>5.4310736732353197E-2</v>
      </c>
      <c r="AM51">
        <v>-6.8261340111067201E-2</v>
      </c>
      <c r="AN51">
        <v>-8.5602089238490997E-2</v>
      </c>
      <c r="AO51">
        <v>6.1680256629910599E-2</v>
      </c>
      <c r="AP51">
        <v>0.15582983338729101</v>
      </c>
      <c r="AQ51">
        <v>-9.4458461871918097E-3</v>
      </c>
      <c r="AR51">
        <v>0.13427718948314299</v>
      </c>
      <c r="AS51">
        <v>4.5812327575647299E-3</v>
      </c>
      <c r="AT51">
        <v>5.4847268450496103E-2</v>
      </c>
      <c r="AU51">
        <v>-2.88712632430966E-2</v>
      </c>
      <c r="AV51">
        <v>-3.3842359159296898E-2</v>
      </c>
      <c r="AW51">
        <v>-5.6618092577962E-2</v>
      </c>
      <c r="AX51">
        <v>0.30668829239703699</v>
      </c>
      <c r="AY51">
        <v>-0.253269142342957</v>
      </c>
      <c r="AZ51">
        <v>-0.17101428225146201</v>
      </c>
      <c r="BA51">
        <v>-1.05969871367751E-2</v>
      </c>
      <c r="BB51">
        <v>0.19762862153670299</v>
      </c>
      <c r="BC51">
        <v>0.24378714235544799</v>
      </c>
      <c r="BD51">
        <v>0.488314086267088</v>
      </c>
      <c r="BE51">
        <v>0.118221729372583</v>
      </c>
      <c r="BF51">
        <v>-0.16256814709589101</v>
      </c>
      <c r="BG51">
        <v>0.45190473490441802</v>
      </c>
      <c r="BH51">
        <v>1.2946147467320099E-2</v>
      </c>
      <c r="BI51">
        <v>3.4566504998383797E-2</v>
      </c>
      <c r="BJ51">
        <v>0.15477699571165501</v>
      </c>
      <c r="BK51">
        <v>-0.16528554685985</v>
      </c>
      <c r="BL51">
        <v>-0.16846215591275299</v>
      </c>
      <c r="BM51">
        <v>-9.95402095502948E-2</v>
      </c>
      <c r="BN51">
        <v>-1.7071201923964201E-2</v>
      </c>
      <c r="BO51">
        <v>-8.2403079328958906E-2</v>
      </c>
      <c r="BP51">
        <v>-0.253269142342957</v>
      </c>
      <c r="BQ51">
        <v>1.8322481183003999E-3</v>
      </c>
      <c r="BR51">
        <v>-0.253269142342957</v>
      </c>
      <c r="BS51">
        <v>3.6932975917220598E-2</v>
      </c>
      <c r="BT51">
        <v>-0.142975293954341</v>
      </c>
      <c r="BU51">
        <v>0.21069574935000299</v>
      </c>
      <c r="BV51">
        <v>6.9686453182623096E-3</v>
      </c>
      <c r="BW51">
        <v>8.37611718436342E-2</v>
      </c>
      <c r="BX51">
        <v>0.139947381515557</v>
      </c>
      <c r="BY51">
        <v>5.8932158589695999E-2</v>
      </c>
      <c r="BZ51">
        <v>-7.1144698530822406E-2</v>
      </c>
      <c r="CA51">
        <v>0.20133574701547599</v>
      </c>
      <c r="CB51">
        <v>0.25884198209215498</v>
      </c>
      <c r="CC51">
        <v>-7.5157239528808997E-2</v>
      </c>
      <c r="CD51">
        <v>-8.6729341963491802E-2</v>
      </c>
      <c r="CE51">
        <v>0.194451908619939</v>
      </c>
      <c r="CF51">
        <v>-1.1574136832413E-2</v>
      </c>
      <c r="CG51">
        <v>-0.253269142342957</v>
      </c>
      <c r="CH51">
        <v>2.6068478850700901E-2</v>
      </c>
      <c r="CI51">
        <v>-0.253269142342957</v>
      </c>
      <c r="CJ51">
        <v>0.534298192616668</v>
      </c>
      <c r="CK51">
        <v>-7.9389939569842805E-2</v>
      </c>
      <c r="CL51">
        <v>0.41165049267863202</v>
      </c>
      <c r="CM51">
        <v>-3.87023137232629E-3</v>
      </c>
      <c r="CN51">
        <v>0.29203764053151399</v>
      </c>
      <c r="CO51">
        <v>4.8078806668946497E-2</v>
      </c>
      <c r="CP51">
        <v>0.15511586311175601</v>
      </c>
      <c r="CQ51">
        <v>0.25994890754015498</v>
      </c>
      <c r="CR51">
        <v>0.31567546335106</v>
      </c>
      <c r="CS51">
        <v>-2.27421701036454E-2</v>
      </c>
      <c r="CT51">
        <v>-0.101317978303109</v>
      </c>
      <c r="CU51">
        <v>5.9055463332818303E-2</v>
      </c>
      <c r="CV51">
        <v>0.63077987416391801</v>
      </c>
      <c r="CW51">
        <v>6.9934970278159495E-2</v>
      </c>
      <c r="CX51">
        <v>-0.12628263655873101</v>
      </c>
      <c r="CY51">
        <v>-0.253269142342957</v>
      </c>
      <c r="CZ51">
        <v>-0.253269142342957</v>
      </c>
      <c r="DA51">
        <v>0.57375867744129705</v>
      </c>
      <c r="DB51">
        <v>0.13143765158842299</v>
      </c>
      <c r="DC51">
        <v>-0.253269142342957</v>
      </c>
      <c r="DD51">
        <v>-0.253269142342957</v>
      </c>
      <c r="DE51">
        <v>-0.15387045691533199</v>
      </c>
      <c r="DF51">
        <v>-0.253269142342957</v>
      </c>
      <c r="DG51">
        <v>0.201971974887727</v>
      </c>
      <c r="DH51">
        <v>-8.7296316670226901E-2</v>
      </c>
      <c r="DI51">
        <v>7.01751406899674E-2</v>
      </c>
      <c r="DJ51">
        <v>-6.19687679981831E-2</v>
      </c>
      <c r="DK51">
        <v>1.3570509111221001E-2</v>
      </c>
      <c r="DL51">
        <v>-0.12129894031626599</v>
      </c>
    </row>
    <row r="52" spans="1:116" x14ac:dyDescent="0.25">
      <c r="A52" t="s">
        <v>267</v>
      </c>
      <c r="B52" t="s">
        <v>320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6.3071794153184604E-2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0.29464006499314199</v>
      </c>
      <c r="Y52">
        <v>0</v>
      </c>
      <c r="Z52">
        <v>0</v>
      </c>
      <c r="AA52">
        <v>0</v>
      </c>
      <c r="AB52">
        <v>0</v>
      </c>
      <c r="AC52">
        <v>0.39481292769787102</v>
      </c>
      <c r="AD52">
        <v>0</v>
      </c>
      <c r="AE52">
        <v>0</v>
      </c>
      <c r="AF52">
        <v>0.46330547035910902</v>
      </c>
      <c r="AG52">
        <v>0</v>
      </c>
      <c r="AH52">
        <v>0</v>
      </c>
      <c r="AI52">
        <v>8.3021341941576607E-2</v>
      </c>
      <c r="AJ52">
        <v>0</v>
      </c>
      <c r="AK52">
        <v>6.1682740859679203E-2</v>
      </c>
      <c r="AL52">
        <v>0</v>
      </c>
      <c r="AM52">
        <v>0</v>
      </c>
      <c r="AN52">
        <v>0</v>
      </c>
      <c r="AO52">
        <v>0.11180871510773099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0.15714149864759899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0.12382195439016</v>
      </c>
      <c r="BK52">
        <v>0</v>
      </c>
      <c r="BL52">
        <v>0</v>
      </c>
      <c r="BM52">
        <v>0.120053798067875</v>
      </c>
      <c r="BN52">
        <v>0</v>
      </c>
      <c r="BO52">
        <v>0</v>
      </c>
      <c r="BP52">
        <v>0</v>
      </c>
      <c r="BQ52">
        <v>0.13252361586158701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0.12861585771394601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0.15195116403984699</v>
      </c>
      <c r="CU52">
        <v>0</v>
      </c>
      <c r="CV52">
        <v>0</v>
      </c>
      <c r="CW52">
        <v>0</v>
      </c>
      <c r="CX52">
        <v>0.162389938902049</v>
      </c>
      <c r="CY52">
        <v>0</v>
      </c>
      <c r="CZ52">
        <v>0</v>
      </c>
      <c r="DA52">
        <v>4.6235909720434197E-2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0.13197020202668999</v>
      </c>
    </row>
    <row r="53" spans="1:116" x14ac:dyDescent="0.25">
      <c r="A53" t="s">
        <v>267</v>
      </c>
      <c r="B53" t="s">
        <v>321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0.15714149864759899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0.13253259391198199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0.14396020890620301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0.129438387714083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5.0400096795412901E-2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0.38496244708180299</v>
      </c>
      <c r="DL53">
        <v>0.25393590542001898</v>
      </c>
    </row>
    <row r="54" spans="1:116" x14ac:dyDescent="0.25">
      <c r="A54" t="s">
        <v>267</v>
      </c>
      <c r="B54" t="s">
        <v>325</v>
      </c>
      <c r="C54">
        <v>0</v>
      </c>
      <c r="D54">
        <v>0.25799967447002098</v>
      </c>
      <c r="E54">
        <v>0</v>
      </c>
      <c r="F54">
        <v>0</v>
      </c>
      <c r="G54">
        <v>0.130623375670984</v>
      </c>
      <c r="H54">
        <v>5.8623842836973E-2</v>
      </c>
      <c r="I54">
        <v>0</v>
      </c>
      <c r="J54">
        <v>0</v>
      </c>
      <c r="K54">
        <v>0.15724947210375201</v>
      </c>
      <c r="L54">
        <v>0</v>
      </c>
      <c r="M54">
        <v>8.0822371832055803E-2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0.38082438368432597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6.8133163872492603E-2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0.167667053104465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0.19665104976499501</v>
      </c>
      <c r="AX54">
        <v>0.129816326096446</v>
      </c>
      <c r="AY54">
        <v>0</v>
      </c>
      <c r="AZ54">
        <v>0.42972754902730598</v>
      </c>
      <c r="BA54">
        <v>0.24267215520618199</v>
      </c>
      <c r="BB54">
        <v>0</v>
      </c>
      <c r="BC54">
        <v>0</v>
      </c>
      <c r="BD54">
        <v>0.15714149864759899</v>
      </c>
      <c r="BE54">
        <v>0</v>
      </c>
      <c r="BF54">
        <v>0.17674735397305999</v>
      </c>
      <c r="BG54">
        <v>0</v>
      </c>
      <c r="BH54">
        <v>0.122800032780194</v>
      </c>
      <c r="BI54">
        <v>0.19728845589355801</v>
      </c>
      <c r="BJ54">
        <v>0</v>
      </c>
      <c r="BK54">
        <v>0</v>
      </c>
      <c r="BL54">
        <v>0</v>
      </c>
      <c r="BM54">
        <v>0.120053798067875</v>
      </c>
      <c r="BN54">
        <v>0</v>
      </c>
      <c r="BO54">
        <v>0</v>
      </c>
      <c r="BP54">
        <v>0</v>
      </c>
      <c r="BQ54">
        <v>0.13252361586158701</v>
      </c>
      <c r="BR54">
        <v>0.186224064594049</v>
      </c>
      <c r="BS54">
        <v>0</v>
      </c>
      <c r="BT54">
        <v>0</v>
      </c>
      <c r="BU54">
        <v>0</v>
      </c>
      <c r="BV54">
        <v>0</v>
      </c>
      <c r="BW54">
        <v>0.78787631118628099</v>
      </c>
      <c r="BX54">
        <v>0.13319502649446399</v>
      </c>
      <c r="BY54">
        <v>0.131148567779208</v>
      </c>
      <c r="BZ54">
        <v>0</v>
      </c>
      <c r="CA54">
        <v>0</v>
      </c>
      <c r="CB54">
        <v>0.39834056238606602</v>
      </c>
      <c r="CC54">
        <v>0.27395300014331903</v>
      </c>
      <c r="CD54">
        <v>0</v>
      </c>
      <c r="CE54">
        <v>0.124013115469612</v>
      </c>
      <c r="CF54">
        <v>0.277380872410462</v>
      </c>
      <c r="CG54">
        <v>0</v>
      </c>
      <c r="CH54">
        <v>0</v>
      </c>
      <c r="CI54">
        <v>0</v>
      </c>
      <c r="CJ54">
        <v>0.519737101859293</v>
      </c>
      <c r="CK54">
        <v>0</v>
      </c>
      <c r="CL54">
        <v>0.139823774586291</v>
      </c>
      <c r="CM54">
        <v>0.129438387714083</v>
      </c>
      <c r="CN54">
        <v>0.23324810170267499</v>
      </c>
      <c r="CO54">
        <v>0.30134794901190298</v>
      </c>
      <c r="CP54">
        <v>0</v>
      </c>
      <c r="CQ54">
        <v>0.45162837664646599</v>
      </c>
      <c r="CR54">
        <v>0.62922461375180305</v>
      </c>
      <c r="CS54">
        <v>0.77032379704294596</v>
      </c>
      <c r="CT54">
        <v>0</v>
      </c>
      <c r="CU54">
        <v>0</v>
      </c>
      <c r="CV54">
        <v>0.34944659869892603</v>
      </c>
      <c r="CW54">
        <v>0</v>
      </c>
      <c r="CX54">
        <v>0.12698650578422599</v>
      </c>
      <c r="CY54">
        <v>0</v>
      </c>
      <c r="CZ54">
        <v>0.38663739424605698</v>
      </c>
      <c r="DA54">
        <v>0</v>
      </c>
      <c r="DB54">
        <v>0.38470679393138002</v>
      </c>
      <c r="DC54">
        <v>0.30198137790881602</v>
      </c>
      <c r="DD54">
        <v>0</v>
      </c>
      <c r="DE54">
        <v>0</v>
      </c>
      <c r="DF54">
        <v>7.9492793924937993E-2</v>
      </c>
      <c r="DG54">
        <v>0.55502055533356998</v>
      </c>
      <c r="DH54">
        <v>0.16597282567273</v>
      </c>
      <c r="DI54">
        <v>0.132852516281489</v>
      </c>
      <c r="DJ54">
        <v>0</v>
      </c>
      <c r="DK54">
        <v>0.139114541524025</v>
      </c>
      <c r="DL54">
        <v>0.58954750339665496</v>
      </c>
    </row>
    <row r="55" spans="1:116" x14ac:dyDescent="0.25">
      <c r="A55" t="s">
        <v>267</v>
      </c>
      <c r="B55" t="s">
        <v>326</v>
      </c>
      <c r="C55">
        <v>0.88691788213856404</v>
      </c>
      <c r="D55">
        <v>-2.5692362790632001E-2</v>
      </c>
      <c r="E55">
        <v>-3.9413200909633503E-2</v>
      </c>
      <c r="F55">
        <v>-0.16017826909611299</v>
      </c>
      <c r="G55">
        <v>-0.16017826909611299</v>
      </c>
      <c r="H55">
        <v>4.1194127418503902E-2</v>
      </c>
      <c r="I55">
        <v>0.127253195785965</v>
      </c>
      <c r="J55">
        <v>2.54503031918553E-2</v>
      </c>
      <c r="K55">
        <v>-2.92879699236125E-3</v>
      </c>
      <c r="L55">
        <v>6.9160743809872305E-2</v>
      </c>
      <c r="M55">
        <v>0.18415561393277399</v>
      </c>
      <c r="N55">
        <v>7.4305444433151499E-2</v>
      </c>
      <c r="O55">
        <v>-0.118501545206668</v>
      </c>
      <c r="P55">
        <v>-0.128360895182207</v>
      </c>
      <c r="Q55">
        <v>1.0989327421346499E-2</v>
      </c>
      <c r="R55">
        <v>-0.16017826909611299</v>
      </c>
      <c r="S55">
        <v>-0.16017826909611299</v>
      </c>
      <c r="T55">
        <v>-0.16017826909611299</v>
      </c>
      <c r="U55">
        <v>-0.16017826909611299</v>
      </c>
      <c r="V55">
        <v>-0.16017826909611299</v>
      </c>
      <c r="W55">
        <v>0.71481551609187599</v>
      </c>
      <c r="X55">
        <v>-0.16017826909611299</v>
      </c>
      <c r="Y55">
        <v>-0.16017826909611299</v>
      </c>
      <c r="Z55">
        <v>-0.16017826909611299</v>
      </c>
      <c r="AA55">
        <v>0.28016310906260999</v>
      </c>
      <c r="AB55">
        <v>0.13634084877401401</v>
      </c>
      <c r="AC55">
        <v>-0.16017826909611299</v>
      </c>
      <c r="AD55">
        <v>0.241926626970282</v>
      </c>
      <c r="AE55">
        <v>-0.16017826909611299</v>
      </c>
      <c r="AF55">
        <v>0.34875209287100301</v>
      </c>
      <c r="AG55">
        <v>0.264178144725217</v>
      </c>
      <c r="AH55">
        <v>0.77342995073907905</v>
      </c>
      <c r="AI55">
        <v>1.94978917821782E-3</v>
      </c>
      <c r="AJ55">
        <v>-0.16017826909611299</v>
      </c>
      <c r="AK55">
        <v>-3.9098304975397999E-2</v>
      </c>
      <c r="AL55">
        <v>0.14740160997919599</v>
      </c>
      <c r="AM55">
        <v>2.4829533135775898E-2</v>
      </c>
      <c r="AN55">
        <v>-0.16017826909611299</v>
      </c>
      <c r="AO55">
        <v>-4.8369553988382101E-2</v>
      </c>
      <c r="AP55">
        <v>-0.16017826909611299</v>
      </c>
      <c r="AQ55">
        <v>3.5851016936781999E-2</v>
      </c>
      <c r="AR55">
        <v>-0.16017826909611299</v>
      </c>
      <c r="AS55">
        <v>-9.4663349123935106E-2</v>
      </c>
      <c r="AT55">
        <v>4.1007738503638903E-2</v>
      </c>
      <c r="AU55">
        <v>-0.16017826909611299</v>
      </c>
      <c r="AV55">
        <v>0.20180415623760201</v>
      </c>
      <c r="AW55">
        <v>3.6472780668881398E-2</v>
      </c>
      <c r="AX55">
        <v>0.36040125820918201</v>
      </c>
      <c r="AY55">
        <v>-0.16017826909611299</v>
      </c>
      <c r="AZ55">
        <v>-7.7923409004618693E-2</v>
      </c>
      <c r="BA55">
        <v>-0.16017826909611299</v>
      </c>
      <c r="BB55">
        <v>5.2593352954006897E-2</v>
      </c>
      <c r="BC55">
        <v>-0.16017826909611299</v>
      </c>
      <c r="BD55">
        <v>0.18537449275638801</v>
      </c>
      <c r="BE55">
        <v>6.4359366012969002E-2</v>
      </c>
      <c r="BF55">
        <v>-0.16017826909611299</v>
      </c>
      <c r="BG55">
        <v>-0.16017826909611299</v>
      </c>
      <c r="BH55">
        <v>-8.1679592282539307E-2</v>
      </c>
      <c r="BI55">
        <v>-1.9524278670597201E-3</v>
      </c>
      <c r="BJ55">
        <v>0.422576133421873</v>
      </c>
      <c r="BK55">
        <v>-2.2607618616917801E-2</v>
      </c>
      <c r="BL55">
        <v>-7.53712826659097E-2</v>
      </c>
      <c r="BM55">
        <v>4.9735784015032002E-2</v>
      </c>
      <c r="BN55">
        <v>0.28282621114747503</v>
      </c>
      <c r="BO55">
        <v>1.0687793917884301E-2</v>
      </c>
      <c r="BP55">
        <v>0.12924344108765301</v>
      </c>
      <c r="BQ55">
        <v>0.16261726482198699</v>
      </c>
      <c r="BR55">
        <v>0.24452856558205499</v>
      </c>
      <c r="BS55">
        <v>-0.16017826909611299</v>
      </c>
      <c r="BT55">
        <v>0.11320426206100501</v>
      </c>
      <c r="BU55">
        <v>-3.1866619603519102E-2</v>
      </c>
      <c r="BV55">
        <v>-0.16017826909611299</v>
      </c>
      <c r="BW55">
        <v>-0.16017826909611299</v>
      </c>
      <c r="BX55">
        <v>6.4592717361743298E-3</v>
      </c>
      <c r="BY55">
        <v>-0.16017826909611299</v>
      </c>
      <c r="BZ55">
        <v>0.33547419831511399</v>
      </c>
      <c r="CA55">
        <v>0.40652306973435798</v>
      </c>
      <c r="CB55">
        <v>0.18853577259308099</v>
      </c>
      <c r="CC55">
        <v>-0.16017826909611299</v>
      </c>
      <c r="CD55">
        <v>6.3615312833513E-3</v>
      </c>
      <c r="CE55">
        <v>-0.16017826909611299</v>
      </c>
      <c r="CF55">
        <v>-0.16017826909611299</v>
      </c>
      <c r="CG55">
        <v>5.74641093743362E-2</v>
      </c>
      <c r="CH55">
        <v>3.0785070984742199E-2</v>
      </c>
      <c r="CI55">
        <v>-0.16017826909611299</v>
      </c>
      <c r="CJ55">
        <v>-3.1562411382167699E-2</v>
      </c>
      <c r="CK55">
        <v>0.170243337545708</v>
      </c>
      <c r="CL55">
        <v>-2.0354494509822501E-2</v>
      </c>
      <c r="CM55">
        <v>0.435243189701011</v>
      </c>
      <c r="CN55">
        <v>-0.16017826909611299</v>
      </c>
      <c r="CO55">
        <v>0.526019612232139</v>
      </c>
      <c r="CP55">
        <v>0.41811407830056901</v>
      </c>
      <c r="CQ55">
        <v>0.20025534410832599</v>
      </c>
      <c r="CR55">
        <v>-1.80268471162294E-2</v>
      </c>
      <c r="CS55">
        <v>7.0348703143197605E-2</v>
      </c>
      <c r="CT55">
        <v>0.13046731155669899</v>
      </c>
      <c r="CU55">
        <v>0.363595725826453</v>
      </c>
      <c r="CV55">
        <v>-0.16017826909611299</v>
      </c>
      <c r="CW55">
        <v>-0.16017826909611299</v>
      </c>
      <c r="CX55">
        <v>-0.16017826909611299</v>
      </c>
      <c r="CY55">
        <v>8.2850431225182805E-2</v>
      </c>
      <c r="CZ55">
        <v>0.22645912514994401</v>
      </c>
      <c r="DA55">
        <v>-0.16017826909611299</v>
      </c>
      <c r="DB55">
        <v>4.3381737202383003E-2</v>
      </c>
      <c r="DC55">
        <v>0.141803108812703</v>
      </c>
      <c r="DD55">
        <v>-0.16017826909611299</v>
      </c>
      <c r="DE55">
        <v>-0.16017826909611299</v>
      </c>
      <c r="DF55">
        <v>-8.0685475171175497E-2</v>
      </c>
      <c r="DG55">
        <v>-0.16017826909611299</v>
      </c>
      <c r="DH55">
        <v>5.7945565766164301E-3</v>
      </c>
      <c r="DI55">
        <v>-2.73257528146242E-2</v>
      </c>
      <c r="DJ55">
        <v>0.11973134323859499</v>
      </c>
      <c r="DK55">
        <v>0.10666138235806399</v>
      </c>
      <c r="DL55">
        <v>0.64622998382004704</v>
      </c>
    </row>
    <row r="56" spans="1:116" x14ac:dyDescent="0.25">
      <c r="A56" t="s">
        <v>267</v>
      </c>
      <c r="B56" t="s">
        <v>328</v>
      </c>
      <c r="C56">
        <v>0.18286978757962299</v>
      </c>
      <c r="D56">
        <v>3.0026185175795798E-2</v>
      </c>
      <c r="E56">
        <v>-5.7159363679045602E-2</v>
      </c>
      <c r="F56">
        <v>-0.17792443186552601</v>
      </c>
      <c r="G56">
        <v>-0.17792443186552601</v>
      </c>
      <c r="H56">
        <v>0.175452590811189</v>
      </c>
      <c r="I56">
        <v>-0.17792443186552601</v>
      </c>
      <c r="J56">
        <v>-7.7246171916157805E-2</v>
      </c>
      <c r="K56">
        <v>6.4430166406609396E-2</v>
      </c>
      <c r="L56">
        <v>1.89585468662539E-3</v>
      </c>
      <c r="M56">
        <v>-0.17792443186552601</v>
      </c>
      <c r="N56">
        <v>5.6559281663739497E-2</v>
      </c>
      <c r="O56">
        <v>0.136894666923531</v>
      </c>
      <c r="P56">
        <v>4.9518328933016E-3</v>
      </c>
      <c r="Q56">
        <v>7.9796566974042096E-2</v>
      </c>
      <c r="R56">
        <v>7.0352858401486695E-2</v>
      </c>
      <c r="S56">
        <v>0.16598650141687499</v>
      </c>
      <c r="T56">
        <v>0.76037936542166995</v>
      </c>
      <c r="U56">
        <v>-7.6977673345106107E-2</v>
      </c>
      <c r="V56">
        <v>0.50629603582696703</v>
      </c>
      <c r="W56">
        <v>-0.17792443186552601</v>
      </c>
      <c r="X56">
        <v>0.116715633127617</v>
      </c>
      <c r="Y56">
        <v>0.16148379791444101</v>
      </c>
      <c r="Z56">
        <v>-0.17792443186552601</v>
      </c>
      <c r="AA56">
        <v>0.26241694629319801</v>
      </c>
      <c r="AB56">
        <v>-0.17792443186552601</v>
      </c>
      <c r="AC56">
        <v>0.21688849583234501</v>
      </c>
      <c r="AD56">
        <v>-6.7264581846219904E-2</v>
      </c>
      <c r="AE56">
        <v>-0.17792443186552601</v>
      </c>
      <c r="AF56">
        <v>9.7563483473735793E-2</v>
      </c>
      <c r="AG56">
        <v>7.8388095956105394E-2</v>
      </c>
      <c r="AH56">
        <v>9.4552185476347195E-2</v>
      </c>
      <c r="AI56">
        <v>0.13213796229586</v>
      </c>
      <c r="AJ56">
        <v>-0.17792443186552601</v>
      </c>
      <c r="AK56">
        <v>4.3915730675317302E-4</v>
      </c>
      <c r="AL56">
        <v>0.26376729526372</v>
      </c>
      <c r="AM56">
        <v>7.08337036636389E-3</v>
      </c>
      <c r="AN56">
        <v>-0.17792443186552601</v>
      </c>
      <c r="AO56">
        <v>-0.17792443186552601</v>
      </c>
      <c r="AP56">
        <v>-3.0149748423029199E-2</v>
      </c>
      <c r="AQ56">
        <v>-5.1620854311221202E-2</v>
      </c>
      <c r="AR56">
        <v>-0.17792443186552601</v>
      </c>
      <c r="AS56">
        <v>1.14461495216813E-2</v>
      </c>
      <c r="AT56">
        <v>0.130191978927927</v>
      </c>
      <c r="AU56">
        <v>-0.17792443186552601</v>
      </c>
      <c r="AV56">
        <v>1.69736247186375E-2</v>
      </c>
      <c r="AW56">
        <v>-0.17792443186552601</v>
      </c>
      <c r="AX56">
        <v>0.47294425134576601</v>
      </c>
      <c r="AY56">
        <v>0.66196456187709396</v>
      </c>
      <c r="AZ56">
        <v>5.7617224709328001E-2</v>
      </c>
      <c r="BA56">
        <v>6.4747723340656094E-2</v>
      </c>
      <c r="BB56">
        <v>0.27297333201413398</v>
      </c>
      <c r="BC56">
        <v>5.8833490658070997E-3</v>
      </c>
      <c r="BD56">
        <v>0.16762832998697599</v>
      </c>
      <c r="BE56">
        <v>-8.5472092425026902E-2</v>
      </c>
      <c r="BF56">
        <v>8.0703239072382693E-2</v>
      </c>
      <c r="BG56">
        <v>-0.17792443186552601</v>
      </c>
      <c r="BH56">
        <v>-0.17792443186552601</v>
      </c>
      <c r="BI56">
        <v>1.93640240280324E-2</v>
      </c>
      <c r="BJ56">
        <v>-5.4102477475365701E-2</v>
      </c>
      <c r="BK56">
        <v>7.44247209116604E-2</v>
      </c>
      <c r="BL56">
        <v>-0.17792443186552601</v>
      </c>
      <c r="BM56">
        <v>-0.17792443186552601</v>
      </c>
      <c r="BN56">
        <v>1.1958630144404601E-2</v>
      </c>
      <c r="BO56">
        <v>-7.0583688515278896E-3</v>
      </c>
      <c r="BP56">
        <v>0.11149727831824099</v>
      </c>
      <c r="BQ56">
        <v>0.28841466229232399</v>
      </c>
      <c r="BR56">
        <v>-0.17792443186552601</v>
      </c>
      <c r="BS56">
        <v>5.8342487902182296E-3</v>
      </c>
      <c r="BT56">
        <v>3.6803744023976799E-2</v>
      </c>
      <c r="BU56">
        <v>-0.112548345926361</v>
      </c>
      <c r="BV56">
        <v>-0.17792443186552601</v>
      </c>
      <c r="BW56">
        <v>-0.17792443186552601</v>
      </c>
      <c r="BX56">
        <v>-0.17792443186552601</v>
      </c>
      <c r="BY56">
        <v>-0.111194415317226</v>
      </c>
      <c r="BZ56">
        <v>-0.17792443186552601</v>
      </c>
      <c r="CA56">
        <v>-0.17792443186552601</v>
      </c>
      <c r="CB56">
        <v>-0.17792443186552601</v>
      </c>
      <c r="CC56">
        <v>9.6028568277793297E-2</v>
      </c>
      <c r="CD56">
        <v>-0.17792443186552601</v>
      </c>
      <c r="CE56">
        <v>0.26979661909737002</v>
      </c>
      <c r="CF56">
        <v>1.21228038879402E-2</v>
      </c>
      <c r="CG56">
        <v>-6.5445912859952299E-2</v>
      </c>
      <c r="CH56">
        <v>0.10141318932813199</v>
      </c>
      <c r="CI56">
        <v>0.14307524662822799</v>
      </c>
      <c r="CJ56">
        <v>-4.9308574151579597E-2</v>
      </c>
      <c r="CK56">
        <v>-0.17792443186552601</v>
      </c>
      <c r="CL56">
        <v>-3.8100657279234403E-2</v>
      </c>
      <c r="CM56">
        <v>-0.17792443186552601</v>
      </c>
      <c r="CN56">
        <v>-0.17792443186552601</v>
      </c>
      <c r="CO56">
        <v>0.71135740430054395</v>
      </c>
      <c r="CP56">
        <v>0.23046057358918801</v>
      </c>
      <c r="CQ56">
        <v>1.28851004411418E-2</v>
      </c>
      <c r="CR56">
        <v>9.4868683239340001E-2</v>
      </c>
      <c r="CS56">
        <v>0.173229047434938</v>
      </c>
      <c r="CT56">
        <v>0.11272114878728599</v>
      </c>
      <c r="CU56">
        <v>-0.17792443186552601</v>
      </c>
      <c r="CV56">
        <v>-0.17792443186552601</v>
      </c>
      <c r="CW56">
        <v>-6.2684341268139293E-2</v>
      </c>
      <c r="CX56">
        <v>4.33307489281341E-2</v>
      </c>
      <c r="CY56">
        <v>-0.17792443186552601</v>
      </c>
      <c r="CZ56">
        <v>0.208712962380531</v>
      </c>
      <c r="DA56">
        <v>-4.3929102722799299E-4</v>
      </c>
      <c r="DB56">
        <v>2.5635574432971001E-2</v>
      </c>
      <c r="DC56">
        <v>-0.17792443186552601</v>
      </c>
      <c r="DD56">
        <v>-0.17792443186552601</v>
      </c>
      <c r="DE56">
        <v>-0.12752433507011299</v>
      </c>
      <c r="DF56">
        <v>-9.8431637940587499E-2</v>
      </c>
      <c r="DG56">
        <v>-0.17792443186552601</v>
      </c>
      <c r="DH56">
        <v>-0.17792443186552601</v>
      </c>
      <c r="DI56">
        <v>-4.5071915584036198E-2</v>
      </c>
      <c r="DJ56">
        <v>-0.17792443186552601</v>
      </c>
      <c r="DK56">
        <v>-3.8809890341500598E-2</v>
      </c>
      <c r="DL56">
        <v>0.62848382105063505</v>
      </c>
    </row>
    <row r="57" spans="1:116" s="11" customFormat="1" ht="15.75" thickBot="1" x14ac:dyDescent="0.3">
      <c r="A57" s="11" t="s">
        <v>267</v>
      </c>
      <c r="B57" s="11" t="s">
        <v>329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6.4237856559453299E-2</v>
      </c>
      <c r="K57" s="11">
        <v>0</v>
      </c>
      <c r="L57" s="11">
        <v>0</v>
      </c>
      <c r="M57" s="11">
        <v>0</v>
      </c>
      <c r="N57" s="11">
        <v>0</v>
      </c>
      <c r="O57" s="11">
        <v>8.2385801881645807E-2</v>
      </c>
      <c r="P57" s="11">
        <v>9.3784971242956594E-2</v>
      </c>
      <c r="Q57" s="11">
        <v>6.8391646479245893E-2</v>
      </c>
      <c r="R57" s="11">
        <v>0</v>
      </c>
      <c r="S57" s="11">
        <v>0.18806015344068999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0.44034137815872298</v>
      </c>
      <c r="AB57" s="11">
        <v>0</v>
      </c>
      <c r="AC57" s="11">
        <v>0</v>
      </c>
      <c r="AD57" s="11">
        <v>0.11065985001930601</v>
      </c>
      <c r="AE57" s="11">
        <v>0</v>
      </c>
      <c r="AF57" s="11">
        <v>0.14395444885848199</v>
      </c>
      <c r="AG57" s="11">
        <v>0.13340867828452299</v>
      </c>
      <c r="AH57" s="11">
        <v>0.27247661734187301</v>
      </c>
      <c r="AI57" s="11">
        <v>0.16212805827433099</v>
      </c>
      <c r="AJ57" s="11">
        <v>0.264397287745752</v>
      </c>
      <c r="AK57" s="11">
        <v>0.21095446008572399</v>
      </c>
      <c r="AL57" s="11">
        <v>0.44169172712924498</v>
      </c>
      <c r="AM57" s="11">
        <v>0.26976323640637601</v>
      </c>
      <c r="AN57" s="11">
        <v>0</v>
      </c>
      <c r="AO57" s="11">
        <v>0.314949398972867</v>
      </c>
      <c r="AP57" s="11">
        <v>0.147774683442496</v>
      </c>
      <c r="AQ57" s="11">
        <v>0</v>
      </c>
      <c r="AR57" s="11">
        <v>0</v>
      </c>
      <c r="AS57" s="11">
        <v>0</v>
      </c>
      <c r="AT57" s="11">
        <v>0.201186007599752</v>
      </c>
      <c r="AU57" s="11">
        <v>0</v>
      </c>
      <c r="AV57" s="11">
        <v>3.3221521174110202E-2</v>
      </c>
      <c r="AW57" s="11">
        <v>0</v>
      </c>
      <c r="AX57" s="11">
        <v>0</v>
      </c>
      <c r="AY57" s="11">
        <v>0</v>
      </c>
      <c r="AZ57" s="11">
        <v>0.277864478253596</v>
      </c>
      <c r="BA57" s="11">
        <v>0</v>
      </c>
      <c r="BB57" s="11">
        <v>0</v>
      </c>
      <c r="BC57" s="11">
        <v>0</v>
      </c>
      <c r="BD57" s="11">
        <v>0</v>
      </c>
      <c r="BE57" s="11">
        <v>0.27646513985400301</v>
      </c>
      <c r="BF57" s="11">
        <v>0</v>
      </c>
      <c r="BG57" s="11">
        <v>0</v>
      </c>
      <c r="BH57" s="11">
        <v>0.195989799579839</v>
      </c>
      <c r="BI57" s="11">
        <v>0.37378183619962502</v>
      </c>
      <c r="BJ57" s="11">
        <v>0.12382195439016</v>
      </c>
      <c r="BK57" s="11">
        <v>0.17196895533449999</v>
      </c>
      <c r="BL57" s="11">
        <v>0</v>
      </c>
      <c r="BM57" s="11">
        <v>6.1015404211883499E-2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0.17204818137918601</v>
      </c>
      <c r="BU57" s="11">
        <v>0</v>
      </c>
      <c r="BV57" s="11">
        <v>0</v>
      </c>
      <c r="BW57" s="11">
        <v>0</v>
      </c>
      <c r="BX57" s="11">
        <v>8.5082246039986695E-2</v>
      </c>
      <c r="BY57" s="11">
        <v>0</v>
      </c>
      <c r="BZ57" s="11">
        <v>0.46786352407591197</v>
      </c>
      <c r="CA57" s="11">
        <v>0.24322819684556701</v>
      </c>
      <c r="CB57" s="11">
        <v>0.22256583751067299</v>
      </c>
      <c r="CC57" s="11">
        <v>0.27395300014331903</v>
      </c>
      <c r="CD57" s="11">
        <v>0</v>
      </c>
      <c r="CE57" s="11">
        <v>0.124013115469612</v>
      </c>
      <c r="CF57" s="11">
        <v>0</v>
      </c>
      <c r="CG57" s="11">
        <v>0.112478519005573</v>
      </c>
      <c r="CH57" s="11">
        <v>0</v>
      </c>
      <c r="CI57" s="11">
        <v>0</v>
      </c>
      <c r="CJ57" s="11">
        <v>0</v>
      </c>
      <c r="CK57" s="11">
        <v>0</v>
      </c>
      <c r="CL57" s="11">
        <v>0.26886049758978797</v>
      </c>
      <c r="CM57" s="11">
        <v>0.129438387714083</v>
      </c>
      <c r="CN57" s="11">
        <v>0.23324810170267499</v>
      </c>
      <c r="CO57" s="11">
        <v>0.55459472191511905</v>
      </c>
      <c r="CP57" s="11">
        <v>0</v>
      </c>
      <c r="CQ57" s="11">
        <v>0.190809532306667</v>
      </c>
      <c r="CR57" s="11">
        <v>0.14215142197988401</v>
      </c>
      <c r="CS57" s="11">
        <v>0.23052697223931101</v>
      </c>
      <c r="CT57" s="11">
        <v>0.29064558065281199</v>
      </c>
      <c r="CU57" s="11">
        <v>8.3854964584748407E-2</v>
      </c>
      <c r="CV57" s="11">
        <v>0.34944659869892603</v>
      </c>
      <c r="CW57" s="11">
        <v>0</v>
      </c>
      <c r="CX57" s="11">
        <v>0.12698650578422599</v>
      </c>
      <c r="CY57" s="11">
        <v>0</v>
      </c>
      <c r="CZ57" s="11">
        <v>0</v>
      </c>
      <c r="DA57" s="11">
        <v>4.6235909720434197E-2</v>
      </c>
      <c r="DB57" s="11">
        <v>0.63695097600991102</v>
      </c>
      <c r="DC57" s="11">
        <v>0</v>
      </c>
      <c r="DD57" s="11">
        <v>0</v>
      </c>
      <c r="DE57" s="11">
        <v>0</v>
      </c>
      <c r="DF57" s="11">
        <v>0</v>
      </c>
      <c r="DG57" s="11">
        <v>0</v>
      </c>
      <c r="DH57" s="11">
        <v>0</v>
      </c>
      <c r="DI57" s="11">
        <v>0.132852516281489</v>
      </c>
      <c r="DJ57" s="11">
        <v>0</v>
      </c>
      <c r="DK57" s="11">
        <v>0.38496244708180299</v>
      </c>
      <c r="DL57" s="11">
        <v>0.25393590542001898</v>
      </c>
    </row>
    <row r="59" spans="1:116" x14ac:dyDescent="0.25">
      <c r="A59" s="220" t="s">
        <v>81</v>
      </c>
      <c r="B59" s="220"/>
      <c r="C59">
        <f>AVERAGE(C2:C57)</f>
        <v>-1.366264782765658E-2</v>
      </c>
      <c r="D59">
        <f t="shared" ref="D59:BO59" si="0">AVERAGE(D2:D57)</f>
        <v>-2.3528349883610199E-2</v>
      </c>
      <c r="E59">
        <f t="shared" si="0"/>
        <v>-7.5646733278715489E-2</v>
      </c>
      <c r="F59">
        <f t="shared" si="0"/>
        <v>-4.8747314902750402E-2</v>
      </c>
      <c r="G59">
        <f t="shared" si="0"/>
        <v>-5.9420349496838845E-2</v>
      </c>
      <c r="H59">
        <f t="shared" si="0"/>
        <v>-7.7881452391725378E-2</v>
      </c>
      <c r="I59">
        <f t="shared" si="0"/>
        <v>-5.2862000926425359E-2</v>
      </c>
      <c r="J59">
        <f t="shared" si="0"/>
        <v>-2.6740584477872312E-2</v>
      </c>
      <c r="K59">
        <f t="shared" si="0"/>
        <v>-3.460076187515522E-2</v>
      </c>
      <c r="L59">
        <f t="shared" si="0"/>
        <v>-5.6596564780402911E-2</v>
      </c>
      <c r="M59">
        <f t="shared" si="0"/>
        <v>-2.0594718512483623E-2</v>
      </c>
      <c r="N59">
        <f t="shared" si="0"/>
        <v>0.12649825008957641</v>
      </c>
      <c r="O59">
        <f t="shared" si="0"/>
        <v>7.6173555722589548E-2</v>
      </c>
      <c r="P59">
        <f t="shared" si="0"/>
        <v>0.11067466898798664</v>
      </c>
      <c r="Q59">
        <f t="shared" si="0"/>
        <v>0.12071333736704251</v>
      </c>
      <c r="R59">
        <f t="shared" si="0"/>
        <v>4.9705540340464281E-2</v>
      </c>
      <c r="S59">
        <f t="shared" si="0"/>
        <v>0.11921688700220541</v>
      </c>
      <c r="T59">
        <f t="shared" si="0"/>
        <v>2.745487651590359E-2</v>
      </c>
      <c r="U59">
        <f t="shared" si="0"/>
        <v>-2.8002010124393777E-2</v>
      </c>
      <c r="V59">
        <f t="shared" si="0"/>
        <v>0.17339088499121441</v>
      </c>
      <c r="W59">
        <f t="shared" si="0"/>
        <v>9.0035107758352759E-2</v>
      </c>
      <c r="X59">
        <f t="shared" si="0"/>
        <v>0.20341991145322461</v>
      </c>
      <c r="Y59">
        <f t="shared" si="0"/>
        <v>0.16137793668604042</v>
      </c>
      <c r="Z59">
        <f t="shared" si="0"/>
        <v>4.8232028448659696E-2</v>
      </c>
      <c r="AA59">
        <f t="shared" si="0"/>
        <v>0.14208277724420584</v>
      </c>
      <c r="AB59">
        <f t="shared" si="0"/>
        <v>0.15853622120934457</v>
      </c>
      <c r="AC59">
        <f t="shared" si="0"/>
        <v>0.1283409885126254</v>
      </c>
      <c r="AD59">
        <f t="shared" si="0"/>
        <v>0.18922829366738392</v>
      </c>
      <c r="AE59">
        <f t="shared" si="0"/>
        <v>0.17760308373013964</v>
      </c>
      <c r="AF59">
        <f t="shared" si="0"/>
        <v>0.28244039042289715</v>
      </c>
      <c r="AG59">
        <f t="shared" si="0"/>
        <v>0.23568091125347945</v>
      </c>
      <c r="AH59">
        <f t="shared" si="0"/>
        <v>0.22267970264570539</v>
      </c>
      <c r="AI59">
        <f t="shared" si="0"/>
        <v>0.20750058651201447</v>
      </c>
      <c r="AJ59">
        <f t="shared" si="0"/>
        <v>0.10773385014655733</v>
      </c>
      <c r="AK59">
        <f t="shared" si="0"/>
        <v>0.13865449750865097</v>
      </c>
      <c r="AL59">
        <f t="shared" si="0"/>
        <v>0.12763047179901787</v>
      </c>
      <c r="AM59">
        <f t="shared" si="0"/>
        <v>0.13386655858194244</v>
      </c>
      <c r="AN59">
        <f t="shared" si="0"/>
        <v>6.66033187014059E-2</v>
      </c>
      <c r="AO59">
        <f t="shared" si="0"/>
        <v>9.8706198677198063E-3</v>
      </c>
      <c r="AP59">
        <f t="shared" si="0"/>
        <v>-3.1584513580370727E-3</v>
      </c>
      <c r="AQ59">
        <f t="shared" si="0"/>
        <v>-1.7991542311770282E-2</v>
      </c>
      <c r="AR59">
        <f t="shared" si="0"/>
        <v>-1.418524688703989E-2</v>
      </c>
      <c r="AS59">
        <f t="shared" si="0"/>
        <v>-6.4093005034317155E-2</v>
      </c>
      <c r="AT59">
        <f t="shared" si="0"/>
        <v>7.0144584484220965E-2</v>
      </c>
      <c r="AU59">
        <f t="shared" si="0"/>
        <v>-2.6245951273327708E-2</v>
      </c>
      <c r="AV59">
        <f t="shared" si="0"/>
        <v>4.0339275922785398E-2</v>
      </c>
      <c r="AW59">
        <f t="shared" si="0"/>
        <v>-1.051514834803176E-2</v>
      </c>
      <c r="AX59">
        <f t="shared" si="0"/>
        <v>0.10717431370176571</v>
      </c>
      <c r="AY59">
        <f t="shared" si="0"/>
        <v>-3.1555577601092066E-2</v>
      </c>
      <c r="AZ59">
        <f t="shared" si="0"/>
        <v>0.14755938302949437</v>
      </c>
      <c r="BA59">
        <f t="shared" si="0"/>
        <v>9.2497935282910365E-2</v>
      </c>
      <c r="BB59">
        <f t="shared" si="0"/>
        <v>1.8721874220949092E-2</v>
      </c>
      <c r="BC59">
        <f t="shared" si="0"/>
        <v>9.7980007614147185E-2</v>
      </c>
      <c r="BD59">
        <f t="shared" si="0"/>
        <v>0.1031551679536226</v>
      </c>
      <c r="BE59">
        <f t="shared" si="0"/>
        <v>4.7507634382708719E-2</v>
      </c>
      <c r="BF59">
        <f t="shared" si="0"/>
        <v>2.9464896134646697E-2</v>
      </c>
      <c r="BG59">
        <f t="shared" si="0"/>
        <v>-1.2243435040524473E-2</v>
      </c>
      <c r="BH59">
        <f t="shared" si="0"/>
        <v>3.2890530505859633E-2</v>
      </c>
      <c r="BI59">
        <f t="shared" si="0"/>
        <v>7.8563075623552622E-2</v>
      </c>
      <c r="BJ59">
        <f t="shared" si="0"/>
        <v>0.1150363565906829</v>
      </c>
      <c r="BK59">
        <f t="shared" si="0"/>
        <v>9.07660904260464E-2</v>
      </c>
      <c r="BL59">
        <f t="shared" si="0"/>
        <v>1.7220080406046428E-2</v>
      </c>
      <c r="BM59">
        <f t="shared" si="0"/>
        <v>2.9647629040480968E-2</v>
      </c>
      <c r="BN59">
        <f t="shared" si="0"/>
        <v>5.9464551340140136E-2</v>
      </c>
      <c r="BO59">
        <f t="shared" si="0"/>
        <v>6.8569909156459205E-2</v>
      </c>
      <c r="BP59">
        <f t="shared" ref="BP59:DL59" si="1">AVERAGE(BP2:BP57)</f>
        <v>7.8611474188019378E-2</v>
      </c>
      <c r="BQ59">
        <f t="shared" si="1"/>
        <v>9.4432104861567542E-2</v>
      </c>
      <c r="BR59">
        <f t="shared" si="1"/>
        <v>4.566120372615963E-2</v>
      </c>
      <c r="BS59">
        <f t="shared" si="1"/>
        <v>8.5580548360236722E-2</v>
      </c>
      <c r="BT59">
        <f t="shared" si="1"/>
        <v>4.5345349176519403E-2</v>
      </c>
      <c r="BU59">
        <f t="shared" si="1"/>
        <v>0.11656760112747806</v>
      </c>
      <c r="BV59">
        <f t="shared" si="1"/>
        <v>5.2097486285107776E-2</v>
      </c>
      <c r="BW59">
        <f t="shared" si="1"/>
        <v>5.1040851369368624E-2</v>
      </c>
      <c r="BX59">
        <f t="shared" si="1"/>
        <v>-7.4161305852483905E-3</v>
      </c>
      <c r="BY59">
        <f t="shared" si="1"/>
        <v>-2.1581085581025561E-2</v>
      </c>
      <c r="BZ59">
        <f t="shared" si="1"/>
        <v>1.0285335183016234E-2</v>
      </c>
      <c r="CA59">
        <f t="shared" si="1"/>
        <v>4.0954918861357568E-2</v>
      </c>
      <c r="CB59">
        <f t="shared" si="1"/>
        <v>6.1448029265799779E-2</v>
      </c>
      <c r="CC59">
        <f t="shared" si="1"/>
        <v>3.2297555788696961E-2</v>
      </c>
      <c r="CD59">
        <f t="shared" si="1"/>
        <v>-5.812552986069635E-2</v>
      </c>
      <c r="CE59">
        <f t="shared" si="1"/>
        <v>4.2463407854374656E-2</v>
      </c>
      <c r="CF59">
        <f t="shared" si="1"/>
        <v>3.9284202776594217E-3</v>
      </c>
      <c r="CG59">
        <f t="shared" si="1"/>
        <v>-2.1879086899156104E-3</v>
      </c>
      <c r="CH59">
        <f t="shared" si="1"/>
        <v>-2.6007174409053285E-2</v>
      </c>
      <c r="CI59">
        <f t="shared" si="1"/>
        <v>-1.0339381054931296E-2</v>
      </c>
      <c r="CJ59">
        <f t="shared" si="1"/>
        <v>0.11864099707236322</v>
      </c>
      <c r="CK59">
        <f t="shared" si="1"/>
        <v>3.0541045390874471E-2</v>
      </c>
      <c r="CL59">
        <f t="shared" si="1"/>
        <v>1.3787389729998286E-2</v>
      </c>
      <c r="CM59">
        <f t="shared" si="1"/>
        <v>-9.0956976587575934E-3</v>
      </c>
      <c r="CN59">
        <f t="shared" si="1"/>
        <v>-1.4074809421435021E-2</v>
      </c>
      <c r="CO59">
        <f t="shared" si="1"/>
        <v>0.21835589976513597</v>
      </c>
      <c r="CP59">
        <f t="shared" si="1"/>
        <v>0.19245494340577948</v>
      </c>
      <c r="CQ59">
        <f t="shared" si="1"/>
        <v>9.7652070440843231E-2</v>
      </c>
      <c r="CR59">
        <f t="shared" si="1"/>
        <v>0.29556833742211291</v>
      </c>
      <c r="CS59">
        <f t="shared" si="1"/>
        <v>0.26076066973416817</v>
      </c>
      <c r="CT59">
        <f t="shared" si="1"/>
        <v>8.3235774522499681E-2</v>
      </c>
      <c r="CU59">
        <f t="shared" si="1"/>
        <v>0.16598852461973448</v>
      </c>
      <c r="CV59">
        <f t="shared" si="1"/>
        <v>9.0479775577821692E-2</v>
      </c>
      <c r="CW59">
        <f t="shared" si="1"/>
        <v>2.6685835961623442E-2</v>
      </c>
      <c r="CX59">
        <f t="shared" si="1"/>
        <v>-1.7525741924361862E-2</v>
      </c>
      <c r="CY59">
        <f t="shared" si="1"/>
        <v>-4.8998519438525005E-2</v>
      </c>
      <c r="CZ59">
        <f t="shared" si="1"/>
        <v>3.6547116872581324E-2</v>
      </c>
      <c r="DA59">
        <f t="shared" si="1"/>
        <v>5.5280493203449285E-2</v>
      </c>
      <c r="DB59">
        <f t="shared" si="1"/>
        <v>8.4012955150930019E-2</v>
      </c>
      <c r="DC59">
        <f t="shared" si="1"/>
        <v>0.12872315462433565</v>
      </c>
      <c r="DD59">
        <f t="shared" si="1"/>
        <v>8.7930922172471445E-3</v>
      </c>
      <c r="DE59">
        <f t="shared" si="1"/>
        <v>-4.9060913529569185E-2</v>
      </c>
      <c r="DF59">
        <f t="shared" si="1"/>
        <v>-3.0899117423761138E-2</v>
      </c>
      <c r="DG59">
        <f t="shared" si="1"/>
        <v>0.13455557891712064</v>
      </c>
      <c r="DH59">
        <f t="shared" si="1"/>
        <v>5.4654991540539211E-2</v>
      </c>
      <c r="DI59">
        <f t="shared" si="1"/>
        <v>-1.9489526199171273E-2</v>
      </c>
      <c r="DJ59">
        <f t="shared" si="1"/>
        <v>0.10279216546252881</v>
      </c>
      <c r="DK59">
        <f t="shared" si="1"/>
        <v>0.2462406600717795</v>
      </c>
      <c r="DL59">
        <f t="shared" si="1"/>
        <v>0.28428039249730136</v>
      </c>
    </row>
    <row r="60" spans="1:116" x14ac:dyDescent="0.25">
      <c r="A60" s="220" t="s">
        <v>262</v>
      </c>
      <c r="B60" s="220"/>
      <c r="C60">
        <f>AVERAGE(C18:C38)</f>
        <v>-3.515981985056188E-2</v>
      </c>
      <c r="D60">
        <f t="shared" ref="D60:BO60" si="2">AVERAGE(D18:D38)</f>
        <v>-7.2414065634623437E-2</v>
      </c>
      <c r="E60">
        <f t="shared" si="2"/>
        <v>-0.11917354375447649</v>
      </c>
      <c r="F60">
        <f t="shared" si="2"/>
        <v>-4.658575436553955E-2</v>
      </c>
      <c r="G60">
        <f t="shared" si="2"/>
        <v>-7.2663377877861243E-2</v>
      </c>
      <c r="H60">
        <f t="shared" si="2"/>
        <v>-0.1109000233969988</v>
      </c>
      <c r="I60">
        <f t="shared" si="2"/>
        <v>-6.3187991384085929E-2</v>
      </c>
      <c r="J60">
        <f t="shared" si="2"/>
        <v>-3.4054846191956326E-2</v>
      </c>
      <c r="K60">
        <f t="shared" si="2"/>
        <v>-8.0658907679185876E-2</v>
      </c>
      <c r="L60">
        <f t="shared" si="2"/>
        <v>-6.6501944362397286E-2</v>
      </c>
      <c r="M60">
        <f t="shared" si="2"/>
        <v>-5.4865261498806758E-3</v>
      </c>
      <c r="N60">
        <f t="shared" si="2"/>
        <v>4.7702199045492721E-2</v>
      </c>
      <c r="O60">
        <f t="shared" si="2"/>
        <v>1.2367360115859158E-2</v>
      </c>
      <c r="P60">
        <f t="shared" si="2"/>
        <v>5.1865882456115175E-2</v>
      </c>
      <c r="Q60">
        <f t="shared" si="2"/>
        <v>0.13171359011709705</v>
      </c>
      <c r="R60">
        <f t="shared" si="2"/>
        <v>6.9388203481678581E-2</v>
      </c>
      <c r="S60">
        <f t="shared" si="2"/>
        <v>6.7466477972248806E-2</v>
      </c>
      <c r="T60">
        <f t="shared" si="2"/>
        <v>-6.6441415685454808E-2</v>
      </c>
      <c r="U60">
        <f t="shared" si="2"/>
        <v>-3.5096112965833717E-2</v>
      </c>
      <c r="V60">
        <f t="shared" si="2"/>
        <v>4.5993357095605938E-2</v>
      </c>
      <c r="W60">
        <f t="shared" si="2"/>
        <v>-2.4460920968641518E-2</v>
      </c>
      <c r="X60">
        <f t="shared" si="2"/>
        <v>3.9219667275022241E-2</v>
      </c>
      <c r="Y60">
        <f t="shared" si="2"/>
        <v>1.095678753245582E-2</v>
      </c>
      <c r="Z60">
        <f t="shared" si="2"/>
        <v>-0.11824870225202859</v>
      </c>
      <c r="AA60">
        <f t="shared" si="2"/>
        <v>0.13718791093828739</v>
      </c>
      <c r="AB60">
        <f t="shared" si="2"/>
        <v>5.1073377334627058E-2</v>
      </c>
      <c r="AC60">
        <f t="shared" si="2"/>
        <v>0.10922763903049679</v>
      </c>
      <c r="AD60">
        <f t="shared" si="2"/>
        <v>0.17586611914307237</v>
      </c>
      <c r="AE60">
        <f t="shared" si="2"/>
        <v>9.2127879481845393E-2</v>
      </c>
      <c r="AF60">
        <f t="shared" si="2"/>
        <v>0.11457617333026293</v>
      </c>
      <c r="AG60">
        <f t="shared" si="2"/>
        <v>0.12162023164065364</v>
      </c>
      <c r="AH60">
        <f t="shared" si="2"/>
        <v>0.11355964051769724</v>
      </c>
      <c r="AI60">
        <f t="shared" si="2"/>
        <v>0.1822161291207674</v>
      </c>
      <c r="AJ60">
        <f t="shared" si="2"/>
        <v>9.0475967107668004E-2</v>
      </c>
      <c r="AK60">
        <f t="shared" si="2"/>
        <v>4.7372154275584478E-2</v>
      </c>
      <c r="AL60">
        <f t="shared" si="2"/>
        <v>8.6620001651462036E-3</v>
      </c>
      <c r="AM60">
        <f t="shared" si="2"/>
        <v>7.8450145877487706E-2</v>
      </c>
      <c r="AN60">
        <f t="shared" si="2"/>
        <v>0.12100294387193086</v>
      </c>
      <c r="AO60">
        <f t="shared" si="2"/>
        <v>-4.638180770568371E-2</v>
      </c>
      <c r="AP60">
        <f t="shared" si="2"/>
        <v>-3.3850684496325591E-2</v>
      </c>
      <c r="AQ60">
        <f t="shared" si="2"/>
        <v>-5.1990285865771847E-2</v>
      </c>
      <c r="AR60">
        <f t="shared" si="2"/>
        <v>-4.6023590023338848E-2</v>
      </c>
      <c r="AS60">
        <f t="shared" si="2"/>
        <v>-9.3208923774496494E-2</v>
      </c>
      <c r="AT60">
        <f t="shared" si="2"/>
        <v>3.0679093632189749E-2</v>
      </c>
      <c r="AU60">
        <f t="shared" si="2"/>
        <v>-1.1016832479173806E-3</v>
      </c>
      <c r="AV60">
        <f t="shared" si="2"/>
        <v>1.633967559120127E-2</v>
      </c>
      <c r="AW60">
        <f t="shared" si="2"/>
        <v>5.0177579465181102E-2</v>
      </c>
      <c r="AX60">
        <f t="shared" si="2"/>
        <v>7.061040028447145E-2</v>
      </c>
      <c r="AY60">
        <f t="shared" si="2"/>
        <v>-0.10187630192934349</v>
      </c>
      <c r="AZ60">
        <f t="shared" si="2"/>
        <v>0.22620192686811696</v>
      </c>
      <c r="BA60">
        <f t="shared" si="2"/>
        <v>0.11589995493624328</v>
      </c>
      <c r="BB60">
        <f t="shared" si="2"/>
        <v>2.6009193130222791E-2</v>
      </c>
      <c r="BC60">
        <f t="shared" si="2"/>
        <v>0.17156085931258605</v>
      </c>
      <c r="BD60">
        <f t="shared" si="2"/>
        <v>8.4165143887051472E-2</v>
      </c>
      <c r="BE60">
        <f t="shared" si="2"/>
        <v>8.841666128360319E-2</v>
      </c>
      <c r="BF60">
        <f t="shared" si="2"/>
        <v>7.7903241368811577E-2</v>
      </c>
      <c r="BG60">
        <f t="shared" si="2"/>
        <v>-4.2796001936631897E-2</v>
      </c>
      <c r="BH60">
        <f t="shared" si="2"/>
        <v>4.0941934520504757E-2</v>
      </c>
      <c r="BI60">
        <f t="shared" si="2"/>
        <v>0.11283175905066625</v>
      </c>
      <c r="BJ60">
        <f t="shared" si="2"/>
        <v>0.10854475595752391</v>
      </c>
      <c r="BK60">
        <f t="shared" si="2"/>
        <v>0.11461323310101733</v>
      </c>
      <c r="BL60">
        <f t="shared" si="2"/>
        <v>2.2135919886784344E-2</v>
      </c>
      <c r="BM60">
        <f t="shared" si="2"/>
        <v>5.388437167710728E-2</v>
      </c>
      <c r="BN60">
        <f t="shared" si="2"/>
        <v>3.7833407494601567E-2</v>
      </c>
      <c r="BO60">
        <f t="shared" si="2"/>
        <v>5.9623461948833209E-2</v>
      </c>
      <c r="BP60">
        <f t="shared" ref="BP60:DL60" si="3">AVERAGE(BP18:BP38)</f>
        <v>6.2228196081202176E-2</v>
      </c>
      <c r="BQ60">
        <f t="shared" si="3"/>
        <v>9.5204530849904878E-2</v>
      </c>
      <c r="BR60">
        <f t="shared" si="3"/>
        <v>9.2126342160310098E-2</v>
      </c>
      <c r="BS60">
        <f t="shared" si="3"/>
        <v>0.12072288082751804</v>
      </c>
      <c r="BT60">
        <f t="shared" si="3"/>
        <v>4.3260384514292469E-2</v>
      </c>
      <c r="BU60">
        <f t="shared" si="3"/>
        <v>0.10525170563063953</v>
      </c>
      <c r="BV60">
        <f t="shared" si="3"/>
        <v>6.0725429005291397E-2</v>
      </c>
      <c r="BW60">
        <f t="shared" si="3"/>
        <v>6.9674547521584779E-2</v>
      </c>
      <c r="BX60">
        <f t="shared" si="3"/>
        <v>6.3050623995406386E-3</v>
      </c>
      <c r="BY60">
        <f t="shared" si="3"/>
        <v>-7.6818791579996248E-4</v>
      </c>
      <c r="BZ60">
        <f t="shared" si="3"/>
        <v>-7.8725688814485859E-3</v>
      </c>
      <c r="CA60">
        <f t="shared" si="3"/>
        <v>2.4427428745958046E-2</v>
      </c>
      <c r="CB60">
        <f t="shared" si="3"/>
        <v>3.743498068854105E-2</v>
      </c>
      <c r="CC60">
        <f t="shared" si="3"/>
        <v>0.12428457691277853</v>
      </c>
      <c r="CD60">
        <f t="shared" si="3"/>
        <v>-1.2016491197886852E-2</v>
      </c>
      <c r="CE60">
        <f t="shared" si="3"/>
        <v>4.8574238995312283E-2</v>
      </c>
      <c r="CF60">
        <f t="shared" si="3"/>
        <v>2.5754334102266178E-2</v>
      </c>
      <c r="CG60">
        <f t="shared" si="3"/>
        <v>9.2754183932898908E-3</v>
      </c>
      <c r="CH60">
        <f t="shared" si="3"/>
        <v>-2.298634579140409E-2</v>
      </c>
      <c r="CI60">
        <f t="shared" si="3"/>
        <v>-1.2448110348510955E-2</v>
      </c>
      <c r="CJ60">
        <f t="shared" si="3"/>
        <v>8.1331305662995776E-2</v>
      </c>
      <c r="CK60">
        <f t="shared" si="3"/>
        <v>-1.3433318377786475E-2</v>
      </c>
      <c r="CL60">
        <f t="shared" si="3"/>
        <v>-2.5865491931766349E-2</v>
      </c>
      <c r="CM60">
        <f t="shared" si="3"/>
        <v>-1.8706800815335062E-2</v>
      </c>
      <c r="CN60">
        <f t="shared" si="3"/>
        <v>1.7933782804080072E-2</v>
      </c>
      <c r="CO60">
        <f t="shared" si="3"/>
        <v>0.21559179653479871</v>
      </c>
      <c r="CP60">
        <f t="shared" si="3"/>
        <v>0.18459538002628134</v>
      </c>
      <c r="CQ60">
        <f t="shared" si="3"/>
        <v>7.583033186460833E-2</v>
      </c>
      <c r="CR60">
        <f t="shared" si="3"/>
        <v>0.34832847915389992</v>
      </c>
      <c r="CS60">
        <f t="shared" si="3"/>
        <v>0.30539165025490161</v>
      </c>
      <c r="CT60">
        <f t="shared" si="3"/>
        <v>0.14000902986447836</v>
      </c>
      <c r="CU60">
        <f t="shared" si="3"/>
        <v>0.20080214069810412</v>
      </c>
      <c r="CV60">
        <f t="shared" si="3"/>
        <v>0.19186665979346304</v>
      </c>
      <c r="CW60">
        <f t="shared" si="3"/>
        <v>3.3928743325224893E-3</v>
      </c>
      <c r="CX60">
        <f t="shared" si="3"/>
        <v>-6.4188518340694029E-2</v>
      </c>
      <c r="CY60">
        <f t="shared" si="3"/>
        <v>-3.8577560346013152E-2</v>
      </c>
      <c r="CZ60">
        <f t="shared" si="3"/>
        <v>-3.872794740547942E-2</v>
      </c>
      <c r="DA60">
        <f t="shared" si="3"/>
        <v>-8.6919654781746731E-4</v>
      </c>
      <c r="DB60">
        <f t="shared" si="3"/>
        <v>6.1307183892326741E-2</v>
      </c>
      <c r="DC60">
        <f t="shared" si="3"/>
        <v>6.9394689505762386E-2</v>
      </c>
      <c r="DD60">
        <f t="shared" si="3"/>
        <v>3.1736262131296558E-2</v>
      </c>
      <c r="DE60">
        <f t="shared" si="3"/>
        <v>-0.10911861188820775</v>
      </c>
      <c r="DF60">
        <f t="shared" si="3"/>
        <v>-9.7851046695569252E-2</v>
      </c>
      <c r="DG60">
        <f t="shared" si="3"/>
        <v>0.13269295060997313</v>
      </c>
      <c r="DH60">
        <f t="shared" si="3"/>
        <v>1.42087453179269E-2</v>
      </c>
      <c r="DI60">
        <f t="shared" si="3"/>
        <v>-3.5134809152795744E-2</v>
      </c>
      <c r="DJ60">
        <f t="shared" si="3"/>
        <v>6.0321674476223691E-2</v>
      </c>
      <c r="DK60">
        <f t="shared" si="3"/>
        <v>0.13728232704301804</v>
      </c>
      <c r="DL60">
        <f t="shared" si="3"/>
        <v>0.22156850268385697</v>
      </c>
    </row>
    <row r="61" spans="1:116" x14ac:dyDescent="0.25">
      <c r="A61" s="220" t="s">
        <v>263</v>
      </c>
      <c r="B61" s="220"/>
      <c r="C61">
        <f>AVERAGE(C2:C17)</f>
        <v>-5.8891952058149996E-2</v>
      </c>
      <c r="D61">
        <f t="shared" ref="D61:BO61" si="4">AVERAGE(D2:D17)</f>
        <v>-1.5024773953694687E-2</v>
      </c>
      <c r="E61">
        <f t="shared" si="4"/>
        <v>-5.7519991860118268E-2</v>
      </c>
      <c r="F61">
        <f t="shared" si="4"/>
        <v>-4.4751313800373442E-2</v>
      </c>
      <c r="G61">
        <f t="shared" si="4"/>
        <v>-8.4240168926669495E-2</v>
      </c>
      <c r="H61">
        <f t="shared" si="4"/>
        <v>-0.10101907693786401</v>
      </c>
      <c r="I61">
        <f t="shared" si="4"/>
        <v>-5.2033565294648164E-2</v>
      </c>
      <c r="J61">
        <f t="shared" si="4"/>
        <v>-5.1255034044841538E-2</v>
      </c>
      <c r="K61">
        <f t="shared" si="4"/>
        <v>-4.8077937344608135E-2</v>
      </c>
      <c r="L61">
        <f t="shared" si="4"/>
        <v>-0.11141895083129782</v>
      </c>
      <c r="M61">
        <f t="shared" si="4"/>
        <v>-2.9795128186066704E-2</v>
      </c>
      <c r="N61">
        <f t="shared" si="4"/>
        <v>0.33449769875535096</v>
      </c>
      <c r="O61">
        <f t="shared" si="4"/>
        <v>0.22137198741092357</v>
      </c>
      <c r="P61">
        <f t="shared" si="4"/>
        <v>0.26451754553604673</v>
      </c>
      <c r="Q61">
        <f t="shared" si="4"/>
        <v>0.21167464992931734</v>
      </c>
      <c r="R61">
        <f t="shared" si="4"/>
        <v>8.7857579467898198E-2</v>
      </c>
      <c r="S61">
        <f t="shared" si="4"/>
        <v>0.28600980406820081</v>
      </c>
      <c r="T61">
        <f t="shared" si="4"/>
        <v>4.551705250972763E-2</v>
      </c>
      <c r="U61">
        <f t="shared" si="4"/>
        <v>2.7760788146184497E-2</v>
      </c>
      <c r="V61">
        <f t="shared" si="4"/>
        <v>0.27993032349470282</v>
      </c>
      <c r="W61">
        <f t="shared" si="4"/>
        <v>0.33247247390617735</v>
      </c>
      <c r="X61">
        <f t="shared" si="4"/>
        <v>0.37001028445717721</v>
      </c>
      <c r="Y61">
        <f t="shared" si="4"/>
        <v>0.48167595512068562</v>
      </c>
      <c r="Z61">
        <f t="shared" si="4"/>
        <v>0.49994894455892608</v>
      </c>
      <c r="AA61">
        <f t="shared" si="4"/>
        <v>4.4968566612573493E-2</v>
      </c>
      <c r="AB61">
        <f t="shared" si="4"/>
        <v>0.33622643005026664</v>
      </c>
      <c r="AC61">
        <f t="shared" si="4"/>
        <v>0.19118182580345619</v>
      </c>
      <c r="AD61">
        <f t="shared" si="4"/>
        <v>0.28549563020926705</v>
      </c>
      <c r="AE61">
        <f t="shared" si="4"/>
        <v>0.43863075280985758</v>
      </c>
      <c r="AF61">
        <f t="shared" si="4"/>
        <v>0.50338849890155413</v>
      </c>
      <c r="AG61">
        <f t="shared" si="4"/>
        <v>0.45015532713740886</v>
      </c>
      <c r="AH61">
        <f t="shared" si="4"/>
        <v>0.34630773545863025</v>
      </c>
      <c r="AI61">
        <f t="shared" si="4"/>
        <v>0.2964786938763056</v>
      </c>
      <c r="AJ61">
        <f t="shared" si="4"/>
        <v>0.21510128691873398</v>
      </c>
      <c r="AK61">
        <f t="shared" si="4"/>
        <v>0.26556314442995765</v>
      </c>
      <c r="AL61">
        <f t="shared" si="4"/>
        <v>0.23485468111533883</v>
      </c>
      <c r="AM61">
        <f t="shared" si="4"/>
        <v>0.23153281640122847</v>
      </c>
      <c r="AN61">
        <f t="shared" si="4"/>
        <v>2.6152651659607243E-2</v>
      </c>
      <c r="AO61">
        <f t="shared" si="4"/>
        <v>8.7459696804997863E-2</v>
      </c>
      <c r="AP61">
        <f t="shared" si="4"/>
        <v>5.4425111891343823E-2</v>
      </c>
      <c r="AQ61">
        <f t="shared" si="4"/>
        <v>-9.7808046225908787E-4</v>
      </c>
      <c r="AR61">
        <f t="shared" si="4"/>
        <v>5.6110835376111168E-2</v>
      </c>
      <c r="AS61">
        <f t="shared" si="4"/>
        <v>-3.9814094976735534E-2</v>
      </c>
      <c r="AT61">
        <f t="shared" si="4"/>
        <v>0.13315620528154917</v>
      </c>
      <c r="AU61">
        <f t="shared" si="4"/>
        <v>-3.5283241016117489E-2</v>
      </c>
      <c r="AV61">
        <f t="shared" si="4"/>
        <v>0.12459890592250666</v>
      </c>
      <c r="AW61">
        <f t="shared" si="4"/>
        <v>-9.6099274719958189E-2</v>
      </c>
      <c r="AX61">
        <f t="shared" si="4"/>
        <v>0.1057977256075721</v>
      </c>
      <c r="AY61">
        <f t="shared" si="4"/>
        <v>-6.3261762583297992E-2</v>
      </c>
      <c r="AZ61">
        <f t="shared" si="4"/>
        <v>3.5810405612793299E-2</v>
      </c>
      <c r="BA61">
        <f t="shared" si="4"/>
        <v>7.7786580265604463E-2</v>
      </c>
      <c r="BB61">
        <f t="shared" si="4"/>
        <v>-1.4009002151388943E-2</v>
      </c>
      <c r="BC61">
        <f t="shared" si="4"/>
        <v>6.7160704429119866E-2</v>
      </c>
      <c r="BD61">
        <f t="shared" si="4"/>
        <v>0.13787515367560063</v>
      </c>
      <c r="BE61">
        <f t="shared" si="4"/>
        <v>-3.4259743116807854E-3</v>
      </c>
      <c r="BF61">
        <f t="shared" si="4"/>
        <v>-3.1967512565115826E-2</v>
      </c>
      <c r="BG61">
        <f t="shared" si="4"/>
        <v>2.6629700703784089E-2</v>
      </c>
      <c r="BH61">
        <f t="shared" si="4"/>
        <v>4.0704214311335245E-2</v>
      </c>
      <c r="BI61">
        <f t="shared" si="4"/>
        <v>6.5155743053950818E-2</v>
      </c>
      <c r="BJ61">
        <f t="shared" si="4"/>
        <v>7.2491921353580069E-2</v>
      </c>
      <c r="BK61">
        <f t="shared" si="4"/>
        <v>9.3301818486470553E-2</v>
      </c>
      <c r="BL61">
        <f t="shared" si="4"/>
        <v>3.7829256263598163E-2</v>
      </c>
      <c r="BM61">
        <f t="shared" si="4"/>
        <v>3.9866100786986967E-3</v>
      </c>
      <c r="BN61">
        <f t="shared" si="4"/>
        <v>6.5899994485987726E-2</v>
      </c>
      <c r="BO61">
        <f t="shared" si="4"/>
        <v>7.967035244157622E-2</v>
      </c>
      <c r="BP61">
        <f t="shared" ref="BP61:DL61" si="5">AVERAGE(BP2:BP17)</f>
        <v>7.5710883520162628E-2</v>
      </c>
      <c r="BQ61">
        <f t="shared" si="5"/>
        <v>0.12379536475324072</v>
      </c>
      <c r="BR61">
        <f t="shared" si="5"/>
        <v>-6.0906224395604605E-3</v>
      </c>
      <c r="BS61">
        <f t="shared" si="5"/>
        <v>5.5338218193299253E-2</v>
      </c>
      <c r="BT61">
        <f t="shared" si="5"/>
        <v>5.2812323719377489E-2</v>
      </c>
      <c r="BU61">
        <f t="shared" si="5"/>
        <v>9.7141083763586156E-2</v>
      </c>
      <c r="BV61">
        <f t="shared" si="5"/>
        <v>0.14194703405086592</v>
      </c>
      <c r="BW61">
        <f t="shared" si="5"/>
        <v>5.6935524316833269E-2</v>
      </c>
      <c r="BX61">
        <f t="shared" si="5"/>
        <v>-4.0824546045444214E-2</v>
      </c>
      <c r="BY61">
        <f t="shared" si="5"/>
        <v>-8.3860105765365747E-2</v>
      </c>
      <c r="BZ61">
        <f t="shared" si="5"/>
        <v>-9.1060433708424308E-4</v>
      </c>
      <c r="CA61">
        <f t="shared" si="5"/>
        <v>0.11651713309300993</v>
      </c>
      <c r="CB61">
        <f t="shared" si="5"/>
        <v>0.12086982055477094</v>
      </c>
      <c r="CC61">
        <f t="shared" si="5"/>
        <v>-7.319551126047863E-2</v>
      </c>
      <c r="CD61">
        <f t="shared" si="5"/>
        <v>-0.1171885306354349</v>
      </c>
      <c r="CE61">
        <f t="shared" si="5"/>
        <v>3.165485980048658E-2</v>
      </c>
      <c r="CF61">
        <f t="shared" si="5"/>
        <v>-2.6346865260276572E-2</v>
      </c>
      <c r="CG61">
        <f t="shared" si="5"/>
        <v>-4.0865087565356874E-2</v>
      </c>
      <c r="CH61">
        <f t="shared" si="5"/>
        <v>-2.0103131006145115E-2</v>
      </c>
      <c r="CI61">
        <f t="shared" si="5"/>
        <v>-1.1623927649202238E-2</v>
      </c>
      <c r="CJ61">
        <f t="shared" si="5"/>
        <v>0.18667942944987223</v>
      </c>
      <c r="CK61">
        <f t="shared" si="5"/>
        <v>0.16460120992620703</v>
      </c>
      <c r="CL61">
        <f t="shared" si="5"/>
        <v>3.661428374507876E-2</v>
      </c>
      <c r="CM61">
        <f t="shared" si="5"/>
        <v>1.3231346304493144E-3</v>
      </c>
      <c r="CN61">
        <f t="shared" si="5"/>
        <v>-1.8414211690705548E-2</v>
      </c>
      <c r="CO61">
        <f t="shared" si="5"/>
        <v>0.2915674265599546</v>
      </c>
      <c r="CP61">
        <f t="shared" si="5"/>
        <v>0.1915866401866603</v>
      </c>
      <c r="CQ61">
        <f t="shared" si="5"/>
        <v>5.4450636398720068E-2</v>
      </c>
      <c r="CR61">
        <f t="shared" si="5"/>
        <v>0.29289434638637757</v>
      </c>
      <c r="CS61">
        <f t="shared" si="5"/>
        <v>0.33410515918217576</v>
      </c>
      <c r="CT61">
        <f t="shared" si="5"/>
        <v>5.9181836775201918E-2</v>
      </c>
      <c r="CU61">
        <f t="shared" si="5"/>
        <v>6.9517606573753485E-2</v>
      </c>
      <c r="CV61">
        <f t="shared" si="5"/>
        <v>-4.3007795058454118E-2</v>
      </c>
      <c r="CW61">
        <f t="shared" si="5"/>
        <v>6.863663644625434E-2</v>
      </c>
      <c r="CX61">
        <f t="shared" si="5"/>
        <v>-5.6502860777735003E-2</v>
      </c>
      <c r="CY61">
        <f t="shared" si="5"/>
        <v>-7.7419926666768127E-2</v>
      </c>
      <c r="CZ61">
        <f t="shared" si="5"/>
        <v>-2.2138366272475271E-2</v>
      </c>
      <c r="DA61">
        <f t="shared" si="5"/>
        <v>0.13529363323769694</v>
      </c>
      <c r="DB61">
        <f t="shared" si="5"/>
        <v>5.2031481973278872E-2</v>
      </c>
      <c r="DC61">
        <f t="shared" si="5"/>
        <v>0.21862828769355969</v>
      </c>
      <c r="DD61">
        <f t="shared" si="5"/>
        <v>0.16505740199586794</v>
      </c>
      <c r="DE61">
        <f t="shared" si="5"/>
        <v>5.9159941713478367E-2</v>
      </c>
      <c r="DF61">
        <f t="shared" si="5"/>
        <v>0.10716643599928463</v>
      </c>
      <c r="DG61">
        <f t="shared" si="5"/>
        <v>0.22170661100224018</v>
      </c>
      <c r="DH61">
        <f t="shared" si="5"/>
        <v>0.12785318050780542</v>
      </c>
      <c r="DI61">
        <f t="shared" si="5"/>
        <v>3.8024179875611075E-2</v>
      </c>
      <c r="DJ61">
        <f t="shared" si="5"/>
        <v>0.18670593630146864</v>
      </c>
      <c r="DK61">
        <f t="shared" si="5"/>
        <v>0.38454728894568391</v>
      </c>
      <c r="DL61">
        <f t="shared" si="5"/>
        <v>0.33903367020404845</v>
      </c>
    </row>
    <row r="62" spans="1:116" x14ac:dyDescent="0.25">
      <c r="A62" s="220" t="s">
        <v>264</v>
      </c>
      <c r="B62" s="220"/>
      <c r="C62">
        <f>AVERAGE(C39:C57)</f>
        <v>4.8185219549654275E-2</v>
      </c>
      <c r="D62">
        <f t="shared" ref="D62:BO62" si="6">AVERAGE(D39:D57)</f>
        <v>2.3342324637054511E-2</v>
      </c>
      <c r="E62">
        <f t="shared" si="6"/>
        <v>-4.2802777631693059E-2</v>
      </c>
      <c r="F62">
        <f t="shared" si="6"/>
        <v>-5.4501461687985087E-2</v>
      </c>
      <c r="G62">
        <f t="shared" si="6"/>
        <v>-2.3882417555851392E-2</v>
      </c>
      <c r="H62">
        <f t="shared" si="6"/>
        <v>-2.1902926925990624E-2</v>
      </c>
      <c r="I62">
        <f t="shared" si="6"/>
        <v>-4.2146694110507664E-2</v>
      </c>
      <c r="J62">
        <f t="shared" si="6"/>
        <v>1.9873465256683141E-3</v>
      </c>
      <c r="K62">
        <f t="shared" si="6"/>
        <v>2.7654810198312677E-2</v>
      </c>
      <c r="L62">
        <f t="shared" si="6"/>
        <v>5.1770616887074166E-4</v>
      </c>
      <c r="M62">
        <f t="shared" si="6"/>
        <v>-2.9545533503922188E-2</v>
      </c>
      <c r="N62">
        <f t="shared" si="6"/>
        <v>3.8431191840806199E-2</v>
      </c>
      <c r="O62">
        <f t="shared" si="6"/>
        <v>2.4423829445115459E-2</v>
      </c>
      <c r="P62">
        <f t="shared" si="6"/>
        <v>4.6121958061688596E-2</v>
      </c>
      <c r="Q62">
        <f t="shared" si="6"/>
        <v>3.1956163222435011E-2</v>
      </c>
      <c r="R62">
        <f t="shared" si="6"/>
        <v>-4.177015028190614E-3</v>
      </c>
      <c r="S62">
        <f t="shared" si="6"/>
        <v>3.5957514190266625E-2</v>
      </c>
      <c r="T62">
        <f t="shared" si="6"/>
        <v>0.11602473548050052</v>
      </c>
      <c r="U62">
        <f t="shared" si="6"/>
        <v>-6.711930552749977E-2</v>
      </c>
      <c r="V62">
        <f t="shared" si="6"/>
        <v>0.22448125708342298</v>
      </c>
      <c r="W62">
        <f t="shared" si="6"/>
        <v>1.2425568016336163E-2</v>
      </c>
      <c r="X62">
        <f t="shared" si="6"/>
        <v>0.24461776196264592</v>
      </c>
      <c r="Y62">
        <f t="shared" si="6"/>
        <v>5.7908243910827384E-2</v>
      </c>
      <c r="Z62">
        <f t="shared" si="6"/>
        <v>-0.14815614592238288</v>
      </c>
      <c r="AA62">
        <f t="shared" si="6"/>
        <v>0.22927328053527973</v>
      </c>
      <c r="AB62">
        <f t="shared" si="6"/>
        <v>0.12767708331009792</v>
      </c>
      <c r="AC62">
        <f t="shared" si="6"/>
        <v>9.6547669695331018E-2</v>
      </c>
      <c r="AD62">
        <f t="shared" si="6"/>
        <v>0.12292978210635301</v>
      </c>
      <c r="AE62">
        <f t="shared" si="6"/>
        <v>5.2262903937439258E-2</v>
      </c>
      <c r="AF62">
        <f t="shared" si="6"/>
        <v>0.28191296006957106</v>
      </c>
      <c r="AG62">
        <f t="shared" si="6"/>
        <v>0.18113794376539907</v>
      </c>
      <c r="AH62">
        <f t="shared" si="6"/>
        <v>0.23917826999735672</v>
      </c>
      <c r="AI62">
        <f t="shared" si="6"/>
        <v>0.16051763321662144</v>
      </c>
      <c r="AJ62">
        <f t="shared" si="6"/>
        <v>3.6393668855075736E-2</v>
      </c>
      <c r="AK62">
        <f t="shared" si="6"/>
        <v>0.13267506893778194</v>
      </c>
      <c r="AL62">
        <f t="shared" si="6"/>
        <v>0.16882786944376366</v>
      </c>
      <c r="AM62">
        <f t="shared" si="6"/>
        <v>0.11287100814430939</v>
      </c>
      <c r="AN62">
        <f t="shared" si="6"/>
        <v>4.054113681128773E-2</v>
      </c>
      <c r="AO62">
        <f t="shared" si="6"/>
        <v>6.7061855543000563E-3</v>
      </c>
      <c r="AP62">
        <f t="shared" si="6"/>
        <v>-1.7726878520459999E-2</v>
      </c>
      <c r="AQ62">
        <f t="shared" si="6"/>
        <v>5.2588905851693943E-3</v>
      </c>
      <c r="AR62">
        <f t="shared" si="6"/>
        <v>-3.8192200063257728E-2</v>
      </c>
      <c r="AS62">
        <f t="shared" si="6"/>
        <v>-5.2357650685766609E-2</v>
      </c>
      <c r="AT62">
        <f t="shared" si="6"/>
        <v>6.0701920017663329E-2</v>
      </c>
      <c r="AU62">
        <f t="shared" si="6"/>
        <v>-4.6426635096958269E-2</v>
      </c>
      <c r="AV62">
        <f t="shared" si="6"/>
        <v>-4.0903279210184823E-3</v>
      </c>
      <c r="AW62">
        <f t="shared" si="6"/>
        <v>-5.5257410915395058E-3</v>
      </c>
      <c r="AX62">
        <f t="shared" si="6"/>
        <v>0.14874629218967514</v>
      </c>
      <c r="AY62">
        <f t="shared" si="6"/>
        <v>7.2867273483569722E-2</v>
      </c>
      <c r="AZ62">
        <f t="shared" si="6"/>
        <v>0.15474307871665971</v>
      </c>
      <c r="BA62">
        <f t="shared" si="6"/>
        <v>7.9021054628010443E-2</v>
      </c>
      <c r="BB62">
        <f t="shared" si="6"/>
        <v>3.8230312371615456E-2</v>
      </c>
      <c r="BC62">
        <f t="shared" si="6"/>
        <v>4.2606900524316753E-2</v>
      </c>
      <c r="BD62">
        <f t="shared" si="6"/>
        <v>9.490625920869343E-2</v>
      </c>
      <c r="BE62">
        <f t="shared" si="6"/>
        <v>4.5183854076995461E-2</v>
      </c>
      <c r="BF62">
        <f t="shared" si="6"/>
        <v>2.7660332412475036E-2</v>
      </c>
      <c r="BG62">
        <f t="shared" si="6"/>
        <v>-1.1210080676876108E-2</v>
      </c>
      <c r="BH62">
        <f t="shared" si="6"/>
        <v>1.7411666021904002E-2</v>
      </c>
      <c r="BI62">
        <f t="shared" si="6"/>
        <v>5.197754768377591E-2</v>
      </c>
      <c r="BJ62">
        <f t="shared" si="6"/>
        <v>0.15803817643752413</v>
      </c>
      <c r="BK62">
        <f t="shared" si="6"/>
        <v>6.227337226072123E-2</v>
      </c>
      <c r="BL62">
        <f t="shared" si="6"/>
        <v>-5.5683113211285259E-3</v>
      </c>
      <c r="BM62">
        <f t="shared" si="6"/>
        <v>2.4468929462552736E-2</v>
      </c>
      <c r="BN62">
        <f t="shared" si="6"/>
        <v>7.7953337151863769E-2</v>
      </c>
      <c r="BO62">
        <f t="shared" si="6"/>
        <v>6.9110345935315634E-2</v>
      </c>
      <c r="BP62">
        <f t="shared" ref="BP62:DL62" si="7">AVERAGE(BP39:BP57)</f>
        <v>9.9161910552696728E-2</v>
      </c>
      <c r="BQ62">
        <f t="shared" si="7"/>
        <v>6.8851415176206854E-2</v>
      </c>
      <c r="BR62">
        <f t="shared" si="7"/>
        <v>3.7885483280599722E-2</v>
      </c>
      <c r="BS62">
        <f t="shared" si="7"/>
        <v>7.2206248405399354E-2</v>
      </c>
      <c r="BT62">
        <f t="shared" si="7"/>
        <v>4.136180524078447E-2</v>
      </c>
      <c r="BU62">
        <f t="shared" si="7"/>
        <v>0.1454338160356822</v>
      </c>
      <c r="BV62">
        <f t="shared" si="7"/>
        <v>-3.3101437997838913E-2</v>
      </c>
      <c r="BW62">
        <f t="shared" si="7"/>
        <v>2.5481778403264745E-2</v>
      </c>
      <c r="BX62">
        <f t="shared" si="7"/>
        <v>5.5517428190970542E-3</v>
      </c>
      <c r="BY62">
        <f t="shared" si="7"/>
        <v>7.8606761021168588E-3</v>
      </c>
      <c r="BZ62">
        <f t="shared" si="7"/>
        <v>3.9782757165930369E-2</v>
      </c>
      <c r="CA62">
        <f t="shared" si="7"/>
        <v>-4.4091935219607477E-3</v>
      </c>
      <c r="CB62">
        <f t="shared" si="7"/>
        <v>3.7949363976267934E-2</v>
      </c>
      <c r="CC62">
        <f t="shared" si="7"/>
        <v>1.9463957324544173E-2</v>
      </c>
      <c r="CD62">
        <f t="shared" si="7"/>
        <v>-5.9350887730337559E-2</v>
      </c>
      <c r="CE62">
        <f t="shared" si="7"/>
        <v>4.4811266533454623E-2</v>
      </c>
      <c r="CF62">
        <f t="shared" si="7"/>
        <v>5.3000191350401592E-3</v>
      </c>
      <c r="CG62">
        <f t="shared" si="7"/>
        <v>1.771235411322886E-2</v>
      </c>
      <c r="CH62">
        <f t="shared" si="7"/>
        <v>-3.4317811009956643E-2</v>
      </c>
      <c r="CI62">
        <f t="shared" si="7"/>
        <v>-6.9269568089572204E-3</v>
      </c>
      <c r="CJ62">
        <f t="shared" si="7"/>
        <v>0.10258250241744594</v>
      </c>
      <c r="CK62">
        <f t="shared" si="7"/>
        <v>-3.3748480578780347E-2</v>
      </c>
      <c r="CL62">
        <f t="shared" si="7"/>
        <v>3.8391611343459864E-2</v>
      </c>
      <c r="CM62">
        <f t="shared" si="7"/>
        <v>-7.2466529397672633E-3</v>
      </c>
      <c r="CN62">
        <f t="shared" si="7"/>
        <v>-4.5798493654460738E-2</v>
      </c>
      <c r="CO62">
        <f t="shared" si="7"/>
        <v>0.15975914919250364</v>
      </c>
      <c r="CP62">
        <f t="shared" si="7"/>
        <v>0.20187303195711462</v>
      </c>
      <c r="CQ62">
        <f t="shared" si="7"/>
        <v>0.15815098911320657</v>
      </c>
      <c r="CR62">
        <f t="shared" si="7"/>
        <v>0.23950627848549397</v>
      </c>
      <c r="CS62">
        <f t="shared" si="7"/>
        <v>0.14966791067608798</v>
      </c>
      <c r="CT62">
        <f t="shared" si="7"/>
        <v>4.0742334615931873E-2</v>
      </c>
      <c r="CU62">
        <f t="shared" si="7"/>
        <v>0.20874898520341509</v>
      </c>
      <c r="CV62">
        <f t="shared" si="7"/>
        <v>9.0831173559502876E-2</v>
      </c>
      <c r="CW62">
        <f t="shared" si="7"/>
        <v>1.7103698406730049E-2</v>
      </c>
      <c r="CX62">
        <f t="shared" si="7"/>
        <v>6.6871742622845759E-2</v>
      </c>
      <c r="CY62">
        <f t="shared" si="7"/>
        <v>-3.6582604980149112E-2</v>
      </c>
      <c r="CZ62">
        <f t="shared" si="7"/>
        <v>0.16916522635469611</v>
      </c>
      <c r="DA62">
        <f t="shared" si="7"/>
        <v>4.9961190268114464E-2</v>
      </c>
      <c r="DB62">
        <f t="shared" si="7"/>
        <v>0.13604057448109255</v>
      </c>
      <c r="DC62">
        <f t="shared" si="7"/>
        <v>0.11858713559183323</v>
      </c>
      <c r="DD62">
        <f t="shared" si="7"/>
        <v>-0.14815614592238288</v>
      </c>
      <c r="DE62">
        <f t="shared" si="7"/>
        <v>-7.3814703969429712E-2</v>
      </c>
      <c r="DF62">
        <f t="shared" si="7"/>
        <v>-7.3165345848011751E-2</v>
      </c>
      <c r="DG62">
        <f t="shared" si="7"/>
        <v>6.3223930553340885E-2</v>
      </c>
      <c r="DH62">
        <f t="shared" si="7"/>
        <v>3.7718157182570621E-2</v>
      </c>
      <c r="DI62">
        <f t="shared" si="7"/>
        <v>-5.0629965944982008E-2</v>
      </c>
      <c r="DJ62">
        <f t="shared" si="7"/>
        <v>7.9069006372495795E-2</v>
      </c>
      <c r="DK62">
        <f t="shared" si="7"/>
        <v>0.25019955120975412</v>
      </c>
      <c r="DL62">
        <f t="shared" si="7"/>
        <v>0.307485510538058</v>
      </c>
    </row>
    <row r="63" spans="1:116" x14ac:dyDescent="0.25">
      <c r="A63" s="220" t="s">
        <v>268</v>
      </c>
      <c r="B63" s="220"/>
      <c r="C63">
        <f>MAX(C61:C62)</f>
        <v>4.8185219549654275E-2</v>
      </c>
      <c r="D63">
        <f t="shared" ref="D63:E63" si="8">MAX(D61:D62)</f>
        <v>2.3342324637054511E-2</v>
      </c>
      <c r="E63">
        <f t="shared" si="8"/>
        <v>-4.2802777631693059E-2</v>
      </c>
      <c r="F63">
        <f t="shared" ref="F63" si="9">MAX(F61:F62)</f>
        <v>-4.4751313800373442E-2</v>
      </c>
      <c r="G63">
        <f t="shared" ref="G63" si="10">MAX(G61:G62)</f>
        <v>-2.3882417555851392E-2</v>
      </c>
      <c r="H63">
        <f t="shared" ref="H63" si="11">MAX(H61:H62)</f>
        <v>-2.1902926925990624E-2</v>
      </c>
      <c r="I63">
        <f t="shared" ref="I63" si="12">MAX(I61:I62)</f>
        <v>-4.2146694110507664E-2</v>
      </c>
      <c r="J63">
        <f t="shared" ref="J63" si="13">MAX(J61:J62)</f>
        <v>1.9873465256683141E-3</v>
      </c>
      <c r="K63">
        <f t="shared" ref="K63" si="14">MAX(K61:K62)</f>
        <v>2.7654810198312677E-2</v>
      </c>
      <c r="L63">
        <f t="shared" ref="L63" si="15">MAX(L61:L62)</f>
        <v>5.1770616887074166E-4</v>
      </c>
      <c r="M63">
        <f t="shared" ref="M63" si="16">MAX(M61:M62)</f>
        <v>-2.9545533503922188E-2</v>
      </c>
      <c r="N63">
        <f t="shared" ref="N63" si="17">MAX(N61:N62)</f>
        <v>0.33449769875535096</v>
      </c>
      <c r="O63">
        <f t="shared" ref="O63" si="18">MAX(O61:O62)</f>
        <v>0.22137198741092357</v>
      </c>
      <c r="P63">
        <f t="shared" ref="P63" si="19">MAX(P61:P62)</f>
        <v>0.26451754553604673</v>
      </c>
      <c r="Q63">
        <f t="shared" ref="Q63" si="20">MAX(Q61:Q62)</f>
        <v>0.21167464992931734</v>
      </c>
      <c r="R63">
        <f t="shared" ref="R63" si="21">MAX(R61:R62)</f>
        <v>8.7857579467898198E-2</v>
      </c>
      <c r="S63">
        <f t="shared" ref="S63" si="22">MAX(S61:S62)</f>
        <v>0.28600980406820081</v>
      </c>
      <c r="T63">
        <f t="shared" ref="T63" si="23">MAX(T61:T62)</f>
        <v>0.11602473548050052</v>
      </c>
      <c r="U63">
        <f t="shared" ref="U63" si="24">MAX(U61:U62)</f>
        <v>2.7760788146184497E-2</v>
      </c>
      <c r="V63">
        <f t="shared" ref="V63" si="25">MAX(V61:V62)</f>
        <v>0.27993032349470282</v>
      </c>
      <c r="W63">
        <f t="shared" ref="W63" si="26">MAX(W61:W62)</f>
        <v>0.33247247390617735</v>
      </c>
      <c r="X63">
        <f t="shared" ref="X63" si="27">MAX(X61:X62)</f>
        <v>0.37001028445717721</v>
      </c>
      <c r="Y63">
        <f t="shared" ref="Y63" si="28">MAX(Y61:Y62)</f>
        <v>0.48167595512068562</v>
      </c>
      <c r="Z63">
        <f t="shared" ref="Z63" si="29">MAX(Z61:Z62)</f>
        <v>0.49994894455892608</v>
      </c>
      <c r="AA63">
        <f t="shared" ref="AA63" si="30">MAX(AA61:AA62)</f>
        <v>0.22927328053527973</v>
      </c>
      <c r="AB63">
        <f t="shared" ref="AB63" si="31">MAX(AB61:AB62)</f>
        <v>0.33622643005026664</v>
      </c>
      <c r="AC63">
        <f t="shared" ref="AC63" si="32">MAX(AC61:AC62)</f>
        <v>0.19118182580345619</v>
      </c>
      <c r="AD63">
        <f t="shared" ref="AD63" si="33">MAX(AD61:AD62)</f>
        <v>0.28549563020926705</v>
      </c>
      <c r="AE63">
        <f t="shared" ref="AE63" si="34">MAX(AE61:AE62)</f>
        <v>0.43863075280985758</v>
      </c>
      <c r="AF63">
        <f t="shared" ref="AF63" si="35">MAX(AF61:AF62)</f>
        <v>0.50338849890155413</v>
      </c>
      <c r="AG63">
        <f t="shared" ref="AG63" si="36">MAX(AG61:AG62)</f>
        <v>0.45015532713740886</v>
      </c>
      <c r="AH63">
        <f t="shared" ref="AH63" si="37">MAX(AH61:AH62)</f>
        <v>0.34630773545863025</v>
      </c>
      <c r="AI63">
        <f t="shared" ref="AI63" si="38">MAX(AI61:AI62)</f>
        <v>0.2964786938763056</v>
      </c>
      <c r="AJ63">
        <f t="shared" ref="AJ63" si="39">MAX(AJ61:AJ62)</f>
        <v>0.21510128691873398</v>
      </c>
      <c r="AK63">
        <f t="shared" ref="AK63" si="40">MAX(AK61:AK62)</f>
        <v>0.26556314442995765</v>
      </c>
      <c r="AL63">
        <f t="shared" ref="AL63" si="41">MAX(AL61:AL62)</f>
        <v>0.23485468111533883</v>
      </c>
      <c r="AM63">
        <f t="shared" ref="AM63" si="42">MAX(AM61:AM62)</f>
        <v>0.23153281640122847</v>
      </c>
      <c r="AN63">
        <f t="shared" ref="AN63" si="43">MAX(AN61:AN62)</f>
        <v>4.054113681128773E-2</v>
      </c>
      <c r="AO63">
        <f t="shared" ref="AO63" si="44">MAX(AO61:AO62)</f>
        <v>8.7459696804997863E-2</v>
      </c>
      <c r="AP63">
        <f t="shared" ref="AP63" si="45">MAX(AP61:AP62)</f>
        <v>5.4425111891343823E-2</v>
      </c>
      <c r="AQ63">
        <f t="shared" ref="AQ63" si="46">MAX(AQ61:AQ62)</f>
        <v>5.2588905851693943E-3</v>
      </c>
      <c r="AR63">
        <f t="shared" ref="AR63" si="47">MAX(AR61:AR62)</f>
        <v>5.6110835376111168E-2</v>
      </c>
      <c r="AS63">
        <f t="shared" ref="AS63" si="48">MAX(AS61:AS62)</f>
        <v>-3.9814094976735534E-2</v>
      </c>
      <c r="AT63">
        <f t="shared" ref="AT63" si="49">MAX(AT61:AT62)</f>
        <v>0.13315620528154917</v>
      </c>
      <c r="AU63">
        <f t="shared" ref="AU63" si="50">MAX(AU61:AU62)</f>
        <v>-3.5283241016117489E-2</v>
      </c>
      <c r="AV63">
        <f t="shared" ref="AV63" si="51">MAX(AV61:AV62)</f>
        <v>0.12459890592250666</v>
      </c>
      <c r="AW63">
        <f t="shared" ref="AW63" si="52">MAX(AW61:AW62)</f>
        <v>-5.5257410915395058E-3</v>
      </c>
      <c r="AX63">
        <f t="shared" ref="AX63" si="53">MAX(AX61:AX62)</f>
        <v>0.14874629218967514</v>
      </c>
      <c r="AY63">
        <f t="shared" ref="AY63" si="54">MAX(AY61:AY62)</f>
        <v>7.2867273483569722E-2</v>
      </c>
      <c r="AZ63">
        <f t="shared" ref="AZ63" si="55">MAX(AZ61:AZ62)</f>
        <v>0.15474307871665971</v>
      </c>
      <c r="BA63">
        <f t="shared" ref="BA63" si="56">MAX(BA61:BA62)</f>
        <v>7.9021054628010443E-2</v>
      </c>
      <c r="BB63">
        <f t="shared" ref="BB63" si="57">MAX(BB61:BB62)</f>
        <v>3.8230312371615456E-2</v>
      </c>
      <c r="BC63">
        <f t="shared" ref="BC63" si="58">MAX(BC61:BC62)</f>
        <v>6.7160704429119866E-2</v>
      </c>
      <c r="BD63">
        <f t="shared" ref="BD63" si="59">MAX(BD61:BD62)</f>
        <v>0.13787515367560063</v>
      </c>
      <c r="BE63">
        <f t="shared" ref="BE63" si="60">MAX(BE61:BE62)</f>
        <v>4.5183854076995461E-2</v>
      </c>
      <c r="BF63">
        <f t="shared" ref="BF63" si="61">MAX(BF61:BF62)</f>
        <v>2.7660332412475036E-2</v>
      </c>
      <c r="BG63">
        <f t="shared" ref="BG63" si="62">MAX(BG61:BG62)</f>
        <v>2.6629700703784089E-2</v>
      </c>
      <c r="BH63">
        <f t="shared" ref="BH63" si="63">MAX(BH61:BH62)</f>
        <v>4.0704214311335245E-2</v>
      </c>
      <c r="BI63">
        <f t="shared" ref="BI63" si="64">MAX(BI61:BI62)</f>
        <v>6.5155743053950818E-2</v>
      </c>
      <c r="BJ63">
        <f t="shared" ref="BJ63" si="65">MAX(BJ61:BJ62)</f>
        <v>0.15803817643752413</v>
      </c>
      <c r="BK63">
        <f t="shared" ref="BK63" si="66">MAX(BK61:BK62)</f>
        <v>9.3301818486470553E-2</v>
      </c>
      <c r="BL63">
        <f t="shared" ref="BL63" si="67">MAX(BL61:BL62)</f>
        <v>3.7829256263598163E-2</v>
      </c>
      <c r="BM63">
        <f t="shared" ref="BM63" si="68">MAX(BM61:BM62)</f>
        <v>2.4468929462552736E-2</v>
      </c>
      <c r="BN63">
        <f t="shared" ref="BN63" si="69">MAX(BN61:BN62)</f>
        <v>7.7953337151863769E-2</v>
      </c>
      <c r="BO63">
        <f t="shared" ref="BO63" si="70">MAX(BO61:BO62)</f>
        <v>7.967035244157622E-2</v>
      </c>
      <c r="BP63">
        <f t="shared" ref="BP63" si="71">MAX(BP61:BP62)</f>
        <v>9.9161910552696728E-2</v>
      </c>
      <c r="BQ63">
        <f t="shared" ref="BQ63" si="72">MAX(BQ61:BQ62)</f>
        <v>0.12379536475324072</v>
      </c>
      <c r="BR63">
        <f t="shared" ref="BR63" si="73">MAX(BR61:BR62)</f>
        <v>3.7885483280599722E-2</v>
      </c>
      <c r="BS63">
        <f t="shared" ref="BS63" si="74">MAX(BS61:BS62)</f>
        <v>7.2206248405399354E-2</v>
      </c>
      <c r="BT63">
        <f t="shared" ref="BT63" si="75">MAX(BT61:BT62)</f>
        <v>5.2812323719377489E-2</v>
      </c>
      <c r="BU63">
        <f t="shared" ref="BU63" si="76">MAX(BU61:BU62)</f>
        <v>0.1454338160356822</v>
      </c>
      <c r="BV63">
        <f t="shared" ref="BV63" si="77">MAX(BV61:BV62)</f>
        <v>0.14194703405086592</v>
      </c>
      <c r="BW63">
        <f t="shared" ref="BW63" si="78">MAX(BW61:BW62)</f>
        <v>5.6935524316833269E-2</v>
      </c>
      <c r="BX63">
        <f t="shared" ref="BX63" si="79">MAX(BX61:BX62)</f>
        <v>5.5517428190970542E-3</v>
      </c>
      <c r="BY63">
        <f t="shared" ref="BY63" si="80">MAX(BY61:BY62)</f>
        <v>7.8606761021168588E-3</v>
      </c>
      <c r="BZ63">
        <f t="shared" ref="BZ63" si="81">MAX(BZ61:BZ62)</f>
        <v>3.9782757165930369E-2</v>
      </c>
      <c r="CA63">
        <f t="shared" ref="CA63" si="82">MAX(CA61:CA62)</f>
        <v>0.11651713309300993</v>
      </c>
      <c r="CB63">
        <f t="shared" ref="CB63" si="83">MAX(CB61:CB62)</f>
        <v>0.12086982055477094</v>
      </c>
      <c r="CC63">
        <f t="shared" ref="CC63" si="84">MAX(CC61:CC62)</f>
        <v>1.9463957324544173E-2</v>
      </c>
      <c r="CD63">
        <f t="shared" ref="CD63" si="85">MAX(CD61:CD62)</f>
        <v>-5.9350887730337559E-2</v>
      </c>
      <c r="CE63">
        <f t="shared" ref="CE63" si="86">MAX(CE61:CE62)</f>
        <v>4.4811266533454623E-2</v>
      </c>
      <c r="CF63">
        <f t="shared" ref="CF63" si="87">MAX(CF61:CF62)</f>
        <v>5.3000191350401592E-3</v>
      </c>
      <c r="CG63">
        <f t="shared" ref="CG63" si="88">MAX(CG61:CG62)</f>
        <v>1.771235411322886E-2</v>
      </c>
      <c r="CH63">
        <f t="shared" ref="CH63" si="89">MAX(CH61:CH62)</f>
        <v>-2.0103131006145115E-2</v>
      </c>
      <c r="CI63">
        <f t="shared" ref="CI63" si="90">MAX(CI61:CI62)</f>
        <v>-6.9269568089572204E-3</v>
      </c>
      <c r="CJ63">
        <f t="shared" ref="CJ63" si="91">MAX(CJ61:CJ62)</f>
        <v>0.18667942944987223</v>
      </c>
      <c r="CK63">
        <f t="shared" ref="CK63" si="92">MAX(CK61:CK62)</f>
        <v>0.16460120992620703</v>
      </c>
      <c r="CL63">
        <f t="shared" ref="CL63" si="93">MAX(CL61:CL62)</f>
        <v>3.8391611343459864E-2</v>
      </c>
      <c r="CM63">
        <f t="shared" ref="CM63" si="94">MAX(CM61:CM62)</f>
        <v>1.3231346304493144E-3</v>
      </c>
      <c r="CN63">
        <f t="shared" ref="CN63" si="95">MAX(CN61:CN62)</f>
        <v>-1.8414211690705548E-2</v>
      </c>
      <c r="CO63">
        <f t="shared" ref="CO63" si="96">MAX(CO61:CO62)</f>
        <v>0.2915674265599546</v>
      </c>
      <c r="CP63">
        <f t="shared" ref="CP63" si="97">MAX(CP61:CP62)</f>
        <v>0.20187303195711462</v>
      </c>
      <c r="CQ63">
        <f t="shared" ref="CQ63" si="98">MAX(CQ61:CQ62)</f>
        <v>0.15815098911320657</v>
      </c>
      <c r="CR63">
        <f t="shared" ref="CR63" si="99">MAX(CR61:CR62)</f>
        <v>0.29289434638637757</v>
      </c>
      <c r="CS63">
        <f t="shared" ref="CS63" si="100">MAX(CS61:CS62)</f>
        <v>0.33410515918217576</v>
      </c>
      <c r="CT63">
        <f t="shared" ref="CT63" si="101">MAX(CT61:CT62)</f>
        <v>5.9181836775201918E-2</v>
      </c>
      <c r="CU63">
        <f t="shared" ref="CU63" si="102">MAX(CU61:CU62)</f>
        <v>0.20874898520341509</v>
      </c>
      <c r="CV63">
        <f t="shared" ref="CV63" si="103">MAX(CV61:CV62)</f>
        <v>9.0831173559502876E-2</v>
      </c>
      <c r="CW63">
        <f t="shared" ref="CW63" si="104">MAX(CW61:CW62)</f>
        <v>6.863663644625434E-2</v>
      </c>
      <c r="CX63">
        <f t="shared" ref="CX63" si="105">MAX(CX61:CX62)</f>
        <v>6.6871742622845759E-2</v>
      </c>
      <c r="CY63">
        <f t="shared" ref="CY63" si="106">MAX(CY61:CY62)</f>
        <v>-3.6582604980149112E-2</v>
      </c>
      <c r="CZ63">
        <f t="shared" ref="CZ63" si="107">MAX(CZ61:CZ62)</f>
        <v>0.16916522635469611</v>
      </c>
      <c r="DA63">
        <f t="shared" ref="DA63" si="108">MAX(DA61:DA62)</f>
        <v>0.13529363323769694</v>
      </c>
      <c r="DB63">
        <f t="shared" ref="DB63" si="109">MAX(DB61:DB62)</f>
        <v>0.13604057448109255</v>
      </c>
      <c r="DC63">
        <f t="shared" ref="DC63" si="110">MAX(DC61:DC62)</f>
        <v>0.21862828769355969</v>
      </c>
      <c r="DD63">
        <f t="shared" ref="DD63" si="111">MAX(DD61:DD62)</f>
        <v>0.16505740199586794</v>
      </c>
      <c r="DE63">
        <f t="shared" ref="DE63" si="112">MAX(DE61:DE62)</f>
        <v>5.9159941713478367E-2</v>
      </c>
      <c r="DF63">
        <f t="shared" ref="DF63" si="113">MAX(DF61:DF62)</f>
        <v>0.10716643599928463</v>
      </c>
      <c r="DG63">
        <f t="shared" ref="DG63" si="114">MAX(DG61:DG62)</f>
        <v>0.22170661100224018</v>
      </c>
      <c r="DH63">
        <f t="shared" ref="DH63" si="115">MAX(DH61:DH62)</f>
        <v>0.12785318050780542</v>
      </c>
      <c r="DI63">
        <f t="shared" ref="DI63" si="116">MAX(DI61:DI62)</f>
        <v>3.8024179875611075E-2</v>
      </c>
      <c r="DJ63">
        <f t="shared" ref="DJ63" si="117">MAX(DJ61:DJ62)</f>
        <v>0.18670593630146864</v>
      </c>
      <c r="DK63">
        <f t="shared" ref="DK63" si="118">MAX(DK61:DK62)</f>
        <v>0.38454728894568391</v>
      </c>
      <c r="DL63">
        <f t="shared" ref="DL63" si="119">MAX(DL61:DL62)</f>
        <v>0.33903367020404845</v>
      </c>
    </row>
    <row r="65" spans="1:117" x14ac:dyDescent="0.25">
      <c r="A65" s="220" t="s">
        <v>260</v>
      </c>
      <c r="B65" s="220"/>
      <c r="D65" s="220" t="s">
        <v>261</v>
      </c>
      <c r="E65" s="220"/>
      <c r="G65" s="220" t="s">
        <v>269</v>
      </c>
      <c r="H65" s="220"/>
      <c r="I65" s="220"/>
      <c r="K65" s="15" t="s">
        <v>270</v>
      </c>
    </row>
    <row r="66" spans="1:117" x14ac:dyDescent="0.25">
      <c r="A66" s="13" t="s">
        <v>3</v>
      </c>
      <c r="B66">
        <v>0.29556833742211291</v>
      </c>
      <c r="D66" s="13" t="s">
        <v>3</v>
      </c>
      <c r="E66">
        <v>0.34832847915389992</v>
      </c>
      <c r="F66" s="9"/>
      <c r="G66" s="8" t="s">
        <v>105</v>
      </c>
      <c r="H66" s="31">
        <v>0.50338849890155413</v>
      </c>
      <c r="I66" s="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</row>
    <row r="67" spans="1:117" x14ac:dyDescent="0.25">
      <c r="A67" s="13" t="s">
        <v>180</v>
      </c>
      <c r="B67">
        <v>0.28428039249730136</v>
      </c>
      <c r="D67" s="13" t="s">
        <v>13</v>
      </c>
      <c r="E67">
        <v>0.30539165025490161</v>
      </c>
      <c r="G67" s="8" t="s">
        <v>99</v>
      </c>
      <c r="H67" s="31">
        <v>0.49994894455892608</v>
      </c>
    </row>
    <row r="68" spans="1:117" x14ac:dyDescent="0.25">
      <c r="A68" s="8" t="s">
        <v>105</v>
      </c>
      <c r="B68">
        <v>0.28244039042289715</v>
      </c>
      <c r="D68" s="8" t="s">
        <v>125</v>
      </c>
      <c r="E68">
        <v>0.22620192686811696</v>
      </c>
      <c r="G68" s="13" t="s">
        <v>98</v>
      </c>
      <c r="H68" s="31">
        <v>0.48167595512068562</v>
      </c>
    </row>
    <row r="69" spans="1:117" x14ac:dyDescent="0.25">
      <c r="A69" s="13" t="s">
        <v>13</v>
      </c>
      <c r="B69">
        <v>0.26076066973416817</v>
      </c>
      <c r="D69" s="13" t="s">
        <v>180</v>
      </c>
      <c r="E69">
        <v>0.22156850268385697</v>
      </c>
      <c r="G69" s="8" t="s">
        <v>106</v>
      </c>
      <c r="H69" s="31">
        <v>0.45015532713740886</v>
      </c>
    </row>
    <row r="70" spans="1:117" x14ac:dyDescent="0.25">
      <c r="A70" s="13" t="s">
        <v>179</v>
      </c>
      <c r="B70">
        <v>0.2462406600717795</v>
      </c>
      <c r="D70" s="13" t="s">
        <v>161</v>
      </c>
      <c r="E70">
        <v>0.21559179653479871</v>
      </c>
      <c r="G70" s="13" t="s">
        <v>104</v>
      </c>
      <c r="H70" s="31">
        <v>0.43863075280985758</v>
      </c>
    </row>
    <row r="71" spans="1:117" x14ac:dyDescent="0.25">
      <c r="A71" s="8" t="s">
        <v>106</v>
      </c>
      <c r="B71">
        <v>0.23568091125347945</v>
      </c>
      <c r="D71" s="8" t="s">
        <v>163</v>
      </c>
      <c r="E71">
        <v>0.20080214069810412</v>
      </c>
      <c r="G71" s="13" t="s">
        <v>179</v>
      </c>
      <c r="H71" s="31">
        <v>0.38454728894568391</v>
      </c>
    </row>
    <row r="72" spans="1:117" x14ac:dyDescent="0.25">
      <c r="A72" s="13" t="s">
        <v>107</v>
      </c>
      <c r="B72">
        <v>0.22267970264570539</v>
      </c>
      <c r="D72" s="13" t="s">
        <v>164</v>
      </c>
      <c r="E72">
        <v>0.19186665979346304</v>
      </c>
      <c r="G72" s="8" t="s">
        <v>97</v>
      </c>
      <c r="H72" s="31">
        <v>0.37001028445717721</v>
      </c>
    </row>
    <row r="73" spans="1:117" x14ac:dyDescent="0.25">
      <c r="A73" s="13" t="s">
        <v>161</v>
      </c>
      <c r="B73">
        <v>0.21835589976513597</v>
      </c>
      <c r="D73" s="13" t="s">
        <v>162</v>
      </c>
      <c r="E73">
        <v>0.18459538002628134</v>
      </c>
      <c r="G73" s="13" t="s">
        <v>107</v>
      </c>
      <c r="H73" s="31">
        <v>0.34630773545863025</v>
      </c>
    </row>
    <row r="74" spans="1:117" x14ac:dyDescent="0.25">
      <c r="A74" s="8" t="s">
        <v>108</v>
      </c>
      <c r="B74">
        <v>0.20750058651201447</v>
      </c>
      <c r="D74" s="8" t="s">
        <v>108</v>
      </c>
      <c r="E74">
        <v>0.1822161291207674</v>
      </c>
      <c r="G74" s="13" t="s">
        <v>180</v>
      </c>
      <c r="H74" s="31">
        <v>0.33903367020404845</v>
      </c>
    </row>
    <row r="75" spans="1:117" x14ac:dyDescent="0.25">
      <c r="A75" s="8" t="s">
        <v>97</v>
      </c>
      <c r="B75">
        <v>0.20341991145322461</v>
      </c>
      <c r="D75" s="8" t="s">
        <v>103</v>
      </c>
      <c r="E75">
        <v>0.17586611914307237</v>
      </c>
      <c r="G75" s="13" t="s">
        <v>101</v>
      </c>
      <c r="H75" s="31">
        <v>0.33622643005026664</v>
      </c>
    </row>
    <row r="76" spans="1:117" x14ac:dyDescent="0.25">
      <c r="A76" s="13" t="s">
        <v>162</v>
      </c>
      <c r="B76">
        <v>0.19245494340577948</v>
      </c>
      <c r="D76" s="13" t="s">
        <v>128</v>
      </c>
      <c r="E76">
        <v>0.17156085931258605</v>
      </c>
      <c r="G76" s="8" t="s">
        <v>87</v>
      </c>
      <c r="H76" s="31">
        <v>0.33449769875535096</v>
      </c>
    </row>
    <row r="77" spans="1:117" x14ac:dyDescent="0.25">
      <c r="A77" s="8" t="s">
        <v>103</v>
      </c>
      <c r="B77">
        <v>0.18922829366738392</v>
      </c>
      <c r="D77" s="8" t="s">
        <v>6</v>
      </c>
      <c r="E77">
        <v>0.14000902986447836</v>
      </c>
      <c r="G77" s="13" t="s">
        <v>13</v>
      </c>
      <c r="H77" s="31">
        <v>0.33410515918217576</v>
      </c>
    </row>
    <row r="78" spans="1:117" x14ac:dyDescent="0.25">
      <c r="A78" s="13" t="s">
        <v>104</v>
      </c>
      <c r="B78">
        <v>0.17760308373013964</v>
      </c>
      <c r="D78" s="13" t="s">
        <v>179</v>
      </c>
      <c r="E78">
        <v>0.13728232704301804</v>
      </c>
      <c r="G78" s="8" t="s">
        <v>96</v>
      </c>
      <c r="H78" s="31">
        <v>0.33247247390617735</v>
      </c>
    </row>
    <row r="79" spans="1:117" x14ac:dyDescent="0.25">
      <c r="A79" s="8" t="s">
        <v>95</v>
      </c>
      <c r="B79">
        <v>0.17339088499121441</v>
      </c>
      <c r="D79" s="8" t="s">
        <v>100</v>
      </c>
      <c r="E79">
        <v>0.13718791093828739</v>
      </c>
      <c r="G79" s="8" t="s">
        <v>108</v>
      </c>
      <c r="H79" s="31">
        <v>0.2964786938763056</v>
      </c>
    </row>
    <row r="80" spans="1:117" x14ac:dyDescent="0.25">
      <c r="A80" s="8" t="s">
        <v>163</v>
      </c>
      <c r="B80">
        <v>0.16598852461973448</v>
      </c>
      <c r="D80" s="13" t="s">
        <v>175</v>
      </c>
      <c r="E80">
        <v>0.13269295060997313</v>
      </c>
      <c r="G80" s="13" t="s">
        <v>3</v>
      </c>
      <c r="H80" s="31">
        <v>0.29289434638637757</v>
      </c>
    </row>
    <row r="81" spans="1:8" x14ac:dyDescent="0.25">
      <c r="A81" s="13" t="s">
        <v>98</v>
      </c>
      <c r="B81">
        <v>0.16137793668604042</v>
      </c>
      <c r="D81" s="8" t="s">
        <v>90</v>
      </c>
      <c r="E81">
        <v>0.13171359011709705</v>
      </c>
      <c r="G81" s="13" t="s">
        <v>161</v>
      </c>
      <c r="H81" s="31">
        <v>0.2915674265599546</v>
      </c>
    </row>
    <row r="82" spans="1:8" x14ac:dyDescent="0.25">
      <c r="A82" s="13" t="s">
        <v>101</v>
      </c>
      <c r="B82">
        <v>0.15853622120934457</v>
      </c>
      <c r="D82" s="13" t="s">
        <v>151</v>
      </c>
      <c r="E82">
        <v>0.12428457691277853</v>
      </c>
      <c r="G82" s="8" t="s">
        <v>92</v>
      </c>
      <c r="H82" s="31">
        <v>0.28600980406820081</v>
      </c>
    </row>
    <row r="83" spans="1:8" x14ac:dyDescent="0.25">
      <c r="A83" s="8" t="s">
        <v>125</v>
      </c>
      <c r="B83">
        <v>0.14755938302949437</v>
      </c>
      <c r="D83" s="8" t="s">
        <v>106</v>
      </c>
      <c r="E83">
        <v>0.12162023164065364</v>
      </c>
      <c r="G83" s="8" t="s">
        <v>103</v>
      </c>
      <c r="H83" s="31">
        <v>0.28549563020926705</v>
      </c>
    </row>
    <row r="84" spans="1:8" x14ac:dyDescent="0.25">
      <c r="A84" s="8" t="s">
        <v>100</v>
      </c>
      <c r="B84">
        <v>0.14208277724420584</v>
      </c>
      <c r="D84" s="13" t="s">
        <v>113</v>
      </c>
      <c r="E84">
        <v>0.12100294387193086</v>
      </c>
      <c r="G84" s="8" t="s">
        <v>95</v>
      </c>
      <c r="H84" s="31">
        <v>0.27993032349470282</v>
      </c>
    </row>
    <row r="85" spans="1:8" x14ac:dyDescent="0.25">
      <c r="A85" s="8" t="s">
        <v>110</v>
      </c>
      <c r="B85">
        <v>0.13865449750865097</v>
      </c>
      <c r="D85" s="13" t="s">
        <v>143</v>
      </c>
      <c r="E85">
        <v>0.12072288082751804</v>
      </c>
      <c r="G85" s="8" t="s">
        <v>110</v>
      </c>
      <c r="H85" s="31">
        <v>0.26556314442995765</v>
      </c>
    </row>
    <row r="86" spans="1:8" x14ac:dyDescent="0.25">
      <c r="A86" s="13" t="s">
        <v>175</v>
      </c>
      <c r="B86">
        <v>0.13455557891712064</v>
      </c>
      <c r="D86" s="8" t="s">
        <v>126</v>
      </c>
      <c r="E86">
        <v>0.11589995493624328</v>
      </c>
      <c r="G86" s="13" t="s">
        <v>89</v>
      </c>
      <c r="H86" s="31">
        <v>0.26451754553604673</v>
      </c>
    </row>
    <row r="87" spans="1:8" x14ac:dyDescent="0.25">
      <c r="A87" s="8" t="s">
        <v>112</v>
      </c>
      <c r="B87">
        <v>0.13386655858194244</v>
      </c>
      <c r="D87" s="13" t="s">
        <v>136</v>
      </c>
      <c r="E87">
        <v>0.11461323310101733</v>
      </c>
      <c r="G87" s="13" t="s">
        <v>111</v>
      </c>
      <c r="H87" s="31">
        <v>0.23485468111533883</v>
      </c>
    </row>
    <row r="88" spans="1:8" x14ac:dyDescent="0.25">
      <c r="A88" s="8" t="s">
        <v>171</v>
      </c>
      <c r="B88">
        <v>0.12872315462433565</v>
      </c>
      <c r="D88" s="8" t="s">
        <v>105</v>
      </c>
      <c r="E88">
        <v>0.11457617333026293</v>
      </c>
      <c r="G88" s="8" t="s">
        <v>112</v>
      </c>
      <c r="H88" s="31">
        <v>0.23153281640122847</v>
      </c>
    </row>
    <row r="89" spans="1:8" x14ac:dyDescent="0.25">
      <c r="A89" s="8" t="s">
        <v>102</v>
      </c>
      <c r="B89">
        <v>0.1283409885126254</v>
      </c>
      <c r="D89" s="13" t="s">
        <v>107</v>
      </c>
      <c r="E89">
        <v>0.11355964051769724</v>
      </c>
      <c r="G89" s="8" t="s">
        <v>100</v>
      </c>
      <c r="H89" s="31">
        <v>0.22927328053527973</v>
      </c>
    </row>
    <row r="90" spans="1:8" x14ac:dyDescent="0.25">
      <c r="A90" s="13" t="s">
        <v>111</v>
      </c>
      <c r="B90">
        <v>0.12763047179901787</v>
      </c>
      <c r="D90" s="13" t="s">
        <v>134</v>
      </c>
      <c r="E90">
        <v>0.11283175905066625</v>
      </c>
      <c r="G90" s="13" t="s">
        <v>175</v>
      </c>
      <c r="H90" s="31">
        <v>0.22170661100224018</v>
      </c>
    </row>
    <row r="91" spans="1:8" x14ac:dyDescent="0.25">
      <c r="A91" s="8" t="s">
        <v>87</v>
      </c>
      <c r="B91">
        <v>0.12649825008957641</v>
      </c>
      <c r="D91" s="8" t="s">
        <v>102</v>
      </c>
      <c r="E91">
        <v>0.10922763903049679</v>
      </c>
      <c r="G91" s="8" t="s">
        <v>88</v>
      </c>
      <c r="H91" s="31">
        <v>0.22137198741092357</v>
      </c>
    </row>
    <row r="92" spans="1:8" x14ac:dyDescent="0.25">
      <c r="A92" s="8" t="s">
        <v>90</v>
      </c>
      <c r="B92">
        <v>0.12071333736704251</v>
      </c>
      <c r="D92" s="13" t="s">
        <v>135</v>
      </c>
      <c r="E92">
        <v>0.10854475595752391</v>
      </c>
      <c r="G92" s="8" t="s">
        <v>171</v>
      </c>
      <c r="H92" s="31">
        <v>0.21862828769355969</v>
      </c>
    </row>
    <row r="93" spans="1:8" x14ac:dyDescent="0.25">
      <c r="A93" s="8" t="s">
        <v>92</v>
      </c>
      <c r="B93">
        <v>0.11921688700220541</v>
      </c>
      <c r="D93" s="8" t="s">
        <v>145</v>
      </c>
      <c r="E93">
        <v>0.10525170563063953</v>
      </c>
      <c r="G93" s="8" t="s">
        <v>109</v>
      </c>
      <c r="H93" s="31">
        <v>0.21510128691873398</v>
      </c>
    </row>
    <row r="94" spans="1:8" x14ac:dyDescent="0.25">
      <c r="A94" s="13" t="s">
        <v>158</v>
      </c>
      <c r="B94">
        <v>0.11864099707236322</v>
      </c>
      <c r="D94" s="13" t="s">
        <v>141</v>
      </c>
      <c r="E94">
        <v>9.5204530849904878E-2</v>
      </c>
      <c r="G94" s="8" t="s">
        <v>90</v>
      </c>
      <c r="H94" s="31">
        <v>0.21167464992931734</v>
      </c>
    </row>
    <row r="95" spans="1:8" x14ac:dyDescent="0.25">
      <c r="A95" s="8" t="s">
        <v>145</v>
      </c>
      <c r="B95">
        <v>0.11656760112747806</v>
      </c>
      <c r="D95" s="13" t="s">
        <v>104</v>
      </c>
      <c r="E95">
        <v>9.2127879481845393E-2</v>
      </c>
      <c r="G95" s="8" t="s">
        <v>163</v>
      </c>
      <c r="H95" s="31">
        <v>0.20874898520341509</v>
      </c>
    </row>
    <row r="96" spans="1:8" x14ac:dyDescent="0.25">
      <c r="A96" s="13" t="s">
        <v>135</v>
      </c>
      <c r="B96">
        <v>0.1150363565906829</v>
      </c>
      <c r="D96" s="8" t="s">
        <v>142</v>
      </c>
      <c r="E96">
        <v>9.2126342160310098E-2</v>
      </c>
      <c r="G96" s="13" t="s">
        <v>162</v>
      </c>
      <c r="H96" s="31">
        <v>0.20187303195711462</v>
      </c>
    </row>
    <row r="97" spans="1:8" x14ac:dyDescent="0.25">
      <c r="A97" s="13" t="s">
        <v>89</v>
      </c>
      <c r="B97">
        <v>0.11067466898798664</v>
      </c>
      <c r="D97" s="8" t="s">
        <v>109</v>
      </c>
      <c r="E97">
        <v>9.0475967107668004E-2</v>
      </c>
      <c r="G97" s="8" t="s">
        <v>102</v>
      </c>
      <c r="H97" s="31">
        <v>0.19118182580345619</v>
      </c>
    </row>
    <row r="98" spans="1:8" x14ac:dyDescent="0.25">
      <c r="A98" s="8" t="s">
        <v>109</v>
      </c>
      <c r="B98">
        <v>0.10773385014655733</v>
      </c>
      <c r="D98" s="13" t="s">
        <v>130</v>
      </c>
      <c r="E98">
        <v>8.841666128360319E-2</v>
      </c>
      <c r="G98" s="8" t="s">
        <v>178</v>
      </c>
      <c r="H98" s="31">
        <v>0.18670593630146864</v>
      </c>
    </row>
    <row r="99" spans="1:8" x14ac:dyDescent="0.25">
      <c r="A99" s="8" t="s">
        <v>123</v>
      </c>
      <c r="B99">
        <v>0.10717431370176571</v>
      </c>
      <c r="D99" s="13" t="s">
        <v>129</v>
      </c>
      <c r="E99">
        <v>8.4165143887051472E-2</v>
      </c>
      <c r="G99" s="13" t="s">
        <v>158</v>
      </c>
      <c r="H99" s="31">
        <v>0.18667942944987223</v>
      </c>
    </row>
    <row r="100" spans="1:8" x14ac:dyDescent="0.25">
      <c r="A100" s="13" t="s">
        <v>129</v>
      </c>
      <c r="B100">
        <v>0.1031551679536226</v>
      </c>
      <c r="D100" s="13" t="s">
        <v>158</v>
      </c>
      <c r="E100">
        <v>8.1331305662995776E-2</v>
      </c>
      <c r="G100" s="8" t="s">
        <v>168</v>
      </c>
      <c r="H100" s="31">
        <v>0.16916522635469611</v>
      </c>
    </row>
    <row r="101" spans="1:8" x14ac:dyDescent="0.25">
      <c r="A101" s="8" t="s">
        <v>178</v>
      </c>
      <c r="B101">
        <v>0.10279216546252881</v>
      </c>
      <c r="D101" s="8" t="s">
        <v>112</v>
      </c>
      <c r="E101">
        <v>7.8450145877487706E-2</v>
      </c>
      <c r="G101" s="8" t="s">
        <v>172</v>
      </c>
      <c r="H101" s="31">
        <v>0.16505740199586794</v>
      </c>
    </row>
    <row r="102" spans="1:8" x14ac:dyDescent="0.25">
      <c r="A102" s="13" t="s">
        <v>128</v>
      </c>
      <c r="B102">
        <v>9.7980007614147185E-2</v>
      </c>
      <c r="D102" s="13" t="s">
        <v>131</v>
      </c>
      <c r="E102">
        <v>7.7903241368811577E-2</v>
      </c>
      <c r="G102" s="8" t="s">
        <v>159</v>
      </c>
      <c r="H102" s="31">
        <v>0.16460120992620703</v>
      </c>
    </row>
    <row r="103" spans="1:8" x14ac:dyDescent="0.25">
      <c r="A103" s="13" t="s">
        <v>7</v>
      </c>
      <c r="B103">
        <v>9.7652070440843231E-2</v>
      </c>
      <c r="D103" s="13" t="s">
        <v>7</v>
      </c>
      <c r="E103">
        <v>7.583033186460833E-2</v>
      </c>
      <c r="G103" s="13" t="s">
        <v>7</v>
      </c>
      <c r="H103" s="31">
        <v>0.15815098911320657</v>
      </c>
    </row>
    <row r="104" spans="1:8" x14ac:dyDescent="0.25">
      <c r="A104" s="13" t="s">
        <v>141</v>
      </c>
      <c r="B104">
        <v>9.4432104861567542E-2</v>
      </c>
      <c r="D104" s="8" t="s">
        <v>123</v>
      </c>
      <c r="E104">
        <v>7.061040028447145E-2</v>
      </c>
      <c r="G104" s="13" t="s">
        <v>135</v>
      </c>
      <c r="H104" s="31">
        <v>0.15803817643752413</v>
      </c>
    </row>
    <row r="105" spans="1:8" x14ac:dyDescent="0.25">
      <c r="A105" s="8" t="s">
        <v>126</v>
      </c>
      <c r="B105">
        <v>9.2497935282910365E-2</v>
      </c>
      <c r="D105" s="13" t="s">
        <v>147</v>
      </c>
      <c r="E105">
        <v>6.9674547521584779E-2</v>
      </c>
      <c r="G105" s="8" t="s">
        <v>125</v>
      </c>
      <c r="H105" s="31">
        <v>0.15474307871665971</v>
      </c>
    </row>
    <row r="106" spans="1:8" x14ac:dyDescent="0.25">
      <c r="A106" s="13" t="s">
        <v>136</v>
      </c>
      <c r="B106">
        <v>9.07660904260464E-2</v>
      </c>
      <c r="D106" s="8" t="s">
        <v>171</v>
      </c>
      <c r="E106">
        <v>6.9394689505762386E-2</v>
      </c>
      <c r="G106" s="8" t="s">
        <v>123</v>
      </c>
      <c r="H106" s="31">
        <v>0.14874629218967514</v>
      </c>
    </row>
    <row r="107" spans="1:8" x14ac:dyDescent="0.25">
      <c r="A107" s="13" t="s">
        <v>164</v>
      </c>
      <c r="B107">
        <v>9.0479775577821692E-2</v>
      </c>
      <c r="D107" s="13" t="s">
        <v>91</v>
      </c>
      <c r="E107">
        <v>6.9388203481678581E-2</v>
      </c>
      <c r="G107" s="8" t="s">
        <v>145</v>
      </c>
      <c r="H107" s="31">
        <v>0.1454338160356822</v>
      </c>
    </row>
    <row r="108" spans="1:8" x14ac:dyDescent="0.25">
      <c r="A108" s="8" t="s">
        <v>96</v>
      </c>
      <c r="B108">
        <v>9.0035107758352759E-2</v>
      </c>
      <c r="D108" s="8" t="s">
        <v>92</v>
      </c>
      <c r="E108">
        <v>6.7466477972248806E-2</v>
      </c>
      <c r="G108" s="13" t="s">
        <v>146</v>
      </c>
      <c r="H108" s="31">
        <v>0.14194703405086592</v>
      </c>
    </row>
    <row r="109" spans="1:8" x14ac:dyDescent="0.25">
      <c r="A109" s="13" t="s">
        <v>143</v>
      </c>
      <c r="B109">
        <v>8.5580548360236722E-2</v>
      </c>
      <c r="D109" s="13" t="s">
        <v>140</v>
      </c>
      <c r="E109">
        <v>6.2228196081202176E-2</v>
      </c>
      <c r="G109" s="13" t="s">
        <v>129</v>
      </c>
      <c r="H109" s="31">
        <v>0.13787515367560063</v>
      </c>
    </row>
    <row r="110" spans="1:8" x14ac:dyDescent="0.25">
      <c r="A110" s="13" t="s">
        <v>170</v>
      </c>
      <c r="B110">
        <v>8.4012955150930019E-2</v>
      </c>
      <c r="D110" s="13" t="s">
        <v>170</v>
      </c>
      <c r="E110">
        <v>6.1307183892326741E-2</v>
      </c>
      <c r="G110" s="13" t="s">
        <v>170</v>
      </c>
      <c r="H110" s="31">
        <v>0.13604057448109255</v>
      </c>
    </row>
    <row r="111" spans="1:8" x14ac:dyDescent="0.25">
      <c r="A111" s="8" t="s">
        <v>6</v>
      </c>
      <c r="B111">
        <v>8.3235774522499681E-2</v>
      </c>
      <c r="D111" s="13" t="s">
        <v>146</v>
      </c>
      <c r="E111">
        <v>6.0725429005291397E-2</v>
      </c>
      <c r="G111" s="8" t="s">
        <v>169</v>
      </c>
      <c r="H111" s="31">
        <v>0.13529363323769694</v>
      </c>
    </row>
    <row r="112" spans="1:8" x14ac:dyDescent="0.25">
      <c r="A112" s="13" t="s">
        <v>140</v>
      </c>
      <c r="B112">
        <v>7.8611474188019378E-2</v>
      </c>
      <c r="D112" s="8" t="s">
        <v>178</v>
      </c>
      <c r="E112">
        <v>6.0321674476223691E-2</v>
      </c>
      <c r="G112" s="13" t="s">
        <v>119</v>
      </c>
      <c r="H112" s="31">
        <v>0.13315620528154917</v>
      </c>
    </row>
    <row r="113" spans="1:8" x14ac:dyDescent="0.25">
      <c r="A113" s="13" t="s">
        <v>134</v>
      </c>
      <c r="B113">
        <v>7.8563075623552622E-2</v>
      </c>
      <c r="D113" s="13" t="s">
        <v>139</v>
      </c>
      <c r="E113">
        <v>5.9623461948833209E-2</v>
      </c>
      <c r="G113" s="8" t="s">
        <v>176</v>
      </c>
      <c r="H113" s="31">
        <v>0.12785318050780542</v>
      </c>
    </row>
    <row r="114" spans="1:8" x14ac:dyDescent="0.25">
      <c r="A114" s="8" t="s">
        <v>88</v>
      </c>
      <c r="B114">
        <v>7.6173555722589548E-2</v>
      </c>
      <c r="D114" s="13" t="s">
        <v>14</v>
      </c>
      <c r="E114">
        <v>5.388437167710728E-2</v>
      </c>
      <c r="G114" s="8" t="s">
        <v>121</v>
      </c>
      <c r="H114" s="31">
        <v>0.12459890592250666</v>
      </c>
    </row>
    <row r="115" spans="1:8" x14ac:dyDescent="0.25">
      <c r="A115" s="13" t="s">
        <v>119</v>
      </c>
      <c r="B115">
        <v>7.0144584484220965E-2</v>
      </c>
      <c r="D115" s="13" t="s">
        <v>89</v>
      </c>
      <c r="E115">
        <v>5.1865882456115175E-2</v>
      </c>
      <c r="G115" s="13" t="s">
        <v>141</v>
      </c>
      <c r="H115" s="31">
        <v>0.12379536475324072</v>
      </c>
    </row>
    <row r="116" spans="1:8" x14ac:dyDescent="0.25">
      <c r="A116" s="13" t="s">
        <v>139</v>
      </c>
      <c r="B116">
        <v>6.8569909156459205E-2</v>
      </c>
      <c r="D116" s="13" t="s">
        <v>101</v>
      </c>
      <c r="E116">
        <v>5.1073377334627058E-2</v>
      </c>
      <c r="G116" s="13" t="s">
        <v>16</v>
      </c>
      <c r="H116" s="31">
        <v>0.12086982055477094</v>
      </c>
    </row>
    <row r="117" spans="1:8" x14ac:dyDescent="0.25">
      <c r="A117" s="13" t="s">
        <v>113</v>
      </c>
      <c r="B117">
        <v>6.66033187014059E-2</v>
      </c>
      <c r="D117" s="13" t="s">
        <v>122</v>
      </c>
      <c r="E117">
        <v>5.0177579465181102E-2</v>
      </c>
      <c r="G117" s="8" t="s">
        <v>150</v>
      </c>
      <c r="H117" s="31">
        <v>0.11651713309300993</v>
      </c>
    </row>
    <row r="118" spans="1:8" x14ac:dyDescent="0.25">
      <c r="A118" s="13" t="s">
        <v>16</v>
      </c>
      <c r="B118">
        <v>6.1448029265799779E-2</v>
      </c>
      <c r="D118" s="8" t="s">
        <v>153</v>
      </c>
      <c r="E118">
        <v>4.8574238995312283E-2</v>
      </c>
      <c r="G118" s="8" t="s">
        <v>93</v>
      </c>
      <c r="H118" s="31">
        <v>0.11602473548050052</v>
      </c>
    </row>
    <row r="119" spans="1:8" x14ac:dyDescent="0.25">
      <c r="A119" s="8" t="s">
        <v>138</v>
      </c>
      <c r="B119">
        <v>5.9464551340140136E-2</v>
      </c>
      <c r="D119" s="8" t="s">
        <v>87</v>
      </c>
      <c r="E119">
        <v>4.7702199045492721E-2</v>
      </c>
      <c r="G119" s="13" t="s">
        <v>174</v>
      </c>
      <c r="H119" s="31">
        <v>0.10716643599928463</v>
      </c>
    </row>
    <row r="120" spans="1:8" x14ac:dyDescent="0.25">
      <c r="A120" s="8" t="s">
        <v>169</v>
      </c>
      <c r="B120">
        <v>5.5280493203449285E-2</v>
      </c>
      <c r="D120" s="8" t="s">
        <v>110</v>
      </c>
      <c r="E120">
        <v>4.7372154275584478E-2</v>
      </c>
      <c r="G120" s="13" t="s">
        <v>140</v>
      </c>
      <c r="H120" s="31">
        <v>9.9161910552696728E-2</v>
      </c>
    </row>
    <row r="121" spans="1:8" x14ac:dyDescent="0.25">
      <c r="A121" s="8" t="s">
        <v>176</v>
      </c>
      <c r="B121">
        <v>5.4654991540539211E-2</v>
      </c>
      <c r="D121" s="8" t="s">
        <v>95</v>
      </c>
      <c r="E121">
        <v>4.5993357095605938E-2</v>
      </c>
      <c r="G121" s="13" t="s">
        <v>136</v>
      </c>
      <c r="H121" s="31">
        <v>9.3301818486470553E-2</v>
      </c>
    </row>
    <row r="122" spans="1:8" x14ac:dyDescent="0.25">
      <c r="A122" s="13" t="s">
        <v>146</v>
      </c>
      <c r="B122">
        <v>5.2097486285107776E-2</v>
      </c>
      <c r="D122" s="8" t="s">
        <v>144</v>
      </c>
      <c r="E122">
        <v>4.3260384514292469E-2</v>
      </c>
      <c r="G122" s="13" t="s">
        <v>164</v>
      </c>
      <c r="H122" s="31">
        <v>9.0831173559502876E-2</v>
      </c>
    </row>
    <row r="123" spans="1:8" x14ac:dyDescent="0.25">
      <c r="A123" s="13" t="s">
        <v>147</v>
      </c>
      <c r="B123">
        <v>5.1040851369368624E-2</v>
      </c>
      <c r="D123" s="8" t="s">
        <v>133</v>
      </c>
      <c r="E123">
        <v>4.0941934520504757E-2</v>
      </c>
      <c r="G123" s="13" t="s">
        <v>91</v>
      </c>
      <c r="H123" s="31">
        <v>8.7857579467898198E-2</v>
      </c>
    </row>
    <row r="124" spans="1:8" x14ac:dyDescent="0.25">
      <c r="A124" s="13" t="s">
        <v>91</v>
      </c>
      <c r="B124">
        <v>4.9705540340464281E-2</v>
      </c>
      <c r="D124" s="8" t="s">
        <v>97</v>
      </c>
      <c r="E124">
        <v>3.9219667275022241E-2</v>
      </c>
      <c r="G124" s="8" t="s">
        <v>114</v>
      </c>
      <c r="H124" s="31">
        <v>8.7459696804997863E-2</v>
      </c>
    </row>
    <row r="125" spans="1:8" x14ac:dyDescent="0.25">
      <c r="A125" s="8" t="s">
        <v>99</v>
      </c>
      <c r="B125">
        <v>4.8232028448659696E-2</v>
      </c>
      <c r="D125" s="8" t="s">
        <v>138</v>
      </c>
      <c r="E125">
        <v>3.7833407494601567E-2</v>
      </c>
      <c r="G125" s="13" t="s">
        <v>139</v>
      </c>
      <c r="H125" s="31">
        <v>7.967035244157622E-2</v>
      </c>
    </row>
    <row r="126" spans="1:8" x14ac:dyDescent="0.25">
      <c r="A126" s="13" t="s">
        <v>130</v>
      </c>
      <c r="B126">
        <v>4.7507634382708719E-2</v>
      </c>
      <c r="D126" s="13" t="s">
        <v>16</v>
      </c>
      <c r="E126">
        <v>3.743498068854105E-2</v>
      </c>
      <c r="G126" s="8" t="s">
        <v>126</v>
      </c>
      <c r="H126" s="31">
        <v>7.9021054628010443E-2</v>
      </c>
    </row>
    <row r="127" spans="1:8" x14ac:dyDescent="0.25">
      <c r="A127" s="8" t="s">
        <v>142</v>
      </c>
      <c r="B127">
        <v>4.566120372615963E-2</v>
      </c>
      <c r="D127" s="8" t="s">
        <v>172</v>
      </c>
      <c r="E127">
        <v>3.1736262131296558E-2</v>
      </c>
      <c r="G127" s="8" t="s">
        <v>138</v>
      </c>
      <c r="H127" s="31">
        <v>7.7953337151863769E-2</v>
      </c>
    </row>
    <row r="128" spans="1:8" x14ac:dyDescent="0.25">
      <c r="A128" s="8" t="s">
        <v>144</v>
      </c>
      <c r="B128">
        <v>4.5345349176519403E-2</v>
      </c>
      <c r="D128" s="13" t="s">
        <v>119</v>
      </c>
      <c r="E128">
        <v>3.0679093632189749E-2</v>
      </c>
      <c r="G128" s="8" t="s">
        <v>124</v>
      </c>
      <c r="H128" s="31">
        <v>7.2867273483569722E-2</v>
      </c>
    </row>
    <row r="129" spans="1:8" x14ac:dyDescent="0.25">
      <c r="A129" s="8" t="s">
        <v>153</v>
      </c>
      <c r="B129">
        <v>4.2463407854374656E-2</v>
      </c>
      <c r="D129" s="13" t="s">
        <v>127</v>
      </c>
      <c r="E129">
        <v>2.6009193130222791E-2</v>
      </c>
      <c r="G129" s="13" t="s">
        <v>143</v>
      </c>
      <c r="H129" s="31">
        <v>7.2206248405399354E-2</v>
      </c>
    </row>
    <row r="130" spans="1:8" x14ac:dyDescent="0.25">
      <c r="A130" s="8" t="s">
        <v>150</v>
      </c>
      <c r="B130">
        <v>4.0954918861357568E-2</v>
      </c>
      <c r="D130" s="13" t="s">
        <v>154</v>
      </c>
      <c r="E130">
        <v>2.5754334102266178E-2</v>
      </c>
      <c r="G130" s="8" t="s">
        <v>165</v>
      </c>
      <c r="H130" s="31">
        <v>6.863663644625434E-2</v>
      </c>
    </row>
    <row r="131" spans="1:8" x14ac:dyDescent="0.25">
      <c r="A131" s="8" t="s">
        <v>121</v>
      </c>
      <c r="B131">
        <v>4.0339275922785398E-2</v>
      </c>
      <c r="D131" s="8" t="s">
        <v>150</v>
      </c>
      <c r="E131">
        <v>2.4427428745958046E-2</v>
      </c>
      <c r="G131" s="13" t="s">
        <v>128</v>
      </c>
      <c r="H131" s="31">
        <v>6.7160704429119866E-2</v>
      </c>
    </row>
    <row r="132" spans="1:8" x14ac:dyDescent="0.25">
      <c r="A132" s="8" t="s">
        <v>168</v>
      </c>
      <c r="B132">
        <v>3.6547116872581324E-2</v>
      </c>
      <c r="D132" s="8" t="s">
        <v>137</v>
      </c>
      <c r="E132">
        <v>2.2135919886784344E-2</v>
      </c>
      <c r="G132" s="8" t="s">
        <v>166</v>
      </c>
      <c r="H132" s="31">
        <v>6.6871742622845759E-2</v>
      </c>
    </row>
    <row r="133" spans="1:8" x14ac:dyDescent="0.25">
      <c r="A133" s="8" t="s">
        <v>133</v>
      </c>
      <c r="B133">
        <v>3.2890530505859633E-2</v>
      </c>
      <c r="D133" s="13" t="s">
        <v>160</v>
      </c>
      <c r="E133">
        <v>1.7933782804080072E-2</v>
      </c>
      <c r="G133" s="13" t="s">
        <v>134</v>
      </c>
      <c r="H133" s="31">
        <v>6.5155743053950818E-2</v>
      </c>
    </row>
    <row r="134" spans="1:8" x14ac:dyDescent="0.25">
      <c r="A134" s="13" t="s">
        <v>151</v>
      </c>
      <c r="B134">
        <v>3.2297555788696961E-2</v>
      </c>
      <c r="D134" s="8" t="s">
        <v>121</v>
      </c>
      <c r="E134">
        <v>1.633967559120127E-2</v>
      </c>
      <c r="G134" s="8" t="s">
        <v>6</v>
      </c>
      <c r="H134" s="31">
        <v>5.9181836775201918E-2</v>
      </c>
    </row>
    <row r="135" spans="1:8" x14ac:dyDescent="0.25">
      <c r="A135" s="8" t="s">
        <v>159</v>
      </c>
      <c r="B135">
        <v>3.0541045390874471E-2</v>
      </c>
      <c r="D135" s="8" t="s">
        <v>176</v>
      </c>
      <c r="E135">
        <v>1.42087453179269E-2</v>
      </c>
      <c r="G135" s="13" t="s">
        <v>173</v>
      </c>
      <c r="H135" s="31">
        <v>5.9159941713478367E-2</v>
      </c>
    </row>
    <row r="136" spans="1:8" x14ac:dyDescent="0.25">
      <c r="A136" s="13" t="s">
        <v>14</v>
      </c>
      <c r="B136">
        <v>2.9647629040480968E-2</v>
      </c>
      <c r="D136" s="8" t="s">
        <v>88</v>
      </c>
      <c r="E136">
        <v>1.2367360115859158E-2</v>
      </c>
      <c r="G136" s="13" t="s">
        <v>147</v>
      </c>
      <c r="H136" s="31">
        <v>5.6935524316833269E-2</v>
      </c>
    </row>
    <row r="137" spans="1:8" x14ac:dyDescent="0.25">
      <c r="A137" s="13" t="s">
        <v>131</v>
      </c>
      <c r="B137">
        <v>2.9464896134646697E-2</v>
      </c>
      <c r="D137" s="13" t="s">
        <v>98</v>
      </c>
      <c r="E137">
        <v>1.095678753245582E-2</v>
      </c>
      <c r="G137" s="8" t="s">
        <v>117</v>
      </c>
      <c r="H137" s="31">
        <v>5.6110835376111168E-2</v>
      </c>
    </row>
    <row r="138" spans="1:8" x14ac:dyDescent="0.25">
      <c r="A138" s="8" t="s">
        <v>93</v>
      </c>
      <c r="B138">
        <v>2.745487651590359E-2</v>
      </c>
      <c r="D138" s="8" t="s">
        <v>155</v>
      </c>
      <c r="E138">
        <v>9.2754183932898908E-3</v>
      </c>
      <c r="G138" s="8" t="s">
        <v>115</v>
      </c>
      <c r="H138" s="31">
        <v>5.4425111891343823E-2</v>
      </c>
    </row>
    <row r="139" spans="1:8" x14ac:dyDescent="0.25">
      <c r="A139" s="8" t="s">
        <v>165</v>
      </c>
      <c r="B139">
        <v>2.6685835961623442E-2</v>
      </c>
      <c r="D139" s="13" t="s">
        <v>111</v>
      </c>
      <c r="E139">
        <v>8.6620001651462036E-3</v>
      </c>
      <c r="G139" s="8" t="s">
        <v>144</v>
      </c>
      <c r="H139" s="31">
        <v>5.2812323719377489E-2</v>
      </c>
    </row>
    <row r="140" spans="1:8" x14ac:dyDescent="0.25">
      <c r="A140" s="13" t="s">
        <v>127</v>
      </c>
      <c r="B140">
        <v>1.8721874220949092E-2</v>
      </c>
      <c r="D140" s="13" t="s">
        <v>148</v>
      </c>
      <c r="E140">
        <v>6.3050623995406386E-3</v>
      </c>
      <c r="G140" s="9" t="s">
        <v>74</v>
      </c>
      <c r="H140" s="30">
        <v>4.8185219549654275E-2</v>
      </c>
    </row>
    <row r="141" spans="1:8" x14ac:dyDescent="0.25">
      <c r="A141" s="8" t="s">
        <v>137</v>
      </c>
      <c r="B141">
        <v>1.7220080406046428E-2</v>
      </c>
      <c r="D141" s="8" t="s">
        <v>165</v>
      </c>
      <c r="E141">
        <v>3.3928743325224893E-3</v>
      </c>
      <c r="G141" s="13" t="s">
        <v>130</v>
      </c>
      <c r="H141" s="31">
        <v>4.5183854076995461E-2</v>
      </c>
    </row>
    <row r="142" spans="1:8" x14ac:dyDescent="0.25">
      <c r="A142" s="8" t="s">
        <v>15</v>
      </c>
      <c r="B142">
        <v>1.3787389729998286E-2</v>
      </c>
      <c r="D142" s="8" t="s">
        <v>149</v>
      </c>
      <c r="E142">
        <v>-7.6818791579996248E-4</v>
      </c>
      <c r="G142" s="8" t="s">
        <v>153</v>
      </c>
      <c r="H142" s="31">
        <v>4.4811266533454623E-2</v>
      </c>
    </row>
    <row r="143" spans="1:8" x14ac:dyDescent="0.25">
      <c r="A143" s="8" t="s">
        <v>10</v>
      </c>
      <c r="B143">
        <v>1.0285335183016234E-2</v>
      </c>
      <c r="D143" s="8" t="s">
        <v>169</v>
      </c>
      <c r="E143">
        <v>-8.6919654781746731E-4</v>
      </c>
      <c r="G143" s="8" t="s">
        <v>133</v>
      </c>
      <c r="H143" s="31">
        <v>4.0704214311335245E-2</v>
      </c>
    </row>
    <row r="144" spans="1:8" x14ac:dyDescent="0.25">
      <c r="A144" s="8" t="s">
        <v>114</v>
      </c>
      <c r="B144">
        <v>9.8706198677198063E-3</v>
      </c>
      <c r="D144" s="8" t="s">
        <v>120</v>
      </c>
      <c r="E144">
        <v>-1.1016832479173806E-3</v>
      </c>
      <c r="G144" s="13" t="s">
        <v>113</v>
      </c>
      <c r="H144" s="31">
        <v>4.054113681128773E-2</v>
      </c>
    </row>
    <row r="145" spans="1:8" x14ac:dyDescent="0.25">
      <c r="A145" s="8" t="s">
        <v>172</v>
      </c>
      <c r="B145">
        <v>8.7930922172471445E-3</v>
      </c>
      <c r="D145" s="8" t="s">
        <v>86</v>
      </c>
      <c r="E145">
        <v>-5.4865261498806758E-3</v>
      </c>
      <c r="G145" s="8" t="s">
        <v>10</v>
      </c>
      <c r="H145" s="31">
        <v>3.9782757165930369E-2</v>
      </c>
    </row>
    <row r="146" spans="1:8" x14ac:dyDescent="0.25">
      <c r="A146" s="13" t="s">
        <v>154</v>
      </c>
      <c r="B146">
        <v>3.9284202776594217E-3</v>
      </c>
      <c r="D146" s="8" t="s">
        <v>10</v>
      </c>
      <c r="E146">
        <v>-7.8725688814485859E-3</v>
      </c>
      <c r="G146" s="8" t="s">
        <v>15</v>
      </c>
      <c r="H146" s="31">
        <v>3.8391611343459864E-2</v>
      </c>
    </row>
    <row r="147" spans="1:8" x14ac:dyDescent="0.25">
      <c r="A147" s="8" t="s">
        <v>155</v>
      </c>
      <c r="B147">
        <v>-2.1879086899156104E-3</v>
      </c>
      <c r="D147" s="8" t="s">
        <v>152</v>
      </c>
      <c r="E147">
        <v>-1.2016491197886852E-2</v>
      </c>
      <c r="G147" s="13" t="s">
        <v>127</v>
      </c>
      <c r="H147" s="31">
        <v>3.8230312371615456E-2</v>
      </c>
    </row>
    <row r="148" spans="1:8" x14ac:dyDescent="0.25">
      <c r="A148" s="8" t="s">
        <v>115</v>
      </c>
      <c r="B148">
        <v>-3.1584513580370727E-3</v>
      </c>
      <c r="D148" s="8" t="s">
        <v>157</v>
      </c>
      <c r="E148">
        <v>-1.2448110348510955E-2</v>
      </c>
      <c r="G148" s="13" t="s">
        <v>177</v>
      </c>
      <c r="H148" s="31">
        <v>3.8024179875611075E-2</v>
      </c>
    </row>
    <row r="149" spans="1:8" x14ac:dyDescent="0.25">
      <c r="A149" s="13" t="s">
        <v>148</v>
      </c>
      <c r="B149">
        <v>-7.4161305852483905E-3</v>
      </c>
      <c r="D149" s="8" t="s">
        <v>159</v>
      </c>
      <c r="E149">
        <v>-1.3433318377786475E-2</v>
      </c>
      <c r="G149" s="8" t="s">
        <v>142</v>
      </c>
      <c r="H149" s="31">
        <v>3.7885483280599722E-2</v>
      </c>
    </row>
    <row r="150" spans="1:8" x14ac:dyDescent="0.25">
      <c r="A150" s="8" t="s">
        <v>9</v>
      </c>
      <c r="B150">
        <v>-9.0956976587575934E-3</v>
      </c>
      <c r="D150" s="8" t="s">
        <v>9</v>
      </c>
      <c r="E150">
        <v>-1.8706800815335062E-2</v>
      </c>
      <c r="G150" s="8" t="s">
        <v>137</v>
      </c>
      <c r="H150" s="31">
        <v>3.7829256263598163E-2</v>
      </c>
    </row>
    <row r="151" spans="1:8" x14ac:dyDescent="0.25">
      <c r="A151" s="8" t="s">
        <v>157</v>
      </c>
      <c r="B151">
        <v>-1.0339381054931296E-2</v>
      </c>
      <c r="D151" s="8" t="s">
        <v>156</v>
      </c>
      <c r="E151">
        <v>-2.298634579140409E-2</v>
      </c>
      <c r="G151" s="8" t="s">
        <v>94</v>
      </c>
      <c r="H151" s="31">
        <v>2.7760788146184497E-2</v>
      </c>
    </row>
    <row r="152" spans="1:8" x14ac:dyDescent="0.25">
      <c r="A152" s="13" t="s">
        <v>122</v>
      </c>
      <c r="B152">
        <v>-1.051514834803176E-2</v>
      </c>
      <c r="D152" s="8" t="s">
        <v>96</v>
      </c>
      <c r="E152">
        <v>-2.4460920968641518E-2</v>
      </c>
      <c r="G152" s="13" t="s">
        <v>131</v>
      </c>
      <c r="H152" s="31">
        <v>2.7660332412475036E-2</v>
      </c>
    </row>
    <row r="153" spans="1:8" x14ac:dyDescent="0.25">
      <c r="A153" s="8" t="s">
        <v>132</v>
      </c>
      <c r="B153">
        <v>-1.2243435040524473E-2</v>
      </c>
      <c r="D153" s="8" t="s">
        <v>15</v>
      </c>
      <c r="E153">
        <v>-2.5865491931766349E-2</v>
      </c>
      <c r="G153" s="8" t="s">
        <v>84</v>
      </c>
      <c r="H153" s="31">
        <v>2.7654810198312677E-2</v>
      </c>
    </row>
    <row r="154" spans="1:8" x14ac:dyDescent="0.25">
      <c r="A154" s="9" t="s">
        <v>74</v>
      </c>
      <c r="B154">
        <v>-1.366264782765658E-2</v>
      </c>
      <c r="D154" s="8" t="s">
        <v>115</v>
      </c>
      <c r="E154">
        <v>-3.3850684496325591E-2</v>
      </c>
      <c r="G154" s="8" t="s">
        <v>132</v>
      </c>
      <c r="H154" s="31">
        <v>2.6629700703784089E-2</v>
      </c>
    </row>
    <row r="155" spans="1:8" x14ac:dyDescent="0.25">
      <c r="A155" s="13" t="s">
        <v>160</v>
      </c>
      <c r="B155">
        <v>-1.4074809421435021E-2</v>
      </c>
      <c r="D155" s="8" t="s">
        <v>83</v>
      </c>
      <c r="E155">
        <v>-3.4054846191956326E-2</v>
      </c>
      <c r="G155" s="13" t="s">
        <v>14</v>
      </c>
      <c r="H155" s="31">
        <v>2.4468929462552736E-2</v>
      </c>
    </row>
    <row r="156" spans="1:8" x14ac:dyDescent="0.25">
      <c r="A156" s="8" t="s">
        <v>117</v>
      </c>
      <c r="B156">
        <v>-1.418524688703989E-2</v>
      </c>
      <c r="D156" s="8" t="s">
        <v>94</v>
      </c>
      <c r="E156">
        <v>-3.5096112965833717E-2</v>
      </c>
      <c r="G156" s="9" t="s">
        <v>75</v>
      </c>
      <c r="H156" s="31">
        <v>2.3342324637054511E-2</v>
      </c>
    </row>
    <row r="157" spans="1:8" x14ac:dyDescent="0.25">
      <c r="A157" s="8" t="s">
        <v>166</v>
      </c>
      <c r="B157">
        <v>-1.7525741924361862E-2</v>
      </c>
      <c r="D157" s="13" t="s">
        <v>177</v>
      </c>
      <c r="E157">
        <v>-3.5134809152795744E-2</v>
      </c>
      <c r="G157" s="13" t="s">
        <v>151</v>
      </c>
      <c r="H157" s="31">
        <v>1.9463957324544173E-2</v>
      </c>
    </row>
    <row r="158" spans="1:8" x14ac:dyDescent="0.25">
      <c r="A158" s="8" t="s">
        <v>116</v>
      </c>
      <c r="B158">
        <v>-1.7991542311770282E-2</v>
      </c>
      <c r="D158" s="9" t="s">
        <v>74</v>
      </c>
      <c r="E158">
        <v>-3.515981985056188E-2</v>
      </c>
      <c r="G158" s="8" t="s">
        <v>155</v>
      </c>
      <c r="H158" s="31">
        <v>1.771235411322886E-2</v>
      </c>
    </row>
    <row r="159" spans="1:8" x14ac:dyDescent="0.25">
      <c r="A159" s="13" t="s">
        <v>177</v>
      </c>
      <c r="B159">
        <v>-1.9489526199171273E-2</v>
      </c>
      <c r="D159" s="13" t="s">
        <v>167</v>
      </c>
      <c r="E159">
        <v>-3.8577560346013152E-2</v>
      </c>
      <c r="G159" s="8" t="s">
        <v>149</v>
      </c>
      <c r="H159" s="31">
        <v>7.8606761021168588E-3</v>
      </c>
    </row>
    <row r="160" spans="1:8" x14ac:dyDescent="0.25">
      <c r="A160" s="8" t="s">
        <v>86</v>
      </c>
      <c r="B160">
        <v>-2.0594718512483623E-2</v>
      </c>
      <c r="D160" s="8" t="s">
        <v>168</v>
      </c>
      <c r="E160">
        <v>-3.872794740547942E-2</v>
      </c>
      <c r="G160" s="13" t="s">
        <v>148</v>
      </c>
      <c r="H160" s="31">
        <v>5.5517428190970542E-3</v>
      </c>
    </row>
    <row r="161" spans="1:8" x14ac:dyDescent="0.25">
      <c r="A161" s="8" t="s">
        <v>149</v>
      </c>
      <c r="B161">
        <v>-2.1581085581025561E-2</v>
      </c>
      <c r="D161" s="8" t="s">
        <v>132</v>
      </c>
      <c r="E161">
        <v>-4.2796001936631897E-2</v>
      </c>
      <c r="G161" s="13" t="s">
        <v>154</v>
      </c>
      <c r="H161" s="31">
        <v>5.3000191350401592E-3</v>
      </c>
    </row>
    <row r="162" spans="1:8" x14ac:dyDescent="0.25">
      <c r="A162" s="9" t="s">
        <v>75</v>
      </c>
      <c r="B162">
        <v>-2.3528349883610199E-2</v>
      </c>
      <c r="D162" s="8" t="s">
        <v>117</v>
      </c>
      <c r="E162">
        <v>-4.6023590023338848E-2</v>
      </c>
      <c r="G162" s="8" t="s">
        <v>116</v>
      </c>
      <c r="H162" s="31">
        <v>5.2588905851693943E-3</v>
      </c>
    </row>
    <row r="163" spans="1:8" x14ac:dyDescent="0.25">
      <c r="A163" s="8" t="s">
        <v>156</v>
      </c>
      <c r="B163">
        <v>-2.6007174409053285E-2</v>
      </c>
      <c r="D163" s="8" t="s">
        <v>114</v>
      </c>
      <c r="E163">
        <v>-4.638180770568371E-2</v>
      </c>
      <c r="G163" s="8" t="s">
        <v>83</v>
      </c>
      <c r="H163" s="31">
        <v>1.9873465256683141E-3</v>
      </c>
    </row>
    <row r="164" spans="1:8" x14ac:dyDescent="0.25">
      <c r="A164" s="8" t="s">
        <v>120</v>
      </c>
      <c r="B164">
        <v>-2.6245951273327708E-2</v>
      </c>
      <c r="D164" s="9" t="s">
        <v>77</v>
      </c>
      <c r="E164">
        <v>-4.658575436553955E-2</v>
      </c>
      <c r="G164" s="8" t="s">
        <v>9</v>
      </c>
      <c r="H164" s="31">
        <v>1.3231346304493144E-3</v>
      </c>
    </row>
    <row r="165" spans="1:8" x14ac:dyDescent="0.25">
      <c r="A165" s="8" t="s">
        <v>83</v>
      </c>
      <c r="B165">
        <v>-2.6740584477872312E-2</v>
      </c>
      <c r="D165" s="8" t="s">
        <v>116</v>
      </c>
      <c r="E165">
        <v>-5.1990285865771847E-2</v>
      </c>
      <c r="G165" s="8" t="s">
        <v>85</v>
      </c>
      <c r="H165" s="31">
        <v>5.1770616887074166E-4</v>
      </c>
    </row>
    <row r="166" spans="1:8" x14ac:dyDescent="0.25">
      <c r="A166" s="8" t="s">
        <v>94</v>
      </c>
      <c r="B166">
        <v>-2.8002010124393777E-2</v>
      </c>
      <c r="D166" s="13" t="s">
        <v>82</v>
      </c>
      <c r="E166">
        <v>-6.3187991384085929E-2</v>
      </c>
      <c r="G166" s="13" t="s">
        <v>122</v>
      </c>
      <c r="H166" s="31">
        <v>-5.5257410915395058E-3</v>
      </c>
    </row>
    <row r="167" spans="1:8" x14ac:dyDescent="0.25">
      <c r="A167" s="13" t="s">
        <v>174</v>
      </c>
      <c r="B167">
        <v>-3.0899117423761138E-2</v>
      </c>
      <c r="D167" s="8" t="s">
        <v>166</v>
      </c>
      <c r="E167">
        <v>-6.4188518340694029E-2</v>
      </c>
      <c r="G167" s="8" t="s">
        <v>157</v>
      </c>
      <c r="H167" s="31">
        <v>-6.9269568089572204E-3</v>
      </c>
    </row>
    <row r="168" spans="1:8" x14ac:dyDescent="0.25">
      <c r="A168" s="8" t="s">
        <v>124</v>
      </c>
      <c r="B168">
        <v>-3.1555577601092066E-2</v>
      </c>
      <c r="D168" s="8" t="s">
        <v>93</v>
      </c>
      <c r="E168">
        <v>-6.6441415685454808E-2</v>
      </c>
      <c r="G168" s="13" t="s">
        <v>160</v>
      </c>
      <c r="H168" s="31">
        <v>-1.8414211690705548E-2</v>
      </c>
    </row>
    <row r="169" spans="1:8" x14ac:dyDescent="0.25">
      <c r="A169" s="8" t="s">
        <v>84</v>
      </c>
      <c r="B169">
        <v>-3.460076187515522E-2</v>
      </c>
      <c r="D169" s="8" t="s">
        <v>85</v>
      </c>
      <c r="E169">
        <v>-6.6501944362397286E-2</v>
      </c>
      <c r="G169" s="8" t="s">
        <v>156</v>
      </c>
      <c r="H169" s="31">
        <v>-2.0103131006145115E-2</v>
      </c>
    </row>
    <row r="170" spans="1:8" x14ac:dyDescent="0.25">
      <c r="A170" s="9" t="s">
        <v>77</v>
      </c>
      <c r="B170">
        <v>-4.8747314902750402E-2</v>
      </c>
      <c r="D170" s="9" t="s">
        <v>75</v>
      </c>
      <c r="E170">
        <v>-7.2414065634623437E-2</v>
      </c>
      <c r="G170" s="9" t="s">
        <v>79</v>
      </c>
      <c r="H170" s="31">
        <v>-2.1902926925990624E-2</v>
      </c>
    </row>
    <row r="171" spans="1:8" x14ac:dyDescent="0.25">
      <c r="A171" s="13" t="s">
        <v>167</v>
      </c>
      <c r="B171">
        <v>-4.8998519438525005E-2</v>
      </c>
      <c r="D171" s="9" t="s">
        <v>78</v>
      </c>
      <c r="E171">
        <v>-7.2663377877861243E-2</v>
      </c>
      <c r="G171" s="9" t="s">
        <v>78</v>
      </c>
      <c r="H171" s="31">
        <v>-2.3882417555851392E-2</v>
      </c>
    </row>
    <row r="172" spans="1:8" x14ac:dyDescent="0.25">
      <c r="A172" s="13" t="s">
        <v>173</v>
      </c>
      <c r="B172">
        <v>-4.9060913529569185E-2</v>
      </c>
      <c r="D172" s="8" t="s">
        <v>84</v>
      </c>
      <c r="E172">
        <v>-8.0658907679185876E-2</v>
      </c>
      <c r="G172" s="8" t="s">
        <v>86</v>
      </c>
      <c r="H172" s="31">
        <v>-2.9545533503922188E-2</v>
      </c>
    </row>
    <row r="173" spans="1:8" x14ac:dyDescent="0.25">
      <c r="A173" s="13" t="s">
        <v>82</v>
      </c>
      <c r="B173">
        <v>-5.2862000926425359E-2</v>
      </c>
      <c r="D173" s="8" t="s">
        <v>118</v>
      </c>
      <c r="E173">
        <v>-9.3208923774496494E-2</v>
      </c>
      <c r="G173" s="8" t="s">
        <v>120</v>
      </c>
      <c r="H173" s="31">
        <v>-3.5283241016117489E-2</v>
      </c>
    </row>
    <row r="174" spans="1:8" x14ac:dyDescent="0.25">
      <c r="A174" s="8" t="s">
        <v>85</v>
      </c>
      <c r="B174">
        <v>-5.6596564780402911E-2</v>
      </c>
      <c r="D174" s="13" t="s">
        <v>174</v>
      </c>
      <c r="E174">
        <v>-9.7851046695569252E-2</v>
      </c>
      <c r="G174" s="13" t="s">
        <v>167</v>
      </c>
      <c r="H174" s="31">
        <v>-3.6582604980149112E-2</v>
      </c>
    </row>
    <row r="175" spans="1:8" x14ac:dyDescent="0.25">
      <c r="A175" s="8" t="s">
        <v>152</v>
      </c>
      <c r="B175">
        <v>-5.812552986069635E-2</v>
      </c>
      <c r="D175" s="8" t="s">
        <v>124</v>
      </c>
      <c r="E175">
        <v>-0.10187630192934349</v>
      </c>
      <c r="G175" s="8" t="s">
        <v>118</v>
      </c>
      <c r="H175" s="31">
        <v>-3.9814094976735534E-2</v>
      </c>
    </row>
    <row r="176" spans="1:8" x14ac:dyDescent="0.25">
      <c r="A176" s="9" t="s">
        <v>78</v>
      </c>
      <c r="B176">
        <v>-5.9420349496838845E-2</v>
      </c>
      <c r="D176" s="13" t="s">
        <v>173</v>
      </c>
      <c r="E176">
        <v>-0.10911861188820775</v>
      </c>
      <c r="G176" s="13" t="s">
        <v>82</v>
      </c>
      <c r="H176" s="31">
        <v>-4.2146694110507664E-2</v>
      </c>
    </row>
    <row r="177" spans="1:8" x14ac:dyDescent="0.25">
      <c r="A177" s="8" t="s">
        <v>118</v>
      </c>
      <c r="B177">
        <v>-6.4093005034317155E-2</v>
      </c>
      <c r="D177" s="9" t="s">
        <v>79</v>
      </c>
      <c r="E177">
        <v>-0.1109000233969988</v>
      </c>
      <c r="G177" s="9" t="s">
        <v>76</v>
      </c>
      <c r="H177" s="31">
        <v>-4.2802777631693059E-2</v>
      </c>
    </row>
    <row r="178" spans="1:8" x14ac:dyDescent="0.25">
      <c r="A178" s="9" t="s">
        <v>76</v>
      </c>
      <c r="B178">
        <v>-7.5646733278715489E-2</v>
      </c>
      <c r="D178" s="8" t="s">
        <v>99</v>
      </c>
      <c r="E178">
        <v>-0.11824870225202859</v>
      </c>
      <c r="G178" s="9" t="s">
        <v>77</v>
      </c>
      <c r="H178" s="31">
        <v>-4.4751313800373442E-2</v>
      </c>
    </row>
    <row r="179" spans="1:8" x14ac:dyDescent="0.25">
      <c r="A179" s="9" t="s">
        <v>79</v>
      </c>
      <c r="B179">
        <v>-7.7881452391725378E-2</v>
      </c>
      <c r="D179" s="9" t="s">
        <v>76</v>
      </c>
      <c r="E179">
        <v>-0.11917354375447649</v>
      </c>
      <c r="G179" s="8" t="s">
        <v>152</v>
      </c>
      <c r="H179" s="31">
        <v>-5.9350887730337559E-2</v>
      </c>
    </row>
  </sheetData>
  <sortState ref="G66:H179">
    <sortCondition descending="1" ref="H66:H179"/>
  </sortState>
  <mergeCells count="8">
    <mergeCell ref="D65:E65"/>
    <mergeCell ref="G65:I65"/>
    <mergeCell ref="A59:B59"/>
    <mergeCell ref="A60:B60"/>
    <mergeCell ref="A61:B61"/>
    <mergeCell ref="A62:B62"/>
    <mergeCell ref="A63:B63"/>
    <mergeCell ref="A65:B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N23" sqref="N23"/>
    </sheetView>
  </sheetViews>
  <sheetFormatPr defaultRowHeight="15" x14ac:dyDescent="0.25"/>
  <cols>
    <col min="1" max="1" width="12.710937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2.42578125" bestFit="1" customWidth="1"/>
    <col min="15" max="15" width="11" customWidth="1"/>
    <col min="16" max="16" width="12.7109375" bestFit="1" customWidth="1"/>
    <col min="17" max="17" width="12.42578125" bestFit="1" customWidth="1"/>
    <col min="19" max="19" width="12.7109375" bestFit="1" customWidth="1"/>
    <col min="20" max="20" width="12.42578125" bestFit="1" customWidth="1"/>
    <col min="22" max="22" width="12.7109375" bestFit="1" customWidth="1"/>
    <col min="25" max="25" width="12.42578125" bestFit="1" customWidth="1"/>
    <col min="28" max="28" width="12.42578125" bestFit="1" customWidth="1"/>
  </cols>
  <sheetData>
    <row r="1" spans="1:30" ht="66.75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30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30" x14ac:dyDescent="0.25">
      <c r="A3" s="54" t="s">
        <v>100</v>
      </c>
      <c r="B3" s="20">
        <v>0.83</v>
      </c>
      <c r="C3" s="55">
        <v>1</v>
      </c>
      <c r="D3" s="13" t="s">
        <v>100</v>
      </c>
      <c r="E3" s="32">
        <v>0.18350402543323494</v>
      </c>
      <c r="F3" s="55">
        <v>1</v>
      </c>
      <c r="G3" s="13" t="s">
        <v>100</v>
      </c>
      <c r="H3" s="32">
        <v>0.33511758696808219</v>
      </c>
      <c r="I3" s="55">
        <v>1</v>
      </c>
      <c r="J3" s="13" t="s">
        <v>141</v>
      </c>
      <c r="K3" s="32">
        <v>0.26711876216035368</v>
      </c>
      <c r="L3" s="55">
        <v>1</v>
      </c>
      <c r="M3" t="s">
        <v>100</v>
      </c>
      <c r="N3" s="32">
        <v>66.67</v>
      </c>
      <c r="O3" s="55">
        <v>1</v>
      </c>
      <c r="P3" t="s">
        <v>171</v>
      </c>
      <c r="Q3" s="32">
        <v>80</v>
      </c>
      <c r="R3" s="55">
        <v>1</v>
      </c>
      <c r="S3" t="s">
        <v>171</v>
      </c>
      <c r="T3" s="32">
        <v>81.819999999999993</v>
      </c>
      <c r="U3" s="55">
        <v>1</v>
      </c>
      <c r="V3" s="54" t="s">
        <v>100</v>
      </c>
      <c r="W3" s="20">
        <v>7</v>
      </c>
      <c r="X3" s="55">
        <v>1</v>
      </c>
      <c r="Y3" t="s">
        <v>100</v>
      </c>
      <c r="Z3">
        <v>6</v>
      </c>
      <c r="AA3" s="55">
        <v>1</v>
      </c>
    </row>
    <row r="4" spans="1:30" x14ac:dyDescent="0.25">
      <c r="A4" s="54" t="s">
        <v>141</v>
      </c>
      <c r="B4" s="20">
        <v>0.28999999999999998</v>
      </c>
      <c r="C4" s="55">
        <v>2</v>
      </c>
      <c r="D4" s="13" t="s">
        <v>141</v>
      </c>
      <c r="E4" s="32">
        <v>0.1294922904030337</v>
      </c>
      <c r="F4" s="55">
        <v>2</v>
      </c>
      <c r="G4" s="13" t="s">
        <v>141</v>
      </c>
      <c r="H4" s="32">
        <v>2.8384741687718162E-2</v>
      </c>
      <c r="I4" s="55">
        <v>2</v>
      </c>
      <c r="J4" s="13" t="s">
        <v>100</v>
      </c>
      <c r="K4" s="32">
        <v>0.14921660800946052</v>
      </c>
      <c r="L4" s="55">
        <v>2</v>
      </c>
      <c r="M4" t="s">
        <v>171</v>
      </c>
      <c r="N4" s="32">
        <v>66.67</v>
      </c>
      <c r="O4" s="55">
        <v>1</v>
      </c>
      <c r="P4" t="s">
        <v>100</v>
      </c>
      <c r="Q4" s="32">
        <v>60</v>
      </c>
      <c r="R4" s="55">
        <v>2</v>
      </c>
      <c r="S4" t="s">
        <v>100</v>
      </c>
      <c r="T4" s="32">
        <v>72.73</v>
      </c>
      <c r="U4" s="55">
        <v>2</v>
      </c>
      <c r="V4" s="54" t="s">
        <v>141</v>
      </c>
      <c r="W4" s="20">
        <v>3</v>
      </c>
      <c r="X4" s="55">
        <v>2</v>
      </c>
      <c r="Y4" t="s">
        <v>141</v>
      </c>
      <c r="Z4">
        <v>2</v>
      </c>
      <c r="AA4" s="55">
        <v>2</v>
      </c>
    </row>
    <row r="5" spans="1:30" x14ac:dyDescent="0.25">
      <c r="A5" s="54" t="s">
        <v>138</v>
      </c>
      <c r="B5" s="20">
        <v>0.22</v>
      </c>
      <c r="C5" s="55">
        <v>3</v>
      </c>
      <c r="D5" s="13" t="s">
        <v>138</v>
      </c>
      <c r="E5" s="32">
        <v>5.3189761043582195E-2</v>
      </c>
      <c r="F5" s="55">
        <v>3</v>
      </c>
      <c r="G5" s="13" t="s">
        <v>171</v>
      </c>
      <c r="H5" s="32">
        <v>1.65278368255685E-2</v>
      </c>
      <c r="I5" s="55">
        <v>3</v>
      </c>
      <c r="J5" s="13" t="s">
        <v>138</v>
      </c>
      <c r="K5" s="32">
        <v>7.5444392389779721E-2</v>
      </c>
      <c r="L5" s="55">
        <v>3</v>
      </c>
      <c r="M5" t="s">
        <v>138</v>
      </c>
      <c r="N5" s="32">
        <v>50</v>
      </c>
      <c r="O5" s="55">
        <v>2</v>
      </c>
      <c r="P5" t="s">
        <v>141</v>
      </c>
      <c r="Q5" s="32">
        <v>40</v>
      </c>
      <c r="R5" s="55">
        <v>3</v>
      </c>
      <c r="S5" t="s">
        <v>138</v>
      </c>
      <c r="T5" s="32">
        <v>62.5</v>
      </c>
      <c r="U5" s="55">
        <v>3</v>
      </c>
      <c r="V5" s="54" t="s">
        <v>138</v>
      </c>
      <c r="W5" s="20">
        <v>0</v>
      </c>
      <c r="X5" s="55">
        <v>3</v>
      </c>
      <c r="Y5" t="s">
        <v>138</v>
      </c>
      <c r="Z5">
        <v>0</v>
      </c>
      <c r="AA5" s="55">
        <v>3</v>
      </c>
    </row>
    <row r="6" spans="1:30" x14ac:dyDescent="0.25">
      <c r="A6" s="54" t="s">
        <v>171</v>
      </c>
      <c r="B6" s="20">
        <v>0.21</v>
      </c>
      <c r="C6" s="55">
        <v>4</v>
      </c>
      <c r="D6" s="13" t="s">
        <v>171</v>
      </c>
      <c r="E6" s="32">
        <v>3.9306385563276557E-2</v>
      </c>
      <c r="F6" s="55">
        <v>4</v>
      </c>
      <c r="G6" s="13" t="s">
        <v>138</v>
      </c>
      <c r="H6" s="32">
        <v>-8.3889103049898002E-3</v>
      </c>
      <c r="I6" s="55">
        <v>4</v>
      </c>
      <c r="J6" s="13" t="s">
        <v>171</v>
      </c>
      <c r="K6" s="32">
        <v>5.5078036725660764E-2</v>
      </c>
      <c r="L6" s="55">
        <v>4</v>
      </c>
      <c r="M6" t="s">
        <v>141</v>
      </c>
      <c r="N6" s="32">
        <v>41.67</v>
      </c>
      <c r="O6" s="55">
        <v>3</v>
      </c>
      <c r="P6" t="s">
        <v>138</v>
      </c>
      <c r="Q6" s="32">
        <v>40</v>
      </c>
      <c r="R6" s="55">
        <v>3</v>
      </c>
      <c r="S6" t="s">
        <v>141</v>
      </c>
      <c r="T6" s="32">
        <v>50</v>
      </c>
      <c r="U6" s="55">
        <v>4</v>
      </c>
      <c r="V6" s="54" t="s">
        <v>171</v>
      </c>
      <c r="W6" s="20">
        <v>0</v>
      </c>
      <c r="X6" s="55">
        <v>3</v>
      </c>
      <c r="Y6" t="s">
        <v>171</v>
      </c>
      <c r="Z6">
        <v>0</v>
      </c>
      <c r="AA6" s="55">
        <v>3</v>
      </c>
    </row>
    <row r="7" spans="1:30" x14ac:dyDescent="0.25">
      <c r="A7" s="54"/>
      <c r="B7" s="20"/>
      <c r="C7" s="55"/>
      <c r="D7" s="56"/>
      <c r="E7" s="57"/>
      <c r="F7" s="55"/>
      <c r="G7" s="56"/>
      <c r="H7" s="57"/>
      <c r="I7" s="55"/>
      <c r="J7" s="56"/>
      <c r="K7" s="57"/>
      <c r="L7" s="55"/>
      <c r="M7" s="54"/>
      <c r="N7" s="20"/>
      <c r="O7" s="55"/>
      <c r="P7" s="54"/>
      <c r="Q7" s="20"/>
      <c r="R7" s="55"/>
      <c r="S7" s="54"/>
      <c r="T7" s="20"/>
      <c r="U7" s="55"/>
      <c r="V7" s="54"/>
      <c r="W7" s="20"/>
      <c r="X7" s="55"/>
      <c r="Y7" s="54"/>
      <c r="Z7" s="20"/>
      <c r="AA7" s="55"/>
    </row>
    <row r="8" spans="1:30" ht="15.75" thickBot="1" x14ac:dyDescent="0.3">
      <c r="A8" s="197" t="s">
        <v>20</v>
      </c>
      <c r="B8" s="198"/>
      <c r="C8" s="199"/>
      <c r="D8" s="197" t="s">
        <v>20</v>
      </c>
      <c r="E8" s="198"/>
      <c r="F8" s="199"/>
      <c r="G8" s="197" t="s">
        <v>20</v>
      </c>
      <c r="H8" s="198"/>
      <c r="I8" s="199"/>
      <c r="J8" s="197" t="s">
        <v>20</v>
      </c>
      <c r="K8" s="198"/>
      <c r="L8" s="199"/>
      <c r="M8" s="197" t="s">
        <v>20</v>
      </c>
      <c r="N8" s="198"/>
      <c r="O8" s="199"/>
      <c r="P8" s="197" t="s">
        <v>20</v>
      </c>
      <c r="Q8" s="198"/>
      <c r="R8" s="199"/>
      <c r="S8" s="197" t="s">
        <v>20</v>
      </c>
      <c r="T8" s="198"/>
      <c r="U8" s="199"/>
      <c r="V8" s="197" t="s">
        <v>20</v>
      </c>
      <c r="W8" s="198"/>
      <c r="X8" s="199"/>
      <c r="Y8" s="197" t="s">
        <v>20</v>
      </c>
      <c r="Z8" s="198"/>
      <c r="AA8" s="199"/>
    </row>
    <row r="9" spans="1:30" ht="15.75" thickBot="1" x14ac:dyDescent="0.3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</row>
    <row r="10" spans="1:30" ht="15.75" thickBot="1" x14ac:dyDescent="0.3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224" t="s">
        <v>417</v>
      </c>
      <c r="R10" s="225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</row>
    <row r="11" spans="1:30" x14ac:dyDescent="0.25">
      <c r="A11" s="221" t="s">
        <v>416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3"/>
      <c r="M11" s="228" t="s">
        <v>418</v>
      </c>
      <c r="N11" s="229"/>
      <c r="O11" s="230"/>
      <c r="Q11" s="226"/>
      <c r="R11" s="227"/>
    </row>
    <row r="12" spans="1:30" ht="45" x14ac:dyDescent="0.25">
      <c r="A12" s="5" t="s">
        <v>30</v>
      </c>
      <c r="B12" s="6" t="s">
        <v>29</v>
      </c>
      <c r="C12" s="6" t="s">
        <v>31</v>
      </c>
      <c r="D12" s="6" t="s">
        <v>32</v>
      </c>
      <c r="E12" s="6" t="s">
        <v>33</v>
      </c>
      <c r="F12" s="6" t="s">
        <v>34</v>
      </c>
      <c r="G12" s="6" t="s">
        <v>35</v>
      </c>
      <c r="H12" s="6" t="s">
        <v>36</v>
      </c>
      <c r="I12" s="6" t="s">
        <v>271</v>
      </c>
      <c r="J12" s="6" t="s">
        <v>37</v>
      </c>
      <c r="K12" s="73" t="s">
        <v>38</v>
      </c>
      <c r="L12" s="74" t="s">
        <v>39</v>
      </c>
      <c r="M12" s="5" t="s">
        <v>30</v>
      </c>
      <c r="N12" s="70" t="s">
        <v>419</v>
      </c>
      <c r="O12" s="66" t="s">
        <v>420</v>
      </c>
      <c r="Q12" s="65" t="s">
        <v>21</v>
      </c>
      <c r="R12" s="66" t="s">
        <v>273</v>
      </c>
      <c r="T12" s="63" t="s">
        <v>21</v>
      </c>
      <c r="U12" s="49" t="s">
        <v>407</v>
      </c>
      <c r="V12" s="49" t="s">
        <v>408</v>
      </c>
      <c r="W12" s="49" t="s">
        <v>409</v>
      </c>
      <c r="X12" s="49" t="s">
        <v>410</v>
      </c>
      <c r="Y12" s="49" t="s">
        <v>411</v>
      </c>
      <c r="Z12" s="49" t="s">
        <v>412</v>
      </c>
      <c r="AA12" s="49" t="s">
        <v>413</v>
      </c>
      <c r="AB12" s="49" t="s">
        <v>414</v>
      </c>
      <c r="AC12" s="49" t="s">
        <v>415</v>
      </c>
      <c r="AD12" s="49" t="s">
        <v>406</v>
      </c>
    </row>
    <row r="13" spans="1:30" x14ac:dyDescent="0.25">
      <c r="A13" s="77" t="s">
        <v>100</v>
      </c>
      <c r="B13" s="20">
        <v>1</v>
      </c>
      <c r="C13" s="2">
        <v>1</v>
      </c>
      <c r="D13" s="2">
        <v>1</v>
      </c>
      <c r="E13" s="2">
        <v>2</v>
      </c>
      <c r="F13" s="20">
        <v>1</v>
      </c>
      <c r="G13" s="20">
        <v>2</v>
      </c>
      <c r="H13" s="20">
        <v>2</v>
      </c>
      <c r="I13" s="20">
        <v>1</v>
      </c>
      <c r="J13" s="20">
        <v>1</v>
      </c>
      <c r="K13" s="2">
        <f>SUM(B13:J13)</f>
        <v>12</v>
      </c>
      <c r="L13" s="52">
        <v>1</v>
      </c>
      <c r="M13" s="96" t="s">
        <v>100</v>
      </c>
      <c r="N13" s="20">
        <f>SUM(B13:H13)</f>
        <v>10</v>
      </c>
      <c r="O13" s="113">
        <v>1</v>
      </c>
      <c r="Q13" s="105" t="s">
        <v>171</v>
      </c>
      <c r="R13" s="116">
        <v>9</v>
      </c>
      <c r="T13" t="s">
        <v>171</v>
      </c>
      <c r="U13">
        <f>COUNTIF(A3:A6,"metacell-105")</f>
        <v>1</v>
      </c>
      <c r="V13">
        <f>COUNTIF(D3:D6,"metacell-105")</f>
        <v>1</v>
      </c>
      <c r="W13">
        <f>COUNTIF(G3:G6,"metacell-105")</f>
        <v>1</v>
      </c>
      <c r="X13">
        <f>COUNTIF(J3:J6,"metacell-105")</f>
        <v>1</v>
      </c>
      <c r="Y13">
        <f>COUNTIF(M3:M6,"metacell-105")</f>
        <v>1</v>
      </c>
      <c r="Z13">
        <f>COUNTIF(P3:P6,"metacell-105")</f>
        <v>1</v>
      </c>
      <c r="AA13">
        <f>COUNTIF(S3:S6,"metacell-105")</f>
        <v>1</v>
      </c>
      <c r="AB13">
        <f>COUNTIF(V3:V6,"metacell-105")</f>
        <v>1</v>
      </c>
      <c r="AC13">
        <f>COUNTIF(Y3:Y6,"metacell-105")</f>
        <v>1</v>
      </c>
      <c r="AD13">
        <f>SUM(U13:AC13)</f>
        <v>9</v>
      </c>
    </row>
    <row r="14" spans="1:30" x14ac:dyDescent="0.25">
      <c r="A14" s="77" t="s">
        <v>141</v>
      </c>
      <c r="B14" s="20">
        <v>2</v>
      </c>
      <c r="C14" s="2">
        <v>2</v>
      </c>
      <c r="D14" s="2">
        <v>2</v>
      </c>
      <c r="E14" s="2">
        <v>1</v>
      </c>
      <c r="F14" s="20">
        <v>3</v>
      </c>
      <c r="G14" s="20">
        <v>3</v>
      </c>
      <c r="H14" s="20">
        <v>4</v>
      </c>
      <c r="I14" s="20">
        <v>2</v>
      </c>
      <c r="J14" s="20">
        <v>2</v>
      </c>
      <c r="K14" s="2">
        <f>SUM(B14:J14)</f>
        <v>21</v>
      </c>
      <c r="L14" s="52">
        <v>2</v>
      </c>
      <c r="M14" s="96" t="s">
        <v>141</v>
      </c>
      <c r="N14" s="20">
        <f t="shared" ref="N14:N16" si="0">SUM(B14:H14)</f>
        <v>17</v>
      </c>
      <c r="O14" s="113">
        <v>2</v>
      </c>
      <c r="Q14" s="105" t="s">
        <v>100</v>
      </c>
      <c r="R14" s="116">
        <v>9</v>
      </c>
      <c r="T14" t="s">
        <v>100</v>
      </c>
      <c r="U14">
        <f>COUNTIF(A3:A6,"metacell-25")</f>
        <v>1</v>
      </c>
      <c r="V14">
        <f>COUNTIF(D3:D6,"metacell-25")</f>
        <v>1</v>
      </c>
      <c r="W14">
        <f>COUNTIF(G3:G6,"metacell-25")</f>
        <v>1</v>
      </c>
      <c r="X14">
        <f>COUNTIF(J3:J6,"metacell-25")</f>
        <v>1</v>
      </c>
      <c r="Y14">
        <f>COUNTIF(M3:M6,"metacell-25")</f>
        <v>1</v>
      </c>
      <c r="Z14">
        <f>COUNTIF(P3:P6,"metacell-25")</f>
        <v>1</v>
      </c>
      <c r="AA14">
        <f>COUNTIF(S3:S6,"metacell-25")</f>
        <v>1</v>
      </c>
      <c r="AB14">
        <f>COUNTIF(V3:V6,"metacell-25")</f>
        <v>1</v>
      </c>
      <c r="AC14">
        <f>COUNTIF(Y3:Y6,"metacell-25")</f>
        <v>1</v>
      </c>
      <c r="AD14">
        <f t="shared" ref="AD14:AD16" si="1">SUM(U14:AC14)</f>
        <v>9</v>
      </c>
    </row>
    <row r="15" spans="1:30" x14ac:dyDescent="0.25">
      <c r="A15" s="77" t="s">
        <v>171</v>
      </c>
      <c r="B15" s="20">
        <v>4</v>
      </c>
      <c r="C15" s="2">
        <v>4</v>
      </c>
      <c r="D15" s="2">
        <v>3</v>
      </c>
      <c r="E15" s="2">
        <v>4</v>
      </c>
      <c r="F15" s="20">
        <v>1</v>
      </c>
      <c r="G15" s="20">
        <v>1</v>
      </c>
      <c r="H15" s="20">
        <v>1</v>
      </c>
      <c r="I15" s="20">
        <v>3</v>
      </c>
      <c r="J15" s="20">
        <v>3</v>
      </c>
      <c r="K15" s="2">
        <f>SUM(B15:J15)</f>
        <v>24</v>
      </c>
      <c r="L15" s="52">
        <v>3</v>
      </c>
      <c r="M15" s="96" t="s">
        <v>171</v>
      </c>
      <c r="N15" s="20">
        <f t="shared" si="0"/>
        <v>18</v>
      </c>
      <c r="O15" s="113">
        <v>3</v>
      </c>
      <c r="Q15" s="105" t="s">
        <v>138</v>
      </c>
      <c r="R15" s="116">
        <v>9</v>
      </c>
      <c r="T15" t="s">
        <v>138</v>
      </c>
      <c r="U15">
        <f>COUNTIF(A3:A6,"metacell-64")</f>
        <v>1</v>
      </c>
      <c r="V15">
        <f>COUNTIF(D3:D6,"metacell-64")</f>
        <v>1</v>
      </c>
      <c r="W15">
        <f>COUNTIF(G3:G6,"metacell-64")</f>
        <v>1</v>
      </c>
      <c r="X15">
        <f>COUNTIF(J3:J6,"metacell-64")</f>
        <v>1</v>
      </c>
      <c r="Y15">
        <f>COUNTIF(M3:M6,"metacell-64")</f>
        <v>1</v>
      </c>
      <c r="Z15">
        <f>COUNTIF(P3:P6,"metacell-64")</f>
        <v>1</v>
      </c>
      <c r="AA15">
        <f>COUNTIF(S3:S6,"metacell-64")</f>
        <v>1</v>
      </c>
      <c r="AB15">
        <f>COUNTIF(V3:V6,"metacell-64")</f>
        <v>1</v>
      </c>
      <c r="AC15">
        <f>COUNTIF(Y3:Y6,"metacell-64")</f>
        <v>1</v>
      </c>
      <c r="AD15">
        <f t="shared" si="1"/>
        <v>9</v>
      </c>
    </row>
    <row r="16" spans="1:30" ht="15.75" thickBot="1" x14ac:dyDescent="0.3">
      <c r="A16" s="78" t="s">
        <v>138</v>
      </c>
      <c r="B16" s="71">
        <v>3</v>
      </c>
      <c r="C16" s="11">
        <v>3</v>
      </c>
      <c r="D16" s="11">
        <v>4</v>
      </c>
      <c r="E16" s="11">
        <v>3</v>
      </c>
      <c r="F16" s="71">
        <v>2</v>
      </c>
      <c r="G16" s="71">
        <v>3</v>
      </c>
      <c r="H16" s="71">
        <v>3</v>
      </c>
      <c r="I16" s="71">
        <v>3</v>
      </c>
      <c r="J16" s="71">
        <v>3</v>
      </c>
      <c r="K16" s="11">
        <f>SUM(B16:J16)</f>
        <v>27</v>
      </c>
      <c r="L16" s="115">
        <v>4</v>
      </c>
      <c r="M16" s="112" t="s">
        <v>138</v>
      </c>
      <c r="N16" s="71">
        <f t="shared" si="0"/>
        <v>21</v>
      </c>
      <c r="O16" s="114">
        <v>4</v>
      </c>
      <c r="Q16" s="117" t="s">
        <v>141</v>
      </c>
      <c r="R16" s="118">
        <v>9</v>
      </c>
      <c r="T16" t="s">
        <v>141</v>
      </c>
      <c r="U16">
        <f>COUNTIF(A3:A6,"metacell-67")</f>
        <v>1</v>
      </c>
      <c r="V16">
        <f>COUNTIF(D3:D6,"metacell-67")</f>
        <v>1</v>
      </c>
      <c r="W16">
        <f>COUNTIF(G3:G6,"metacell-67")</f>
        <v>1</v>
      </c>
      <c r="X16">
        <f>COUNTIF(J3:J6,"metacell-67")</f>
        <v>1</v>
      </c>
      <c r="Y16">
        <f>COUNTIF(M3:M6,"metacell-67")</f>
        <v>1</v>
      </c>
      <c r="Z16">
        <f>COUNTIF(P3:P6,"metacell-67")</f>
        <v>1</v>
      </c>
      <c r="AA16">
        <f>COUNTIF(S3:S6,"metacell-67")</f>
        <v>1</v>
      </c>
      <c r="AB16">
        <f>COUNTIF(V3:V6,"metacell-67")</f>
        <v>1</v>
      </c>
      <c r="AC16">
        <f>COUNTIF(Y3:Y6,"metacell-67")</f>
        <v>1</v>
      </c>
      <c r="AD16">
        <f t="shared" si="1"/>
        <v>9</v>
      </c>
    </row>
    <row r="22" spans="2:2" x14ac:dyDescent="0.25">
      <c r="B22" s="2"/>
    </row>
  </sheetData>
  <sortState ref="T12:T15">
    <sortCondition ref="T12"/>
  </sortState>
  <mergeCells count="21">
    <mergeCell ref="Y8:AA8"/>
    <mergeCell ref="V1:X1"/>
    <mergeCell ref="Y1:AA1"/>
    <mergeCell ref="A11:L11"/>
    <mergeCell ref="Q10:R11"/>
    <mergeCell ref="A1:C1"/>
    <mergeCell ref="D1:F1"/>
    <mergeCell ref="G1:I1"/>
    <mergeCell ref="J1:L1"/>
    <mergeCell ref="P1:R1"/>
    <mergeCell ref="A8:C8"/>
    <mergeCell ref="D8:F8"/>
    <mergeCell ref="G8:I8"/>
    <mergeCell ref="J8:L8"/>
    <mergeCell ref="P8:R8"/>
    <mergeCell ref="M1:O1"/>
    <mergeCell ref="S1:U1"/>
    <mergeCell ref="M8:O8"/>
    <mergeCell ref="S8:U8"/>
    <mergeCell ref="V8:X8"/>
    <mergeCell ref="M11:O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3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K42" sqref="K42"/>
    </sheetView>
  </sheetViews>
  <sheetFormatPr defaultRowHeight="15" x14ac:dyDescent="0.25"/>
  <cols>
    <col min="1" max="1" width="22.28515625" customWidth="1"/>
    <col min="2" max="2" width="22.5703125" customWidth="1"/>
    <col min="3" max="3" width="10.42578125" bestFit="1" customWidth="1"/>
    <col min="4" max="4" width="12.7109375" bestFit="1" customWidth="1"/>
    <col min="5" max="6" width="10.42578125" bestFit="1" customWidth="1"/>
    <col min="7" max="7" width="12.7109375" bestFit="1" customWidth="1"/>
    <col min="8" max="11" width="10.42578125" bestFit="1" customWidth="1"/>
    <col min="12" max="101" width="11.42578125" bestFit="1" customWidth="1"/>
    <col min="102" max="112" width="12.42578125" bestFit="1" customWidth="1"/>
  </cols>
  <sheetData>
    <row r="1" spans="1:112" x14ac:dyDescent="0.25">
      <c r="B1" s="16" t="s">
        <v>80</v>
      </c>
      <c r="C1" s="58" t="s">
        <v>74</v>
      </c>
      <c r="D1" s="58" t="s">
        <v>75</v>
      </c>
      <c r="E1" s="58" t="s">
        <v>76</v>
      </c>
      <c r="F1" s="58" t="s">
        <v>77</v>
      </c>
      <c r="G1" s="58" t="s">
        <v>78</v>
      </c>
      <c r="H1" s="58" t="s">
        <v>79</v>
      </c>
      <c r="I1" s="16" t="s">
        <v>82</v>
      </c>
      <c r="J1" s="16" t="s">
        <v>83</v>
      </c>
      <c r="K1" s="16" t="s">
        <v>84</v>
      </c>
      <c r="L1" s="16" t="s">
        <v>85</v>
      </c>
      <c r="M1" s="16" t="s">
        <v>86</v>
      </c>
      <c r="N1" s="16" t="s">
        <v>87</v>
      </c>
      <c r="O1" s="16" t="s">
        <v>88</v>
      </c>
      <c r="P1" s="16" t="s">
        <v>89</v>
      </c>
      <c r="Q1" s="16" t="s">
        <v>90</v>
      </c>
      <c r="R1" s="16" t="s">
        <v>91</v>
      </c>
      <c r="S1" s="16" t="s">
        <v>92</v>
      </c>
      <c r="T1" s="16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3" t="s">
        <v>100</v>
      </c>
      <c r="AB1" s="16" t="s">
        <v>101</v>
      </c>
      <c r="AC1" s="16" t="s">
        <v>102</v>
      </c>
      <c r="AD1" s="16" t="s">
        <v>103</v>
      </c>
      <c r="AE1" s="16" t="s">
        <v>104</v>
      </c>
      <c r="AF1" s="16" t="s">
        <v>105</v>
      </c>
      <c r="AG1" s="16" t="s">
        <v>106</v>
      </c>
      <c r="AH1" s="16" t="s">
        <v>107</v>
      </c>
      <c r="AI1" s="16" t="s">
        <v>108</v>
      </c>
      <c r="AJ1" s="16" t="s">
        <v>109</v>
      </c>
      <c r="AK1" s="16" t="s">
        <v>110</v>
      </c>
      <c r="AL1" s="16" t="s">
        <v>111</v>
      </c>
      <c r="AM1" s="16" t="s">
        <v>112</v>
      </c>
      <c r="AN1" s="16" t="s">
        <v>113</v>
      </c>
      <c r="AO1" s="16" t="s">
        <v>114</v>
      </c>
      <c r="AP1" s="16" t="s">
        <v>115</v>
      </c>
      <c r="AQ1" s="16" t="s">
        <v>116</v>
      </c>
      <c r="AR1" s="16" t="s">
        <v>117</v>
      </c>
      <c r="AS1" s="16" t="s">
        <v>118</v>
      </c>
      <c r="AT1" s="16" t="s">
        <v>119</v>
      </c>
      <c r="AU1" s="16" t="s">
        <v>120</v>
      </c>
      <c r="AV1" s="16" t="s">
        <v>121</v>
      </c>
      <c r="AW1" s="16" t="s">
        <v>122</v>
      </c>
      <c r="AX1" s="16" t="s">
        <v>123</v>
      </c>
      <c r="AY1" s="16" t="s">
        <v>124</v>
      </c>
      <c r="AZ1" s="16" t="s">
        <v>125</v>
      </c>
      <c r="BA1" s="16" t="s">
        <v>126</v>
      </c>
      <c r="BB1" s="16" t="s">
        <v>127</v>
      </c>
      <c r="BC1" s="16" t="s">
        <v>128</v>
      </c>
      <c r="BD1" s="16" t="s">
        <v>129</v>
      </c>
      <c r="BE1" s="16" t="s">
        <v>130</v>
      </c>
      <c r="BF1" s="16" t="s">
        <v>131</v>
      </c>
      <c r="BG1" s="16" t="s">
        <v>132</v>
      </c>
      <c r="BH1" s="16" t="s">
        <v>133</v>
      </c>
      <c r="BI1" s="16" t="s">
        <v>134</v>
      </c>
      <c r="BJ1" s="16" t="s">
        <v>135</v>
      </c>
      <c r="BK1" s="16" t="s">
        <v>136</v>
      </c>
      <c r="BL1" s="16" t="s">
        <v>137</v>
      </c>
      <c r="BM1" s="16" t="s">
        <v>14</v>
      </c>
      <c r="BN1" s="13" t="s">
        <v>138</v>
      </c>
      <c r="BO1" s="16" t="s">
        <v>139</v>
      </c>
      <c r="BP1" s="16" t="s">
        <v>140</v>
      </c>
      <c r="BQ1" s="13" t="s">
        <v>141</v>
      </c>
      <c r="BR1" s="16" t="s">
        <v>142</v>
      </c>
      <c r="BS1" s="16" t="s">
        <v>143</v>
      </c>
      <c r="BT1" s="16" t="s">
        <v>144</v>
      </c>
      <c r="BU1" s="16" t="s">
        <v>145</v>
      </c>
      <c r="BV1" s="16" t="s">
        <v>146</v>
      </c>
      <c r="BW1" s="16" t="s">
        <v>147</v>
      </c>
      <c r="BX1" s="16" t="s">
        <v>148</v>
      </c>
      <c r="BY1" s="16" t="s">
        <v>149</v>
      </c>
      <c r="BZ1" s="16" t="s">
        <v>10</v>
      </c>
      <c r="CA1" s="16" t="s">
        <v>150</v>
      </c>
      <c r="CB1" s="16" t="s">
        <v>16</v>
      </c>
      <c r="CC1" s="16" t="s">
        <v>151</v>
      </c>
      <c r="CD1" s="16" t="s">
        <v>152</v>
      </c>
      <c r="CE1" s="16" t="s">
        <v>153</v>
      </c>
      <c r="CF1" s="16" t="s">
        <v>154</v>
      </c>
      <c r="CG1" s="16" t="s">
        <v>155</v>
      </c>
      <c r="CH1" s="16" t="s">
        <v>156</v>
      </c>
      <c r="CI1" s="16" t="s">
        <v>157</v>
      </c>
      <c r="CJ1" s="16" t="s">
        <v>158</v>
      </c>
      <c r="CK1" s="16" t="s">
        <v>159</v>
      </c>
      <c r="CL1" s="16" t="s">
        <v>15</v>
      </c>
      <c r="CM1" s="16" t="s">
        <v>9</v>
      </c>
      <c r="CN1" s="16" t="s">
        <v>160</v>
      </c>
      <c r="CO1" s="16" t="s">
        <v>161</v>
      </c>
      <c r="CP1" s="16" t="s">
        <v>162</v>
      </c>
      <c r="CQ1" s="16" t="s">
        <v>7</v>
      </c>
      <c r="CR1" s="16" t="s">
        <v>3</v>
      </c>
      <c r="CS1" s="16" t="s">
        <v>13</v>
      </c>
      <c r="CT1" s="16" t="s">
        <v>6</v>
      </c>
      <c r="CU1" s="16" t="s">
        <v>163</v>
      </c>
      <c r="CV1" s="16" t="s">
        <v>164</v>
      </c>
      <c r="CW1" s="16" t="s">
        <v>165</v>
      </c>
      <c r="CX1" s="16" t="s">
        <v>166</v>
      </c>
      <c r="CY1" s="16" t="s">
        <v>167</v>
      </c>
      <c r="CZ1" s="16" t="s">
        <v>168</v>
      </c>
      <c r="DA1" s="16" t="s">
        <v>169</v>
      </c>
      <c r="DB1" s="16" t="s">
        <v>170</v>
      </c>
      <c r="DC1" s="13" t="s">
        <v>171</v>
      </c>
      <c r="DD1" s="16" t="s">
        <v>172</v>
      </c>
      <c r="DE1" s="16" t="s">
        <v>173</v>
      </c>
      <c r="DF1" s="16" t="s">
        <v>174</v>
      </c>
      <c r="DG1" s="16" t="s">
        <v>175</v>
      </c>
      <c r="DH1" s="16" t="s">
        <v>176</v>
      </c>
    </row>
    <row r="2" spans="1:112" x14ac:dyDescent="0.25">
      <c r="A2" t="s">
        <v>265</v>
      </c>
      <c r="B2" t="s">
        <v>333</v>
      </c>
      <c r="C2">
        <v>0.18635556855957899</v>
      </c>
      <c r="D2">
        <v>-7.1228221482006297E-3</v>
      </c>
      <c r="E2">
        <v>-8.50440583513319E-2</v>
      </c>
      <c r="F2">
        <v>0.333059659458603</v>
      </c>
      <c r="G2">
        <v>0.30078567088479502</v>
      </c>
      <c r="H2">
        <v>0.646691152950848</v>
      </c>
      <c r="I2">
        <v>0.34147836844733997</v>
      </c>
      <c r="J2">
        <v>0.370329572563452</v>
      </c>
      <c r="K2">
        <v>0.349640935074712</v>
      </c>
      <c r="L2">
        <v>0.55904743034733595</v>
      </c>
      <c r="M2">
        <v>-1.52997922105296E-2</v>
      </c>
      <c r="N2">
        <v>0.35005074348176901</v>
      </c>
      <c r="O2">
        <v>-0.191522822394079</v>
      </c>
      <c r="P2">
        <v>-7.5558676171984904E-2</v>
      </c>
      <c r="Q2">
        <v>-0.108957530249949</v>
      </c>
      <c r="R2">
        <v>-0.191522822394079</v>
      </c>
      <c r="S2">
        <v>-5.1665849028345798E-2</v>
      </c>
      <c r="T2">
        <v>-0.191522822394079</v>
      </c>
      <c r="U2">
        <v>-0.191522822394079</v>
      </c>
      <c r="V2">
        <v>-3.9949102809228101E-2</v>
      </c>
      <c r="W2">
        <v>-0.191522822394079</v>
      </c>
      <c r="X2">
        <v>-3.84760068642667E-2</v>
      </c>
      <c r="Y2">
        <v>-5.2487933952979397E-2</v>
      </c>
      <c r="Z2">
        <v>-0.191522822394079</v>
      </c>
      <c r="AA2">
        <v>1.4767164999980599E-2</v>
      </c>
      <c r="AB2">
        <v>1.07974462925291E-2</v>
      </c>
      <c r="AC2">
        <v>0.30187967959624001</v>
      </c>
      <c r="AD2">
        <v>0.41406054182160401</v>
      </c>
      <c r="AE2">
        <v>1.1633901970273299</v>
      </c>
      <c r="AF2">
        <v>0.83881314284473096</v>
      </c>
      <c r="AG2">
        <v>0.17885132463443101</v>
      </c>
      <c r="AH2">
        <v>0.29477285420227201</v>
      </c>
      <c r="AI2">
        <v>3.5906497367902898E-3</v>
      </c>
      <c r="AJ2">
        <v>0.207933712215737</v>
      </c>
      <c r="AK2">
        <v>0.61716437480558495</v>
      </c>
      <c r="AL2">
        <v>2.1746191310511101E-2</v>
      </c>
      <c r="AM2">
        <v>4.3675828113330598E-3</v>
      </c>
      <c r="AN2">
        <v>0.225677139893631</v>
      </c>
      <c r="AO2">
        <v>-0.103710690822575</v>
      </c>
      <c r="AP2">
        <v>-7.3968189355297698E-2</v>
      </c>
      <c r="AQ2">
        <v>-0.117995714888235</v>
      </c>
      <c r="AR2">
        <v>1.1734026804427001E-2</v>
      </c>
      <c r="AS2">
        <v>-4.2390718527125101E-2</v>
      </c>
      <c r="AT2">
        <v>-3.36470377418557E-2</v>
      </c>
      <c r="AU2">
        <v>8.06765524453949E-2</v>
      </c>
      <c r="AV2">
        <v>0.180414865965177</v>
      </c>
      <c r="AW2">
        <v>-0.16707330715358501</v>
      </c>
      <c r="AX2">
        <v>-0.16480972534011001</v>
      </c>
      <c r="AY2">
        <v>-0.127636336123509</v>
      </c>
      <c r="AZ2">
        <v>-0.15236707520642501</v>
      </c>
      <c r="BA2">
        <v>1.86083002026157E-2</v>
      </c>
      <c r="BB2">
        <v>-9.06002183869659E-2</v>
      </c>
      <c r="BC2">
        <v>4.7619511369566297E-2</v>
      </c>
      <c r="BD2">
        <v>0.14191761666085201</v>
      </c>
      <c r="BE2">
        <v>-5.0878429677302398E-2</v>
      </c>
      <c r="BF2">
        <v>-1.8011683896678499E-2</v>
      </c>
      <c r="BG2">
        <v>-0.10564463963800801</v>
      </c>
      <c r="BH2">
        <v>4.9899323323423103E-2</v>
      </c>
      <c r="BI2">
        <v>-2.5685506217070601E-2</v>
      </c>
      <c r="BJ2">
        <v>-3.1156391409730502E-2</v>
      </c>
      <c r="BK2">
        <v>2.8819652173005399E-2</v>
      </c>
      <c r="BL2">
        <v>-3.01841993986116E-2</v>
      </c>
      <c r="BM2">
        <v>-8.2563704419250095E-2</v>
      </c>
      <c r="BN2">
        <v>0.30382257295492399</v>
      </c>
      <c r="BO2">
        <v>-9.4421099915303397E-2</v>
      </c>
      <c r="BP2">
        <v>-4.18331384740568E-2</v>
      </c>
      <c r="BQ2">
        <v>0.28572193329955498</v>
      </c>
      <c r="BR2">
        <v>0.183618053776892</v>
      </c>
      <c r="BS2">
        <v>0.103087026729413</v>
      </c>
      <c r="BT2">
        <v>-3.15067492876282E-2</v>
      </c>
      <c r="BU2">
        <v>-6.6041061196682002E-2</v>
      </c>
      <c r="BV2">
        <v>0.234730979203427</v>
      </c>
      <c r="BW2">
        <v>6.4648519341213101E-2</v>
      </c>
      <c r="BX2">
        <v>1.51326404715571E-2</v>
      </c>
      <c r="BY2">
        <v>0.22099286137000601</v>
      </c>
      <c r="BZ2">
        <v>0.17088646473682101</v>
      </c>
      <c r="CA2">
        <v>-0.12579399478295</v>
      </c>
      <c r="CB2">
        <v>-0.191522822394079</v>
      </c>
      <c r="CC2">
        <v>3.1203268422800901E-2</v>
      </c>
      <c r="CD2">
        <v>0.202030501842688</v>
      </c>
      <c r="CE2">
        <v>0.110775551789253</v>
      </c>
      <c r="CF2">
        <v>0.46229991394646502</v>
      </c>
      <c r="CG2">
        <v>0.19114364283445101</v>
      </c>
      <c r="CH2">
        <v>6.4581288216603597E-2</v>
      </c>
      <c r="CI2">
        <v>-6.7209964524732102E-2</v>
      </c>
      <c r="CJ2">
        <v>-0.191522822394079</v>
      </c>
      <c r="CK2">
        <v>2.6236247327768501E-2</v>
      </c>
      <c r="CL2">
        <v>1.8474403246732801E-2</v>
      </c>
      <c r="CM2">
        <v>-3.5996086228170898E-3</v>
      </c>
      <c r="CN2">
        <v>-0.191522822394079</v>
      </c>
      <c r="CO2">
        <v>-0.112488435307706</v>
      </c>
      <c r="CP2">
        <v>-8.4365515843047606E-2</v>
      </c>
      <c r="CQ2">
        <v>-8.4713770801636501E-2</v>
      </c>
      <c r="CR2">
        <v>-9.8384987634768897E-2</v>
      </c>
      <c r="CS2">
        <v>-6.5440992426983105E-2</v>
      </c>
      <c r="CT2">
        <v>-7.3195679333651495E-2</v>
      </c>
      <c r="CU2">
        <v>-0.191522822394079</v>
      </c>
      <c r="CV2">
        <v>-9.0009896099349004E-3</v>
      </c>
      <c r="CW2">
        <v>-9.6237753671744794E-2</v>
      </c>
      <c r="CX2">
        <v>0.12306383365152999</v>
      </c>
      <c r="CY2">
        <v>9.9478540824629202E-2</v>
      </c>
      <c r="CZ2">
        <v>0.105192624775982</v>
      </c>
      <c r="DA2">
        <v>2.17892467535283E-2</v>
      </c>
      <c r="DB2">
        <v>0.143697735629046</v>
      </c>
      <c r="DC2">
        <v>5.7933592090418998E-2</v>
      </c>
      <c r="DD2">
        <v>-4.05054977766168E-2</v>
      </c>
      <c r="DE2">
        <v>-4.3917838995598299E-2</v>
      </c>
      <c r="DF2">
        <v>-3.8472107480435301E-2</v>
      </c>
      <c r="DG2">
        <v>-4.01283388963296E-2</v>
      </c>
      <c r="DH2">
        <v>1.1554012695224099E-2</v>
      </c>
    </row>
    <row r="3" spans="1:112" x14ac:dyDescent="0.25">
      <c r="A3" t="s">
        <v>265</v>
      </c>
      <c r="B3" t="s">
        <v>335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0.13903488844110001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7.1927854666311297E-3</v>
      </c>
      <c r="AP3">
        <v>0</v>
      </c>
      <c r="AQ3">
        <v>0</v>
      </c>
      <c r="AR3">
        <v>0</v>
      </c>
      <c r="AS3">
        <v>1.5695423569177198E-2</v>
      </c>
      <c r="AT3">
        <v>1.0453871599328E-2</v>
      </c>
      <c r="AU3">
        <v>5.8251659649848301E-3</v>
      </c>
      <c r="AV3">
        <v>0</v>
      </c>
      <c r="AW3">
        <v>0</v>
      </c>
      <c r="AX3">
        <v>2.67130970539688E-2</v>
      </c>
      <c r="AY3">
        <v>0</v>
      </c>
      <c r="AZ3">
        <v>0</v>
      </c>
      <c r="BA3">
        <v>2.0565832961255501E-2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1.6287870694698201E-2</v>
      </c>
      <c r="BP3">
        <v>0</v>
      </c>
      <c r="BQ3">
        <v>0</v>
      </c>
      <c r="BR3">
        <v>0</v>
      </c>
      <c r="BS3">
        <v>0</v>
      </c>
      <c r="BT3">
        <v>0.12808120834287301</v>
      </c>
      <c r="BU3">
        <v>0</v>
      </c>
      <c r="BV3">
        <v>0</v>
      </c>
      <c r="BW3">
        <v>3.1636754687890303E-2</v>
      </c>
      <c r="BX3">
        <v>0</v>
      </c>
      <c r="BY3">
        <v>0</v>
      </c>
      <c r="BZ3">
        <v>0</v>
      </c>
      <c r="CA3">
        <v>3.3173999335990197E-2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2.6723367532068599E-2</v>
      </c>
      <c r="DC3">
        <v>1.5635761127728999E-2</v>
      </c>
      <c r="DD3">
        <v>0</v>
      </c>
      <c r="DE3">
        <v>0</v>
      </c>
      <c r="DF3">
        <v>0</v>
      </c>
      <c r="DG3">
        <v>1.44510180277614E-2</v>
      </c>
      <c r="DH3">
        <v>0</v>
      </c>
    </row>
    <row r="4" spans="1:112" x14ac:dyDescent="0.25">
      <c r="A4" t="s">
        <v>265</v>
      </c>
      <c r="B4" t="s">
        <v>336</v>
      </c>
      <c r="C4">
        <v>0</v>
      </c>
      <c r="D4">
        <v>0.125274208331563</v>
      </c>
      <c r="E4">
        <v>0.15721484887234699</v>
      </c>
      <c r="F4">
        <v>0.11706615960656799</v>
      </c>
      <c r="G4">
        <v>0</v>
      </c>
      <c r="H4">
        <v>0</v>
      </c>
      <c r="I4">
        <v>3.1963429157255203E-2</v>
      </c>
      <c r="J4">
        <v>0</v>
      </c>
      <c r="K4">
        <v>0</v>
      </c>
      <c r="L4">
        <v>0</v>
      </c>
      <c r="M4">
        <v>0</v>
      </c>
      <c r="N4">
        <v>7.7672198865873801E-2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0.10640911452509499</v>
      </c>
      <c r="AB4">
        <v>0.104110477776213</v>
      </c>
      <c r="AC4">
        <v>0</v>
      </c>
      <c r="AD4">
        <v>0.24462854909329099</v>
      </c>
      <c r="AE4">
        <v>0</v>
      </c>
      <c r="AF4">
        <v>0</v>
      </c>
      <c r="AG4">
        <v>0</v>
      </c>
      <c r="AH4">
        <v>0</v>
      </c>
      <c r="AI4">
        <v>1.8745864813865299E-2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1.0352396838554099E-2</v>
      </c>
      <c r="AQ4">
        <v>0</v>
      </c>
      <c r="AR4">
        <v>8.4333123991846698E-3</v>
      </c>
      <c r="AS4">
        <v>0</v>
      </c>
      <c r="AT4">
        <v>0</v>
      </c>
      <c r="AU4">
        <v>5.8251659649848301E-3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1.88327358922156E-2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2.3000866247732898E-2</v>
      </c>
      <c r="DF4">
        <v>0</v>
      </c>
      <c r="DG4">
        <v>0</v>
      </c>
      <c r="DH4">
        <v>0</v>
      </c>
    </row>
    <row r="5" spans="1:112" x14ac:dyDescent="0.25">
      <c r="A5" t="s">
        <v>265</v>
      </c>
      <c r="B5" t="s">
        <v>337</v>
      </c>
      <c r="C5">
        <v>-3.5421927531315497E-2</v>
      </c>
      <c r="D5">
        <v>0.36586986106138503</v>
      </c>
      <c r="E5">
        <v>0.246103108537708</v>
      </c>
      <c r="F5">
        <v>-3.5421927531315497E-2</v>
      </c>
      <c r="G5">
        <v>-3.5421927531315497E-2</v>
      </c>
      <c r="H5">
        <v>9.1370614198258097E-3</v>
      </c>
      <c r="I5">
        <v>-3.5421927531315497E-2</v>
      </c>
      <c r="J5">
        <v>4.46925950655594E-2</v>
      </c>
      <c r="K5">
        <v>-3.5421927531315497E-2</v>
      </c>
      <c r="L5">
        <v>5.6080346413122102E-2</v>
      </c>
      <c r="M5">
        <v>-3.5421927531315497E-2</v>
      </c>
      <c r="N5">
        <v>4.2250271334558401E-2</v>
      </c>
      <c r="O5">
        <v>9.0650818743432698E-2</v>
      </c>
      <c r="P5">
        <v>-1.00916192572716E-3</v>
      </c>
      <c r="Q5">
        <v>0.10723133462347301</v>
      </c>
      <c r="R5">
        <v>-3.5421927531315497E-2</v>
      </c>
      <c r="S5">
        <v>0.18414613348366901</v>
      </c>
      <c r="T5">
        <v>-3.5421927531315497E-2</v>
      </c>
      <c r="U5">
        <v>-3.5421927531315497E-2</v>
      </c>
      <c r="V5">
        <v>0.41959757534949599</v>
      </c>
      <c r="W5">
        <v>0.28479654485967798</v>
      </c>
      <c r="X5">
        <v>-3.5421927531315497E-2</v>
      </c>
      <c r="Y5">
        <v>0.23614850902592099</v>
      </c>
      <c r="Z5">
        <v>0.38908289366304299</v>
      </c>
      <c r="AA5">
        <v>7.0987186993779997E-2</v>
      </c>
      <c r="AB5">
        <v>0.39800937785506102</v>
      </c>
      <c r="AC5">
        <v>0.42199405380746102</v>
      </c>
      <c r="AD5">
        <v>9.1706548460228701E-2</v>
      </c>
      <c r="AE5">
        <v>7.7856871919519594E-2</v>
      </c>
      <c r="AF5">
        <v>-3.5421927531315497E-2</v>
      </c>
      <c r="AG5">
        <v>0.160132963434088</v>
      </c>
      <c r="AH5">
        <v>0.30470123866723298</v>
      </c>
      <c r="AI5">
        <v>-3.5421927531315497E-2</v>
      </c>
      <c r="AJ5">
        <v>-3.5421927531315497E-2</v>
      </c>
      <c r="AK5">
        <v>-3.5421927531315497E-2</v>
      </c>
      <c r="AL5">
        <v>-3.5421927531315497E-2</v>
      </c>
      <c r="AM5">
        <v>-9.0785177201450802E-3</v>
      </c>
      <c r="AN5">
        <v>-3.5421927531315497E-2</v>
      </c>
      <c r="AO5">
        <v>1.0084565126433601E-3</v>
      </c>
      <c r="AP5">
        <v>-1.9874405906231799E-2</v>
      </c>
      <c r="AQ5">
        <v>-6.4061195668244104E-3</v>
      </c>
      <c r="AR5">
        <v>-8.6963339879315201E-3</v>
      </c>
      <c r="AS5">
        <v>-1.97265039621384E-2</v>
      </c>
      <c r="AT5">
        <v>-3.01952103051473E-2</v>
      </c>
      <c r="AU5">
        <v>-1.79259635071559E-2</v>
      </c>
      <c r="AV5">
        <v>-1.0666071795225E-2</v>
      </c>
      <c r="AW5">
        <v>1.3218996224500399E-2</v>
      </c>
      <c r="AX5">
        <v>-8.7088304773465606E-3</v>
      </c>
      <c r="AY5">
        <v>-2.3864091911483601E-2</v>
      </c>
      <c r="AZ5">
        <v>-1.5768234470750198E-2</v>
      </c>
      <c r="BA5">
        <v>-3.5421927531315497E-2</v>
      </c>
      <c r="BB5">
        <v>-3.5421927531315497E-2</v>
      </c>
      <c r="BC5">
        <v>-3.5421927531315497E-2</v>
      </c>
      <c r="BD5">
        <v>-3.5421927531315497E-2</v>
      </c>
      <c r="BE5">
        <v>-1.14177520151083E-2</v>
      </c>
      <c r="BF5">
        <v>1.5473819633333E-2</v>
      </c>
      <c r="BG5">
        <v>1.4937652932614899E-3</v>
      </c>
      <c r="BH5">
        <v>3.9388407182872502E-2</v>
      </c>
      <c r="BI5">
        <v>5.1099239056778899E-2</v>
      </c>
      <c r="BJ5">
        <v>-2.7064325536871499E-3</v>
      </c>
      <c r="BK5">
        <v>0.12873526817464201</v>
      </c>
      <c r="BL5">
        <v>-3.5421927531315497E-2</v>
      </c>
      <c r="BM5">
        <v>0.15125018172089599</v>
      </c>
      <c r="BN5">
        <v>0.102890447280218</v>
      </c>
      <c r="BO5">
        <v>-3.5421927531315497E-2</v>
      </c>
      <c r="BP5">
        <v>6.5764514608320904E-2</v>
      </c>
      <c r="BQ5">
        <v>0.14037855893665199</v>
      </c>
      <c r="BR5">
        <v>6.6972532704607596E-2</v>
      </c>
      <c r="BS5">
        <v>-3.5421927531315497E-2</v>
      </c>
      <c r="BT5">
        <v>0.124594145575135</v>
      </c>
      <c r="BU5">
        <v>2.8473819040552201E-2</v>
      </c>
      <c r="BV5">
        <v>6.22539395979953E-2</v>
      </c>
      <c r="BW5">
        <v>-3.7851728434252501E-3</v>
      </c>
      <c r="BX5">
        <v>1.8482858402274299E-2</v>
      </c>
      <c r="BY5">
        <v>0.40789611116727797</v>
      </c>
      <c r="BZ5">
        <v>-3.5421927531315497E-2</v>
      </c>
      <c r="CA5">
        <v>-3.5421927531315497E-2</v>
      </c>
      <c r="CB5">
        <v>-3.5421927531315497E-2</v>
      </c>
      <c r="CC5">
        <v>-3.5421927531315497E-2</v>
      </c>
      <c r="CD5">
        <v>-3.5421927531315497E-2</v>
      </c>
      <c r="CE5">
        <v>-3.5421927531315497E-2</v>
      </c>
      <c r="CF5">
        <v>-3.5421927531315497E-2</v>
      </c>
      <c r="CG5">
        <v>-3.5421927531315497E-2</v>
      </c>
      <c r="CH5">
        <v>9.8042067172040601E-2</v>
      </c>
      <c r="CI5">
        <v>8.8890930338031901E-2</v>
      </c>
      <c r="CJ5">
        <v>0.15094419750067001</v>
      </c>
      <c r="CK5">
        <v>-3.5421927531315497E-2</v>
      </c>
      <c r="CL5">
        <v>-3.5421927531315497E-2</v>
      </c>
      <c r="CM5">
        <v>0.15250128623994699</v>
      </c>
      <c r="CN5">
        <v>9.3738925114264196E-2</v>
      </c>
      <c r="CO5">
        <v>6.6044277930138298E-2</v>
      </c>
      <c r="CP5">
        <v>0.13869240756940199</v>
      </c>
      <c r="CQ5">
        <v>-3.5421927531315497E-2</v>
      </c>
      <c r="CR5">
        <v>0.10250325784255</v>
      </c>
      <c r="CS5">
        <v>0.12576381618195401</v>
      </c>
      <c r="CT5">
        <v>8.2905215529112106E-2</v>
      </c>
      <c r="CU5">
        <v>-3.5421927531315497E-2</v>
      </c>
      <c r="CV5">
        <v>-3.5421927531315497E-2</v>
      </c>
      <c r="CW5">
        <v>9.0814591041863194E-2</v>
      </c>
      <c r="CX5">
        <v>-3.5421927531315497E-2</v>
      </c>
      <c r="CY5">
        <v>-3.5421927531315497E-2</v>
      </c>
      <c r="CZ5">
        <v>0.15821142479846301</v>
      </c>
      <c r="DA5">
        <v>0.209815356809674</v>
      </c>
      <c r="DB5">
        <v>4.3665271769585297E-2</v>
      </c>
      <c r="DC5">
        <v>0.16311775988909499</v>
      </c>
      <c r="DD5">
        <v>4.1737020115727698E-2</v>
      </c>
      <c r="DE5">
        <v>7.7459050713930805E-2</v>
      </c>
      <c r="DF5">
        <v>-9.8295379679548493E-3</v>
      </c>
      <c r="DG5">
        <v>-2.0970909503554201E-2</v>
      </c>
      <c r="DH5">
        <v>4.0653470806147098E-3</v>
      </c>
    </row>
    <row r="6" spans="1:112" x14ac:dyDescent="0.25">
      <c r="A6" t="s">
        <v>265</v>
      </c>
      <c r="B6" t="s">
        <v>338</v>
      </c>
      <c r="C6">
        <v>-8.8838672647323494E-2</v>
      </c>
      <c r="D6">
        <v>0.39096264722323298</v>
      </c>
      <c r="E6">
        <v>0.46614519208050897</v>
      </c>
      <c r="F6">
        <v>0.36400458191254598</v>
      </c>
      <c r="G6">
        <v>7.6963542045524802E-2</v>
      </c>
      <c r="H6">
        <v>-8.8838672647323494E-2</v>
      </c>
      <c r="I6">
        <v>0.20803832782564299</v>
      </c>
      <c r="J6">
        <v>0.105276910912162</v>
      </c>
      <c r="K6">
        <v>0.22931835746083801</v>
      </c>
      <c r="L6">
        <v>8.9471982250200602E-2</v>
      </c>
      <c r="M6">
        <v>0.24707156795622701</v>
      </c>
      <c r="N6">
        <v>0.65072281188181902</v>
      </c>
      <c r="O6">
        <v>-8.8838672647323494E-2</v>
      </c>
      <c r="P6">
        <v>-8.8838672647323494E-2</v>
      </c>
      <c r="Q6">
        <v>-6.6956830192698602E-2</v>
      </c>
      <c r="R6">
        <v>-8.8838672647323494E-2</v>
      </c>
      <c r="S6">
        <v>-8.8838672647323494E-2</v>
      </c>
      <c r="T6">
        <v>-8.8838672647323494E-2</v>
      </c>
      <c r="U6">
        <v>-8.8838672647323494E-2</v>
      </c>
      <c r="V6">
        <v>-5.02476079916373E-2</v>
      </c>
      <c r="W6">
        <v>-8.8838672647323494E-2</v>
      </c>
      <c r="X6">
        <v>-8.8838672647323494E-2</v>
      </c>
      <c r="Y6">
        <v>-8.8838672647323494E-2</v>
      </c>
      <c r="Z6">
        <v>-8.8838672647323494E-2</v>
      </c>
      <c r="AA6">
        <v>0.46577647716126602</v>
      </c>
      <c r="AB6">
        <v>1.52718051288896E-2</v>
      </c>
      <c r="AC6">
        <v>0.31656597148007298</v>
      </c>
      <c r="AD6">
        <v>0.265063803709502</v>
      </c>
      <c r="AE6">
        <v>2.4440126803511601E-2</v>
      </c>
      <c r="AF6">
        <v>0.441278978502258</v>
      </c>
      <c r="AG6">
        <v>0.10671621831807999</v>
      </c>
      <c r="AH6">
        <v>0.33839748785437301</v>
      </c>
      <c r="AI6">
        <v>2.5090701260501998E-2</v>
      </c>
      <c r="AJ6">
        <v>-2.8473976008950401E-3</v>
      </c>
      <c r="AK6">
        <v>5.0259925546668797E-2</v>
      </c>
      <c r="AL6">
        <v>-1.3871108143969401E-2</v>
      </c>
      <c r="AM6">
        <v>9.2251092388171405E-2</v>
      </c>
      <c r="AN6">
        <v>7.9858387843974504E-2</v>
      </c>
      <c r="AO6">
        <v>-2.48822726561772E-2</v>
      </c>
      <c r="AP6">
        <v>2.8715960391458101E-2</v>
      </c>
      <c r="AQ6">
        <v>-3.0720962876389701E-2</v>
      </c>
      <c r="AR6">
        <v>3.8116831691056398E-3</v>
      </c>
      <c r="AS6">
        <v>3.5828663149583502E-2</v>
      </c>
      <c r="AT6">
        <v>6.1972948357247202E-3</v>
      </c>
      <c r="AU6">
        <v>2.74803135318837E-2</v>
      </c>
      <c r="AV6">
        <v>-6.4082816911233104E-2</v>
      </c>
      <c r="AW6">
        <v>-8.8838672647323494E-2</v>
      </c>
      <c r="AX6">
        <v>-8.8838672647323494E-2</v>
      </c>
      <c r="AY6">
        <v>-5.9069596529759801E-2</v>
      </c>
      <c r="AZ6">
        <v>-3.0329327587161801E-2</v>
      </c>
      <c r="BA6">
        <v>-2.76123644377749E-2</v>
      </c>
      <c r="BB6">
        <v>-8.9971644960555701E-3</v>
      </c>
      <c r="BC6">
        <v>1.46712212764065E-2</v>
      </c>
      <c r="BD6">
        <v>1.9500837616990101E-2</v>
      </c>
      <c r="BE6">
        <v>-6.48344971311164E-2</v>
      </c>
      <c r="BF6">
        <v>3.6382916211069802E-2</v>
      </c>
      <c r="BG6">
        <v>-3.2487261319983397E-2</v>
      </c>
      <c r="BH6">
        <v>-1.40283379331355E-2</v>
      </c>
      <c r="BI6">
        <v>-2.1745220483934301E-2</v>
      </c>
      <c r="BJ6">
        <v>0.136174488655255</v>
      </c>
      <c r="BK6">
        <v>4.8886872301283003E-2</v>
      </c>
      <c r="BL6">
        <v>-1.2777234837581799E-2</v>
      </c>
      <c r="BM6">
        <v>-1.0554803260951999E-2</v>
      </c>
      <c r="BN6">
        <v>4.9473702164210001E-2</v>
      </c>
      <c r="BO6">
        <v>-2.11973792263709E-2</v>
      </c>
      <c r="BP6">
        <v>4.0880571554658802E-2</v>
      </c>
      <c r="BQ6">
        <v>-8.8838672647323494E-2</v>
      </c>
      <c r="BR6">
        <v>-8.8838672647323494E-2</v>
      </c>
      <c r="BS6">
        <v>1.21671940620715E-2</v>
      </c>
      <c r="BT6">
        <v>-8.8838672647323494E-2</v>
      </c>
      <c r="BU6">
        <v>0.153566651615823</v>
      </c>
      <c r="BV6">
        <v>0.41202743819487297</v>
      </c>
      <c r="BW6">
        <v>-2.6077764669035702E-2</v>
      </c>
      <c r="BX6">
        <v>8.2920854219725004E-2</v>
      </c>
      <c r="BY6">
        <v>8.6660322362484499E-2</v>
      </c>
      <c r="BZ6">
        <v>4.1747974798717002E-2</v>
      </c>
      <c r="CA6">
        <v>-4.3434760600122597E-3</v>
      </c>
      <c r="CB6">
        <v>-8.8838672647323494E-2</v>
      </c>
      <c r="CC6">
        <v>-8.8838672647323494E-2</v>
      </c>
      <c r="CD6">
        <v>-1.8827763634836701E-3</v>
      </c>
      <c r="CE6">
        <v>-8.8838672647323494E-2</v>
      </c>
      <c r="CF6">
        <v>-8.8838672647323494E-2</v>
      </c>
      <c r="CG6">
        <v>-8.8838672647323494E-2</v>
      </c>
      <c r="CH6">
        <v>4.4625322056032701E-2</v>
      </c>
      <c r="CI6">
        <v>-8.8838672647323494E-2</v>
      </c>
      <c r="CJ6">
        <v>-8.8838672647323494E-2</v>
      </c>
      <c r="CK6">
        <v>-8.8838672647323494E-2</v>
      </c>
      <c r="CL6">
        <v>-8.8838672647323494E-2</v>
      </c>
      <c r="CM6">
        <v>-8.8838672647323494E-2</v>
      </c>
      <c r="CN6">
        <v>-8.8838672647323494E-2</v>
      </c>
      <c r="CO6">
        <v>-8.8838672647323494E-2</v>
      </c>
      <c r="CP6">
        <v>4.09009286962995E-2</v>
      </c>
      <c r="CQ6">
        <v>0.11853960202033</v>
      </c>
      <c r="CR6">
        <v>0.217793032487615</v>
      </c>
      <c r="CS6">
        <v>-2.45746293265507E-2</v>
      </c>
      <c r="CT6">
        <v>2.9488470413104199E-2</v>
      </c>
      <c r="CU6">
        <v>5.5742008739655E-2</v>
      </c>
      <c r="CV6">
        <v>0.18255844883946201</v>
      </c>
      <c r="CW6">
        <v>3.7397845925855398E-2</v>
      </c>
      <c r="CX6">
        <v>-3.8489323421857798E-2</v>
      </c>
      <c r="CY6">
        <v>0.202162690571385</v>
      </c>
      <c r="CZ6">
        <v>-8.8838672647323494E-2</v>
      </c>
      <c r="DA6">
        <v>0.15639861169366601</v>
      </c>
      <c r="DB6">
        <v>1.59113645490686E-2</v>
      </c>
      <c r="DC6">
        <v>9.3409912629552005E-2</v>
      </c>
      <c r="DD6">
        <v>9.7964114520828205E-2</v>
      </c>
      <c r="DE6">
        <v>1.8803224649851899E-3</v>
      </c>
      <c r="DF6">
        <v>-1.78171681586008E-2</v>
      </c>
      <c r="DG6">
        <v>-8.5342141182294107E-3</v>
      </c>
      <c r="DH6">
        <v>4.7037335268916E-2</v>
      </c>
    </row>
    <row r="7" spans="1:112" x14ac:dyDescent="0.25">
      <c r="A7" t="s">
        <v>265</v>
      </c>
      <c r="B7" t="s">
        <v>341</v>
      </c>
      <c r="C7">
        <v>0</v>
      </c>
      <c r="D7">
        <v>0.18440000024587899</v>
      </c>
      <c r="E7">
        <v>0</v>
      </c>
      <c r="F7">
        <v>0.11706615960656799</v>
      </c>
      <c r="G7">
        <v>0</v>
      </c>
      <c r="H7">
        <v>0.29100720512952899</v>
      </c>
      <c r="I7">
        <v>0.37739244229825702</v>
      </c>
      <c r="J7">
        <v>0.30157433023318198</v>
      </c>
      <c r="K7">
        <v>7.94658645810839E-2</v>
      </c>
      <c r="L7">
        <v>0</v>
      </c>
      <c r="M7">
        <v>0.17622303018355001</v>
      </c>
      <c r="N7">
        <v>7.7672198865873801E-2</v>
      </c>
      <c r="O7">
        <v>0</v>
      </c>
      <c r="P7">
        <v>1.14905279421222E-2</v>
      </c>
      <c r="Q7">
        <v>0</v>
      </c>
      <c r="R7">
        <v>0</v>
      </c>
      <c r="S7">
        <v>0</v>
      </c>
      <c r="T7">
        <v>0</v>
      </c>
      <c r="U7">
        <v>0</v>
      </c>
      <c r="V7">
        <v>3.8591064655686402E-2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1.8745864813865299E-2</v>
      </c>
      <c r="AJ7">
        <v>0</v>
      </c>
      <c r="AK7">
        <v>3.5709952145700302E-2</v>
      </c>
      <c r="AL7">
        <v>0</v>
      </c>
      <c r="AM7">
        <v>0</v>
      </c>
      <c r="AN7">
        <v>0</v>
      </c>
      <c r="AO7">
        <v>4.5367078570579299E-3</v>
      </c>
      <c r="AP7">
        <v>5.16988476258995E-3</v>
      </c>
      <c r="AQ7">
        <v>1.9334232893691499E-2</v>
      </c>
      <c r="AR7">
        <v>0</v>
      </c>
      <c r="AS7">
        <v>0</v>
      </c>
      <c r="AT7">
        <v>1.5681461574843E-2</v>
      </c>
      <c r="AU7">
        <v>5.8251659649848301E-3</v>
      </c>
      <c r="AV7">
        <v>0.23661584998076701</v>
      </c>
      <c r="AW7">
        <v>1.4631135807632301</v>
      </c>
      <c r="AX7">
        <v>1.9168266250783399</v>
      </c>
      <c r="AY7">
        <v>1.67485039761104</v>
      </c>
      <c r="AZ7">
        <v>0.137678980514615</v>
      </c>
      <c r="BA7">
        <v>0</v>
      </c>
      <c r="BB7">
        <v>0.49782632200656501</v>
      </c>
      <c r="BC7">
        <v>0.467907800072838</v>
      </c>
      <c r="BD7">
        <v>0</v>
      </c>
      <c r="BE7">
        <v>0</v>
      </c>
      <c r="BF7">
        <v>0</v>
      </c>
      <c r="BG7">
        <v>1.23240627798631E-2</v>
      </c>
      <c r="BH7">
        <v>1.88327358922156E-2</v>
      </c>
      <c r="BI7">
        <v>0</v>
      </c>
      <c r="BJ7">
        <v>0</v>
      </c>
      <c r="BK7">
        <v>0</v>
      </c>
      <c r="BL7">
        <v>0</v>
      </c>
      <c r="BM7">
        <v>0</v>
      </c>
      <c r="BN7">
        <v>0.138312374811533</v>
      </c>
      <c r="BO7">
        <v>0</v>
      </c>
      <c r="BP7">
        <v>0</v>
      </c>
      <c r="BQ7">
        <v>0</v>
      </c>
      <c r="BR7">
        <v>0.102394460235923</v>
      </c>
      <c r="BS7">
        <v>4.4656485499308902E-2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0.18636612503198499</v>
      </c>
      <c r="CK7">
        <v>0</v>
      </c>
      <c r="CL7">
        <v>0</v>
      </c>
      <c r="CM7">
        <v>0</v>
      </c>
      <c r="CN7">
        <v>0</v>
      </c>
      <c r="CO7">
        <v>0</v>
      </c>
      <c r="CP7">
        <v>2.39004572393356E-2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2.6723367532068599E-2</v>
      </c>
      <c r="DC7">
        <v>7.8249510370105007E-3</v>
      </c>
      <c r="DD7">
        <v>0</v>
      </c>
      <c r="DE7">
        <v>0</v>
      </c>
      <c r="DF7">
        <v>0</v>
      </c>
      <c r="DG7">
        <v>1.44510180277614E-2</v>
      </c>
      <c r="DH7">
        <v>0</v>
      </c>
    </row>
    <row r="8" spans="1:112" x14ac:dyDescent="0.25">
      <c r="A8" t="s">
        <v>265</v>
      </c>
      <c r="B8" t="s">
        <v>343</v>
      </c>
      <c r="C8">
        <v>-1.78677945697342E-2</v>
      </c>
      <c r="D8">
        <v>0.16653220567614399</v>
      </c>
      <c r="E8">
        <v>8.8610969473013307E-2</v>
      </c>
      <c r="F8">
        <v>9.9198365036833797E-2</v>
      </c>
      <c r="G8">
        <v>6.7159860891539302E-2</v>
      </c>
      <c r="H8">
        <v>2.66911943814068E-2</v>
      </c>
      <c r="I8">
        <v>1.40956345875211E-2</v>
      </c>
      <c r="J8">
        <v>2.26278768058106E-2</v>
      </c>
      <c r="K8">
        <v>6.1598070011349898E-2</v>
      </c>
      <c r="L8">
        <v>-1.78677945697342E-2</v>
      </c>
      <c r="M8">
        <v>0.15835523561381501</v>
      </c>
      <c r="N8">
        <v>5.9804404296139597E-2</v>
      </c>
      <c r="O8">
        <v>-1.78677945697342E-2</v>
      </c>
      <c r="P8">
        <v>-6.3772666276120703E-3</v>
      </c>
      <c r="Q8">
        <v>-6.9167247070061402E-3</v>
      </c>
      <c r="R8">
        <v>-1.78677945697342E-2</v>
      </c>
      <c r="S8">
        <v>0.12198917879599901</v>
      </c>
      <c r="T8">
        <v>-1.78677945697342E-2</v>
      </c>
      <c r="U8">
        <v>-1.78677945697342E-2</v>
      </c>
      <c r="V8">
        <v>-1.78677945697342E-2</v>
      </c>
      <c r="W8">
        <v>-1.78677945697342E-2</v>
      </c>
      <c r="X8">
        <v>0.135179020960079</v>
      </c>
      <c r="Y8">
        <v>-1.78677945697342E-2</v>
      </c>
      <c r="Z8">
        <v>-1.78677945697342E-2</v>
      </c>
      <c r="AA8">
        <v>0.28257400701536101</v>
      </c>
      <c r="AB8">
        <v>-1.78677945697342E-2</v>
      </c>
      <c r="AC8">
        <v>-1.78677945697342E-2</v>
      </c>
      <c r="AD8">
        <v>-1.78677945697342E-2</v>
      </c>
      <c r="AE8">
        <v>0.611024128795712</v>
      </c>
      <c r="AF8">
        <v>-1.78677945697342E-2</v>
      </c>
      <c r="AG8">
        <v>-1.78677945697342E-2</v>
      </c>
      <c r="AH8">
        <v>0.32225537162881401</v>
      </c>
      <c r="AI8">
        <v>4.9787523615479203E-2</v>
      </c>
      <c r="AJ8">
        <v>0.101895755169574</v>
      </c>
      <c r="AK8">
        <v>-1.78677945697342E-2</v>
      </c>
      <c r="AL8">
        <v>0.102240968845354</v>
      </c>
      <c r="AM8">
        <v>3.4654840561601001E-2</v>
      </c>
      <c r="AN8">
        <v>4.9968467308532001E-2</v>
      </c>
      <c r="AO8">
        <v>7.5321712531732001E-3</v>
      </c>
      <c r="AP8">
        <v>1.6407483118798499E-2</v>
      </c>
      <c r="AQ8">
        <v>1.46643832395713E-3</v>
      </c>
      <c r="AR8">
        <v>4.6045492797688901E-2</v>
      </c>
      <c r="AS8">
        <v>2.9120410896892501E-2</v>
      </c>
      <c r="AT8">
        <v>3.0416910435390999E-3</v>
      </c>
      <c r="AU8">
        <v>4.06887983650564E-2</v>
      </c>
      <c r="AV8">
        <v>3.1383116146764201E-2</v>
      </c>
      <c r="AW8">
        <v>-1.78677945697342E-2</v>
      </c>
      <c r="AX8">
        <v>-1.78677945697342E-2</v>
      </c>
      <c r="AY8">
        <v>-1.78677945697342E-2</v>
      </c>
      <c r="AZ8">
        <v>-1.78677945697342E-2</v>
      </c>
      <c r="BA8">
        <v>2.3105669907155301E-2</v>
      </c>
      <c r="BB8">
        <v>3.2382990689555101E-2</v>
      </c>
      <c r="BC8">
        <v>-4.4198354014238503E-3</v>
      </c>
      <c r="BD8">
        <v>1.3403069503787699E-2</v>
      </c>
      <c r="BE8">
        <v>-1.78677945697342E-2</v>
      </c>
      <c r="BF8">
        <v>-1.78677945697342E-2</v>
      </c>
      <c r="BG8">
        <v>-5.5437317898711803E-3</v>
      </c>
      <c r="BH8">
        <v>-1.78677945697342E-2</v>
      </c>
      <c r="BI8">
        <v>1.5810588220900101E-2</v>
      </c>
      <c r="BJ8">
        <v>-1.46793041309513E-3</v>
      </c>
      <c r="BK8">
        <v>3.8385075333251001E-2</v>
      </c>
      <c r="BL8">
        <v>-1.78677945697342E-2</v>
      </c>
      <c r="BM8">
        <v>-2.02247121567039E-3</v>
      </c>
      <c r="BN8">
        <v>0.12044458024179901</v>
      </c>
      <c r="BO8">
        <v>2.4148975064754601E-2</v>
      </c>
      <c r="BP8">
        <v>-1.78677945697342E-2</v>
      </c>
      <c r="BQ8">
        <v>-1.78677945697342E-2</v>
      </c>
      <c r="BR8">
        <v>-1.78677945697342E-2</v>
      </c>
      <c r="BS8">
        <v>2.6788690929574598E-2</v>
      </c>
      <c r="BT8">
        <v>-1.78677945697342E-2</v>
      </c>
      <c r="BU8">
        <v>-1.78677945697342E-2</v>
      </c>
      <c r="BV8">
        <v>3.1586415165762903E-2</v>
      </c>
      <c r="BW8">
        <v>-1.78677945697342E-2</v>
      </c>
      <c r="BX8">
        <v>9.2858589461760708E-3</v>
      </c>
      <c r="BY8">
        <v>8.2120414506092296E-2</v>
      </c>
      <c r="BZ8">
        <v>-1.78677945697342E-2</v>
      </c>
      <c r="CA8">
        <v>1.5306204766256E-2</v>
      </c>
      <c r="CB8">
        <v>-1.78677945697342E-2</v>
      </c>
      <c r="CC8">
        <v>5.9901728452238401E-2</v>
      </c>
      <c r="CD8">
        <v>0.151481462696507</v>
      </c>
      <c r="CE8">
        <v>-1.78677945697342E-2</v>
      </c>
      <c r="CF8">
        <v>0.80410384088545594</v>
      </c>
      <c r="CG8">
        <v>-1.78677945697342E-2</v>
      </c>
      <c r="CH8">
        <v>-1.78677945697342E-2</v>
      </c>
      <c r="CI8">
        <v>-1.78677945697342E-2</v>
      </c>
      <c r="CJ8">
        <v>-1.78677945697342E-2</v>
      </c>
      <c r="CK8">
        <v>-1.78677945697342E-2</v>
      </c>
      <c r="CL8">
        <v>-1.78677945697342E-2</v>
      </c>
      <c r="CM8">
        <v>-1.78677945697342E-2</v>
      </c>
      <c r="CN8">
        <v>-1.78677945697342E-2</v>
      </c>
      <c r="CO8">
        <v>2.2114048982108302E-2</v>
      </c>
      <c r="CP8">
        <v>9.8694729644452306E-2</v>
      </c>
      <c r="CQ8">
        <v>-1.78677945697342E-2</v>
      </c>
      <c r="CR8">
        <v>2.9318138510900701E-2</v>
      </c>
      <c r="CS8">
        <v>-1.78677945697342E-2</v>
      </c>
      <c r="CT8">
        <v>0.100459348490693</v>
      </c>
      <c r="CU8">
        <v>-1.78677945697342E-2</v>
      </c>
      <c r="CV8">
        <v>-1.78677945697342E-2</v>
      </c>
      <c r="CW8">
        <v>1.4313301315966699E-2</v>
      </c>
      <c r="CX8">
        <v>6.1260553870452997E-2</v>
      </c>
      <c r="CY8">
        <v>0.13398143264163401</v>
      </c>
      <c r="CZ8">
        <v>-1.78677945697342E-2</v>
      </c>
      <c r="DA8">
        <v>6.7818790499137402E-2</v>
      </c>
      <c r="DB8">
        <v>3.5214155925201801E-2</v>
      </c>
      <c r="DC8">
        <v>3.6613427547620502E-2</v>
      </c>
      <c r="DD8">
        <v>2.11444196900877E-2</v>
      </c>
      <c r="DE8">
        <v>-1.78677945697342E-2</v>
      </c>
      <c r="DF8">
        <v>3.3138124892301501E-2</v>
      </c>
      <c r="DG8">
        <v>-3.4167765419730002E-3</v>
      </c>
      <c r="DH8">
        <v>-1.78677945697342E-2</v>
      </c>
    </row>
    <row r="9" spans="1:112" x14ac:dyDescent="0.25">
      <c r="A9" t="s">
        <v>265</v>
      </c>
      <c r="B9" t="s">
        <v>347</v>
      </c>
      <c r="C9">
        <v>0.37787839095365799</v>
      </c>
      <c r="D9">
        <v>0.125274208331563</v>
      </c>
      <c r="E9">
        <v>0.20642515741275</v>
      </c>
      <c r="F9">
        <v>0.17261702615430899</v>
      </c>
      <c r="G9">
        <v>0.24275140159505901</v>
      </c>
      <c r="H9">
        <v>0</v>
      </c>
      <c r="I9">
        <v>0</v>
      </c>
      <c r="J9">
        <v>0</v>
      </c>
      <c r="K9">
        <v>0.22827226646847201</v>
      </c>
      <c r="L9">
        <v>0</v>
      </c>
      <c r="M9">
        <v>0.17622303018355001</v>
      </c>
      <c r="N9">
        <v>7.7672198865873801E-2</v>
      </c>
      <c r="O9">
        <v>0</v>
      </c>
      <c r="P9">
        <v>2.2961386797456799E-2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0.32021847239099299</v>
      </c>
      <c r="X9">
        <v>0.153046815529813</v>
      </c>
      <c r="Y9">
        <v>0</v>
      </c>
      <c r="Z9">
        <v>0</v>
      </c>
      <c r="AA9">
        <v>0.48805050835839298</v>
      </c>
      <c r="AB9">
        <v>0.104110477776213</v>
      </c>
      <c r="AC9">
        <v>0.31271533861386303</v>
      </c>
      <c r="AD9">
        <v>0.127128475991544</v>
      </c>
      <c r="AE9">
        <v>0</v>
      </c>
      <c r="AF9">
        <v>0.92948234798512697</v>
      </c>
      <c r="AG9">
        <v>0.52868016706671905</v>
      </c>
      <c r="AH9">
        <v>0.179198684969643</v>
      </c>
      <c r="AI9">
        <v>0</v>
      </c>
      <c r="AJ9">
        <v>6.8974414167045903E-2</v>
      </c>
      <c r="AK9">
        <v>9.1006572383390993E-2</v>
      </c>
      <c r="AL9">
        <v>1.3530996808209499E-2</v>
      </c>
      <c r="AM9">
        <v>0</v>
      </c>
      <c r="AN9">
        <v>0</v>
      </c>
      <c r="AO9">
        <v>9.0783189169841797E-3</v>
      </c>
      <c r="AP9">
        <v>1.55475216250837E-2</v>
      </c>
      <c r="AQ9">
        <v>0</v>
      </c>
      <c r="AR9">
        <v>1.68644755516958E-2</v>
      </c>
      <c r="AS9">
        <v>1.5695423569177198E-2</v>
      </c>
      <c r="AT9">
        <v>1.5681461574843E-2</v>
      </c>
      <c r="AU9">
        <v>5.8251659649848301E-3</v>
      </c>
      <c r="AV9">
        <v>0</v>
      </c>
      <c r="AW9">
        <v>2.4449515240494601E-2</v>
      </c>
      <c r="AX9">
        <v>0</v>
      </c>
      <c r="AY9">
        <v>0</v>
      </c>
      <c r="AZ9">
        <v>0</v>
      </c>
      <c r="BA9">
        <v>0</v>
      </c>
      <c r="BB9">
        <v>0</v>
      </c>
      <c r="BC9">
        <v>1.34479591683103E-2</v>
      </c>
      <c r="BD9">
        <v>3.1270864073522003E-2</v>
      </c>
      <c r="BE9">
        <v>0</v>
      </c>
      <c r="BF9">
        <v>2.5587504161528898E-2</v>
      </c>
      <c r="BG9">
        <v>0</v>
      </c>
      <c r="BH9">
        <v>0</v>
      </c>
      <c r="BI9">
        <v>0</v>
      </c>
      <c r="BJ9">
        <v>1.6399864156639101E-2</v>
      </c>
      <c r="BK9">
        <v>0</v>
      </c>
      <c r="BL9">
        <v>0</v>
      </c>
      <c r="BM9">
        <v>0</v>
      </c>
      <c r="BN9">
        <v>0</v>
      </c>
      <c r="BO9">
        <v>0</v>
      </c>
      <c r="BP9">
        <v>0.101186442139636</v>
      </c>
      <c r="BQ9">
        <v>0.33374665246427099</v>
      </c>
      <c r="BR9">
        <v>0</v>
      </c>
      <c r="BS9">
        <v>2.2447284911218099E-2</v>
      </c>
      <c r="BT9">
        <v>8.1980261657914097E-2</v>
      </c>
      <c r="BU9">
        <v>0</v>
      </c>
      <c r="BV9">
        <v>2.48857758647828E-2</v>
      </c>
      <c r="BW9">
        <v>3.1636754687890303E-2</v>
      </c>
      <c r="BX9">
        <v>0</v>
      </c>
      <c r="BY9">
        <v>0</v>
      </c>
      <c r="BZ9">
        <v>0</v>
      </c>
      <c r="CA9">
        <v>3.3173999335990197E-2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0.18636612503198499</v>
      </c>
      <c r="CK9">
        <v>0</v>
      </c>
      <c r="CL9">
        <v>0</v>
      </c>
      <c r="CM9">
        <v>0</v>
      </c>
      <c r="CN9">
        <v>0.12916085264558</v>
      </c>
      <c r="CO9">
        <v>0</v>
      </c>
      <c r="CP9">
        <v>2.39004572393356E-2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0.147256109911551</v>
      </c>
      <c r="DA9">
        <v>0.213312069147608</v>
      </c>
      <c r="DB9">
        <v>0.104750037196392</v>
      </c>
      <c r="DC9">
        <v>7.8249510370105007E-3</v>
      </c>
      <c r="DD9">
        <v>0</v>
      </c>
      <c r="DE9">
        <v>0</v>
      </c>
      <c r="DF9">
        <v>3.8321237160748901E-2</v>
      </c>
      <c r="DG9">
        <v>0</v>
      </c>
      <c r="DH9">
        <v>1.9812939757236098E-2</v>
      </c>
    </row>
    <row r="10" spans="1:112" x14ac:dyDescent="0.25">
      <c r="A10" t="s">
        <v>265</v>
      </c>
      <c r="B10" t="s">
        <v>348</v>
      </c>
      <c r="C10">
        <v>0</v>
      </c>
      <c r="D10">
        <v>0.125274208331563</v>
      </c>
      <c r="E10">
        <v>0</v>
      </c>
      <c r="F10">
        <v>0.11706615960656799</v>
      </c>
      <c r="G10">
        <v>8.5027655461273693E-2</v>
      </c>
      <c r="H10">
        <v>0.130481604556271</v>
      </c>
      <c r="I10">
        <v>0</v>
      </c>
      <c r="J10">
        <v>8.0114522596875098E-2</v>
      </c>
      <c r="K10">
        <v>4.0190018492457701E-2</v>
      </c>
      <c r="L10">
        <v>0.26091993972704097</v>
      </c>
      <c r="M10">
        <v>9.0409450331808305E-2</v>
      </c>
      <c r="N10">
        <v>0</v>
      </c>
      <c r="O10">
        <v>0</v>
      </c>
      <c r="P10">
        <v>0</v>
      </c>
      <c r="Q10">
        <v>1.0951069862727999E-2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0.346426581884406</v>
      </c>
      <c r="Z10">
        <v>0</v>
      </c>
      <c r="AA10">
        <v>0</v>
      </c>
      <c r="AB10">
        <v>0.34754227581393798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1.8745864813865299E-2</v>
      </c>
      <c r="AJ10">
        <v>4.4742244605894398E-2</v>
      </c>
      <c r="AK10">
        <v>0</v>
      </c>
      <c r="AL10">
        <v>0</v>
      </c>
      <c r="AM10">
        <v>2.63434098111705E-2</v>
      </c>
      <c r="AN10">
        <v>0</v>
      </c>
      <c r="AO10">
        <v>9.0783189169841797E-3</v>
      </c>
      <c r="AP10">
        <v>1.0352396838554099E-2</v>
      </c>
      <c r="AQ10">
        <v>9.66227855291194E-3</v>
      </c>
      <c r="AR10">
        <v>3.3720406297431102E-2</v>
      </c>
      <c r="AS10">
        <v>0</v>
      </c>
      <c r="AT10">
        <v>2.0909485613273399E-2</v>
      </c>
      <c r="AU10">
        <v>3.84835150897571E-2</v>
      </c>
      <c r="AV10">
        <v>0</v>
      </c>
      <c r="AW10">
        <v>0</v>
      </c>
      <c r="AX10">
        <v>0</v>
      </c>
      <c r="AY10">
        <v>1.15578356198319E-2</v>
      </c>
      <c r="AZ10">
        <v>0</v>
      </c>
      <c r="BA10">
        <v>0</v>
      </c>
      <c r="BB10">
        <v>0</v>
      </c>
      <c r="BC10">
        <v>0</v>
      </c>
      <c r="BD10">
        <v>4.6809401528363402E-2</v>
      </c>
      <c r="BE10">
        <v>2.4004175516207E-2</v>
      </c>
      <c r="BF10">
        <v>5.08957471646483E-2</v>
      </c>
      <c r="BG10">
        <v>0</v>
      </c>
      <c r="BH10">
        <v>3.7577686767742799E-2</v>
      </c>
      <c r="BI10">
        <v>0</v>
      </c>
      <c r="BJ10">
        <v>6.5099515442527206E-2</v>
      </c>
      <c r="BK10">
        <v>5.6252869902985399E-2</v>
      </c>
      <c r="BL10">
        <v>3.8232411531265102E-2</v>
      </c>
      <c r="BM10">
        <v>1.5845323354063801E-2</v>
      </c>
      <c r="BN10">
        <v>0</v>
      </c>
      <c r="BO10">
        <v>0</v>
      </c>
      <c r="BP10">
        <v>0.101186442139636</v>
      </c>
      <c r="BQ10">
        <v>0.175800486467968</v>
      </c>
      <c r="BR10">
        <v>0.102394460235923</v>
      </c>
      <c r="BS10">
        <v>4.4656485499308902E-2</v>
      </c>
      <c r="BT10">
        <v>0</v>
      </c>
      <c r="BU10">
        <v>0.18493300480809999</v>
      </c>
      <c r="BV10">
        <v>9.7675867129310701E-2</v>
      </c>
      <c r="BW10">
        <v>0</v>
      </c>
      <c r="BX10">
        <v>9.5511833367337401E-2</v>
      </c>
      <c r="BY10">
        <v>5.0685204492243098E-2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0.25027787506768301</v>
      </c>
      <c r="CG10">
        <v>0</v>
      </c>
      <c r="CH10">
        <v>0</v>
      </c>
      <c r="CI10">
        <v>0.124312857869347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7.0802698189596502E-2</v>
      </c>
      <c r="CQ10">
        <v>5.4237271677854498E-2</v>
      </c>
      <c r="CR10">
        <v>0</v>
      </c>
      <c r="CS10">
        <v>0</v>
      </c>
      <c r="CT10">
        <v>0</v>
      </c>
      <c r="CU10">
        <v>0</v>
      </c>
      <c r="CV10">
        <v>7.4818276158043706E-2</v>
      </c>
      <c r="CW10">
        <v>3.2181095885700998E-2</v>
      </c>
      <c r="CX10">
        <v>0</v>
      </c>
      <c r="CY10">
        <v>0</v>
      </c>
      <c r="CZ10">
        <v>5.0525258560809999E-2</v>
      </c>
      <c r="DA10">
        <v>0</v>
      </c>
      <c r="DB10">
        <v>0.279594789796134</v>
      </c>
      <c r="DC10">
        <v>0.207862287496103</v>
      </c>
      <c r="DD10">
        <v>7.7158947647042994E-2</v>
      </c>
      <c r="DE10">
        <v>4.5784072026279599E-2</v>
      </c>
      <c r="DF10">
        <v>2.5592389563360799E-2</v>
      </c>
      <c r="DG10">
        <v>1.44510180277614E-2</v>
      </c>
      <c r="DH10">
        <v>0</v>
      </c>
    </row>
    <row r="11" spans="1:112" x14ac:dyDescent="0.25">
      <c r="A11" t="s">
        <v>265</v>
      </c>
      <c r="B11" t="s">
        <v>353</v>
      </c>
      <c r="C11">
        <v>0</v>
      </c>
      <c r="D11">
        <v>0</v>
      </c>
      <c r="E11">
        <v>0</v>
      </c>
      <c r="F11">
        <v>0</v>
      </c>
      <c r="G11">
        <v>0</v>
      </c>
      <c r="H11">
        <v>4.4558988951141298E-2</v>
      </c>
      <c r="I11">
        <v>3.1963429157255203E-2</v>
      </c>
      <c r="J11">
        <v>0</v>
      </c>
      <c r="K11">
        <v>4.0190018492457701E-2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0.10640911452509499</v>
      </c>
      <c r="AB11">
        <v>0.104110477776213</v>
      </c>
      <c r="AC11">
        <v>0</v>
      </c>
      <c r="AD11">
        <v>0</v>
      </c>
      <c r="AE11">
        <v>0.11327879945083499</v>
      </c>
      <c r="AF11">
        <v>0</v>
      </c>
      <c r="AG11">
        <v>0</v>
      </c>
      <c r="AH11">
        <v>0</v>
      </c>
      <c r="AI11">
        <v>1.8745864813865299E-2</v>
      </c>
      <c r="AJ11">
        <v>5.1868414001816597E-2</v>
      </c>
      <c r="AK11">
        <v>3.5709952145700302E-2</v>
      </c>
      <c r="AL11">
        <v>4.0450252451492703E-2</v>
      </c>
      <c r="AM11">
        <v>0</v>
      </c>
      <c r="AN11">
        <v>0</v>
      </c>
      <c r="AO11">
        <v>1.3624823043097801E-2</v>
      </c>
      <c r="AP11">
        <v>1.0352396838554099E-2</v>
      </c>
      <c r="AQ11">
        <v>1.9334232893691499E-2</v>
      </c>
      <c r="AR11">
        <v>3.3720406297431102E-2</v>
      </c>
      <c r="AS11">
        <v>1.5695423569177198E-2</v>
      </c>
      <c r="AT11">
        <v>1.0453871599328E-2</v>
      </c>
      <c r="AU11">
        <v>0</v>
      </c>
      <c r="AV11">
        <v>7.3492234625547895E-2</v>
      </c>
      <c r="AW11">
        <v>2.4449515240494601E-2</v>
      </c>
      <c r="AX11">
        <v>2.67130970539688E-2</v>
      </c>
      <c r="AY11">
        <v>0</v>
      </c>
      <c r="AZ11">
        <v>1.9653693060565299E-2</v>
      </c>
      <c r="BA11">
        <v>4.0973464476889397E-2</v>
      </c>
      <c r="BB11">
        <v>5.02507852592892E-2</v>
      </c>
      <c r="BC11">
        <v>1.34479591683103E-2</v>
      </c>
      <c r="BD11">
        <v>0</v>
      </c>
      <c r="BE11">
        <v>0</v>
      </c>
      <c r="BF11">
        <v>2.5587504161528898E-2</v>
      </c>
      <c r="BG11">
        <v>0</v>
      </c>
      <c r="BH11">
        <v>1.88327358922156E-2</v>
      </c>
      <c r="BI11">
        <v>0</v>
      </c>
      <c r="BJ11">
        <v>0</v>
      </c>
      <c r="BK11">
        <v>0</v>
      </c>
      <c r="BL11">
        <v>3.8232411531265102E-2</v>
      </c>
      <c r="BM11">
        <v>4.7249981278732499E-2</v>
      </c>
      <c r="BN11">
        <v>0</v>
      </c>
      <c r="BO11">
        <v>0</v>
      </c>
      <c r="BP11">
        <v>0.14968968392002299</v>
      </c>
      <c r="BQ11">
        <v>0</v>
      </c>
      <c r="BR11">
        <v>0</v>
      </c>
      <c r="BS11">
        <v>0</v>
      </c>
      <c r="BT11">
        <v>0</v>
      </c>
      <c r="BU11">
        <v>0.12548176119739701</v>
      </c>
      <c r="BV11">
        <v>7.3714605654810403E-2</v>
      </c>
      <c r="BW11">
        <v>0</v>
      </c>
      <c r="BX11">
        <v>5.3904785933589897E-2</v>
      </c>
      <c r="BY11">
        <v>0</v>
      </c>
      <c r="BZ11">
        <v>0.13058664744604101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0.209997225640812</v>
      </c>
      <c r="CM11">
        <v>0</v>
      </c>
      <c r="CN11">
        <v>0</v>
      </c>
      <c r="CO11">
        <v>3.9981843551842602E-2</v>
      </c>
      <c r="CP11">
        <v>0</v>
      </c>
      <c r="CQ11">
        <v>5.4237271677854498E-2</v>
      </c>
      <c r="CR11">
        <v>4.71859330806347E-2</v>
      </c>
      <c r="CS11">
        <v>0</v>
      </c>
      <c r="CT11">
        <v>0</v>
      </c>
      <c r="CU11">
        <v>0</v>
      </c>
      <c r="CV11">
        <v>3.7727904504001597E-2</v>
      </c>
      <c r="CW11">
        <v>3.2181095885700998E-2</v>
      </c>
      <c r="CX11">
        <v>5.0349349225465703E-2</v>
      </c>
      <c r="CY11">
        <v>0.12146182948506699</v>
      </c>
      <c r="CZ11">
        <v>5.0525258560809999E-2</v>
      </c>
      <c r="DA11">
        <v>0.24523728434098899</v>
      </c>
      <c r="DB11">
        <v>0.104750037196392</v>
      </c>
      <c r="DC11">
        <v>1.5635761127728999E-2</v>
      </c>
      <c r="DD11">
        <v>3.9012214259822001E-2</v>
      </c>
      <c r="DE11">
        <v>2.3000866247732898E-2</v>
      </c>
      <c r="DF11">
        <v>0</v>
      </c>
      <c r="DG11">
        <v>2.88700278666894E-2</v>
      </c>
      <c r="DH11">
        <v>3.9487274611930398E-2</v>
      </c>
    </row>
    <row r="12" spans="1:112" s="11" customFormat="1" ht="15.75" thickBot="1" x14ac:dyDescent="0.3">
      <c r="A12" s="11" t="s">
        <v>265</v>
      </c>
      <c r="B12" s="11" t="s">
        <v>354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3.1963429157255203E-2</v>
      </c>
      <c r="J12" s="11">
        <v>0</v>
      </c>
      <c r="K12" s="11">
        <v>4.0190018492457701E-2</v>
      </c>
      <c r="L12" s="11">
        <v>0</v>
      </c>
      <c r="M12" s="11">
        <v>0</v>
      </c>
      <c r="N12" s="11">
        <v>0</v>
      </c>
      <c r="O12" s="11">
        <v>0</v>
      </c>
      <c r="P12" s="11">
        <v>1.8202925690335998E-2</v>
      </c>
      <c r="Q12" s="11">
        <v>0</v>
      </c>
      <c r="R12" s="11">
        <v>0</v>
      </c>
      <c r="S12" s="11">
        <v>0.13985697336573399</v>
      </c>
      <c r="T12" s="11">
        <v>0.355488652231499</v>
      </c>
      <c r="U12" s="11">
        <v>0.16534081159490599</v>
      </c>
      <c r="V12" s="11">
        <v>3.8591064655686402E-2</v>
      </c>
      <c r="W12" s="11">
        <v>0</v>
      </c>
      <c r="X12" s="11">
        <v>0.153046815529813</v>
      </c>
      <c r="Y12" s="11">
        <v>0.13903488844110001</v>
      </c>
      <c r="Z12" s="11">
        <v>0</v>
      </c>
      <c r="AA12" s="11">
        <v>0.10640911452509499</v>
      </c>
      <c r="AB12" s="11">
        <v>1.3348457643556599</v>
      </c>
      <c r="AC12" s="11">
        <v>0</v>
      </c>
      <c r="AD12" s="11">
        <v>0</v>
      </c>
      <c r="AE12" s="11">
        <v>0.59583084478374604</v>
      </c>
      <c r="AF12" s="11">
        <v>0.53011765114958198</v>
      </c>
      <c r="AG12" s="11">
        <v>0.19555489096540399</v>
      </c>
      <c r="AH12" s="11">
        <v>0</v>
      </c>
      <c r="AI12" s="11">
        <v>1.8745864813865299E-2</v>
      </c>
      <c r="AJ12" s="11">
        <v>1.7382803358643801E-2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8.4333123991846698E-3</v>
      </c>
      <c r="AS12" s="11">
        <v>0</v>
      </c>
      <c r="AT12" s="11">
        <v>0</v>
      </c>
      <c r="AU12" s="11">
        <v>5.8251659649848301E-3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0.12916085264558</v>
      </c>
      <c r="CO12" s="11">
        <v>3.9981843551842602E-2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5.0525258560809999E-2</v>
      </c>
      <c r="DA12" s="11">
        <v>0</v>
      </c>
      <c r="DB12" s="11">
        <v>0</v>
      </c>
      <c r="DC12" s="11">
        <v>0</v>
      </c>
      <c r="DD12" s="11">
        <v>0</v>
      </c>
      <c r="DE12" s="11">
        <v>2.3000866247732898E-2</v>
      </c>
      <c r="DF12" s="11">
        <v>0</v>
      </c>
      <c r="DG12" s="11">
        <v>0</v>
      </c>
      <c r="DH12" s="11">
        <v>0</v>
      </c>
    </row>
    <row r="13" spans="1:112" x14ac:dyDescent="0.25">
      <c r="A13" t="s">
        <v>266</v>
      </c>
      <c r="B13" t="s">
        <v>331</v>
      </c>
      <c r="C13">
        <v>7.6238958783048497E-2</v>
      </c>
      <c r="D13">
        <v>1.37745882578061</v>
      </c>
      <c r="E13">
        <v>2.48532911344997</v>
      </c>
      <c r="F13">
        <v>2.3400939426035099</v>
      </c>
      <c r="G13">
        <v>1.2264296904597101</v>
      </c>
      <c r="H13">
        <v>1.8780805682227699</v>
      </c>
      <c r="I13">
        <v>1.87450797567501</v>
      </c>
      <c r="J13">
        <v>2.3855427609356701</v>
      </c>
      <c r="K13">
        <v>2.1611677565967899</v>
      </c>
      <c r="L13">
        <v>2.43087816093239</v>
      </c>
      <c r="M13">
        <v>2.3756980179962102</v>
      </c>
      <c r="N13">
        <v>2.4544610885255902</v>
      </c>
      <c r="O13">
        <v>-1.8435831396737301</v>
      </c>
      <c r="P13">
        <v>-1.3516496507679401</v>
      </c>
      <c r="Q13">
        <v>-1.20868572131491</v>
      </c>
      <c r="R13">
        <v>-2.8395730612565701E-2</v>
      </c>
      <c r="S13">
        <v>-1.4212013282324E-2</v>
      </c>
      <c r="T13">
        <v>0.83669002775402701</v>
      </c>
      <c r="U13">
        <v>0.295732244905345</v>
      </c>
      <c r="V13">
        <v>0.42919723229006201</v>
      </c>
      <c r="W13">
        <v>1.4994895713776499</v>
      </c>
      <c r="X13">
        <v>2.5776707617117599E-2</v>
      </c>
      <c r="Y13">
        <v>-0.41411162620816599</v>
      </c>
      <c r="Z13">
        <v>0.44801716729056301</v>
      </c>
      <c r="AA13">
        <v>0.432555980731408</v>
      </c>
      <c r="AB13">
        <v>-0.18409223649946199</v>
      </c>
      <c r="AC13">
        <v>0.95241702255550598</v>
      </c>
      <c r="AD13">
        <v>0.14442350996709699</v>
      </c>
      <c r="AE13">
        <v>0.37368740294136898</v>
      </c>
      <c r="AF13">
        <v>0.41874693490380299</v>
      </c>
      <c r="AG13">
        <v>0.35052050254795403</v>
      </c>
      <c r="AH13">
        <v>0.29435171762606499</v>
      </c>
      <c r="AI13">
        <v>0.78651619153587204</v>
      </c>
      <c r="AJ13">
        <v>1.91620537658252</v>
      </c>
      <c r="AK13">
        <v>2.0382161901185301</v>
      </c>
      <c r="AL13">
        <v>0.99210271866717004</v>
      </c>
      <c r="AM13">
        <v>1.06364692976857</v>
      </c>
      <c r="AN13">
        <v>1.44305732309826</v>
      </c>
      <c r="AO13">
        <v>-0.60724440085985798</v>
      </c>
      <c r="AP13">
        <v>-0.20965988758006601</v>
      </c>
      <c r="AQ13">
        <v>-0.25898867135921599</v>
      </c>
      <c r="AR13">
        <v>0.21679672535060401</v>
      </c>
      <c r="AS13">
        <v>-6.6084965630713699E-2</v>
      </c>
      <c r="AT13">
        <v>0.41492664444965399</v>
      </c>
      <c r="AU13">
        <v>1.16913176904835</v>
      </c>
      <c r="AV13">
        <v>-1.4844305249059599</v>
      </c>
      <c r="AW13">
        <v>-2.5943523846182099</v>
      </c>
      <c r="AX13">
        <v>-2.75550714694318</v>
      </c>
      <c r="AY13">
        <v>-2.9502433288110601</v>
      </c>
      <c r="AZ13">
        <v>-2.4192584786090401</v>
      </c>
      <c r="BA13">
        <v>-0.64461157277792902</v>
      </c>
      <c r="BB13">
        <v>-0.68158262925287905</v>
      </c>
      <c r="BC13">
        <v>0.28144582315250299</v>
      </c>
      <c r="BD13">
        <v>0.84643469318255804</v>
      </c>
      <c r="BE13">
        <v>-0.68385722256568304</v>
      </c>
      <c r="BF13">
        <v>-0.76322981190601602</v>
      </c>
      <c r="BG13">
        <v>-0.25572148977984799</v>
      </c>
      <c r="BH13">
        <v>-0.53250792830649096</v>
      </c>
      <c r="BI13">
        <v>-0.35387900743325001</v>
      </c>
      <c r="BJ13">
        <v>0.22112822386106701</v>
      </c>
      <c r="BK13">
        <v>1.0660589777524401</v>
      </c>
      <c r="BL13">
        <v>-0.972915713319634</v>
      </c>
      <c r="BM13">
        <v>-0.48074500743845699</v>
      </c>
      <c r="BN13">
        <v>-0.33464479220676702</v>
      </c>
      <c r="BO13">
        <v>-1.35673730482161</v>
      </c>
      <c r="BP13">
        <v>-0.77902879643400902</v>
      </c>
      <c r="BQ13">
        <v>-0.18022433092141199</v>
      </c>
      <c r="BR13">
        <v>0.84089153338578104</v>
      </c>
      <c r="BS13">
        <v>-0.89857646232664201</v>
      </c>
      <c r="BT13">
        <v>-0.34412186605311801</v>
      </c>
      <c r="BU13">
        <v>0.13697667484463899</v>
      </c>
      <c r="BV13">
        <v>3.4846907703981599E-2</v>
      </c>
      <c r="BW13">
        <v>-0.77310612909436505</v>
      </c>
      <c r="BX13">
        <v>-1.13725644296006</v>
      </c>
      <c r="BY13">
        <v>0.26830357399208798</v>
      </c>
      <c r="BZ13">
        <v>-0.61967466576950603</v>
      </c>
      <c r="CA13">
        <v>-1.9390221171298301</v>
      </c>
      <c r="CB13">
        <v>-1.59828920057585</v>
      </c>
      <c r="CC13">
        <v>-1.4275236710724899</v>
      </c>
      <c r="CD13">
        <v>0.23935867473925501</v>
      </c>
      <c r="CE13">
        <v>-0.25478789740536201</v>
      </c>
      <c r="CF13">
        <v>-0.43733826337829701</v>
      </c>
      <c r="CG13">
        <v>-1.3811922550085201</v>
      </c>
      <c r="CH13">
        <v>-0.20950404913436399</v>
      </c>
      <c r="CI13">
        <v>0.161835635895308</v>
      </c>
      <c r="CJ13">
        <v>-0.22498185467915599</v>
      </c>
      <c r="CK13">
        <v>-2.7583668547707099E-3</v>
      </c>
      <c r="CL13">
        <v>2.74271341457209E-4</v>
      </c>
      <c r="CM13">
        <v>0.138906392434585</v>
      </c>
      <c r="CN13">
        <v>-2.7432349320831998E-4</v>
      </c>
      <c r="CO13">
        <v>0.64769785590365703</v>
      </c>
      <c r="CP13">
        <v>0.22797020974452101</v>
      </c>
      <c r="CQ13">
        <v>0.11354118595988</v>
      </c>
      <c r="CR13">
        <v>-0.26319910635836802</v>
      </c>
      <c r="CS13">
        <v>-0.17982461848425199</v>
      </c>
      <c r="CT13">
        <v>0.29919484026391302</v>
      </c>
      <c r="CU13">
        <v>0.23778737856021101</v>
      </c>
      <c r="CV13">
        <v>-2.3858217260604802</v>
      </c>
      <c r="CW13">
        <v>3.1244420648745601E-2</v>
      </c>
      <c r="CX13">
        <v>0.56698640531411704</v>
      </c>
      <c r="CY13">
        <v>-0.518516099799747</v>
      </c>
      <c r="CZ13">
        <v>-0.111639265319286</v>
      </c>
      <c r="DA13">
        <v>-0.30593388829468898</v>
      </c>
      <c r="DB13">
        <v>-1.9375713964999701E-2</v>
      </c>
      <c r="DC13">
        <v>-0.23558448482349201</v>
      </c>
      <c r="DD13">
        <v>-0.14952375659415101</v>
      </c>
      <c r="DE13">
        <v>-0.31634749471675699</v>
      </c>
      <c r="DF13">
        <v>-0.66095643162527795</v>
      </c>
      <c r="DG13">
        <v>0.58414269636728899</v>
      </c>
      <c r="DH13">
        <v>1.0625186278996299</v>
      </c>
    </row>
    <row r="14" spans="1:112" x14ac:dyDescent="0.25">
      <c r="A14" t="s">
        <v>266</v>
      </c>
      <c r="B14" t="s">
        <v>332</v>
      </c>
      <c r="C14">
        <v>-0.139445989459071</v>
      </c>
      <c r="D14">
        <v>0.157040699321607</v>
      </c>
      <c r="E14">
        <v>0.34195927821815097</v>
      </c>
      <c r="F14">
        <v>1.0341605598163699E-2</v>
      </c>
      <c r="G14">
        <v>0.24714285917407</v>
      </c>
      <c r="H14">
        <v>0.45552377939488498</v>
      </c>
      <c r="I14">
        <v>0.101766346556739</v>
      </c>
      <c r="J14">
        <v>0.1122025511846</v>
      </c>
      <c r="K14">
        <v>8.8826277009401003E-2</v>
      </c>
      <c r="L14">
        <v>-0.139445989459071</v>
      </c>
      <c r="M14">
        <v>0.47769621088130798</v>
      </c>
      <c r="N14">
        <v>0.15218208907616099</v>
      </c>
      <c r="O14">
        <v>-7.6124861277249406E-2</v>
      </c>
      <c r="P14">
        <v>-0.127955461516949</v>
      </c>
      <c r="Q14">
        <v>-0.139445989459071</v>
      </c>
      <c r="R14">
        <v>-0.139445989459071</v>
      </c>
      <c r="S14">
        <v>4.1098390666266402E-4</v>
      </c>
      <c r="T14">
        <v>0.51774711920664096</v>
      </c>
      <c r="U14">
        <v>-0.139445989459071</v>
      </c>
      <c r="V14">
        <v>0.12127568444883099</v>
      </c>
      <c r="W14">
        <v>-0.139445989459071</v>
      </c>
      <c r="X14">
        <v>-0.139445989459071</v>
      </c>
      <c r="Y14">
        <v>-4.11101017970843E-4</v>
      </c>
      <c r="Z14">
        <v>0.28505883173528801</v>
      </c>
      <c r="AA14">
        <v>0.41516916034951901</v>
      </c>
      <c r="AB14">
        <v>0.29398531592730598</v>
      </c>
      <c r="AC14">
        <v>0.93583627293657401</v>
      </c>
      <c r="AD14">
        <v>0.86311668217846005</v>
      </c>
      <c r="AE14">
        <v>0.48944593390637497</v>
      </c>
      <c r="AF14">
        <v>0.147433501235196</v>
      </c>
      <c r="AG14">
        <v>5.6108901506333103E-2</v>
      </c>
      <c r="AH14">
        <v>3.97526955105722E-2</v>
      </c>
      <c r="AI14">
        <v>-8.2915229860119594E-2</v>
      </c>
      <c r="AJ14">
        <v>9.1939304645737893E-2</v>
      </c>
      <c r="AK14">
        <v>0.35569819094606803</v>
      </c>
      <c r="AL14">
        <v>-4.5711447305058502E-2</v>
      </c>
      <c r="AM14">
        <v>-0.11310257964790001</v>
      </c>
      <c r="AN14">
        <v>-8.2618935800201396E-2</v>
      </c>
      <c r="AO14">
        <v>-7.3925309883422496E-2</v>
      </c>
      <c r="AP14">
        <v>-5.2081319228618701E-2</v>
      </c>
      <c r="AQ14">
        <v>-0.12978371090615901</v>
      </c>
      <c r="AR14">
        <v>-5.8700088722384698E-2</v>
      </c>
      <c r="AS14">
        <v>-5.2201572325402901E-2</v>
      </c>
      <c r="AT14">
        <v>-8.9330274978361296E-2</v>
      </c>
      <c r="AU14">
        <v>-6.8094545981042406E-2</v>
      </c>
      <c r="AV14">
        <v>-4.1959370822395099E-2</v>
      </c>
      <c r="AW14">
        <v>-6.0973333545387897E-3</v>
      </c>
      <c r="AX14">
        <v>-0.139445989459071</v>
      </c>
      <c r="AY14">
        <v>-0.11638292042982</v>
      </c>
      <c r="AZ14">
        <v>-6.1728416821444698E-2</v>
      </c>
      <c r="BA14">
        <v>-9.84725249821813E-2</v>
      </c>
      <c r="BB14">
        <v>-3.8523385451957201E-2</v>
      </c>
      <c r="BC14">
        <v>-5.7850289053483897E-2</v>
      </c>
      <c r="BD14">
        <v>-4.6397221771934699E-2</v>
      </c>
      <c r="BE14">
        <v>-4.4804536097276401E-2</v>
      </c>
      <c r="BF14">
        <v>1.00419514378857E-2</v>
      </c>
      <c r="BG14">
        <v>-4.6431637894652301E-2</v>
      </c>
      <c r="BH14">
        <v>-9.0943289505998698E-2</v>
      </c>
      <c r="BI14">
        <v>-7.2352537295681502E-2</v>
      </c>
      <c r="BJ14">
        <v>-1.05309098031984E-2</v>
      </c>
      <c r="BK14">
        <v>-8.3193119556085396E-2</v>
      </c>
      <c r="BL14">
        <v>-8.2249567569053397E-2</v>
      </c>
      <c r="BM14">
        <v>-3.0486871484241399E-2</v>
      </c>
      <c r="BN14">
        <v>7.4709048870211001E-2</v>
      </c>
      <c r="BO14">
        <v>-0.12315811876437301</v>
      </c>
      <c r="BP14">
        <v>-3.8259547319434303E-2</v>
      </c>
      <c r="BQ14">
        <v>3.6354497008896799E-2</v>
      </c>
      <c r="BR14">
        <v>0.177981041393726</v>
      </c>
      <c r="BS14">
        <v>1.28911213540693E-2</v>
      </c>
      <c r="BT14">
        <v>2.0570083647380302E-2</v>
      </c>
      <c r="BU14">
        <v>4.5487015349029297E-2</v>
      </c>
      <c r="BV14">
        <v>5.1248856476736299E-2</v>
      </c>
      <c r="BW14">
        <v>5.9963487106557301E-2</v>
      </c>
      <c r="BX14">
        <v>5.7042422685325098E-2</v>
      </c>
      <c r="BY14">
        <v>5.5323652010982799E-2</v>
      </c>
      <c r="BZ14">
        <v>0.11142875907947</v>
      </c>
      <c r="CA14">
        <v>2.0474936621552801E-2</v>
      </c>
      <c r="CB14">
        <v>-0.139445989459071</v>
      </c>
      <c r="CC14">
        <v>-0.139445989459071</v>
      </c>
      <c r="CD14">
        <v>2.99032678071703E-2</v>
      </c>
      <c r="CE14">
        <v>0.41508843162901399</v>
      </c>
      <c r="CF14">
        <v>0.32578858677917399</v>
      </c>
      <c r="CG14">
        <v>-4.8023563856239501E-2</v>
      </c>
      <c r="CH14">
        <v>0.52739241000103498</v>
      </c>
      <c r="CI14">
        <v>9.9866559685669598E-2</v>
      </c>
      <c r="CJ14">
        <v>-0.139445989459071</v>
      </c>
      <c r="CK14">
        <v>7.8313080262776905E-2</v>
      </c>
      <c r="CL14">
        <v>-0.139445989459071</v>
      </c>
      <c r="CM14">
        <v>0.21542711505754</v>
      </c>
      <c r="CN14">
        <v>0.108869477899272</v>
      </c>
      <c r="CO14">
        <v>-9.9464145907228102E-2</v>
      </c>
      <c r="CP14">
        <v>-2.2883465244884299E-2</v>
      </c>
      <c r="CQ14">
        <v>-3.2636937866627899E-2</v>
      </c>
      <c r="CR14">
        <v>0.16718571567586801</v>
      </c>
      <c r="CS14">
        <v>-0.139445989459071</v>
      </c>
      <c r="CT14">
        <v>-0.139445989459071</v>
      </c>
      <c r="CU14">
        <v>5.1346919279077197E-3</v>
      </c>
      <c r="CV14">
        <v>-6.4627713301026901E-2</v>
      </c>
      <c r="CW14">
        <v>-4.4160920736736303E-2</v>
      </c>
      <c r="CX14">
        <v>0.29179930611166199</v>
      </c>
      <c r="CY14">
        <v>-6.1779714211303002E-2</v>
      </c>
      <c r="CZ14">
        <v>5.4187362870707897E-2</v>
      </c>
      <c r="DA14">
        <v>2.7852143845867199E-2</v>
      </c>
      <c r="DB14">
        <v>0.327796879849032</v>
      </c>
      <c r="DC14">
        <v>5.7819984504371501E-2</v>
      </c>
      <c r="DD14">
        <v>6.7955363673292496E-2</v>
      </c>
      <c r="DE14">
        <v>-4.8726994346762101E-2</v>
      </c>
      <c r="DF14">
        <v>-7.5799015136876202E-2</v>
      </c>
      <c r="DG14">
        <v>3.6691555656614902E-3</v>
      </c>
      <c r="DH14">
        <v>3.7287358680439302E-2</v>
      </c>
    </row>
    <row r="15" spans="1:112" x14ac:dyDescent="0.25">
      <c r="A15" t="s">
        <v>266</v>
      </c>
      <c r="B15" t="s">
        <v>340</v>
      </c>
      <c r="C15">
        <v>0</v>
      </c>
      <c r="D15">
        <v>0.125274208331563</v>
      </c>
      <c r="E15">
        <v>0</v>
      </c>
      <c r="F15">
        <v>0</v>
      </c>
      <c r="G15">
        <v>8.5027655461273693E-2</v>
      </c>
      <c r="H15">
        <v>0.13759636642692599</v>
      </c>
      <c r="I15">
        <v>0</v>
      </c>
      <c r="J15">
        <v>0.118898535485742</v>
      </c>
      <c r="K15">
        <v>0.117872064663886</v>
      </c>
      <c r="L15">
        <v>0</v>
      </c>
      <c r="M15">
        <v>0</v>
      </c>
      <c r="N15">
        <v>7.7672198865873801E-2</v>
      </c>
      <c r="O15">
        <v>0</v>
      </c>
      <c r="P15">
        <v>0</v>
      </c>
      <c r="Q15">
        <v>1.0951069862727999E-2</v>
      </c>
      <c r="R15">
        <v>0</v>
      </c>
      <c r="S15">
        <v>0</v>
      </c>
      <c r="T15">
        <v>0</v>
      </c>
      <c r="U15">
        <v>0</v>
      </c>
      <c r="V15">
        <v>0</v>
      </c>
      <c r="W15">
        <v>0.32021847239099299</v>
      </c>
      <c r="X15">
        <v>0</v>
      </c>
      <c r="Y15">
        <v>0.13903488844110001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0.11327879945083499</v>
      </c>
      <c r="AF15">
        <v>0</v>
      </c>
      <c r="AG15">
        <v>0</v>
      </c>
      <c r="AH15">
        <v>0</v>
      </c>
      <c r="AI15">
        <v>3.7589707760481997E-2</v>
      </c>
      <c r="AJ15">
        <v>0</v>
      </c>
      <c r="AK15">
        <v>0.10523356095912501</v>
      </c>
      <c r="AL15">
        <v>1.3530996808209499E-2</v>
      </c>
      <c r="AM15">
        <v>0</v>
      </c>
      <c r="AN15">
        <v>1.9011390927872799E-2</v>
      </c>
      <c r="AO15">
        <v>9.0783189169841797E-3</v>
      </c>
      <c r="AP15">
        <v>1.33898199046102E-2</v>
      </c>
      <c r="AQ15">
        <v>1.9334232893691499E-2</v>
      </c>
      <c r="AR15">
        <v>4.7072414867213003E-2</v>
      </c>
      <c r="AS15">
        <v>2.4861411922950001E-2</v>
      </c>
      <c r="AT15">
        <v>5.2267172261682001E-3</v>
      </c>
      <c r="AU15">
        <v>2.3341556926784201E-2</v>
      </c>
      <c r="AV15">
        <v>0</v>
      </c>
      <c r="AW15">
        <v>0</v>
      </c>
      <c r="AX15">
        <v>0</v>
      </c>
      <c r="AY15">
        <v>0</v>
      </c>
      <c r="AZ15">
        <v>1.9653693060565299E-2</v>
      </c>
      <c r="BA15">
        <v>0</v>
      </c>
      <c r="BB15">
        <v>0</v>
      </c>
      <c r="BC15">
        <v>0</v>
      </c>
      <c r="BD15">
        <v>1.56680532705595E-2</v>
      </c>
      <c r="BE15">
        <v>2.4004175516207E-2</v>
      </c>
      <c r="BF15">
        <v>0</v>
      </c>
      <c r="BG15">
        <v>0</v>
      </c>
      <c r="BH15">
        <v>0</v>
      </c>
      <c r="BI15">
        <v>0</v>
      </c>
      <c r="BJ15">
        <v>4.8948265103588198E-2</v>
      </c>
      <c r="BK15">
        <v>5.6252869902985399E-2</v>
      </c>
      <c r="BL15">
        <v>1.9167566996811901E-2</v>
      </c>
      <c r="BM15">
        <v>1.5845323354063801E-2</v>
      </c>
      <c r="BN15">
        <v>0</v>
      </c>
      <c r="BO15">
        <v>3.2533272388663798E-2</v>
      </c>
      <c r="BP15">
        <v>0</v>
      </c>
      <c r="BQ15">
        <v>0</v>
      </c>
      <c r="BR15">
        <v>0.102394460235923</v>
      </c>
      <c r="BS15">
        <v>0</v>
      </c>
      <c r="BT15">
        <v>8.1980261657914097E-2</v>
      </c>
      <c r="BU15">
        <v>0</v>
      </c>
      <c r="BV15">
        <v>2.48857758647828E-2</v>
      </c>
      <c r="BW15">
        <v>0</v>
      </c>
      <c r="BX15">
        <v>0</v>
      </c>
      <c r="BY15">
        <v>0</v>
      </c>
      <c r="BZ15">
        <v>0.13058664744604101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0.124312857869347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2.39004572393356E-2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8.2323636326421604E-2</v>
      </c>
      <c r="CX15">
        <v>5.0349349225465703E-2</v>
      </c>
      <c r="CY15">
        <v>0</v>
      </c>
      <c r="CZ15">
        <v>5.0525258560809999E-2</v>
      </c>
      <c r="DA15">
        <v>0</v>
      </c>
      <c r="DB15">
        <v>2.6723367532068599E-2</v>
      </c>
      <c r="DC15">
        <v>4.6739611095388503E-2</v>
      </c>
      <c r="DD15">
        <v>3.9012214259822001E-2</v>
      </c>
      <c r="DE15">
        <v>0</v>
      </c>
      <c r="DF15">
        <v>1.28188294463912E-2</v>
      </c>
      <c r="DG15">
        <v>5.7613569532544297E-2</v>
      </c>
      <c r="DH15">
        <v>1.9812939757236098E-2</v>
      </c>
    </row>
    <row r="16" spans="1:112" x14ac:dyDescent="0.25">
      <c r="A16" t="s">
        <v>266</v>
      </c>
      <c r="B16" t="s">
        <v>344</v>
      </c>
      <c r="C16">
        <v>0</v>
      </c>
      <c r="D16">
        <v>0</v>
      </c>
      <c r="E16">
        <v>5.4112364238585599E-2</v>
      </c>
      <c r="F16">
        <v>5.95773696486675E-2</v>
      </c>
      <c r="G16">
        <v>0</v>
      </c>
      <c r="H16">
        <v>0</v>
      </c>
      <c r="I16">
        <v>3.1963429157255203E-2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0.271570436557237</v>
      </c>
      <c r="Z16">
        <v>0</v>
      </c>
      <c r="AA16">
        <v>0</v>
      </c>
      <c r="AB16">
        <v>0</v>
      </c>
      <c r="AC16">
        <v>0</v>
      </c>
      <c r="AD16">
        <v>0.552025888969506</v>
      </c>
      <c r="AE16">
        <v>0.218874684546113</v>
      </c>
      <c r="AF16">
        <v>0</v>
      </c>
      <c r="AG16">
        <v>0.19555489096540399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2.63434098111705E-2</v>
      </c>
      <c r="AN16">
        <v>0</v>
      </c>
      <c r="AO16">
        <v>0</v>
      </c>
      <c r="AP16">
        <v>0</v>
      </c>
      <c r="AQ16">
        <v>0</v>
      </c>
      <c r="AR16">
        <v>8.4333123991846698E-3</v>
      </c>
      <c r="AS16">
        <v>0</v>
      </c>
      <c r="AT16">
        <v>5.2267172261682001E-3</v>
      </c>
      <c r="AU16">
        <v>5.8251659649848301E-3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9.7101722478776006E-2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2.7153653515910502E-2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0.15865411351998099</v>
      </c>
      <c r="CF16">
        <v>0.46523457623824499</v>
      </c>
      <c r="CG16">
        <v>0</v>
      </c>
      <c r="CH16">
        <v>0</v>
      </c>
      <c r="CI16">
        <v>0</v>
      </c>
      <c r="CJ16">
        <v>0</v>
      </c>
      <c r="CK16">
        <v>0.217759069721848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7.7666275247767702E-2</v>
      </c>
      <c r="CZ16">
        <v>0</v>
      </c>
      <c r="DA16">
        <v>0</v>
      </c>
      <c r="DB16">
        <v>0</v>
      </c>
      <c r="DC16">
        <v>7.8249510370105007E-3</v>
      </c>
      <c r="DD16">
        <v>0</v>
      </c>
      <c r="DE16">
        <v>0</v>
      </c>
      <c r="DF16">
        <v>0</v>
      </c>
      <c r="DG16">
        <v>1.44510180277614E-2</v>
      </c>
      <c r="DH16">
        <v>0</v>
      </c>
    </row>
    <row r="17" spans="1:112" s="11" customFormat="1" ht="15.75" thickBot="1" x14ac:dyDescent="0.3">
      <c r="A17" s="11" t="s">
        <v>266</v>
      </c>
      <c r="B17" s="11" t="s">
        <v>350</v>
      </c>
      <c r="C17" s="11">
        <v>-4.7953110113165498E-2</v>
      </c>
      <c r="D17" s="11">
        <v>1.5918628648706998E-2</v>
      </c>
      <c r="E17" s="11">
        <v>6.1592541254201503E-3</v>
      </c>
      <c r="F17" s="11">
        <v>1.1624259535501899E-2</v>
      </c>
      <c r="G17" s="11">
        <v>-4.7953110113165498E-2</v>
      </c>
      <c r="H17" s="11">
        <v>4.0080605985973503E-2</v>
      </c>
      <c r="I17" s="11">
        <v>-1.5989680955910201E-2</v>
      </c>
      <c r="J17" s="11">
        <v>-7.4574387376205699E-3</v>
      </c>
      <c r="K17" s="11">
        <v>-4.7953110113165498E-2</v>
      </c>
      <c r="L17" s="11">
        <v>-4.7953110113165498E-2</v>
      </c>
      <c r="M17" s="11">
        <v>4.24563402186428E-2</v>
      </c>
      <c r="N17" s="11">
        <v>-4.7953110113165498E-2</v>
      </c>
      <c r="O17" s="11">
        <v>-4.7953110113165498E-2</v>
      </c>
      <c r="P17" s="11">
        <v>-2.4991723315708599E-2</v>
      </c>
      <c r="Q17" s="11">
        <v>-2.6071267658540499E-2</v>
      </c>
      <c r="R17" s="11">
        <v>-4.7953110113165498E-2</v>
      </c>
      <c r="S17" s="11">
        <v>9.1903863252568094E-2</v>
      </c>
      <c r="T17" s="11">
        <v>-4.7953110113165498E-2</v>
      </c>
      <c r="U17" s="11">
        <v>0.11738770148174101</v>
      </c>
      <c r="V17" s="11">
        <v>1.2989972866648301E-2</v>
      </c>
      <c r="W17" s="11">
        <v>-4.7953110113165498E-2</v>
      </c>
      <c r="X17" s="11">
        <v>-4.7953110113165498E-2</v>
      </c>
      <c r="Y17" s="11">
        <v>-4.7953110113165498E-2</v>
      </c>
      <c r="Z17" s="11">
        <v>-4.7953110113165498E-2</v>
      </c>
      <c r="AA17" s="11">
        <v>0.82786279375948402</v>
      </c>
      <c r="AB17" s="11">
        <v>-4.7953110113165498E-2</v>
      </c>
      <c r="AC17" s="11">
        <v>-4.7953110113165498E-2</v>
      </c>
      <c r="AD17" s="11">
        <v>-4.7953110113165498E-2</v>
      </c>
      <c r="AE17" s="11">
        <v>-4.7953110113165498E-2</v>
      </c>
      <c r="AF17" s="11">
        <v>-4.7953110113165498E-2</v>
      </c>
      <c r="AG17" s="11">
        <v>-4.7953110113165498E-2</v>
      </c>
      <c r="AH17" s="11">
        <v>-4.7953110113165498E-2</v>
      </c>
      <c r="AI17" s="11">
        <v>4.6748268458980197E-2</v>
      </c>
      <c r="AJ17" s="11">
        <v>3.8038164933262897E-2</v>
      </c>
      <c r="AK17" s="11">
        <v>2.2825866085059199E-2</v>
      </c>
      <c r="AL17" s="11">
        <v>-2.09388994517078E-2</v>
      </c>
      <c r="AM17" s="11">
        <v>3.0588514283080501E-2</v>
      </c>
      <c r="AN17" s="11">
        <v>2.7680498118069798E-2</v>
      </c>
      <c r="AO17" s="11">
        <v>2.9483763339750699E-2</v>
      </c>
      <c r="AP17" s="11">
        <v>4.1641837921708398E-2</v>
      </c>
      <c r="AQ17" s="11">
        <v>4.5449088128184301E-4</v>
      </c>
      <c r="AR17" s="11">
        <v>1.9453935938402001E-2</v>
      </c>
      <c r="AS17" s="11">
        <v>3.92913070205025E-2</v>
      </c>
      <c r="AT17" s="11">
        <v>-8.9704688267145598E-4</v>
      </c>
      <c r="AU17" s="11">
        <v>3.7675060573232999E-2</v>
      </c>
      <c r="AV17" s="11">
        <v>3.9604491158138799E-2</v>
      </c>
      <c r="AW17" s="11">
        <v>-4.7953110113165498E-2</v>
      </c>
      <c r="AX17" s="11">
        <v>3.1314746028923902E-2</v>
      </c>
      <c r="AY17" s="11">
        <v>-3.6395274493333601E-2</v>
      </c>
      <c r="AZ17" s="11">
        <v>-2.8299417052600299E-2</v>
      </c>
      <c r="BA17" s="11">
        <v>2.5049922370275798E-2</v>
      </c>
      <c r="BB17" s="11">
        <v>5.2969493893948102E-2</v>
      </c>
      <c r="BC17" s="11">
        <v>-7.4267457904964801E-3</v>
      </c>
      <c r="BD17" s="11">
        <v>-1.14370858480209E-3</v>
      </c>
      <c r="BE17" s="11">
        <v>4.6688343248628902E-2</v>
      </c>
      <c r="BF17" s="11">
        <v>2.9426370514830098E-3</v>
      </c>
      <c r="BG17" s="11">
        <v>0.124984026054223</v>
      </c>
      <c r="BH17" s="11">
        <v>0.100334208503679</v>
      </c>
      <c r="BI17" s="11">
        <v>0.15032296971192899</v>
      </c>
      <c r="BJ17" s="11">
        <v>0.16806483619034601</v>
      </c>
      <c r="BK17" s="11">
        <v>3.5832120391339997E-2</v>
      </c>
      <c r="BL17" s="11">
        <v>8.7274883554340904E-2</v>
      </c>
      <c r="BM17" s="11">
        <v>2.3920528388795201E-2</v>
      </c>
      <c r="BN17" s="11">
        <v>0.217991191811607</v>
      </c>
      <c r="BO17" s="11">
        <v>-3.1665239418467502E-2</v>
      </c>
      <c r="BP17" s="11">
        <v>3.3662371913759002E-3</v>
      </c>
      <c r="BQ17" s="11">
        <v>0.28579354235110599</v>
      </c>
      <c r="BR17" s="11">
        <v>-4.7953110113165498E-2</v>
      </c>
      <c r="BS17" s="11">
        <v>9.5649377467746002E-2</v>
      </c>
      <c r="BT17" s="11">
        <v>0.112062962993286</v>
      </c>
      <c r="BU17" s="11">
        <v>0.17082998332379601</v>
      </c>
      <c r="BV17" s="11">
        <v>0.16532836046343899</v>
      </c>
      <c r="BW17" s="11">
        <v>0.16336948326561501</v>
      </c>
      <c r="BX17" s="11">
        <v>0.14853530203123</v>
      </c>
      <c r="BY17" s="11">
        <v>0.192439000217453</v>
      </c>
      <c r="BZ17" s="11">
        <v>-4.7953110113165498E-2</v>
      </c>
      <c r="CA17" s="11">
        <v>-1.4779110777175201E-2</v>
      </c>
      <c r="CB17" s="11">
        <v>-4.7953110113165498E-2</v>
      </c>
      <c r="CC17" s="11">
        <v>-4.7953110113165498E-2</v>
      </c>
      <c r="CD17" s="11">
        <v>0.12139614715307601</v>
      </c>
      <c r="CE17" s="11">
        <v>0.196361792533778</v>
      </c>
      <c r="CF17" s="11">
        <v>-4.7953110113165498E-2</v>
      </c>
      <c r="CG17" s="11">
        <v>-4.7953110113165498E-2</v>
      </c>
      <c r="CH17" s="11">
        <v>-4.7953110113165498E-2</v>
      </c>
      <c r="CI17" s="11">
        <v>-4.7953110113165498E-2</v>
      </c>
      <c r="CJ17" s="11">
        <v>-4.7953110113165498E-2</v>
      </c>
      <c r="CK17" s="11">
        <v>-4.7953110113165498E-2</v>
      </c>
      <c r="CL17" s="11">
        <v>-4.7953110113165498E-2</v>
      </c>
      <c r="CM17" s="11">
        <v>-4.7953110113165498E-2</v>
      </c>
      <c r="CN17" s="11">
        <v>-4.7953110113165498E-2</v>
      </c>
      <c r="CO17" s="11">
        <v>-7.9712665613227793E-3</v>
      </c>
      <c r="CP17" s="11">
        <v>-4.5463410424325897E-4</v>
      </c>
      <c r="CQ17" s="11">
        <v>-4.7953110113165498E-2</v>
      </c>
      <c r="CR17" s="11">
        <v>-7.6717703253063201E-4</v>
      </c>
      <c r="CS17" s="11">
        <v>1.6310933207607198E-2</v>
      </c>
      <c r="CT17" s="11">
        <v>-4.7953110113165498E-2</v>
      </c>
      <c r="CU17" s="11">
        <v>-4.7953110113165498E-2</v>
      </c>
      <c r="CV17" s="11">
        <v>4.8276774354542799E-2</v>
      </c>
      <c r="CW17" s="11">
        <v>7.8283408460013401E-2</v>
      </c>
      <c r="CX17" s="11">
        <v>2.39623911230022E-3</v>
      </c>
      <c r="CY17" s="11">
        <v>-4.7953110113165498E-2</v>
      </c>
      <c r="CZ17" s="11">
        <v>-4.7953110113165498E-2</v>
      </c>
      <c r="DA17" s="11">
        <v>3.7733474955706101E-2</v>
      </c>
      <c r="DB17" s="11">
        <v>0.17035772248608799</v>
      </c>
      <c r="DC17" s="11">
        <v>0.205839122314564</v>
      </c>
      <c r="DD17" s="11">
        <v>0.13884967705498599</v>
      </c>
      <c r="DE17" s="11">
        <v>-2.49522438654326E-2</v>
      </c>
      <c r="DF17" s="11">
        <v>1.5693864209029001E-2</v>
      </c>
      <c r="DG17" s="11">
        <v>6.6780123108431302E-2</v>
      </c>
      <c r="DH17" s="11">
        <v>-8.4658355012352908E-3</v>
      </c>
    </row>
    <row r="18" spans="1:112" x14ac:dyDescent="0.25">
      <c r="A18" t="s">
        <v>267</v>
      </c>
      <c r="B18" t="s">
        <v>334</v>
      </c>
      <c r="C18">
        <v>0.29597096198615302</v>
      </c>
      <c r="D18">
        <v>4.3366779364057799E-2</v>
      </c>
      <c r="E18">
        <v>0.21873168516461799</v>
      </c>
      <c r="F18">
        <v>-2.2330059318837799E-2</v>
      </c>
      <c r="G18">
        <v>0.23433412775868301</v>
      </c>
      <c r="H18">
        <v>0.44645744507156998</v>
      </c>
      <c r="I18">
        <v>0.24219239451215099</v>
      </c>
      <c r="J18">
        <v>0.25997916916239799</v>
      </c>
      <c r="K18">
        <v>0.25026797308327797</v>
      </c>
      <c r="L18">
        <v>0.25784331049755899</v>
      </c>
      <c r="M18">
        <v>0.32863556640268499</v>
      </c>
      <c r="N18">
        <v>0.31299369786975101</v>
      </c>
      <c r="O18">
        <v>-8.19074289675054E-2</v>
      </c>
      <c r="P18">
        <v>-1.88024885579659E-3</v>
      </c>
      <c r="Q18">
        <v>-6.0025586512880202E-2</v>
      </c>
      <c r="R18">
        <v>-8.19074289675054E-2</v>
      </c>
      <c r="S18">
        <v>0.19335317084505901</v>
      </c>
      <c r="T18">
        <v>-8.19074289675054E-2</v>
      </c>
      <c r="U18">
        <v>8.3433382627401007E-2</v>
      </c>
      <c r="V18">
        <v>-4.3316364311818997E-2</v>
      </c>
      <c r="W18">
        <v>-8.19074289675054E-2</v>
      </c>
      <c r="X18">
        <v>0.623897650788244</v>
      </c>
      <c r="Y18">
        <v>5.71274594735946E-2</v>
      </c>
      <c r="Z18">
        <v>0.96573964776023202</v>
      </c>
      <c r="AA18">
        <v>0.21853437261759001</v>
      </c>
      <c r="AB18">
        <v>0.12041283971910299</v>
      </c>
      <c r="AC18">
        <v>0.37550855237127101</v>
      </c>
      <c r="AD18">
        <v>0.27199504738932001</v>
      </c>
      <c r="AE18">
        <v>0.136967255578608</v>
      </c>
      <c r="AF18">
        <v>-8.19074289675054E-2</v>
      </c>
      <c r="AG18">
        <v>-8.19074289675054E-2</v>
      </c>
      <c r="AH18">
        <v>0.25821573723104302</v>
      </c>
      <c r="AI18">
        <v>-6.3391848356339504E-3</v>
      </c>
      <c r="AJ18">
        <v>-3.0039014965688601E-2</v>
      </c>
      <c r="AK18">
        <v>0.236505605997225</v>
      </c>
      <c r="AL18">
        <v>-8.19074289675054E-2</v>
      </c>
      <c r="AM18">
        <v>-8.19074289675054E-2</v>
      </c>
      <c r="AN18">
        <v>-8.19074289675054E-2</v>
      </c>
      <c r="AO18">
        <v>-6.56208072670319E-2</v>
      </c>
      <c r="AP18">
        <v>-4.5453580243989003E-2</v>
      </c>
      <c r="AQ18">
        <v>-5.2891621003014103E-2</v>
      </c>
      <c r="AR18">
        <v>-3.9762229200167303E-2</v>
      </c>
      <c r="AS18">
        <v>-5.05494109236354E-2</v>
      </c>
      <c r="AT18">
        <v>-7.6680711741337004E-2</v>
      </c>
      <c r="AU18">
        <v>-5.2713509363000503E-2</v>
      </c>
      <c r="AV18">
        <v>-5.7151573231414801E-2</v>
      </c>
      <c r="AW18">
        <v>-5.7457913727010902E-2</v>
      </c>
      <c r="AX18">
        <v>-8.19074289675054E-2</v>
      </c>
      <c r="AY18">
        <v>-8.19074289675054E-2</v>
      </c>
      <c r="AZ18">
        <v>-8.19074289675054E-2</v>
      </c>
      <c r="BA18">
        <v>-6.1341596006249902E-2</v>
      </c>
      <c r="BB18">
        <v>-3.1656643708215998E-2</v>
      </c>
      <c r="BC18">
        <v>-4.7020264696892203E-2</v>
      </c>
      <c r="BD18">
        <v>-8.19074289675054E-2</v>
      </c>
      <c r="BE18">
        <v>-5.7903253451298202E-2</v>
      </c>
      <c r="BF18">
        <v>-3.1011681802856898E-2</v>
      </c>
      <c r="BG18">
        <v>3.9707537885657297E-3</v>
      </c>
      <c r="BH18">
        <v>-6.3074693075289706E-2</v>
      </c>
      <c r="BI18">
        <v>3.7627756432102602E-2</v>
      </c>
      <c r="BJ18">
        <v>-1.6807913524977999E-2</v>
      </c>
      <c r="BK18">
        <v>1.8778015370004299E-3</v>
      </c>
      <c r="BL18">
        <v>-5.8459911577635696E-3</v>
      </c>
      <c r="BM18">
        <v>4.2258457514144199E-2</v>
      </c>
      <c r="BN18">
        <v>5.6404945844028199E-2</v>
      </c>
      <c r="BO18">
        <v>0.20139325159751501</v>
      </c>
      <c r="BP18">
        <v>1.9279013172131199E-2</v>
      </c>
      <c r="BQ18">
        <v>9.3893057500462201E-2</v>
      </c>
      <c r="BR18">
        <v>2.0487031268417898E-2</v>
      </c>
      <c r="BS18">
        <v>-3.7250943468196303E-2</v>
      </c>
      <c r="BT18">
        <v>-8.19074289675054E-2</v>
      </c>
      <c r="BU18">
        <v>0.13687566446945601</v>
      </c>
      <c r="BV18">
        <v>-3.24532192320083E-2</v>
      </c>
      <c r="BW18">
        <v>-5.0270674279615103E-2</v>
      </c>
      <c r="BX18">
        <v>-8.19074289675054E-2</v>
      </c>
      <c r="BY18">
        <v>-3.1222224475262399E-2</v>
      </c>
      <c r="BZ18">
        <v>0.53625397689091603</v>
      </c>
      <c r="CA18">
        <v>0.31184817039127799</v>
      </c>
      <c r="CB18">
        <v>0.12294188207812801</v>
      </c>
      <c r="CC18">
        <v>0.39649354229232497</v>
      </c>
      <c r="CD18">
        <v>0.16574630043034599</v>
      </c>
      <c r="CE18">
        <v>0.47262699212058001</v>
      </c>
      <c r="CF18">
        <v>-8.19074289675054E-2</v>
      </c>
      <c r="CG18">
        <v>-8.19074289675054E-2</v>
      </c>
      <c r="CH18">
        <v>0.350336723136912</v>
      </c>
      <c r="CI18">
        <v>0.26442778325323801</v>
      </c>
      <c r="CJ18">
        <v>0.10445869606447999</v>
      </c>
      <c r="CK18">
        <v>0.25000379863766897</v>
      </c>
      <c r="CL18">
        <v>0.128089796673307</v>
      </c>
      <c r="CM18">
        <v>0.272965675549105</v>
      </c>
      <c r="CN18">
        <v>4.7253423678074398E-2</v>
      </c>
      <c r="CO18">
        <v>-4.1925585415662603E-2</v>
      </c>
      <c r="CP18">
        <v>-5.8006971728169598E-2</v>
      </c>
      <c r="CQ18">
        <v>-2.76701572896507E-2</v>
      </c>
      <c r="CR18">
        <v>8.1702521640293693E-2</v>
      </c>
      <c r="CS18">
        <v>-8.19074289675054E-2</v>
      </c>
      <c r="CT18">
        <v>-8.19074289675054E-2</v>
      </c>
      <c r="CU18">
        <v>0.195181762913892</v>
      </c>
      <c r="CV18">
        <v>0.10656368198102401</v>
      </c>
      <c r="CW18">
        <v>1.3377639754829199E-2</v>
      </c>
      <c r="CX18">
        <v>0.15627047509691799</v>
      </c>
      <c r="CY18">
        <v>0.14096097412504699</v>
      </c>
      <c r="CZ18">
        <v>-8.19074289675054E-2</v>
      </c>
      <c r="DA18">
        <v>3.7791561013663E-3</v>
      </c>
      <c r="DB18">
        <v>0.30746744363890899</v>
      </c>
      <c r="DC18">
        <v>-2.2903940198665099E-2</v>
      </c>
      <c r="DD18">
        <v>-4.7484813204621296E-3</v>
      </c>
      <c r="DE18">
        <v>-2.28947630897578E-2</v>
      </c>
      <c r="DF18">
        <v>-5.6315039404144597E-2</v>
      </c>
      <c r="DG18">
        <v>-5.3037401100815902E-2</v>
      </c>
      <c r="DH18">
        <v>0.22296046571233999</v>
      </c>
    </row>
    <row r="19" spans="1:112" x14ac:dyDescent="0.25">
      <c r="A19" t="s">
        <v>267</v>
      </c>
      <c r="B19" t="s">
        <v>339</v>
      </c>
      <c r="C19">
        <v>0.25883408491165399</v>
      </c>
      <c r="D19">
        <v>-1.24086276753742</v>
      </c>
      <c r="E19">
        <v>5.0590181613201203E-2</v>
      </c>
      <c r="F19">
        <v>1.79349680326039</v>
      </c>
      <c r="G19">
        <v>0.379820289838532</v>
      </c>
      <c r="H19">
        <v>2.16817520510868</v>
      </c>
      <c r="I19">
        <v>2.5657202617653998</v>
      </c>
      <c r="J19">
        <v>1.98995201148589</v>
      </c>
      <c r="K19">
        <v>2.8211988240153101</v>
      </c>
      <c r="L19">
        <v>2.51599088057137</v>
      </c>
      <c r="M19">
        <v>2.3608151262576702</v>
      </c>
      <c r="N19">
        <v>1.2522307916078901</v>
      </c>
      <c r="O19">
        <v>-2.68896989206538</v>
      </c>
      <c r="P19">
        <v>-2.0785890154745199</v>
      </c>
      <c r="Q19">
        <v>-1.8492395589427399</v>
      </c>
      <c r="R19">
        <v>-1.3102706359435301</v>
      </c>
      <c r="S19">
        <v>-0.78164224567502105</v>
      </c>
      <c r="T19">
        <v>-0.54037721574311604</v>
      </c>
      <c r="U19">
        <v>0.66587565761791301</v>
      </c>
      <c r="V19">
        <v>-0.50548705597753996</v>
      </c>
      <c r="W19">
        <v>1.15476120688515</v>
      </c>
      <c r="X19">
        <v>1.1293303751775599E-2</v>
      </c>
      <c r="Y19">
        <v>-0.83350732714325904</v>
      </c>
      <c r="Z19">
        <v>-1.05148198169281</v>
      </c>
      <c r="AA19">
        <v>-0.222156082496967</v>
      </c>
      <c r="AB19">
        <v>-0.65643976951319405</v>
      </c>
      <c r="AC19">
        <v>-0.44367142621484901</v>
      </c>
      <c r="AD19">
        <v>-1.06117385539655</v>
      </c>
      <c r="AE19">
        <v>-0.30717612225834001</v>
      </c>
      <c r="AF19">
        <v>-0.81262930080860696</v>
      </c>
      <c r="AG19">
        <v>-1.33762678757564</v>
      </c>
      <c r="AH19">
        <v>-1.1283682048617101</v>
      </c>
      <c r="AI19">
        <v>4.9620812366734803E-2</v>
      </c>
      <c r="AJ19">
        <v>2.5212592571116001E-2</v>
      </c>
      <c r="AK19">
        <v>0.560582171355265</v>
      </c>
      <c r="AL19">
        <v>-0.14031106043573799</v>
      </c>
      <c r="AM19">
        <v>-0.44009079112648197</v>
      </c>
      <c r="AN19">
        <v>0.15096736871955699</v>
      </c>
      <c r="AO19">
        <v>-1.63364413426543</v>
      </c>
      <c r="AP19">
        <v>-0.72060391861127304</v>
      </c>
      <c r="AQ19">
        <v>-1.3237530851921999</v>
      </c>
      <c r="AR19">
        <v>-0.75994375760692201</v>
      </c>
      <c r="AS19">
        <v>-0.77652480378815403</v>
      </c>
      <c r="AT19">
        <v>-1.16168708956139</v>
      </c>
      <c r="AU19">
        <v>-0.65654318496809305</v>
      </c>
      <c r="AV19">
        <v>-2.55003118602579</v>
      </c>
      <c r="AW19">
        <v>-3.5294761753617201</v>
      </c>
      <c r="AX19">
        <v>-3.80755171571478</v>
      </c>
      <c r="AY19">
        <v>-3.6164550570050999</v>
      </c>
      <c r="AZ19">
        <v>-3.1530785839423698</v>
      </c>
      <c r="BA19">
        <v>-1.43788211240397</v>
      </c>
      <c r="BB19">
        <v>4.0966657667122298E-2</v>
      </c>
      <c r="BC19">
        <v>-0.87544946957131398</v>
      </c>
      <c r="BD19">
        <v>-0.47505519821755099</v>
      </c>
      <c r="BE19">
        <v>-1.4371743244433399</v>
      </c>
      <c r="BF19">
        <v>0.44747752846368499</v>
      </c>
      <c r="BG19">
        <v>0.205705619838911</v>
      </c>
      <c r="BH19">
        <v>0.80708810449153001</v>
      </c>
      <c r="BI19">
        <v>0.26913191414958298</v>
      </c>
      <c r="BJ19">
        <v>0.72528960968924305</v>
      </c>
      <c r="BK19">
        <v>1.4987779273151201</v>
      </c>
      <c r="BL19">
        <v>0.18710632128761101</v>
      </c>
      <c r="BM19">
        <v>0.35239517133724901</v>
      </c>
      <c r="BN19">
        <v>0.21507918146226199</v>
      </c>
      <c r="BO19">
        <v>-1.0032149383676301</v>
      </c>
      <c r="BP19">
        <v>0.18701846466571201</v>
      </c>
      <c r="BQ19">
        <v>-1.13824047832319E-2</v>
      </c>
      <c r="BR19">
        <v>0.81879052890499004</v>
      </c>
      <c r="BS19">
        <v>-0.47307022814341299</v>
      </c>
      <c r="BT19">
        <v>0.41555319671062901</v>
      </c>
      <c r="BU19">
        <v>0.56380804163657605</v>
      </c>
      <c r="BV19">
        <v>0.68239219552637398</v>
      </c>
      <c r="BW19">
        <v>-0.27126302249899897</v>
      </c>
      <c r="BX19">
        <v>0.39870431198522599</v>
      </c>
      <c r="BY19">
        <v>-1.5732576254288699E-2</v>
      </c>
      <c r="BZ19">
        <v>0.40850184118631899</v>
      </c>
      <c r="CA19">
        <v>1.13794632856689</v>
      </c>
      <c r="CB19">
        <v>1.4205624779246899</v>
      </c>
      <c r="CC19">
        <v>1.28404267001226</v>
      </c>
      <c r="CD19">
        <v>-0.23901386685345799</v>
      </c>
      <c r="CE19">
        <v>-0.285328875742976</v>
      </c>
      <c r="CF19">
        <v>0.204004606673688</v>
      </c>
      <c r="CG19">
        <v>-2.08357737623863</v>
      </c>
      <c r="CH19">
        <v>-0.684566852475889</v>
      </c>
      <c r="CI19">
        <v>-0.65041356813402096</v>
      </c>
      <c r="CJ19">
        <v>-0.64409710021650501</v>
      </c>
      <c r="CK19">
        <v>-0.96380540946196003</v>
      </c>
      <c r="CL19">
        <v>-0.78875924684876397</v>
      </c>
      <c r="CM19">
        <v>-0.86049330247743505</v>
      </c>
      <c r="CN19">
        <v>2.2698502951896099E-2</v>
      </c>
      <c r="CO19">
        <v>1.21030787569042</v>
      </c>
      <c r="CP19">
        <v>0.84510861149342598</v>
      </c>
      <c r="CQ19">
        <v>0.38284068218158401</v>
      </c>
      <c r="CR19">
        <v>0.180068281922146</v>
      </c>
      <c r="CS19">
        <v>0.41712723188727002</v>
      </c>
      <c r="CT19">
        <v>0.68322977019417197</v>
      </c>
      <c r="CU19">
        <v>0.58639325672266596</v>
      </c>
      <c r="CV19">
        <v>0.53043309796736005</v>
      </c>
      <c r="CW19">
        <v>0.26688147910230497</v>
      </c>
      <c r="CX19">
        <v>0.76859024208015203</v>
      </c>
      <c r="CY19">
        <v>0.483539862263696</v>
      </c>
      <c r="CZ19">
        <v>0.52398768798851802</v>
      </c>
      <c r="DA19">
        <v>1.2726584309946901E-2</v>
      </c>
      <c r="DB19">
        <v>-0.79478052548785505</v>
      </c>
      <c r="DC19">
        <v>-2.2162699388840901</v>
      </c>
      <c r="DD19">
        <v>-1.8659976395335001</v>
      </c>
      <c r="DE19">
        <v>-8.9600467863020797E-2</v>
      </c>
      <c r="DF19">
        <v>-0.40019036158931698</v>
      </c>
      <c r="DG19">
        <v>0.52162396544351297</v>
      </c>
      <c r="DH19">
        <v>1.4660393193408401</v>
      </c>
    </row>
    <row r="20" spans="1:112" x14ac:dyDescent="0.25">
      <c r="A20" t="s">
        <v>267</v>
      </c>
      <c r="B20" t="s">
        <v>342</v>
      </c>
      <c r="C20">
        <v>0</v>
      </c>
      <c r="D20">
        <v>6.3871738761872507E-2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4.0190018492457701E-2</v>
      </c>
      <c r="L20">
        <v>0</v>
      </c>
      <c r="M20">
        <v>0</v>
      </c>
      <c r="N20">
        <v>0</v>
      </c>
      <c r="O20">
        <v>6.3321128181821507E-2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3.8591064655686402E-2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3.7589707760481997E-2</v>
      </c>
      <c r="AJ20">
        <v>1.7382803358643801E-2</v>
      </c>
      <c r="AK20">
        <v>0</v>
      </c>
      <c r="AL20">
        <v>1.3530996808209499E-2</v>
      </c>
      <c r="AM20">
        <v>0</v>
      </c>
      <c r="AN20">
        <v>1.9011390927872799E-2</v>
      </c>
      <c r="AO20">
        <v>0</v>
      </c>
      <c r="AP20">
        <v>0</v>
      </c>
      <c r="AQ20">
        <v>0</v>
      </c>
      <c r="AR20">
        <v>0</v>
      </c>
      <c r="AS20">
        <v>2.4861411922950001E-2</v>
      </c>
      <c r="AT20">
        <v>5.2267172261682001E-3</v>
      </c>
      <c r="AU20">
        <v>1.16571605036531E-2</v>
      </c>
      <c r="AV20">
        <v>0</v>
      </c>
      <c r="AW20">
        <v>2.4449515240494601E-2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3.1270864073522003E-2</v>
      </c>
      <c r="BE20">
        <v>0</v>
      </c>
      <c r="BF20">
        <v>0</v>
      </c>
      <c r="BG20">
        <v>0</v>
      </c>
      <c r="BH20">
        <v>1.88327358922156E-2</v>
      </c>
      <c r="BI20">
        <v>0</v>
      </c>
      <c r="BJ20">
        <v>3.27154949776284E-2</v>
      </c>
      <c r="BK20">
        <v>5.6252869902985399E-2</v>
      </c>
      <c r="BL20">
        <v>1.9167566996811901E-2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8.1980261657914097E-2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3.3173999335990197E-2</v>
      </c>
      <c r="CB20">
        <v>0</v>
      </c>
      <c r="CC20">
        <v>0</v>
      </c>
      <c r="CD20">
        <v>8.6955896283839901E-2</v>
      </c>
      <c r="CE20">
        <v>0</v>
      </c>
      <c r="CF20">
        <v>0.25027787506768301</v>
      </c>
      <c r="CG20">
        <v>0</v>
      </c>
      <c r="CH20">
        <v>0.36958015391492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0.14681421672315201</v>
      </c>
      <c r="CY20">
        <v>0</v>
      </c>
      <c r="CZ20">
        <v>0</v>
      </c>
      <c r="DA20">
        <v>0</v>
      </c>
      <c r="DB20">
        <v>2.6723367532068599E-2</v>
      </c>
      <c r="DC20">
        <v>0</v>
      </c>
      <c r="DD20">
        <v>0</v>
      </c>
      <c r="DE20">
        <v>0</v>
      </c>
      <c r="DF20">
        <v>1.28188294463912E-2</v>
      </c>
      <c r="DG20">
        <v>0</v>
      </c>
      <c r="DH20">
        <v>5.0932902274251499E-2</v>
      </c>
    </row>
    <row r="21" spans="1:112" x14ac:dyDescent="0.25">
      <c r="A21" t="s">
        <v>267</v>
      </c>
      <c r="B21" t="s">
        <v>345</v>
      </c>
      <c r="C21">
        <v>-9.7662592000371303E-3</v>
      </c>
      <c r="D21">
        <v>0.20823378111889401</v>
      </c>
      <c r="E21">
        <v>0.126582177725794</v>
      </c>
      <c r="F21">
        <v>4.9811110448630298E-2</v>
      </c>
      <c r="G21">
        <v>-9.7662592000371303E-3</v>
      </c>
      <c r="H21">
        <v>7.8267456899101806E-2</v>
      </c>
      <c r="I21">
        <v>5.3602902964160599E-2</v>
      </c>
      <c r="J21">
        <v>0.18434932435944901</v>
      </c>
      <c r="K21">
        <v>3.0423759292420301E-2</v>
      </c>
      <c r="L21">
        <v>8.1736014744400398E-2</v>
      </c>
      <c r="M21">
        <v>0.29420171317189497</v>
      </c>
      <c r="N21">
        <v>0.32068417869404298</v>
      </c>
      <c r="O21">
        <v>-9.7662592000371303E-3</v>
      </c>
      <c r="P21">
        <v>-9.7662592000371303E-3</v>
      </c>
      <c r="Q21">
        <v>1.1848106626907401E-3</v>
      </c>
      <c r="R21">
        <v>-9.7662592000371303E-3</v>
      </c>
      <c r="S21">
        <v>-9.7662592000371303E-3</v>
      </c>
      <c r="T21">
        <v>0.34572239303146202</v>
      </c>
      <c r="U21">
        <v>-9.7662592000371303E-3</v>
      </c>
      <c r="V21">
        <v>0.28655607317306397</v>
      </c>
      <c r="W21">
        <v>-9.7662592000371303E-3</v>
      </c>
      <c r="X21">
        <v>-9.7662592000371303E-3</v>
      </c>
      <c r="Y21">
        <v>-9.7662592000371303E-3</v>
      </c>
      <c r="Z21">
        <v>-9.7662592000371303E-3</v>
      </c>
      <c r="AA21">
        <v>-9.7662592000371303E-3</v>
      </c>
      <c r="AB21">
        <v>-9.7662592000371303E-3</v>
      </c>
      <c r="AC21">
        <v>0.20498056822973099</v>
      </c>
      <c r="AD21">
        <v>-9.7662592000371303E-3</v>
      </c>
      <c r="AE21">
        <v>0.20910842534607599</v>
      </c>
      <c r="AF21">
        <v>0.27711323149423001</v>
      </c>
      <c r="AG21">
        <v>-9.7662592000371303E-3</v>
      </c>
      <c r="AH21">
        <v>0.16943242576960599</v>
      </c>
      <c r="AI21">
        <v>8.9796056138281601E-3</v>
      </c>
      <c r="AJ21">
        <v>7.6165441586068501E-3</v>
      </c>
      <c r="AK21">
        <v>6.1012716998187597E-2</v>
      </c>
      <c r="AL21">
        <v>-9.7662592000371303E-3</v>
      </c>
      <c r="AM21">
        <v>-9.7662592000371303E-3</v>
      </c>
      <c r="AN21">
        <v>-9.7662592000371303E-3</v>
      </c>
      <c r="AO21">
        <v>-6.8794028305304298E-4</v>
      </c>
      <c r="AP21">
        <v>-9.7662592000371303E-3</v>
      </c>
      <c r="AQ21">
        <v>-9.7662592000371303E-3</v>
      </c>
      <c r="AR21">
        <v>1.5527243324111799E-2</v>
      </c>
      <c r="AS21">
        <v>-9.7662592000371303E-3</v>
      </c>
      <c r="AT21">
        <v>6.8761239929095099E-4</v>
      </c>
      <c r="AU21">
        <v>-3.9410932350523297E-3</v>
      </c>
      <c r="AV21">
        <v>-9.7662592000371303E-3</v>
      </c>
      <c r="AW21">
        <v>1.4683256040457299E-2</v>
      </c>
      <c r="AX21">
        <v>-9.7662592000371303E-3</v>
      </c>
      <c r="AY21">
        <v>-9.7662592000371303E-3</v>
      </c>
      <c r="AZ21">
        <v>-9.7662592000371303E-3</v>
      </c>
      <c r="BA21">
        <v>-9.7662592000371303E-3</v>
      </c>
      <c r="BB21">
        <v>-9.7662592000371303E-3</v>
      </c>
      <c r="BC21">
        <v>-9.7662592000371303E-3</v>
      </c>
      <c r="BD21">
        <v>5.9017940705222904E-3</v>
      </c>
      <c r="BE21">
        <v>-9.7662592000371303E-3</v>
      </c>
      <c r="BF21">
        <v>3.0659008479504399E-2</v>
      </c>
      <c r="BG21">
        <v>1.4862971495898301E-2</v>
      </c>
      <c r="BH21">
        <v>4.64701279777638E-2</v>
      </c>
      <c r="BI21">
        <v>0.123399130633098</v>
      </c>
      <c r="BJ21">
        <v>0.121832575835172</v>
      </c>
      <c r="BK21">
        <v>1.8562663354655298E-2</v>
      </c>
      <c r="BL21">
        <v>7.72853324889409E-2</v>
      </c>
      <c r="BM21">
        <v>0.138327453000296</v>
      </c>
      <c r="BN21">
        <v>0.12854611561149601</v>
      </c>
      <c r="BO21">
        <v>-9.7662592000371303E-3</v>
      </c>
      <c r="BP21">
        <v>-9.7662592000371303E-3</v>
      </c>
      <c r="BQ21">
        <v>0.16603422726792999</v>
      </c>
      <c r="BR21">
        <v>9.2628201035885996E-2</v>
      </c>
      <c r="BS21">
        <v>6.9618115189070004E-2</v>
      </c>
      <c r="BT21">
        <v>7.2214002457876902E-2</v>
      </c>
      <c r="BU21">
        <v>5.4129487371830598E-2</v>
      </c>
      <c r="BV21">
        <v>6.3948346454772903E-2</v>
      </c>
      <c r="BW21">
        <v>5.2994648778250698E-2</v>
      </c>
      <c r="BX21">
        <v>0.14737253799363401</v>
      </c>
      <c r="BY21">
        <v>0.185003382270016</v>
      </c>
      <c r="BZ21">
        <v>-9.7662592000371303E-3</v>
      </c>
      <c r="CA21">
        <v>-9.7662592000371303E-3</v>
      </c>
      <c r="CB21">
        <v>-9.7662592000371303E-3</v>
      </c>
      <c r="CC21">
        <v>-9.7662592000371303E-3</v>
      </c>
      <c r="CD21">
        <v>-9.7662592000371303E-3</v>
      </c>
      <c r="CE21">
        <v>-9.7662592000371303E-3</v>
      </c>
      <c r="CF21">
        <v>-9.7662592000371303E-3</v>
      </c>
      <c r="CG21">
        <v>-9.7662592000371303E-3</v>
      </c>
      <c r="CH21">
        <v>0.123697735503319</v>
      </c>
      <c r="CI21">
        <v>-9.7662592000371303E-3</v>
      </c>
      <c r="CJ21">
        <v>-9.7662592000371303E-3</v>
      </c>
      <c r="CK21">
        <v>-9.7662592000371303E-3</v>
      </c>
      <c r="CL21">
        <v>-9.7662592000371303E-3</v>
      </c>
      <c r="CM21">
        <v>-9.7662592000371303E-3</v>
      </c>
      <c r="CN21">
        <v>-9.7662592000371303E-3</v>
      </c>
      <c r="CO21">
        <v>3.0215584351805699E-2</v>
      </c>
      <c r="CP21">
        <v>-9.7662592000371303E-3</v>
      </c>
      <c r="CQ21">
        <v>9.70427923924055E-2</v>
      </c>
      <c r="CR21">
        <v>0.12815892617382801</v>
      </c>
      <c r="CS21">
        <v>-9.7662592000371303E-3</v>
      </c>
      <c r="CT21">
        <v>0.21875655560404</v>
      </c>
      <c r="CU21">
        <v>-9.7662592000371303E-3</v>
      </c>
      <c r="CV21">
        <v>-9.7662592000371303E-3</v>
      </c>
      <c r="CW21">
        <v>-9.7662592000371303E-3</v>
      </c>
      <c r="CX21">
        <v>8.9492091896928805E-2</v>
      </c>
      <c r="CY21">
        <v>0.213102143892515</v>
      </c>
      <c r="CZ21">
        <v>0.117864867154525</v>
      </c>
      <c r="DA21">
        <v>-9.7662592000371303E-3</v>
      </c>
      <c r="DB21">
        <v>6.9320940100863704E-2</v>
      </c>
      <c r="DC21">
        <v>2.5995348469803701E-2</v>
      </c>
      <c r="DD21">
        <v>-9.7662592000371303E-3</v>
      </c>
      <c r="DE21">
        <v>1.3234607047695799E-2</v>
      </c>
      <c r="DF21">
        <v>8.6358939205127702E-2</v>
      </c>
      <c r="DG21">
        <v>3.3491158474487498E-2</v>
      </c>
      <c r="DH21">
        <v>-9.7662592000371303E-3</v>
      </c>
    </row>
    <row r="22" spans="1:112" x14ac:dyDescent="0.25">
      <c r="A22" t="s">
        <v>267</v>
      </c>
      <c r="B22" t="s">
        <v>346</v>
      </c>
      <c r="C22">
        <v>0.26898816322501801</v>
      </c>
      <c r="D22">
        <v>7.5509772517237797E-2</v>
      </c>
      <c r="E22">
        <v>-2.41146368589331E-3</v>
      </c>
      <c r="F22">
        <v>-4.93128580799733E-2</v>
      </c>
      <c r="G22">
        <v>5.6911986964207503E-2</v>
      </c>
      <c r="H22">
        <v>0.143284431097014</v>
      </c>
      <c r="I22">
        <v>0.18798677274432599</v>
      </c>
      <c r="J22">
        <v>0.157538412556497</v>
      </c>
      <c r="K22">
        <v>4.6559749795260702E-2</v>
      </c>
      <c r="L22">
        <v>6.9420427168883206E-2</v>
      </c>
      <c r="M22">
        <v>0.14903024317314301</v>
      </c>
      <c r="N22">
        <v>4.3080443183660402E-2</v>
      </c>
      <c r="O22">
        <v>-0.108890227728641</v>
      </c>
      <c r="P22">
        <v>-8.5928840931183997E-2</v>
      </c>
      <c r="Q22">
        <v>-9.7939157865912702E-2</v>
      </c>
      <c r="R22">
        <v>-0.108890227728641</v>
      </c>
      <c r="S22">
        <v>3.0966745637092601E-2</v>
      </c>
      <c r="T22">
        <v>-0.108890227728641</v>
      </c>
      <c r="U22">
        <v>5.64505838662656E-2</v>
      </c>
      <c r="V22">
        <v>-3.2185097657174797E-2</v>
      </c>
      <c r="W22">
        <v>-0.108890227728641</v>
      </c>
      <c r="X22">
        <v>-0.108890227728641</v>
      </c>
      <c r="Y22">
        <v>-0.108890227728641</v>
      </c>
      <c r="Z22">
        <v>-0.108890227728641</v>
      </c>
      <c r="AA22">
        <v>0.52259638267318698</v>
      </c>
      <c r="AB22">
        <v>-4.77974995242749E-3</v>
      </c>
      <c r="AC22">
        <v>0.66830745427854299</v>
      </c>
      <c r="AD22">
        <v>0.533630768074008</v>
      </c>
      <c r="AE22">
        <v>1.02937655036534</v>
      </c>
      <c r="AF22">
        <v>0.54830515791449697</v>
      </c>
      <c r="AG22">
        <v>1.0478677032705801</v>
      </c>
      <c r="AH22">
        <v>0.231232938469908</v>
      </c>
      <c r="AI22">
        <v>-9.01443629147754E-2</v>
      </c>
      <c r="AJ22">
        <v>2.0686501799450901E-2</v>
      </c>
      <c r="AK22">
        <v>0.28749123557887801</v>
      </c>
      <c r="AL22">
        <v>-8.1876017067183199E-2</v>
      </c>
      <c r="AM22">
        <v>-8.25468179174704E-2</v>
      </c>
      <c r="AN22">
        <v>-5.2063174069771498E-2</v>
      </c>
      <c r="AO22">
        <v>-0.108890227728641</v>
      </c>
      <c r="AP22">
        <v>-9.3342706103557202E-2</v>
      </c>
      <c r="AQ22">
        <v>-0.108890227728641</v>
      </c>
      <c r="AR22">
        <v>-8.3596725204491698E-2</v>
      </c>
      <c r="AS22">
        <v>-0.108890227728641</v>
      </c>
      <c r="AT22">
        <v>-9.8436356129312896E-2</v>
      </c>
      <c r="AU22">
        <v>-9.7233067224987799E-2</v>
      </c>
      <c r="AV22">
        <v>-3.5397993103092801E-2</v>
      </c>
      <c r="AW22">
        <v>-3.63090526254677E-2</v>
      </c>
      <c r="AX22">
        <v>-0.108890227728641</v>
      </c>
      <c r="AY22">
        <v>-6.2971892774126195E-2</v>
      </c>
      <c r="AZ22">
        <v>-8.9236534668075601E-2</v>
      </c>
      <c r="BA22">
        <v>-0.108890227728641</v>
      </c>
      <c r="BB22">
        <v>-7.9676237215273796E-3</v>
      </c>
      <c r="BC22">
        <v>-6.03982161165421E-2</v>
      </c>
      <c r="BD22">
        <v>-7.7619363655118706E-2</v>
      </c>
      <c r="BE22">
        <v>-8.4886052212433699E-2</v>
      </c>
      <c r="BF22">
        <v>-5.7994480563992402E-2</v>
      </c>
      <c r="BG22">
        <v>-5.9706591858775998E-2</v>
      </c>
      <c r="BH22">
        <v>-4.8109358393740396E-3</v>
      </c>
      <c r="BI22">
        <v>-4.1796775565251597E-2</v>
      </c>
      <c r="BJ22">
        <v>-1.17275602274322E-2</v>
      </c>
      <c r="BK22">
        <v>2.8835317219965802E-2</v>
      </c>
      <c r="BL22">
        <v>-0.108890227728641</v>
      </c>
      <c r="BM22">
        <v>-6.1640246449908301E-2</v>
      </c>
      <c r="BN22">
        <v>-0.108890227728641</v>
      </c>
      <c r="BO22">
        <v>-7.6356955339976898E-2</v>
      </c>
      <c r="BP22">
        <v>-0.108890227728641</v>
      </c>
      <c r="BQ22">
        <v>6.69102587393266E-2</v>
      </c>
      <c r="BR22">
        <v>-0.108890227728641</v>
      </c>
      <c r="BS22">
        <v>1.3519898702856E-2</v>
      </c>
      <c r="BT22">
        <v>-0.108890227728641</v>
      </c>
      <c r="BU22">
        <v>0.27385762618536302</v>
      </c>
      <c r="BV22">
        <v>2.6668290277307399E-3</v>
      </c>
      <c r="BW22">
        <v>-1.54987834710198E-2</v>
      </c>
      <c r="BX22">
        <v>-2.8623630587710999E-2</v>
      </c>
      <c r="BY22">
        <v>-0.108890227728641</v>
      </c>
      <c r="BZ22">
        <v>2.1696419717399499E-2</v>
      </c>
      <c r="CA22">
        <v>2.0189232410122899E-2</v>
      </c>
      <c r="CB22">
        <v>0.27765770192802502</v>
      </c>
      <c r="CC22">
        <v>0.11383586308823899</v>
      </c>
      <c r="CD22">
        <v>6.0459029537600399E-2</v>
      </c>
      <c r="CE22">
        <v>0.39659486485547601</v>
      </c>
      <c r="CF22">
        <v>0.14138764733904199</v>
      </c>
      <c r="CG22">
        <v>-0.108890227728641</v>
      </c>
      <c r="CH22">
        <v>0.14721388288204201</v>
      </c>
      <c r="CI22">
        <v>1.54226301407063E-2</v>
      </c>
      <c r="CJ22">
        <v>0.24322036090027499</v>
      </c>
      <c r="CK22">
        <v>-0.108890227728641</v>
      </c>
      <c r="CL22">
        <v>0.28538199051299301</v>
      </c>
      <c r="CM22">
        <v>0.24598287678797001</v>
      </c>
      <c r="CN22">
        <v>2.0270624916938901E-2</v>
      </c>
      <c r="CO22">
        <v>4.5640366661167199E-2</v>
      </c>
      <c r="CP22">
        <v>5.23519298409812E-2</v>
      </c>
      <c r="CQ22">
        <v>0.19356729346715901</v>
      </c>
      <c r="CR22">
        <v>7.2721547732064504E-2</v>
      </c>
      <c r="CS22">
        <v>0.16694075132590599</v>
      </c>
      <c r="CT22">
        <v>9.4369153317868694E-3</v>
      </c>
      <c r="CU22">
        <v>3.5690453658337701E-2</v>
      </c>
      <c r="CV22">
        <v>2.4074396513741598E-3</v>
      </c>
      <c r="CW22">
        <v>3.5273599741149797E-2</v>
      </c>
      <c r="CX22">
        <v>-5.8540878503174999E-2</v>
      </c>
      <c r="CY22">
        <v>4.29589994827273E-2</v>
      </c>
      <c r="CZ22">
        <v>-0.108890227728641</v>
      </c>
      <c r="DA22">
        <v>5.8407905576297103E-2</v>
      </c>
      <c r="DB22">
        <v>0.14319904378322501</v>
      </c>
      <c r="DC22">
        <v>-2.6766267363569098E-2</v>
      </c>
      <c r="DD22">
        <v>5.5910220925960603E-3</v>
      </c>
      <c r="DE22">
        <v>-6.3106155702361305E-2</v>
      </c>
      <c r="DF22">
        <v>4.8951325146439802E-3</v>
      </c>
      <c r="DG22">
        <v>1.41562321176325E-2</v>
      </c>
      <c r="DH22">
        <v>8.3324648787335601E-2</v>
      </c>
    </row>
    <row r="23" spans="1:112" x14ac:dyDescent="0.25">
      <c r="A23" t="s">
        <v>267</v>
      </c>
      <c r="B23" t="s">
        <v>349</v>
      </c>
      <c r="C23">
        <v>-1.5984697996321899E-2</v>
      </c>
      <c r="D23">
        <v>4.78870407655504E-2</v>
      </c>
      <c r="E23">
        <v>0.120363738929509</v>
      </c>
      <c r="F23">
        <v>-1.5984697996321899E-2</v>
      </c>
      <c r="G23">
        <v>6.9042957464951801E-2</v>
      </c>
      <c r="H23">
        <v>9.7000596009285497E-2</v>
      </c>
      <c r="I23">
        <v>1.5978731160933402E-2</v>
      </c>
      <c r="J23">
        <v>2.4510973379222999E-2</v>
      </c>
      <c r="K23">
        <v>0.13946527952758001</v>
      </c>
      <c r="L23">
        <v>7.5517575948115701E-2</v>
      </c>
      <c r="M23">
        <v>0.16023833218722799</v>
      </c>
      <c r="N23">
        <v>-1.5984697996321899E-2</v>
      </c>
      <c r="O23">
        <v>-1.5984697996321899E-2</v>
      </c>
      <c r="P23">
        <v>-4.4941700541996704E-3</v>
      </c>
      <c r="Q23">
        <v>-5.0336281335937698E-3</v>
      </c>
      <c r="R23">
        <v>-1.5984697996321899E-2</v>
      </c>
      <c r="S23">
        <v>0.123872275369412</v>
      </c>
      <c r="T23">
        <v>-1.5984697996321899E-2</v>
      </c>
      <c r="U23">
        <v>-1.5984697996321899E-2</v>
      </c>
      <c r="V23">
        <v>2.26063666593645E-2</v>
      </c>
      <c r="W23">
        <v>-1.5984697996321899E-2</v>
      </c>
      <c r="X23">
        <v>-1.5984697996321899E-2</v>
      </c>
      <c r="Y23">
        <v>-1.5984697996321899E-2</v>
      </c>
      <c r="Z23">
        <v>-1.5984697996321899E-2</v>
      </c>
      <c r="AA23">
        <v>0.190305289397738</v>
      </c>
      <c r="AB23">
        <v>-1.5984697996321899E-2</v>
      </c>
      <c r="AC23">
        <v>0.389419946131075</v>
      </c>
      <c r="AD23">
        <v>-1.5984697996321899E-2</v>
      </c>
      <c r="AE23">
        <v>0.20288998654979201</v>
      </c>
      <c r="AF23">
        <v>-1.5984697996321899E-2</v>
      </c>
      <c r="AG23">
        <v>0.179570192969082</v>
      </c>
      <c r="AH23">
        <v>-1.5984697996321899E-2</v>
      </c>
      <c r="AI23">
        <v>2.1605009764160101E-2</v>
      </c>
      <c r="AJ23">
        <v>1.8687037979079599E-2</v>
      </c>
      <c r="AK23">
        <v>0.12311390019767</v>
      </c>
      <c r="AL23">
        <v>1.10295126651357E-2</v>
      </c>
      <c r="AM23">
        <v>1.03587118148486E-2</v>
      </c>
      <c r="AN23">
        <v>3.0266929315510001E-3</v>
      </c>
      <c r="AO23">
        <v>-6.90637907933782E-3</v>
      </c>
      <c r="AP23">
        <v>4.7705463196605598E-3</v>
      </c>
      <c r="AQ23">
        <v>-6.3224194434098498E-3</v>
      </c>
      <c r="AR23">
        <v>8.79777555373988E-4</v>
      </c>
      <c r="AS23">
        <v>-1.5984697996321899E-2</v>
      </c>
      <c r="AT23">
        <v>-3.0323642147885401E-4</v>
      </c>
      <c r="AU23">
        <v>1.3209221608183001E-2</v>
      </c>
      <c r="AV23">
        <v>-1.5984697996321899E-2</v>
      </c>
      <c r="AW23">
        <v>-1.5984697996321899E-2</v>
      </c>
      <c r="AX23">
        <v>-1.5984697996321899E-2</v>
      </c>
      <c r="AY23">
        <v>2.3096109084641599E-3</v>
      </c>
      <c r="AZ23">
        <v>-1.5984697996321899E-2</v>
      </c>
      <c r="BA23">
        <v>3.68544959154775E-2</v>
      </c>
      <c r="BB23">
        <v>-1.5984697996321899E-2</v>
      </c>
      <c r="BC23">
        <v>-1.5984697996321899E-2</v>
      </c>
      <c r="BD23">
        <v>1.52861660772003E-2</v>
      </c>
      <c r="BE23">
        <v>-1.5984697996321899E-2</v>
      </c>
      <c r="BF23">
        <v>3.4911049168326699E-2</v>
      </c>
      <c r="BG23">
        <v>-3.6606352164588198E-3</v>
      </c>
      <c r="BH23">
        <v>-1.5984697996321899E-2</v>
      </c>
      <c r="BI23">
        <v>1.76936847943126E-2</v>
      </c>
      <c r="BJ23">
        <v>4.1516616031744803E-4</v>
      </c>
      <c r="BK23">
        <v>0.17426002856820499</v>
      </c>
      <c r="BL23">
        <v>3.1828690004900399E-3</v>
      </c>
      <c r="BM23">
        <v>-1.5984697996321899E-2</v>
      </c>
      <c r="BN23">
        <v>0.12232767681521201</v>
      </c>
      <c r="BO23">
        <v>3.0317269837615599E-4</v>
      </c>
      <c r="BP23">
        <v>-1.5984697996321899E-2</v>
      </c>
      <c r="BQ23">
        <v>-1.5984697996321899E-2</v>
      </c>
      <c r="BR23">
        <v>8.6409762239601298E-2</v>
      </c>
      <c r="BS23">
        <v>5.0649008864622001E-2</v>
      </c>
      <c r="BT23">
        <v>6.5995563661592094E-2</v>
      </c>
      <c r="BU23">
        <v>-1.5984697996321899E-2</v>
      </c>
      <c r="BV23">
        <v>8.9010778684609302E-3</v>
      </c>
      <c r="BW23">
        <v>-1.5984697996321899E-2</v>
      </c>
      <c r="BX23">
        <v>1.11689555195887E-2</v>
      </c>
      <c r="BY23">
        <v>-1.5984697996321899E-2</v>
      </c>
      <c r="BZ23">
        <v>-1.5984697996321899E-2</v>
      </c>
      <c r="CA23">
        <v>1.7189301339668599E-2</v>
      </c>
      <c r="CB23">
        <v>-1.5984697996321899E-2</v>
      </c>
      <c r="CC23">
        <v>-1.5984697996321899E-2</v>
      </c>
      <c r="CD23">
        <v>-1.5984697996321899E-2</v>
      </c>
      <c r="CE23">
        <v>-1.5984697996321899E-2</v>
      </c>
      <c r="CF23">
        <v>-1.5984697996321899E-2</v>
      </c>
      <c r="CG23">
        <v>7.5437727606509505E-2</v>
      </c>
      <c r="CH23">
        <v>-1.5984697996321899E-2</v>
      </c>
      <c r="CI23">
        <v>-1.5984697996321899E-2</v>
      </c>
      <c r="CJ23">
        <v>-1.5984697996321899E-2</v>
      </c>
      <c r="CK23">
        <v>-1.5984697996321899E-2</v>
      </c>
      <c r="CL23">
        <v>-1.5984697996321899E-2</v>
      </c>
      <c r="CM23">
        <v>-1.5984697996321899E-2</v>
      </c>
      <c r="CN23">
        <v>-1.5984697996321899E-2</v>
      </c>
      <c r="CO23">
        <v>-1.5984697996321899E-2</v>
      </c>
      <c r="CP23">
        <v>7.9157592430139194E-3</v>
      </c>
      <c r="CQ23">
        <v>9.0824353596120802E-2</v>
      </c>
      <c r="CR23">
        <v>-1.5984697996321899E-2</v>
      </c>
      <c r="CS23">
        <v>-1.5984697996321899E-2</v>
      </c>
      <c r="CT23">
        <v>-1.5984697996321899E-2</v>
      </c>
      <c r="CU23">
        <v>0.128595983390657</v>
      </c>
      <c r="CV23">
        <v>5.8833578161722001E-2</v>
      </c>
      <c r="CW23">
        <v>1.6196397889378999E-2</v>
      </c>
      <c r="CX23">
        <v>8.3273653100644204E-2</v>
      </c>
      <c r="CY23">
        <v>6.1681577251445803E-2</v>
      </c>
      <c r="CZ23">
        <v>8.3595993513953401E-2</v>
      </c>
      <c r="DA23">
        <v>-1.5984697996321899E-2</v>
      </c>
      <c r="DB23">
        <v>1.0738669535747E-2</v>
      </c>
      <c r="DC23">
        <v>1.2002184614952E-2</v>
      </c>
      <c r="DD23">
        <v>2.3027516263500199E-2</v>
      </c>
      <c r="DE23">
        <v>7.0161682514109603E-3</v>
      </c>
      <c r="DF23">
        <v>-3.1658685499306701E-3</v>
      </c>
      <c r="DG23">
        <v>9.2844107200203405E-2</v>
      </c>
      <c r="DH23">
        <v>8.1721816164087205E-2</v>
      </c>
    </row>
    <row r="24" spans="1:112" x14ac:dyDescent="0.25">
      <c r="A24" t="s">
        <v>267</v>
      </c>
      <c r="B24" t="s">
        <v>351</v>
      </c>
      <c r="C24">
        <v>0.50710276673826604</v>
      </c>
      <c r="D24">
        <v>-0.13248827842828201</v>
      </c>
      <c r="E24">
        <v>-1.3996207108462199E-2</v>
      </c>
      <c r="F24">
        <v>-0.10004970501708001</v>
      </c>
      <c r="G24">
        <v>0.24683590593433599</v>
      </c>
      <c r="H24">
        <v>-5.0611851501168497E-3</v>
      </c>
      <c r="I24">
        <v>-7.8040847767275004E-2</v>
      </c>
      <c r="J24">
        <v>-6.4518684824515704E-3</v>
      </c>
      <c r="K24">
        <v>-0.311102902545074</v>
      </c>
      <c r="L24">
        <v>-0.168055027481919</v>
      </c>
      <c r="M24">
        <v>-0.25275193702540999</v>
      </c>
      <c r="N24">
        <v>-7.1489484462107997E-2</v>
      </c>
      <c r="O24">
        <v>-0.266447205757332</v>
      </c>
      <c r="P24">
        <v>-0.29702753418609901</v>
      </c>
      <c r="Q24">
        <v>-0.23300804036937101</v>
      </c>
      <c r="R24">
        <v>-0.42897496720896</v>
      </c>
      <c r="S24">
        <v>-0.28911799384322601</v>
      </c>
      <c r="T24">
        <v>-0.42897496720896</v>
      </c>
      <c r="U24">
        <v>3.7566977256100802E-2</v>
      </c>
      <c r="V24">
        <v>-0.31461466476854699</v>
      </c>
      <c r="W24">
        <v>-0.10875649481796699</v>
      </c>
      <c r="X24">
        <v>-0.13209126872618501</v>
      </c>
      <c r="Y24">
        <v>-3.0531606780859099E-2</v>
      </c>
      <c r="Z24">
        <v>-4.4701460146008799E-3</v>
      </c>
      <c r="AA24">
        <v>0.12564018259963</v>
      </c>
      <c r="AB24">
        <v>4.4563381774163696E-3</v>
      </c>
      <c r="AC24">
        <v>0.14822892719501601</v>
      </c>
      <c r="AD24">
        <v>0.12305092176054599</v>
      </c>
      <c r="AE24">
        <v>0.35036453931228601</v>
      </c>
      <c r="AF24">
        <v>0.10114268394062199</v>
      </c>
      <c r="AG24">
        <v>-0.23342007624355601</v>
      </c>
      <c r="AH24">
        <v>-8.8851801010411596E-2</v>
      </c>
      <c r="AI24">
        <v>-0.196207286655943</v>
      </c>
      <c r="AJ24">
        <v>-0.23305056127464699</v>
      </c>
      <c r="AK24">
        <v>-0.15986303822943199</v>
      </c>
      <c r="AL24">
        <v>-0.16796885653624499</v>
      </c>
      <c r="AM24">
        <v>-0.32457077087117697</v>
      </c>
      <c r="AN24">
        <v>-0.27876483840232902</v>
      </c>
      <c r="AO24">
        <v>-0.33461134996915298</v>
      </c>
      <c r="AP24">
        <v>-0.36078585535124202</v>
      </c>
      <c r="AQ24">
        <v>-0.320507961098075</v>
      </c>
      <c r="AR24">
        <v>-0.29777978977786002</v>
      </c>
      <c r="AS24">
        <v>-0.30430763141205303</v>
      </c>
      <c r="AT24">
        <v>-0.35793334638134</v>
      </c>
      <c r="AU24">
        <v>-0.33149462035553701</v>
      </c>
      <c r="AV24">
        <v>-0.147689448862899</v>
      </c>
      <c r="AW24">
        <v>-0.26301460743782701</v>
      </c>
      <c r="AX24">
        <v>-0.198447634587155</v>
      </c>
      <c r="AY24">
        <v>-0.164895386550201</v>
      </c>
      <c r="AZ24">
        <v>-0.27581964137562398</v>
      </c>
      <c r="BA24">
        <v>-0.34764729555386298</v>
      </c>
      <c r="BB24">
        <v>1.3378127969601701</v>
      </c>
      <c r="BC24">
        <v>-0.28358196509950401</v>
      </c>
      <c r="BD24">
        <v>-0.21522554458277801</v>
      </c>
      <c r="BE24">
        <v>-0.26180379427025602</v>
      </c>
      <c r="BF24">
        <v>1.8916150945059</v>
      </c>
      <c r="BG24">
        <v>2.3565941466819398</v>
      </c>
      <c r="BH24">
        <v>2.5875857721801498</v>
      </c>
      <c r="BI24">
        <v>1.71801527037943</v>
      </c>
      <c r="BJ24">
        <v>2.51778131123451</v>
      </c>
      <c r="BK24">
        <v>1.59232364711629</v>
      </c>
      <c r="BL24">
        <v>1.4961585577482099</v>
      </c>
      <c r="BM24">
        <v>2.5534858210208702</v>
      </c>
      <c r="BN24">
        <v>0.22855714683695599</v>
      </c>
      <c r="BO24">
        <v>-0.130061031439382</v>
      </c>
      <c r="BP24">
        <v>1.4664873207748701</v>
      </c>
      <c r="BQ24">
        <v>1.8759493562777401</v>
      </c>
      <c r="BR24">
        <v>0.81963462989000502</v>
      </c>
      <c r="BS24">
        <v>1.0279310475103001</v>
      </c>
      <c r="BT24">
        <v>2.2376202350295999</v>
      </c>
      <c r="BU24">
        <v>2.8882666634066299</v>
      </c>
      <c r="BV24">
        <v>3.25493922723268</v>
      </c>
      <c r="BW24">
        <v>3.0112915780353799</v>
      </c>
      <c r="BX24">
        <v>2.9256143136617601</v>
      </c>
      <c r="BY24">
        <v>2.33350580367</v>
      </c>
      <c r="BZ24">
        <v>0.61875924125660897</v>
      </c>
      <c r="CA24">
        <v>4.3613705062941599E-2</v>
      </c>
      <c r="CB24">
        <v>0.53297628404381603</v>
      </c>
      <c r="CC24">
        <v>4.9426004050870199E-2</v>
      </c>
      <c r="CD24">
        <v>0.95887620569375098</v>
      </c>
      <c r="CE24">
        <v>1.3741425755555901</v>
      </c>
      <c r="CF24">
        <v>0.75913791933297503</v>
      </c>
      <c r="CG24">
        <v>0.35029449437328097</v>
      </c>
      <c r="CH24">
        <v>4.6222276240805098E-2</v>
      </c>
      <c r="CI24">
        <v>1.0806565356090501</v>
      </c>
      <c r="CJ24">
        <v>0.92290979683199903</v>
      </c>
      <c r="CK24">
        <v>0.43842156279254602</v>
      </c>
      <c r="CL24">
        <v>0.87627988526796297</v>
      </c>
      <c r="CM24">
        <v>0.56171731374821399</v>
      </c>
      <c r="CN24">
        <v>0.38950023365831898</v>
      </c>
      <c r="CO24">
        <v>7.7758239151715494E-2</v>
      </c>
      <c r="CP24">
        <v>0.115340234719064</v>
      </c>
      <c r="CQ24">
        <v>-9.9653543384075199E-2</v>
      </c>
      <c r="CR24">
        <v>0.19455129277886399</v>
      </c>
      <c r="CS24">
        <v>0.221570498923396</v>
      </c>
      <c r="CT24">
        <v>-9.7289140333567295E-2</v>
      </c>
      <c r="CU24">
        <v>-0.28439428582198101</v>
      </c>
      <c r="CV24">
        <v>-0.211662773947246</v>
      </c>
      <c r="CW24">
        <v>-5.1543019659570102E-2</v>
      </c>
      <c r="CX24">
        <v>0.39557136267491599</v>
      </c>
      <c r="CY24">
        <v>0.43460894557351598</v>
      </c>
      <c r="CZ24">
        <v>0.103169953789294</v>
      </c>
      <c r="DA24">
        <v>-0.343288382140088</v>
      </c>
      <c r="DB24">
        <v>1.62067793175212</v>
      </c>
      <c r="DC24">
        <v>2.5134430274561601</v>
      </c>
      <c r="DD24">
        <v>2.1263680677216401</v>
      </c>
      <c r="DE24">
        <v>-9.2740177501253698E-2</v>
      </c>
      <c r="DF24">
        <v>-0.20770253056174101</v>
      </c>
      <c r="DG24">
        <v>-0.121283334305166</v>
      </c>
      <c r="DH24">
        <v>0.30138695649603597</v>
      </c>
    </row>
    <row r="25" spans="1:112" s="11" customFormat="1" ht="15.75" thickBot="1" x14ac:dyDescent="0.3">
      <c r="A25" s="11" t="s">
        <v>267</v>
      </c>
      <c r="B25" s="11" t="s">
        <v>352</v>
      </c>
      <c r="C25" s="11">
        <v>-3.8469699723075498E-2</v>
      </c>
      <c r="D25" s="11">
        <v>0.20295033370892501</v>
      </c>
      <c r="E25" s="11">
        <v>0.11874514914927201</v>
      </c>
      <c r="F25" s="11">
        <v>-3.8469699723075498E-2</v>
      </c>
      <c r="G25" s="11">
        <v>4.6557955738198202E-2</v>
      </c>
      <c r="H25" s="11">
        <v>6.0892892280655997E-3</v>
      </c>
      <c r="I25" s="11">
        <v>-3.8469699723075498E-2</v>
      </c>
      <c r="J25" s="11">
        <v>4.16448228737996E-2</v>
      </c>
      <c r="K25" s="11">
        <v>-3.8469699723075498E-2</v>
      </c>
      <c r="L25" s="11">
        <v>-3.8469699723075498E-2</v>
      </c>
      <c r="M25" s="11">
        <v>-3.8469699723075498E-2</v>
      </c>
      <c r="N25" s="11">
        <v>0.113500971189226</v>
      </c>
      <c r="O25" s="11">
        <v>8.7603046551672697E-2</v>
      </c>
      <c r="P25" s="11">
        <v>7.3751513451387899E-3</v>
      </c>
      <c r="Q25" s="11">
        <v>-1.6587857268450499E-2</v>
      </c>
      <c r="R25" s="11">
        <v>-3.8469699723075498E-2</v>
      </c>
      <c r="S25" s="11">
        <v>-3.8469699723075498E-2</v>
      </c>
      <c r="T25" s="11">
        <v>-3.8469699723075498E-2</v>
      </c>
      <c r="U25" s="11">
        <v>0.126871111871831</v>
      </c>
      <c r="V25" s="11">
        <v>7.5890602717337094E-2</v>
      </c>
      <c r="W25" s="11">
        <v>-3.8469699723075498E-2</v>
      </c>
      <c r="X25" s="11">
        <v>0.114577115806737</v>
      </c>
      <c r="Y25" s="11">
        <v>0.100565188718024</v>
      </c>
      <c r="Z25" s="11">
        <v>-3.8469699723075498E-2</v>
      </c>
      <c r="AA25" s="11">
        <v>0.26197210186202002</v>
      </c>
      <c r="AB25" s="11">
        <v>6.5640778053137699E-2</v>
      </c>
      <c r="AC25" s="11">
        <v>-3.8469699723075498E-2</v>
      </c>
      <c r="AD25" s="11">
        <v>0.60405129607957297</v>
      </c>
      <c r="AE25" s="11">
        <v>0.18040498482303799</v>
      </c>
      <c r="AF25" s="11">
        <v>-3.8469699723075498E-2</v>
      </c>
      <c r="AG25" s="11">
        <v>0.49021046734364399</v>
      </c>
      <c r="AH25" s="11">
        <v>0.14072898524656799</v>
      </c>
      <c r="AI25" s="11">
        <v>-8.7999196259348604E-4</v>
      </c>
      <c r="AJ25" s="11">
        <v>1.3398714278741199E-2</v>
      </c>
      <c r="AK25" s="11">
        <v>-2.7597475773752898E-3</v>
      </c>
      <c r="AL25" s="11">
        <v>1.98055272841732E-3</v>
      </c>
      <c r="AM25" s="11">
        <v>1.4052935408259601E-2</v>
      </c>
      <c r="AN25" s="11">
        <v>-3.8469699723075498E-2</v>
      </c>
      <c r="AO25" s="11">
        <v>-2.02934896365232E-2</v>
      </c>
      <c r="AP25" s="11">
        <v>-1.24941498203936E-2</v>
      </c>
      <c r="AQ25" s="11">
        <v>2.3724917010095099E-4</v>
      </c>
      <c r="AR25" s="11">
        <v>-4.7492934256444502E-3</v>
      </c>
      <c r="AS25" s="11">
        <v>-3.8469699723075498E-2</v>
      </c>
      <c r="AT25" s="11">
        <v>-1.8735529338108001E-3</v>
      </c>
      <c r="AU25" s="11">
        <v>-2.0973735698915901E-2</v>
      </c>
      <c r="AV25" s="11">
        <v>0.119942829118959</v>
      </c>
      <c r="AW25" s="11">
        <v>0.150270313088153</v>
      </c>
      <c r="AX25" s="11">
        <v>9.2245629497378204E-2</v>
      </c>
      <c r="AY25" s="11">
        <v>0.103311933452649</v>
      </c>
      <c r="AZ25" s="11">
        <v>0.14398651384358499</v>
      </c>
      <c r="BA25" s="11">
        <v>2.2756608486473099E-2</v>
      </c>
      <c r="BB25" s="11">
        <v>1.17810855362139E-2</v>
      </c>
      <c r="BC25" s="11">
        <v>1.80085434369316E-2</v>
      </c>
      <c r="BD25" s="11">
        <v>8.3397018052880408E-3</v>
      </c>
      <c r="BE25" s="11">
        <v>0.235411576289209</v>
      </c>
      <c r="BF25" s="11">
        <v>-3.8469699723075498E-2</v>
      </c>
      <c r="BG25" s="11">
        <v>5.6245159114727602E-3</v>
      </c>
      <c r="BH25" s="11">
        <v>-3.8469699723075498E-2</v>
      </c>
      <c r="BI25" s="11">
        <v>-3.8469699723075498E-2</v>
      </c>
      <c r="BJ25" s="11">
        <v>-2.20698355664363E-2</v>
      </c>
      <c r="BK25" s="11">
        <v>-1.01407771683829E-2</v>
      </c>
      <c r="BL25" s="11">
        <v>-2.372881918104E-4</v>
      </c>
      <c r="BM25" s="11">
        <v>-3.8469699723075498E-2</v>
      </c>
      <c r="BN25" s="11">
        <v>-3.8469699723075498E-2</v>
      </c>
      <c r="BO25" s="11">
        <v>-2.2181829028377401E-2</v>
      </c>
      <c r="BP25" s="11">
        <v>-3.8469699723075498E-2</v>
      </c>
      <c r="BQ25" s="11">
        <v>-3.8469699723075498E-2</v>
      </c>
      <c r="BR25" s="11">
        <v>-3.8469699723075498E-2</v>
      </c>
      <c r="BS25" s="11">
        <v>2.8164007137868399E-2</v>
      </c>
      <c r="BT25" s="11">
        <v>-3.8469699723075498E-2</v>
      </c>
      <c r="BU25" s="11">
        <v>0.146463305085025</v>
      </c>
      <c r="BV25" s="11">
        <v>3.5244905931734599E-2</v>
      </c>
      <c r="BW25" s="11">
        <v>-6.8329450351852401E-3</v>
      </c>
      <c r="BX25" s="11">
        <v>0.14359348316665299</v>
      </c>
      <c r="BY25" s="11">
        <v>-3.8469699723075498E-2</v>
      </c>
      <c r="BZ25" s="11">
        <v>-3.8469699723075498E-2</v>
      </c>
      <c r="CA25" s="11">
        <v>-3.8469699723075498E-2</v>
      </c>
      <c r="CB25" s="11">
        <v>-3.8469699723075498E-2</v>
      </c>
      <c r="CC25" s="11">
        <v>3.9299823298897099E-2</v>
      </c>
      <c r="CD25" s="11">
        <v>4.8486196560764298E-2</v>
      </c>
      <c r="CE25" s="11">
        <v>0.120184413796905</v>
      </c>
      <c r="CF25" s="11">
        <v>-3.8469699723075498E-2</v>
      </c>
      <c r="CG25" s="11">
        <v>5.2952725879755899E-2</v>
      </c>
      <c r="CH25" s="11">
        <v>9.4994294980280697E-2</v>
      </c>
      <c r="CI25" s="11">
        <v>8.5843158146271803E-2</v>
      </c>
      <c r="CJ25" s="11">
        <v>0.46294487508084498</v>
      </c>
      <c r="CK25" s="11">
        <v>-3.8469699723075498E-2</v>
      </c>
      <c r="CL25" s="11">
        <v>0.35580251851855899</v>
      </c>
      <c r="CM25" s="11">
        <v>-3.8469699723075498E-2</v>
      </c>
      <c r="CN25" s="11">
        <v>9.0691152922504195E-2</v>
      </c>
      <c r="CO25" s="11">
        <v>1.5121438287672101E-3</v>
      </c>
      <c r="CP25" s="11">
        <v>2.2695997604575999E-2</v>
      </c>
      <c r="CQ25" s="11">
        <v>-3.8469699723075498E-2</v>
      </c>
      <c r="CR25" s="11">
        <v>8.7162333575594199E-3</v>
      </c>
      <c r="CS25" s="11">
        <v>-3.8469699723075498E-2</v>
      </c>
      <c r="CT25" s="11">
        <v>-3.8469699723075498E-2</v>
      </c>
      <c r="CU25" s="11">
        <v>0.23861949215832201</v>
      </c>
      <c r="CV25" s="11">
        <v>3.6348576434968402E-2</v>
      </c>
      <c r="CW25" s="11">
        <v>2.54682018000888E-2</v>
      </c>
      <c r="CX25" s="11">
        <v>1.1879649502390101E-2</v>
      </c>
      <c r="CY25" s="11">
        <v>3.9196575524692301E-2</v>
      </c>
      <c r="CZ25" s="11">
        <v>-3.8469699723075498E-2</v>
      </c>
      <c r="DA25" s="11">
        <v>0.128828433581862</v>
      </c>
      <c r="DB25" s="11">
        <v>-1.1746332191006899E-2</v>
      </c>
      <c r="DC25" s="11">
        <v>-3.0644748686064999E-2</v>
      </c>
      <c r="DD25" s="11">
        <v>-3.8469699723075498E-2</v>
      </c>
      <c r="DE25" s="11">
        <v>-1.54688334753426E-2</v>
      </c>
      <c r="DF25" s="11">
        <v>-1.28773101597149E-2</v>
      </c>
      <c r="DG25" s="11">
        <v>-3.8469699723075498E-2</v>
      </c>
      <c r="DH25" s="11">
        <v>-1.86567599658394E-2</v>
      </c>
    </row>
    <row r="27" spans="1:112" x14ac:dyDescent="0.25">
      <c r="A27" s="220" t="s">
        <v>81</v>
      </c>
      <c r="B27" s="220"/>
      <c r="C27">
        <f>AVERAGE(C2:C25)</f>
        <v>6.573419766322218E-2</v>
      </c>
      <c r="D27">
        <f t="shared" ref="D27:BO27" si="0">AVERAGE(D2:D25)</f>
        <v>0.10085938664193549</v>
      </c>
      <c r="E27">
        <f t="shared" si="0"/>
        <v>0.19106752041021502</v>
      </c>
      <c r="F27">
        <f t="shared" si="0"/>
        <v>0.22181059395042735</v>
      </c>
      <c r="G27">
        <f t="shared" si="0"/>
        <v>0.13631876095115153</v>
      </c>
      <c r="H27">
        <f t="shared" si="0"/>
        <v>0.27105096220982722</v>
      </c>
      <c r="I27">
        <f t="shared" si="0"/>
        <v>0.24761215496620526</v>
      </c>
      <c r="J27">
        <f t="shared" si="0"/>
        <v>0.25772187759917659</v>
      </c>
      <c r="K27">
        <f t="shared" si="0"/>
        <v>0.26382873381823257</v>
      </c>
      <c r="L27">
        <f t="shared" si="0"/>
        <v>0.24937976863556055</v>
      </c>
      <c r="M27">
        <f t="shared" si="0"/>
        <v>0.27896293783614168</v>
      </c>
      <c r="N27">
        <f t="shared" si="0"/>
        <v>0.24696762475135448</v>
      </c>
      <c r="O27">
        <f t="shared" si="0"/>
        <v>-0.21651171328806551</v>
      </c>
      <c r="P27">
        <f t="shared" si="0"/>
        <v>-0.17058486207916781</v>
      </c>
      <c r="Q27">
        <f t="shared" si="0"/>
        <v>-0.1536895669859793</v>
      </c>
      <c r="R27">
        <f t="shared" si="0"/>
        <v>-0.10598791517063856</v>
      </c>
      <c r="S27">
        <f t="shared" si="0"/>
        <v>-1.613389203096486E-2</v>
      </c>
      <c r="T27">
        <f t="shared" si="0"/>
        <v>1.9143317816682975E-2</v>
      </c>
      <c r="U27">
        <f t="shared" si="0"/>
        <v>4.3742096142650892E-2</v>
      </c>
      <c r="V27">
        <f t="shared" si="0"/>
        <v>2.0009125557757575E-2</v>
      </c>
      <c r="W27">
        <f t="shared" si="0"/>
        <v>0.11375337792864763</v>
      </c>
      <c r="X27">
        <f t="shared" si="0"/>
        <v>2.4997886238218834E-2</v>
      </c>
      <c r="Y27">
        <f t="shared" si="0"/>
        <v>-7.9753131823322877E-3</v>
      </c>
      <c r="Z27">
        <f t="shared" si="0"/>
        <v>2.1360547015389062E-2</v>
      </c>
      <c r="AA27">
        <f t="shared" si="0"/>
        <v>0.18350402543323494</v>
      </c>
      <c r="AB27">
        <f t="shared" si="0"/>
        <v>8.1933739866972374E-2</v>
      </c>
      <c r="AC27">
        <f t="shared" si="0"/>
        <v>0.18666215652393872</v>
      </c>
      <c r="AD27">
        <f t="shared" si="0"/>
        <v>0.12842234650911963</v>
      </c>
      <c r="AE27">
        <f t="shared" si="0"/>
        <v>0.2306287624678742</v>
      </c>
      <c r="AF27">
        <f t="shared" si="0"/>
        <v>0.13259165292751338</v>
      </c>
      <c r="AG27">
        <f t="shared" si="0"/>
        <v>7.3384448598003374E-2</v>
      </c>
      <c r="AH27">
        <f t="shared" si="0"/>
        <v>5.3828430133103677E-2</v>
      </c>
      <c r="AI27">
        <f t="shared" si="0"/>
        <v>3.1205813257594025E-2</v>
      </c>
      <c r="AJ27">
        <f t="shared" si="0"/>
        <v>9.7525228435555167E-2</v>
      </c>
      <c r="AK27">
        <f t="shared" si="0"/>
        <v>0.18352573780646655</v>
      </c>
      <c r="AL27">
        <f t="shared" si="0"/>
        <v>2.5515424268914556E-2</v>
      </c>
      <c r="AM27">
        <f t="shared" si="0"/>
        <v>1.0064344216978669E-2</v>
      </c>
      <c r="AN27">
        <f t="shared" si="0"/>
        <v>5.996859983646189E-2</v>
      </c>
      <c r="AO27">
        <f t="shared" si="0"/>
        <v>-0.12040847242616232</v>
      </c>
      <c r="AP27">
        <f t="shared" si="0"/>
        <v>-6.005541778504727E-2</v>
      </c>
      <c r="AQ27">
        <f t="shared" si="0"/>
        <v>-9.5675149902203119E-2</v>
      </c>
      <c r="AR27">
        <f t="shared" si="0"/>
        <v>-3.259590386559847E-2</v>
      </c>
      <c r="AS27">
        <f t="shared" si="0"/>
        <v>-5.3493625649870334E-2</v>
      </c>
      <c r="AT27">
        <f t="shared" si="0"/>
        <v>-5.5719596529515691E-2</v>
      </c>
      <c r="AU27">
        <f t="shared" si="0"/>
        <v>9.5156343145174817E-3</v>
      </c>
      <c r="AV27">
        <f t="shared" si="0"/>
        <v>-0.15565443982745897</v>
      </c>
      <c r="AW27">
        <f t="shared" si="0"/>
        <v>-0.21290793157362839</v>
      </c>
      <c r="AX27">
        <f t="shared" si="0"/>
        <v>-0.22099637203827613</v>
      </c>
      <c r="AY27">
        <f t="shared" si="0"/>
        <v>-0.22814273290723686</v>
      </c>
      <c r="AZ27">
        <f t="shared" si="0"/>
        <v>-0.25126829208282325</v>
      </c>
      <c r="BA27">
        <f t="shared" si="0"/>
        <v>-0.1076554827625758</v>
      </c>
      <c r="BB27">
        <f t="shared" si="0"/>
        <v>4.5978732594482839E-2</v>
      </c>
      <c r="BC27">
        <f t="shared" si="0"/>
        <v>-2.2532118867186049E-2</v>
      </c>
      <c r="BD27">
        <f t="shared" si="0"/>
        <v>1.0126361189673342E-2</v>
      </c>
      <c r="BE27">
        <f t="shared" si="0"/>
        <v>-0.10046126429415231</v>
      </c>
      <c r="BF27">
        <f t="shared" si="0"/>
        <v>6.8541233665689177E-2</v>
      </c>
      <c r="BG27">
        <f t="shared" si="0"/>
        <v>9.2348494764439057E-2</v>
      </c>
      <c r="BH27">
        <f t="shared" si="0"/>
        <v>0.12358279987694178</v>
      </c>
      <c r="BI27">
        <f t="shared" si="0"/>
        <v>7.6215491944161273E-2</v>
      </c>
      <c r="BJ27">
        <f t="shared" si="0"/>
        <v>0.16489093240865565</v>
      </c>
      <c r="BK27">
        <f t="shared" si="0"/>
        <v>0.19736583600923693</v>
      </c>
      <c r="BL27">
        <f t="shared" si="0"/>
        <v>2.9142415701316718E-2</v>
      </c>
      <c r="BM27">
        <f t="shared" si="0"/>
        <v>0.10908794745755142</v>
      </c>
      <c r="BN27">
        <f t="shared" si="0"/>
        <v>5.3189761043582195E-2</v>
      </c>
      <c r="BO27">
        <f t="shared" si="0"/>
        <v>-0.10551724242208584</v>
      </c>
      <c r="BP27">
        <f t="shared" ref="BP27:DH27" si="1">AVERAGE(BP2:BP25)</f>
        <v>4.5198272030043916E-2</v>
      </c>
      <c r="BQ27">
        <f t="shared" si="1"/>
        <v>0.1294922904030337</v>
      </c>
      <c r="BR27">
        <f t="shared" si="1"/>
        <v>0.1296907162719057</v>
      </c>
      <c r="BS27">
        <f t="shared" si="1"/>
        <v>4.4960909328274961E-3</v>
      </c>
      <c r="BT27">
        <f t="shared" si="1"/>
        <v>0.11295957268396205</v>
      </c>
      <c r="BU27">
        <f t="shared" si="1"/>
        <v>0.20038567269047827</v>
      </c>
      <c r="BV27">
        <f t="shared" si="1"/>
        <v>0.21786767850540192</v>
      </c>
      <c r="BW27">
        <f t="shared" si="1"/>
        <v>9.3118926726878978E-2</v>
      </c>
      <c r="BX27">
        <f t="shared" si="1"/>
        <v>0.1202765128910296</v>
      </c>
      <c r="BY27">
        <f t="shared" si="1"/>
        <v>0.15302628749504393</v>
      </c>
      <c r="BZ27">
        <f t="shared" si="1"/>
        <v>5.7721242402299068E-2</v>
      </c>
      <c r="CA27">
        <f t="shared" si="1"/>
        <v>-2.0896112834904806E-2</v>
      </c>
      <c r="CB27">
        <f t="shared" si="1"/>
        <v>7.1074238235285829E-3</v>
      </c>
      <c r="CC27">
        <f t="shared" si="1"/>
        <v>8.7195238165794289E-3</v>
      </c>
      <c r="CD27">
        <f t="shared" si="1"/>
        <v>7.344267311668258E-2</v>
      </c>
      <c r="CE27">
        <f t="shared" si="1"/>
        <v>0.10568469211281278</v>
      </c>
      <c r="CF27">
        <f t="shared" si="1"/>
        <v>0.12111803257389041</v>
      </c>
      <c r="CG27">
        <f t="shared" si="1"/>
        <v>-0.13473375104862975</v>
      </c>
      <c r="CH27">
        <f t="shared" si="1"/>
        <v>3.7117068742271504E-2</v>
      </c>
      <c r="CI27">
        <f t="shared" si="1"/>
        <v>4.7813953400901422E-2</v>
      </c>
      <c r="CJ27">
        <f t="shared" si="1"/>
        <v>3.6531328131951903E-2</v>
      </c>
      <c r="CK27">
        <f t="shared" si="1"/>
        <v>-1.3292600295155688E-2</v>
      </c>
      <c r="CL27">
        <f t="shared" si="1"/>
        <v>3.0427599701503799E-2</v>
      </c>
      <c r="CM27">
        <f t="shared" si="1"/>
        <v>2.1021979769477134E-2</v>
      </c>
      <c r="CN27">
        <f t="shared" si="1"/>
        <v>2.7464015250773299E-2</v>
      </c>
      <c r="CO27">
        <f t="shared" si="1"/>
        <v>7.5607553156995827E-2</v>
      </c>
      <c r="CP27">
        <f t="shared" si="1"/>
        <v>6.3195751347623216E-2</v>
      </c>
      <c r="CQ27">
        <f t="shared" si="1"/>
        <v>3.001847965391281E-2</v>
      </c>
      <c r="CR27">
        <f t="shared" si="1"/>
        <v>3.5482038007513941E-2</v>
      </c>
      <c r="CS27">
        <f t="shared" si="1"/>
        <v>1.5601296723858425E-2</v>
      </c>
      <c r="CT27">
        <f t="shared" si="1"/>
        <v>3.8717723745852632E-2</v>
      </c>
      <c r="CU27">
        <f t="shared" si="1"/>
        <v>3.7342451185055671E-2</v>
      </c>
      <c r="CV27">
        <f t="shared" si="1"/>
        <v>-6.9008391923636503E-2</v>
      </c>
      <c r="CW27">
        <f t="shared" si="1"/>
        <v>2.3092865021247133E-2</v>
      </c>
      <c r="CX27">
        <f t="shared" si="1"/>
        <v>0.11106852492207275</v>
      </c>
      <c r="CY27">
        <f t="shared" si="1"/>
        <v>5.7797041467857975E-2</v>
      </c>
      <c r="CZ27">
        <f t="shared" si="1"/>
        <v>4.1666702499062645E-2</v>
      </c>
      <c r="DA27">
        <f t="shared" si="1"/>
        <v>2.1196909582688019E-2</v>
      </c>
      <c r="DB27">
        <f t="shared" si="1"/>
        <v>0.11075553840384238</v>
      </c>
      <c r="DC27">
        <f t="shared" si="1"/>
        <v>3.9306385563276557E-2</v>
      </c>
      <c r="DD27">
        <f t="shared" si="1"/>
        <v>2.3700385131312621E-2</v>
      </c>
      <c r="DE27">
        <f t="shared" si="1"/>
        <v>-2.1718581036604973E-2</v>
      </c>
      <c r="DF27">
        <f t="shared" si="1"/>
        <v>-5.22286676748333E-2</v>
      </c>
      <c r="DG27">
        <f t="shared" si="1"/>
        <v>4.8964768066598059E-2</v>
      </c>
      <c r="DH27">
        <f t="shared" si="1"/>
        <v>0.14138272063705296</v>
      </c>
    </row>
    <row r="28" spans="1:112" x14ac:dyDescent="0.25">
      <c r="A28" s="220" t="s">
        <v>262</v>
      </c>
      <c r="B28" s="220"/>
      <c r="C28">
        <f>AVERAGE(C13:C17)</f>
        <v>-2.2232028157837598E-2</v>
      </c>
      <c r="D28">
        <f t="shared" ref="D28:BO28" si="2">AVERAGE(D13:D17)</f>
        <v>0.33513847241649736</v>
      </c>
      <c r="E28">
        <f t="shared" si="2"/>
        <v>0.57751200200642527</v>
      </c>
      <c r="F28">
        <f t="shared" si="2"/>
        <v>0.48432743547716861</v>
      </c>
      <c r="G28">
        <f t="shared" si="2"/>
        <v>0.30212941899637763</v>
      </c>
      <c r="H28">
        <f t="shared" si="2"/>
        <v>0.5022562640061109</v>
      </c>
      <c r="I28">
        <f t="shared" si="2"/>
        <v>0.39844961408661883</v>
      </c>
      <c r="J28">
        <f t="shared" si="2"/>
        <v>0.52183728177367839</v>
      </c>
      <c r="K28">
        <f t="shared" si="2"/>
        <v>0.46398259763138228</v>
      </c>
      <c r="L28">
        <f t="shared" si="2"/>
        <v>0.4486958122720307</v>
      </c>
      <c r="M28">
        <f t="shared" si="2"/>
        <v>0.57917011381923211</v>
      </c>
      <c r="N28">
        <f t="shared" si="2"/>
        <v>0.52727245327089189</v>
      </c>
      <c r="O28">
        <f t="shared" si="2"/>
        <v>-0.39353222221282902</v>
      </c>
      <c r="P28">
        <f t="shared" si="2"/>
        <v>-0.30091936712011952</v>
      </c>
      <c r="Q28">
        <f t="shared" si="2"/>
        <v>-0.27265038171395867</v>
      </c>
      <c r="R28">
        <f t="shared" si="2"/>
        <v>-4.3158966036960442E-2</v>
      </c>
      <c r="S28">
        <f t="shared" si="2"/>
        <v>1.562056677538135E-2</v>
      </c>
      <c r="T28">
        <f t="shared" si="2"/>
        <v>0.26129680736950051</v>
      </c>
      <c r="U28">
        <f t="shared" si="2"/>
        <v>5.4734791385602999E-2</v>
      </c>
      <c r="V28">
        <f t="shared" si="2"/>
        <v>0.11269257792110825</v>
      </c>
      <c r="W28">
        <f t="shared" si="2"/>
        <v>0.32646178883928129</v>
      </c>
      <c r="X28">
        <f t="shared" si="2"/>
        <v>-3.232447839102378E-2</v>
      </c>
      <c r="Y28">
        <f t="shared" si="2"/>
        <v>-1.0374102468193059E-2</v>
      </c>
      <c r="Z28">
        <f t="shared" si="2"/>
        <v>0.13702457778253713</v>
      </c>
      <c r="AA28">
        <f t="shared" si="2"/>
        <v>0.33511758696808219</v>
      </c>
      <c r="AB28">
        <f t="shared" si="2"/>
        <v>1.2387993862935699E-2</v>
      </c>
      <c r="AC28">
        <f t="shared" si="2"/>
        <v>0.36806003707578289</v>
      </c>
      <c r="AD28">
        <f t="shared" si="2"/>
        <v>0.30232259420037949</v>
      </c>
      <c r="AE28">
        <f t="shared" si="2"/>
        <v>0.22946674214630525</v>
      </c>
      <c r="AF28">
        <f t="shared" si="2"/>
        <v>0.10364546520516671</v>
      </c>
      <c r="AG28">
        <f t="shared" si="2"/>
        <v>0.11084623698130514</v>
      </c>
      <c r="AH28">
        <f t="shared" si="2"/>
        <v>5.7230260604694341E-2</v>
      </c>
      <c r="AI28">
        <f t="shared" si="2"/>
        <v>0.15758778757904293</v>
      </c>
      <c r="AJ28">
        <f t="shared" si="2"/>
        <v>0.40923656923230417</v>
      </c>
      <c r="AK28">
        <f t="shared" si="2"/>
        <v>0.50439476162175656</v>
      </c>
      <c r="AL28">
        <f t="shared" si="2"/>
        <v>0.18779667374372264</v>
      </c>
      <c r="AM28">
        <f t="shared" si="2"/>
        <v>0.20149525484298417</v>
      </c>
      <c r="AN28">
        <f t="shared" si="2"/>
        <v>0.28142605526880027</v>
      </c>
      <c r="AO28">
        <f t="shared" si="2"/>
        <v>-0.12852152569730912</v>
      </c>
      <c r="AP28">
        <f t="shared" si="2"/>
        <v>-4.1341909796473231E-2</v>
      </c>
      <c r="AQ28">
        <f t="shared" si="2"/>
        <v>-7.3796731698080334E-2</v>
      </c>
      <c r="AR28">
        <f t="shared" si="2"/>
        <v>4.6611259966603799E-2</v>
      </c>
      <c r="AS28">
        <f t="shared" si="2"/>
        <v>-1.0826763802532821E-2</v>
      </c>
      <c r="AT28">
        <f t="shared" si="2"/>
        <v>6.7030551408191516E-2</v>
      </c>
      <c r="AU28">
        <f t="shared" si="2"/>
        <v>0.23357580130646194</v>
      </c>
      <c r="AV28">
        <f t="shared" si="2"/>
        <v>-0.29735708091404323</v>
      </c>
      <c r="AW28">
        <f t="shared" si="2"/>
        <v>-0.5296805656171828</v>
      </c>
      <c r="AX28">
        <f t="shared" si="2"/>
        <v>-0.5727276780746654</v>
      </c>
      <c r="AY28">
        <f t="shared" si="2"/>
        <v>-0.62060430474684281</v>
      </c>
      <c r="AZ28">
        <f t="shared" si="2"/>
        <v>-0.49792652388450398</v>
      </c>
      <c r="BA28">
        <f t="shared" si="2"/>
        <v>-0.1436068350779669</v>
      </c>
      <c r="BB28">
        <f t="shared" si="2"/>
        <v>-0.13342730416217763</v>
      </c>
      <c r="BC28">
        <f t="shared" si="2"/>
        <v>4.3233757661704522E-2</v>
      </c>
      <c r="BD28">
        <f t="shared" si="2"/>
        <v>0.16291236321927616</v>
      </c>
      <c r="BE28">
        <f t="shared" si="2"/>
        <v>-0.1315938479796247</v>
      </c>
      <c r="BF28">
        <f t="shared" si="2"/>
        <v>-0.15004904468332947</v>
      </c>
      <c r="BG28">
        <f t="shared" si="2"/>
        <v>-3.5433820324055468E-2</v>
      </c>
      <c r="BH28">
        <f t="shared" si="2"/>
        <v>-0.10462340186176214</v>
      </c>
      <c r="BI28">
        <f t="shared" si="2"/>
        <v>-5.5181715003400508E-2</v>
      </c>
      <c r="BJ28">
        <f t="shared" si="2"/>
        <v>8.5522083070360563E-2</v>
      </c>
      <c r="BK28">
        <f t="shared" si="2"/>
        <v>0.21499016969813606</v>
      </c>
      <c r="BL28">
        <f t="shared" si="2"/>
        <v>-0.18974456606750692</v>
      </c>
      <c r="BM28">
        <f t="shared" si="2"/>
        <v>-9.4293205435967878E-2</v>
      </c>
      <c r="BN28">
        <f t="shared" si="2"/>
        <v>-8.3889103049898002E-3</v>
      </c>
      <c r="BO28">
        <f t="shared" si="2"/>
        <v>-0.27638513362740219</v>
      </c>
      <c r="BP28">
        <f t="shared" ref="BP28:DH28" si="3">AVERAGE(BP13:BP17)</f>
        <v>-0.1627844213124135</v>
      </c>
      <c r="BQ28">
        <f t="shared" si="3"/>
        <v>2.8384741687718162E-2</v>
      </c>
      <c r="BR28">
        <f t="shared" si="3"/>
        <v>0.21466278498045294</v>
      </c>
      <c r="BS28">
        <f t="shared" si="3"/>
        <v>-0.15800719270096533</v>
      </c>
      <c r="BT28">
        <f t="shared" si="3"/>
        <v>-2.5901711550907525E-2</v>
      </c>
      <c r="BU28">
        <f t="shared" si="3"/>
        <v>7.0658734703492862E-2</v>
      </c>
      <c r="BV28">
        <f t="shared" si="3"/>
        <v>5.5261980101787934E-2</v>
      </c>
      <c r="BW28">
        <f t="shared" si="3"/>
        <v>-0.10995463174443856</v>
      </c>
      <c r="BX28">
        <f t="shared" si="3"/>
        <v>-0.18090501294551892</v>
      </c>
      <c r="BY28">
        <f t="shared" si="3"/>
        <v>0.10321324524410476</v>
      </c>
      <c r="BZ28">
        <f t="shared" si="3"/>
        <v>-8.5122473871432097E-2</v>
      </c>
      <c r="CA28">
        <f t="shared" si="3"/>
        <v>-0.38666525825709053</v>
      </c>
      <c r="CB28">
        <f t="shared" si="3"/>
        <v>-0.35713766002961728</v>
      </c>
      <c r="CC28">
        <f t="shared" si="3"/>
        <v>-0.32298455412894522</v>
      </c>
      <c r="CD28">
        <f t="shared" si="3"/>
        <v>7.8131617939900269E-2</v>
      </c>
      <c r="CE28">
        <f t="shared" si="3"/>
        <v>0.10306328805548219</v>
      </c>
      <c r="CF28">
        <f t="shared" si="3"/>
        <v>6.1146357905191295E-2</v>
      </c>
      <c r="CG28">
        <f t="shared" si="3"/>
        <v>-0.29543378579558499</v>
      </c>
      <c r="CH28">
        <f t="shared" si="3"/>
        <v>5.3987050150701099E-2</v>
      </c>
      <c r="CI28">
        <f t="shared" si="3"/>
        <v>6.7612388667431828E-2</v>
      </c>
      <c r="CJ28">
        <f t="shared" si="3"/>
        <v>-8.2476190850278491E-2</v>
      </c>
      <c r="CK28">
        <f t="shared" si="3"/>
        <v>4.9072134603337737E-2</v>
      </c>
      <c r="CL28">
        <f t="shared" si="3"/>
        <v>-3.7424965646155856E-2</v>
      </c>
      <c r="CM28">
        <f t="shared" si="3"/>
        <v>6.1276079475791903E-2</v>
      </c>
      <c r="CN28">
        <f t="shared" si="3"/>
        <v>1.2128408858579636E-2</v>
      </c>
      <c r="CO28">
        <f t="shared" si="3"/>
        <v>0.10805248868702125</v>
      </c>
      <c r="CP28">
        <f t="shared" si="3"/>
        <v>4.5706513526945811E-2</v>
      </c>
      <c r="CQ28">
        <f t="shared" si="3"/>
        <v>6.5902275960173203E-3</v>
      </c>
      <c r="CR28">
        <f t="shared" si="3"/>
        <v>-1.9356113543006127E-2</v>
      </c>
      <c r="CS28">
        <f t="shared" si="3"/>
        <v>-6.0591934947143156E-2</v>
      </c>
      <c r="CT28">
        <f t="shared" si="3"/>
        <v>2.2359148138335304E-2</v>
      </c>
      <c r="CU28">
        <f t="shared" si="3"/>
        <v>3.8993792074990645E-2</v>
      </c>
      <c r="CV28">
        <f t="shared" si="3"/>
        <v>-0.48043453300139288</v>
      </c>
      <c r="CW28">
        <f t="shared" si="3"/>
        <v>2.9538108939688855E-2</v>
      </c>
      <c r="CX28">
        <f t="shared" si="3"/>
        <v>0.18230625995270902</v>
      </c>
      <c r="CY28">
        <f t="shared" si="3"/>
        <v>-0.11011652977528956</v>
      </c>
      <c r="CZ28">
        <f t="shared" si="3"/>
        <v>-1.0975950800186721E-2</v>
      </c>
      <c r="DA28">
        <f t="shared" si="3"/>
        <v>-4.8069653898623131E-2</v>
      </c>
      <c r="DB28">
        <f t="shared" si="3"/>
        <v>0.10110045118043778</v>
      </c>
      <c r="DC28">
        <f t="shared" si="3"/>
        <v>1.65278368255685E-2</v>
      </c>
      <c r="DD28">
        <f t="shared" si="3"/>
        <v>1.9258699678789896E-2</v>
      </c>
      <c r="DE28">
        <f t="shared" si="3"/>
        <v>-7.8005346585790336E-2</v>
      </c>
      <c r="DF28">
        <f t="shared" si="3"/>
        <v>-0.14164855062134679</v>
      </c>
      <c r="DG28">
        <f t="shared" si="3"/>
        <v>0.14533131252033749</v>
      </c>
      <c r="DH28">
        <f t="shared" si="3"/>
        <v>0.22223061816721401</v>
      </c>
    </row>
    <row r="29" spans="1:112" x14ac:dyDescent="0.25">
      <c r="A29" s="220" t="s">
        <v>263</v>
      </c>
      <c r="B29" s="220"/>
      <c r="C29">
        <f>AVERAGE(C2:C12)</f>
        <v>3.8373233160442166E-2</v>
      </c>
      <c r="D29">
        <f t="shared" ref="D29:BO29" si="4">AVERAGE(D2:D12)</f>
        <v>0.13422404700482995</v>
      </c>
      <c r="E29">
        <f t="shared" si="4"/>
        <v>9.813229254772686E-2</v>
      </c>
      <c r="F29">
        <f t="shared" si="4"/>
        <v>0.1167869258046073</v>
      </c>
      <c r="G29">
        <f t="shared" si="4"/>
        <v>6.7024200304261483E-2</v>
      </c>
      <c r="H29">
        <f t="shared" si="4"/>
        <v>9.6338957703790751E-2</v>
      </c>
      <c r="I29">
        <f t="shared" si="4"/>
        <v>9.104301209992828E-2</v>
      </c>
      <c r="J29">
        <f t="shared" si="4"/>
        <v>8.4055982561549183E-2</v>
      </c>
      <c r="K29">
        <f t="shared" si="4"/>
        <v>9.3949420140228501E-2</v>
      </c>
      <c r="L29">
        <f t="shared" si="4"/>
        <v>8.6150173106178674E-2</v>
      </c>
      <c r="M29">
        <f t="shared" si="4"/>
        <v>7.2505508593373194E-2</v>
      </c>
      <c r="N29">
        <f t="shared" si="4"/>
        <v>0.12144043887199157</v>
      </c>
      <c r="O29">
        <f t="shared" si="4"/>
        <v>-1.8870770078882181E-2</v>
      </c>
      <c r="P29">
        <f t="shared" si="4"/>
        <v>-1.0829903358430239E-2</v>
      </c>
      <c r="Q29">
        <f t="shared" si="4"/>
        <v>-5.8771527875866123E-3</v>
      </c>
      <c r="R29">
        <f t="shared" si="4"/>
        <v>-3.0331928831132015E-2</v>
      </c>
      <c r="S29">
        <f t="shared" si="4"/>
        <v>2.777161490633934E-2</v>
      </c>
      <c r="T29">
        <f t="shared" si="4"/>
        <v>1.9852213717315311E-3</v>
      </c>
      <c r="U29">
        <f t="shared" si="4"/>
        <v>-1.5300945958867834E-2</v>
      </c>
      <c r="V29">
        <f t="shared" si="4"/>
        <v>3.5337745390024475E-2</v>
      </c>
      <c r="W29">
        <f t="shared" si="4"/>
        <v>2.7889611603594024E-2</v>
      </c>
      <c r="X29">
        <f t="shared" si="4"/>
        <v>2.532145863425448E-2</v>
      </c>
      <c r="Y29">
        <f t="shared" si="4"/>
        <v>6.376822423840818E-2</v>
      </c>
      <c r="Z29">
        <f t="shared" si="4"/>
        <v>8.2594185501733003E-3</v>
      </c>
      <c r="AA29">
        <f t="shared" si="4"/>
        <v>0.14921660800946052</v>
      </c>
      <c r="AB29">
        <f t="shared" si="4"/>
        <v>0.21826639165499839</v>
      </c>
      <c r="AC29">
        <f t="shared" si="4"/>
        <v>0.12138974990253662</v>
      </c>
      <c r="AD29">
        <f t="shared" si="4"/>
        <v>0.1022472840460396</v>
      </c>
      <c r="AE29">
        <f t="shared" si="4"/>
        <v>0.23507463352551403</v>
      </c>
      <c r="AF29">
        <f t="shared" si="4"/>
        <v>0.24421839985278621</v>
      </c>
      <c r="AG29">
        <f t="shared" si="4"/>
        <v>0.10473343362263526</v>
      </c>
      <c r="AH29">
        <f t="shared" si="4"/>
        <v>0.13084778521112136</v>
      </c>
      <c r="AI29">
        <f t="shared" si="4"/>
        <v>1.2434206468252952E-2</v>
      </c>
      <c r="AJ29">
        <f t="shared" si="4"/>
        <v>4.1320728944227378E-2</v>
      </c>
      <c r="AK29">
        <f t="shared" si="4"/>
        <v>7.0596459538726869E-2</v>
      </c>
      <c r="AL29">
        <f t="shared" si="4"/>
        <v>1.1697761249116582E-2</v>
      </c>
      <c r="AM29">
        <f t="shared" si="4"/>
        <v>1.3503491622920989E-2</v>
      </c>
      <c r="AN29">
        <f t="shared" si="4"/>
        <v>2.909836977407473E-2</v>
      </c>
      <c r="AO29">
        <f t="shared" si="4"/>
        <v>-6.9583074101982204E-3</v>
      </c>
      <c r="AP29">
        <f t="shared" si="4"/>
        <v>2.7776774109664152E-4</v>
      </c>
      <c r="AQ29">
        <f t="shared" si="4"/>
        <v>-9.5750558788360984E-3</v>
      </c>
      <c r="AR29">
        <f t="shared" si="4"/>
        <v>1.4006071066201579E-2</v>
      </c>
      <c r="AS29">
        <f t="shared" si="4"/>
        <v>4.5380111149767371E-3</v>
      </c>
      <c r="AT29">
        <f t="shared" si="4"/>
        <v>1.6888081630796565E-3</v>
      </c>
      <c r="AU29">
        <f t="shared" si="4"/>
        <v>1.8048095068169123E-2</v>
      </c>
      <c r="AV29">
        <f t="shared" si="4"/>
        <v>4.065065254652709E-2</v>
      </c>
      <c r="AW29">
        <f t="shared" si="4"/>
        <v>0.11376834846346155</v>
      </c>
      <c r="AX29">
        <f t="shared" si="4"/>
        <v>0.1536388905592512</v>
      </c>
      <c r="AY29">
        <f t="shared" si="4"/>
        <v>0.13254276491785319</v>
      </c>
      <c r="AZ29">
        <f t="shared" si="4"/>
        <v>-5.3636143871719022E-3</v>
      </c>
      <c r="BA29">
        <f t="shared" si="4"/>
        <v>3.6562705071659552E-3</v>
      </c>
      <c r="BB29">
        <f t="shared" si="4"/>
        <v>4.0494617049188393E-2</v>
      </c>
      <c r="BC29">
        <f t="shared" si="4"/>
        <v>4.7022971647517453E-2</v>
      </c>
      <c r="BD29">
        <f t="shared" si="4"/>
        <v>1.9770896532018158E-2</v>
      </c>
      <c r="BE29">
        <f t="shared" si="4"/>
        <v>-1.0999481625186755E-2</v>
      </c>
      <c r="BF29">
        <f t="shared" si="4"/>
        <v>1.073163753324511E-2</v>
      </c>
      <c r="BG29">
        <f t="shared" si="4"/>
        <v>-1.1805254970430725E-2</v>
      </c>
      <c r="BH29">
        <f t="shared" si="4"/>
        <v>1.3769772040710499E-2</v>
      </c>
      <c r="BI29">
        <f t="shared" si="4"/>
        <v>1.7708273251521905E-3</v>
      </c>
      <c r="BJ29">
        <f t="shared" si="4"/>
        <v>1.6576646716173503E-2</v>
      </c>
      <c r="BK29">
        <f t="shared" si="4"/>
        <v>2.737088526228789E-2</v>
      </c>
      <c r="BL29">
        <f t="shared" si="4"/>
        <v>-1.7987575704284436E-3</v>
      </c>
      <c r="BM29">
        <f t="shared" si="4"/>
        <v>1.0836773405256349E-2</v>
      </c>
      <c r="BN29">
        <f t="shared" si="4"/>
        <v>6.4994879768425828E-2</v>
      </c>
      <c r="BO29">
        <f t="shared" si="4"/>
        <v>-1.0054869173957908E-2</v>
      </c>
      <c r="BP29">
        <f t="shared" ref="BP29:DH29" si="5">AVERAGE(BP2:BP12)</f>
        <v>3.6273338301680336E-2</v>
      </c>
      <c r="BQ29">
        <f t="shared" si="5"/>
        <v>7.5358287631944396E-2</v>
      </c>
      <c r="BR29">
        <f t="shared" si="5"/>
        <v>3.1697549066935268E-2</v>
      </c>
      <c r="BS29">
        <f t="shared" si="5"/>
        <v>1.9852840009052682E-2</v>
      </c>
      <c r="BT29">
        <f t="shared" si="5"/>
        <v>1.7858399915566928E-2</v>
      </c>
      <c r="BU29">
        <f t="shared" si="5"/>
        <v>3.714058008140509E-2</v>
      </c>
      <c r="BV29">
        <f t="shared" si="5"/>
        <v>8.5170456437360181E-2</v>
      </c>
      <c r="BW29">
        <f t="shared" si="5"/>
        <v>7.2901178758907779E-3</v>
      </c>
      <c r="BX29">
        <f t="shared" si="5"/>
        <v>2.5021711940059976E-2</v>
      </c>
      <c r="BY29">
        <f t="shared" si="5"/>
        <v>7.7123173990736704E-2</v>
      </c>
      <c r="BZ29">
        <f t="shared" si="5"/>
        <v>2.6357396807320844E-2</v>
      </c>
      <c r="CA29">
        <f t="shared" si="5"/>
        <v>-7.6277449941855816E-3</v>
      </c>
      <c r="CB29">
        <f t="shared" si="5"/>
        <v>-3.0331928831132015E-2</v>
      </c>
      <c r="CC29">
        <f t="shared" si="5"/>
        <v>-3.0141457548726993E-3</v>
      </c>
      <c r="CD29">
        <f t="shared" si="5"/>
        <v>2.8746114604035988E-2</v>
      </c>
      <c r="CE29">
        <f t="shared" si="5"/>
        <v>-2.8502584508291085E-3</v>
      </c>
      <c r="CF29">
        <f t="shared" si="5"/>
        <v>0.12658372997463319</v>
      </c>
      <c r="CG29">
        <f t="shared" si="5"/>
        <v>4.4559316441888921E-3</v>
      </c>
      <c r="CH29">
        <f t="shared" si="5"/>
        <v>1.7216443897722065E-2</v>
      </c>
      <c r="CI29">
        <f t="shared" si="5"/>
        <v>3.5715778605081004E-3</v>
      </c>
      <c r="CJ29">
        <f t="shared" si="5"/>
        <v>2.0495196177591209E-2</v>
      </c>
      <c r="CK29">
        <f t="shared" si="5"/>
        <v>-1.0535649765509518E-2</v>
      </c>
      <c r="CL29">
        <f t="shared" si="5"/>
        <v>7.8493849217428739E-3</v>
      </c>
      <c r="CM29">
        <f t="shared" si="5"/>
        <v>3.8359282181883838E-3</v>
      </c>
      <c r="CN29">
        <f t="shared" si="5"/>
        <v>4.8937582540261367E-3</v>
      </c>
      <c r="CO29">
        <f t="shared" si="5"/>
        <v>-3.0186449035543347E-3</v>
      </c>
      <c r="CP29">
        <f t="shared" si="5"/>
        <v>2.8411469339579443E-2</v>
      </c>
      <c r="CQ29">
        <f t="shared" si="5"/>
        <v>8.0918774975775268E-3</v>
      </c>
      <c r="CR29">
        <f t="shared" si="5"/>
        <v>2.7128670389721044E-2</v>
      </c>
      <c r="CS29">
        <f t="shared" si="5"/>
        <v>1.6254908962441818E-3</v>
      </c>
      <c r="CT29">
        <f t="shared" si="5"/>
        <v>1.2696123190841619E-2</v>
      </c>
      <c r="CU29">
        <f t="shared" si="5"/>
        <v>-1.7188230523224879E-2</v>
      </c>
      <c r="CV29">
        <f t="shared" si="5"/>
        <v>2.1164901617320247E-2</v>
      </c>
      <c r="CW29">
        <f t="shared" si="5"/>
        <v>1.0059106943940226E-2</v>
      </c>
      <c r="CX29">
        <f t="shared" si="5"/>
        <v>1.4614771435843216E-2</v>
      </c>
      <c r="CY29">
        <f t="shared" si="5"/>
        <v>4.7423869635581789E-2</v>
      </c>
      <c r="CZ29">
        <f t="shared" si="5"/>
        <v>4.1411769813760761E-2</v>
      </c>
      <c r="DA29">
        <f t="shared" si="5"/>
        <v>8.3124669022236614E-2</v>
      </c>
      <c r="DB29">
        <f t="shared" si="5"/>
        <v>7.1002738829632442E-2</v>
      </c>
      <c r="DC29">
        <f t="shared" si="5"/>
        <v>5.5078036725660764E-2</v>
      </c>
      <c r="DD29">
        <f t="shared" si="5"/>
        <v>2.1501019859717432E-2</v>
      </c>
      <c r="DE29">
        <f t="shared" si="5"/>
        <v>1.2030946398460163E-2</v>
      </c>
      <c r="DF29">
        <f t="shared" si="5"/>
        <v>2.8120852735836585E-3</v>
      </c>
      <c r="DG29">
        <f t="shared" si="5"/>
        <v>-7.5196100919328046E-5</v>
      </c>
      <c r="DH29">
        <f t="shared" si="5"/>
        <v>9.4626468040170091E-3</v>
      </c>
    </row>
    <row r="30" spans="1:112" x14ac:dyDescent="0.25">
      <c r="A30" s="220" t="s">
        <v>264</v>
      </c>
      <c r="B30" s="220"/>
      <c r="C30">
        <f>AVERAGE(C18:C25)</f>
        <v>0.15833441499270706</v>
      </c>
      <c r="D30">
        <f t="shared" ref="D30:BO30" si="6">AVERAGE(D18:D25)</f>
        <v>-9.144144996614556E-2</v>
      </c>
      <c r="E30">
        <f t="shared" si="6"/>
        <v>7.7325657723504831E-2</v>
      </c>
      <c r="F30">
        <f t="shared" si="6"/>
        <v>0.20214511169671645</v>
      </c>
      <c r="G30">
        <f t="shared" si="6"/>
        <v>0.12796712056235893</v>
      </c>
      <c r="H30">
        <f t="shared" si="6"/>
        <v>0.36677665478295002</v>
      </c>
      <c r="I30">
        <f t="shared" si="6"/>
        <v>0.36862131445707746</v>
      </c>
      <c r="J30">
        <f t="shared" si="6"/>
        <v>0.33144035566685065</v>
      </c>
      <c r="K30">
        <f t="shared" si="6"/>
        <v>0.37231662524226966</v>
      </c>
      <c r="L30">
        <f t="shared" si="6"/>
        <v>0.34924793521566672</v>
      </c>
      <c r="M30">
        <f t="shared" si="6"/>
        <v>0.37521241805551697</v>
      </c>
      <c r="N30">
        <f t="shared" si="6"/>
        <v>0.24437698751076758</v>
      </c>
      <c r="O30">
        <f t="shared" si="6"/>
        <v>-0.37763019212271537</v>
      </c>
      <c r="P30">
        <f t="shared" si="6"/>
        <v>-0.30878886466958716</v>
      </c>
      <c r="Q30">
        <f t="shared" si="6"/>
        <v>-0.2825811273037821</v>
      </c>
      <c r="R30">
        <f t="shared" si="6"/>
        <v>-0.24928298959600889</v>
      </c>
      <c r="S30">
        <f t="shared" si="6"/>
        <v>-9.6350500823724511E-2</v>
      </c>
      <c r="T30">
        <f t="shared" si="6"/>
        <v>-0.10861023054201972</v>
      </c>
      <c r="U30">
        <f t="shared" si="6"/>
        <v>0.11805584450539404</v>
      </c>
      <c r="V30">
        <f t="shared" si="6"/>
        <v>-5.8994884438703592E-2</v>
      </c>
      <c r="W30">
        <f t="shared" si="6"/>
        <v>9.8873299806450266E-2</v>
      </c>
      <c r="X30">
        <f t="shared" si="6"/>
        <v>6.037945208694645E-2</v>
      </c>
      <c r="Y30">
        <f t="shared" si="6"/>
        <v>-0.10512343383218745</v>
      </c>
      <c r="Z30">
        <f t="shared" si="6"/>
        <v>-3.2915420574406808E-2</v>
      </c>
      <c r="AA30">
        <f t="shared" si="6"/>
        <v>0.13589074843164511</v>
      </c>
      <c r="AB30">
        <f t="shared" si="6"/>
        <v>-6.2057565089040423E-2</v>
      </c>
      <c r="AC30">
        <f t="shared" si="6"/>
        <v>0.16303804028346391</v>
      </c>
      <c r="AD30">
        <f t="shared" si="6"/>
        <v>5.5725402588817245E-2</v>
      </c>
      <c r="AE30">
        <f t="shared" si="6"/>
        <v>0.22524195246460002</v>
      </c>
      <c r="AF30">
        <f t="shared" si="6"/>
        <v>-2.8037567682700874E-3</v>
      </c>
      <c r="AG30">
        <f t="shared" si="6"/>
        <v>6.865976449570925E-3</v>
      </c>
      <c r="AH30">
        <f t="shared" si="6"/>
        <v>-5.419932714391483E-2</v>
      </c>
      <c r="AI30">
        <f t="shared" si="6"/>
        <v>-2.1971961357967595E-2</v>
      </c>
      <c r="AJ30">
        <f t="shared" si="6"/>
        <v>-2.0013172761837155E-2</v>
      </c>
      <c r="AK30">
        <f t="shared" si="6"/>
        <v>0.13826035554005228</v>
      </c>
      <c r="AL30">
        <f t="shared" si="6"/>
        <v>-5.6911070000618284E-2</v>
      </c>
      <c r="AM30">
        <f t="shared" si="6"/>
        <v>-0.11430880260744546</v>
      </c>
      <c r="AN30">
        <f t="shared" si="6"/>
        <v>-3.5995743472967218E-2</v>
      </c>
      <c r="AO30">
        <f t="shared" si="6"/>
        <v>-0.27133179102864624</v>
      </c>
      <c r="AP30">
        <f t="shared" si="6"/>
        <v>-0.15470949037635395</v>
      </c>
      <c r="AQ30">
        <f t="shared" si="6"/>
        <v>-0.22773679056190951</v>
      </c>
      <c r="AR30">
        <f t="shared" si="6"/>
        <v>-0.14617809679194996</v>
      </c>
      <c r="AS30">
        <f t="shared" si="6"/>
        <v>-0.15995391485612101</v>
      </c>
      <c r="AT30">
        <f t="shared" si="6"/>
        <v>-0.21137499544290131</v>
      </c>
      <c r="AU30">
        <f t="shared" si="6"/>
        <v>-0.14225410359171881</v>
      </c>
      <c r="AV30">
        <f t="shared" si="6"/>
        <v>-0.33700979116257462</v>
      </c>
      <c r="AW30">
        <f t="shared" si="6"/>
        <v>-0.4641049203474053</v>
      </c>
      <c r="AX30">
        <f t="shared" si="6"/>
        <v>-0.5162877918371328</v>
      </c>
      <c r="AY30">
        <f t="shared" si="6"/>
        <v>-0.47879681001698204</v>
      </c>
      <c r="AZ30">
        <f t="shared" si="6"/>
        <v>-0.4352258290382936</v>
      </c>
      <c r="BA30">
        <f t="shared" si="6"/>
        <v>-0.2382395483113513</v>
      </c>
      <c r="BB30">
        <f t="shared" si="6"/>
        <v>0.16564816444217548</v>
      </c>
      <c r="BC30">
        <f t="shared" si="6"/>
        <v>-0.15927404115545996</v>
      </c>
      <c r="BD30">
        <f t="shared" si="6"/>
        <v>-9.8626126174552547E-2</v>
      </c>
      <c r="BE30">
        <f t="shared" si="6"/>
        <v>-0.20401335066055973</v>
      </c>
      <c r="BF30">
        <f t="shared" si="6"/>
        <v>0.28464835231593638</v>
      </c>
      <c r="BG30">
        <f t="shared" si="6"/>
        <v>0.31542384758019409</v>
      </c>
      <c r="BH30">
        <f t="shared" si="6"/>
        <v>0.41720458923844977</v>
      </c>
      <c r="BI30">
        <f t="shared" si="6"/>
        <v>0.26070016013752489</v>
      </c>
      <c r="BJ30">
        <f t="shared" si="6"/>
        <v>0.41842860607225307</v>
      </c>
      <c r="BK30">
        <f t="shared" si="6"/>
        <v>0.42009368473072994</v>
      </c>
      <c r="BL30">
        <f t="shared" si="6"/>
        <v>0.20849089255548109</v>
      </c>
      <c r="BM30">
        <f t="shared" si="6"/>
        <v>0.37129653233790672</v>
      </c>
      <c r="BN30">
        <f t="shared" si="6"/>
        <v>7.5444392389779721E-2</v>
      </c>
      <c r="BO30">
        <f t="shared" si="6"/>
        <v>-0.12998557363493907</v>
      </c>
      <c r="BP30">
        <f t="shared" ref="BP30:DH30" si="7">AVERAGE(BP18:BP25)</f>
        <v>0.18745923924557972</v>
      </c>
      <c r="BQ30">
        <f t="shared" si="7"/>
        <v>0.26711876216035368</v>
      </c>
      <c r="BR30">
        <f t="shared" si="7"/>
        <v>0.21132377823589796</v>
      </c>
      <c r="BS30">
        <f t="shared" si="7"/>
        <v>8.4945113224138391E-2</v>
      </c>
      <c r="BT30">
        <f t="shared" si="7"/>
        <v>0.33051198788729874</v>
      </c>
      <c r="BU30">
        <f t="shared" si="7"/>
        <v>0.50592701126981976</v>
      </c>
      <c r="BV30">
        <f t="shared" si="7"/>
        <v>0.50195492035121814</v>
      </c>
      <c r="BW30">
        <f t="shared" si="7"/>
        <v>0.33805451294156119</v>
      </c>
      <c r="BX30">
        <f t="shared" si="7"/>
        <v>0.43949031784645565</v>
      </c>
      <c r="BY30">
        <f t="shared" si="7"/>
        <v>0.28852621997030331</v>
      </c>
      <c r="BZ30">
        <f t="shared" si="7"/>
        <v>0.19012385276647614</v>
      </c>
      <c r="CA30">
        <f t="shared" si="7"/>
        <v>0.18946559727297235</v>
      </c>
      <c r="CB30">
        <f t="shared" si="7"/>
        <v>0.28623971113190305</v>
      </c>
      <c r="CC30">
        <f t="shared" si="7"/>
        <v>0.23216836819327905</v>
      </c>
      <c r="CD30">
        <f t="shared" si="7"/>
        <v>0.13196985055706056</v>
      </c>
      <c r="CE30">
        <f t="shared" si="7"/>
        <v>0.25655862667365198</v>
      </c>
      <c r="CF30">
        <f t="shared" si="7"/>
        <v>0.15108499531580599</v>
      </c>
      <c r="CG30">
        <f t="shared" si="7"/>
        <v>-0.22568204303440834</v>
      </c>
      <c r="CH30">
        <f t="shared" si="7"/>
        <v>5.3936689523258488E-2</v>
      </c>
      <c r="CI30">
        <f t="shared" si="7"/>
        <v>9.627319772736076E-2</v>
      </c>
      <c r="CJ30">
        <f t="shared" si="7"/>
        <v>0.13296070893309186</v>
      </c>
      <c r="CK30">
        <f t="shared" si="7"/>
        <v>-5.6061366584977568E-2</v>
      </c>
      <c r="CL30">
        <f t="shared" si="7"/>
        <v>0.10388049836596236</v>
      </c>
      <c r="CM30">
        <f t="shared" si="7"/>
        <v>1.9493988336052426E-2</v>
      </c>
      <c r="CN30">
        <f t="shared" si="7"/>
        <v>6.8082872616421694E-2</v>
      </c>
      <c r="CO30">
        <f t="shared" si="7"/>
        <v>0.1634404907839864</v>
      </c>
      <c r="CP30">
        <f t="shared" si="7"/>
        <v>0.12195491274660679</v>
      </c>
      <c r="CQ30">
        <f t="shared" si="7"/>
        <v>7.4810215155058507E-2</v>
      </c>
      <c r="CR30">
        <f t="shared" si="7"/>
        <v>8.1241763201054223E-2</v>
      </c>
      <c r="CS30">
        <f t="shared" si="7"/>
        <v>8.2438799531204018E-2</v>
      </c>
      <c r="CT30">
        <f t="shared" si="7"/>
        <v>8.4721534263691126E-2</v>
      </c>
      <c r="CU30">
        <f t="shared" si="7"/>
        <v>0.11129005047773206</v>
      </c>
      <c r="CV30">
        <f t="shared" si="7"/>
        <v>6.4144667631145666E-2</v>
      </c>
      <c r="CW30">
        <f t="shared" si="7"/>
        <v>3.6986004928518064E-2</v>
      </c>
      <c r="CX30">
        <f t="shared" si="7"/>
        <v>0.19916885157149078</v>
      </c>
      <c r="CY30">
        <f t="shared" si="7"/>
        <v>0.17700613476420493</v>
      </c>
      <c r="CZ30">
        <f t="shared" si="7"/>
        <v>7.4918893253383564E-2</v>
      </c>
      <c r="DA30">
        <f t="shared" si="7"/>
        <v>-2.0662157470871838E-2</v>
      </c>
      <c r="DB30">
        <f t="shared" si="7"/>
        <v>0.17145006733300891</v>
      </c>
      <c r="DC30">
        <f t="shared" si="7"/>
        <v>3.1856958176065854E-2</v>
      </c>
      <c r="DD30">
        <f t="shared" si="7"/>
        <v>2.9500565787582707E-2</v>
      </c>
      <c r="DE30">
        <f t="shared" si="7"/>
        <v>-3.2944952791578684E-2</v>
      </c>
      <c r="DF30">
        <f t="shared" si="7"/>
        <v>-7.2022276137335667E-2</v>
      </c>
      <c r="DG30">
        <f t="shared" si="7"/>
        <v>5.6165628513347367E-2</v>
      </c>
      <c r="DH30">
        <f t="shared" si="7"/>
        <v>0.27224288620112669</v>
      </c>
    </row>
    <row r="31" spans="1:112" x14ac:dyDescent="0.25">
      <c r="A31" s="220" t="s">
        <v>268</v>
      </c>
      <c r="B31" s="220"/>
      <c r="C31">
        <f>MAX(C29:C30)</f>
        <v>0.15833441499270706</v>
      </c>
      <c r="D31">
        <f t="shared" ref="D31:BO31" si="8">MAX(D29:D30)</f>
        <v>0.13422404700482995</v>
      </c>
      <c r="E31">
        <f t="shared" si="8"/>
        <v>9.813229254772686E-2</v>
      </c>
      <c r="F31">
        <f t="shared" si="8"/>
        <v>0.20214511169671645</v>
      </c>
      <c r="G31">
        <f t="shared" si="8"/>
        <v>0.12796712056235893</v>
      </c>
      <c r="H31">
        <f t="shared" si="8"/>
        <v>0.36677665478295002</v>
      </c>
      <c r="I31">
        <f t="shared" si="8"/>
        <v>0.36862131445707746</v>
      </c>
      <c r="J31">
        <f t="shared" si="8"/>
        <v>0.33144035566685065</v>
      </c>
      <c r="K31">
        <f t="shared" si="8"/>
        <v>0.37231662524226966</v>
      </c>
      <c r="L31">
        <f t="shared" si="8"/>
        <v>0.34924793521566672</v>
      </c>
      <c r="M31">
        <f t="shared" si="8"/>
        <v>0.37521241805551697</v>
      </c>
      <c r="N31">
        <f t="shared" si="8"/>
        <v>0.24437698751076758</v>
      </c>
      <c r="O31">
        <f t="shared" si="8"/>
        <v>-1.8870770078882181E-2</v>
      </c>
      <c r="P31">
        <f t="shared" si="8"/>
        <v>-1.0829903358430239E-2</v>
      </c>
      <c r="Q31">
        <f t="shared" si="8"/>
        <v>-5.8771527875866123E-3</v>
      </c>
      <c r="R31">
        <f t="shared" si="8"/>
        <v>-3.0331928831132015E-2</v>
      </c>
      <c r="S31">
        <f t="shared" si="8"/>
        <v>2.777161490633934E-2</v>
      </c>
      <c r="T31">
        <f t="shared" si="8"/>
        <v>1.9852213717315311E-3</v>
      </c>
      <c r="U31">
        <f t="shared" si="8"/>
        <v>0.11805584450539404</v>
      </c>
      <c r="V31">
        <f t="shared" si="8"/>
        <v>3.5337745390024475E-2</v>
      </c>
      <c r="W31">
        <f t="shared" si="8"/>
        <v>9.8873299806450266E-2</v>
      </c>
      <c r="X31">
        <f t="shared" si="8"/>
        <v>6.037945208694645E-2</v>
      </c>
      <c r="Y31">
        <f t="shared" si="8"/>
        <v>6.376822423840818E-2</v>
      </c>
      <c r="Z31">
        <f t="shared" si="8"/>
        <v>8.2594185501733003E-3</v>
      </c>
      <c r="AA31">
        <f t="shared" si="8"/>
        <v>0.14921660800946052</v>
      </c>
      <c r="AB31">
        <f t="shared" si="8"/>
        <v>0.21826639165499839</v>
      </c>
      <c r="AC31">
        <f t="shared" si="8"/>
        <v>0.16303804028346391</v>
      </c>
      <c r="AD31">
        <f t="shared" si="8"/>
        <v>0.1022472840460396</v>
      </c>
      <c r="AE31">
        <f t="shared" si="8"/>
        <v>0.23507463352551403</v>
      </c>
      <c r="AF31">
        <f t="shared" si="8"/>
        <v>0.24421839985278621</v>
      </c>
      <c r="AG31">
        <f t="shared" si="8"/>
        <v>0.10473343362263526</v>
      </c>
      <c r="AH31">
        <f t="shared" si="8"/>
        <v>0.13084778521112136</v>
      </c>
      <c r="AI31">
        <f t="shared" si="8"/>
        <v>1.2434206468252952E-2</v>
      </c>
      <c r="AJ31">
        <f t="shared" si="8"/>
        <v>4.1320728944227378E-2</v>
      </c>
      <c r="AK31">
        <f t="shared" si="8"/>
        <v>0.13826035554005228</v>
      </c>
      <c r="AL31">
        <f t="shared" si="8"/>
        <v>1.1697761249116582E-2</v>
      </c>
      <c r="AM31">
        <f t="shared" si="8"/>
        <v>1.3503491622920989E-2</v>
      </c>
      <c r="AN31">
        <f t="shared" si="8"/>
        <v>2.909836977407473E-2</v>
      </c>
      <c r="AO31">
        <f t="shared" si="8"/>
        <v>-6.9583074101982204E-3</v>
      </c>
      <c r="AP31">
        <f t="shared" si="8"/>
        <v>2.7776774109664152E-4</v>
      </c>
      <c r="AQ31">
        <f t="shared" si="8"/>
        <v>-9.5750558788360984E-3</v>
      </c>
      <c r="AR31">
        <f t="shared" si="8"/>
        <v>1.4006071066201579E-2</v>
      </c>
      <c r="AS31">
        <f t="shared" si="8"/>
        <v>4.5380111149767371E-3</v>
      </c>
      <c r="AT31">
        <f t="shared" si="8"/>
        <v>1.6888081630796565E-3</v>
      </c>
      <c r="AU31">
        <f t="shared" si="8"/>
        <v>1.8048095068169123E-2</v>
      </c>
      <c r="AV31">
        <f t="shared" si="8"/>
        <v>4.065065254652709E-2</v>
      </c>
      <c r="AW31">
        <f t="shared" si="8"/>
        <v>0.11376834846346155</v>
      </c>
      <c r="AX31">
        <f t="shared" si="8"/>
        <v>0.1536388905592512</v>
      </c>
      <c r="AY31">
        <f t="shared" si="8"/>
        <v>0.13254276491785319</v>
      </c>
      <c r="AZ31">
        <f t="shared" si="8"/>
        <v>-5.3636143871719022E-3</v>
      </c>
      <c r="BA31">
        <f t="shared" si="8"/>
        <v>3.6562705071659552E-3</v>
      </c>
      <c r="BB31">
        <f t="shared" si="8"/>
        <v>0.16564816444217548</v>
      </c>
      <c r="BC31">
        <f t="shared" si="8"/>
        <v>4.7022971647517453E-2</v>
      </c>
      <c r="BD31">
        <f t="shared" si="8"/>
        <v>1.9770896532018158E-2</v>
      </c>
      <c r="BE31">
        <f t="shared" si="8"/>
        <v>-1.0999481625186755E-2</v>
      </c>
      <c r="BF31">
        <f t="shared" si="8"/>
        <v>0.28464835231593638</v>
      </c>
      <c r="BG31">
        <f t="shared" si="8"/>
        <v>0.31542384758019409</v>
      </c>
      <c r="BH31">
        <f t="shared" si="8"/>
        <v>0.41720458923844977</v>
      </c>
      <c r="BI31">
        <f t="shared" si="8"/>
        <v>0.26070016013752489</v>
      </c>
      <c r="BJ31">
        <f t="shared" si="8"/>
        <v>0.41842860607225307</v>
      </c>
      <c r="BK31">
        <f t="shared" si="8"/>
        <v>0.42009368473072994</v>
      </c>
      <c r="BL31">
        <f t="shared" si="8"/>
        <v>0.20849089255548109</v>
      </c>
      <c r="BM31">
        <f t="shared" si="8"/>
        <v>0.37129653233790672</v>
      </c>
      <c r="BN31">
        <f t="shared" si="8"/>
        <v>7.5444392389779721E-2</v>
      </c>
      <c r="BO31">
        <f t="shared" si="8"/>
        <v>-1.0054869173957908E-2</v>
      </c>
      <c r="BP31">
        <f t="shared" ref="BP31:DH31" si="9">MAX(BP29:BP30)</f>
        <v>0.18745923924557972</v>
      </c>
      <c r="BQ31">
        <f t="shared" si="9"/>
        <v>0.26711876216035368</v>
      </c>
      <c r="BR31">
        <f t="shared" si="9"/>
        <v>0.21132377823589796</v>
      </c>
      <c r="BS31">
        <f t="shared" si="9"/>
        <v>8.4945113224138391E-2</v>
      </c>
      <c r="BT31">
        <f t="shared" si="9"/>
        <v>0.33051198788729874</v>
      </c>
      <c r="BU31">
        <f t="shared" si="9"/>
        <v>0.50592701126981976</v>
      </c>
      <c r="BV31">
        <f t="shared" si="9"/>
        <v>0.50195492035121814</v>
      </c>
      <c r="BW31">
        <f t="shared" si="9"/>
        <v>0.33805451294156119</v>
      </c>
      <c r="BX31">
        <f t="shared" si="9"/>
        <v>0.43949031784645565</v>
      </c>
      <c r="BY31">
        <f t="shared" si="9"/>
        <v>0.28852621997030331</v>
      </c>
      <c r="BZ31">
        <f t="shared" si="9"/>
        <v>0.19012385276647614</v>
      </c>
      <c r="CA31">
        <f t="shared" si="9"/>
        <v>0.18946559727297235</v>
      </c>
      <c r="CB31">
        <f t="shared" si="9"/>
        <v>0.28623971113190305</v>
      </c>
      <c r="CC31">
        <f t="shared" si="9"/>
        <v>0.23216836819327905</v>
      </c>
      <c r="CD31">
        <f t="shared" si="9"/>
        <v>0.13196985055706056</v>
      </c>
      <c r="CE31">
        <f t="shared" si="9"/>
        <v>0.25655862667365198</v>
      </c>
      <c r="CF31">
        <f t="shared" si="9"/>
        <v>0.15108499531580599</v>
      </c>
      <c r="CG31">
        <f t="shared" si="9"/>
        <v>4.4559316441888921E-3</v>
      </c>
      <c r="CH31">
        <f t="shared" si="9"/>
        <v>5.3936689523258488E-2</v>
      </c>
      <c r="CI31">
        <f t="shared" si="9"/>
        <v>9.627319772736076E-2</v>
      </c>
      <c r="CJ31">
        <f t="shared" si="9"/>
        <v>0.13296070893309186</v>
      </c>
      <c r="CK31">
        <f t="shared" si="9"/>
        <v>-1.0535649765509518E-2</v>
      </c>
      <c r="CL31">
        <f t="shared" si="9"/>
        <v>0.10388049836596236</v>
      </c>
      <c r="CM31">
        <f t="shared" si="9"/>
        <v>1.9493988336052426E-2</v>
      </c>
      <c r="CN31">
        <f t="shared" si="9"/>
        <v>6.8082872616421694E-2</v>
      </c>
      <c r="CO31">
        <f t="shared" si="9"/>
        <v>0.1634404907839864</v>
      </c>
      <c r="CP31">
        <f t="shared" si="9"/>
        <v>0.12195491274660679</v>
      </c>
      <c r="CQ31">
        <f t="shared" si="9"/>
        <v>7.4810215155058507E-2</v>
      </c>
      <c r="CR31">
        <f t="shared" si="9"/>
        <v>8.1241763201054223E-2</v>
      </c>
      <c r="CS31">
        <f t="shared" si="9"/>
        <v>8.2438799531204018E-2</v>
      </c>
      <c r="CT31">
        <f t="shared" si="9"/>
        <v>8.4721534263691126E-2</v>
      </c>
      <c r="CU31">
        <f t="shared" si="9"/>
        <v>0.11129005047773206</v>
      </c>
      <c r="CV31">
        <f t="shared" si="9"/>
        <v>6.4144667631145666E-2</v>
      </c>
      <c r="CW31">
        <f t="shared" si="9"/>
        <v>3.6986004928518064E-2</v>
      </c>
      <c r="CX31">
        <f t="shared" si="9"/>
        <v>0.19916885157149078</v>
      </c>
      <c r="CY31">
        <f t="shared" si="9"/>
        <v>0.17700613476420493</v>
      </c>
      <c r="CZ31">
        <f t="shared" si="9"/>
        <v>7.4918893253383564E-2</v>
      </c>
      <c r="DA31">
        <f t="shared" si="9"/>
        <v>8.3124669022236614E-2</v>
      </c>
      <c r="DB31">
        <f t="shared" si="9"/>
        <v>0.17145006733300891</v>
      </c>
      <c r="DC31">
        <f t="shared" si="9"/>
        <v>5.5078036725660764E-2</v>
      </c>
      <c r="DD31">
        <f t="shared" si="9"/>
        <v>2.9500565787582707E-2</v>
      </c>
      <c r="DE31">
        <f t="shared" si="9"/>
        <v>1.2030946398460163E-2</v>
      </c>
      <c r="DF31">
        <f t="shared" si="9"/>
        <v>2.8120852735836585E-3</v>
      </c>
      <c r="DG31">
        <f t="shared" si="9"/>
        <v>5.6165628513347367E-2</v>
      </c>
      <c r="DH31">
        <f t="shared" si="9"/>
        <v>0.27224288620112669</v>
      </c>
    </row>
    <row r="33" spans="1:11" x14ac:dyDescent="0.25">
      <c r="A33" s="220" t="s">
        <v>260</v>
      </c>
      <c r="B33" s="220"/>
      <c r="D33" s="220" t="s">
        <v>261</v>
      </c>
      <c r="E33" s="220"/>
      <c r="G33" s="220" t="s">
        <v>269</v>
      </c>
      <c r="H33" s="220"/>
      <c r="I33" s="220"/>
      <c r="K33" s="15" t="s">
        <v>270</v>
      </c>
    </row>
    <row r="34" spans="1:11" x14ac:dyDescent="0.25">
      <c r="A34" s="16" t="s">
        <v>86</v>
      </c>
      <c r="B34">
        <v>0.27896293783614168</v>
      </c>
      <c r="D34" s="16" t="s">
        <v>86</v>
      </c>
      <c r="E34">
        <v>0.57917011381923211</v>
      </c>
      <c r="G34" s="16" t="s">
        <v>145</v>
      </c>
      <c r="H34">
        <v>0.50592701126981976</v>
      </c>
    </row>
    <row r="35" spans="1:11" x14ac:dyDescent="0.25">
      <c r="A35" s="58" t="s">
        <v>79</v>
      </c>
      <c r="B35">
        <v>0.27105096220982722</v>
      </c>
      <c r="D35" s="58" t="s">
        <v>76</v>
      </c>
      <c r="E35">
        <v>0.57751200200642527</v>
      </c>
      <c r="G35" s="16" t="s">
        <v>146</v>
      </c>
      <c r="H35">
        <v>0.50195492035121814</v>
      </c>
    </row>
    <row r="36" spans="1:11" x14ac:dyDescent="0.25">
      <c r="A36" s="16" t="s">
        <v>84</v>
      </c>
      <c r="B36">
        <v>0.26382873381823257</v>
      </c>
      <c r="D36" s="16" t="s">
        <v>87</v>
      </c>
      <c r="E36">
        <v>0.52727245327089189</v>
      </c>
      <c r="G36" s="16" t="s">
        <v>148</v>
      </c>
      <c r="H36">
        <v>0.43949031784645565</v>
      </c>
    </row>
    <row r="37" spans="1:11" x14ac:dyDescent="0.25">
      <c r="A37" s="16" t="s">
        <v>83</v>
      </c>
      <c r="B37">
        <v>0.25772187759917659</v>
      </c>
      <c r="D37" s="16" t="s">
        <v>83</v>
      </c>
      <c r="E37">
        <v>0.52183728177367839</v>
      </c>
      <c r="G37" s="16" t="s">
        <v>136</v>
      </c>
      <c r="H37">
        <v>0.42009368473072994</v>
      </c>
    </row>
    <row r="38" spans="1:11" x14ac:dyDescent="0.25">
      <c r="A38" s="16" t="s">
        <v>85</v>
      </c>
      <c r="B38">
        <v>0.24937976863556055</v>
      </c>
      <c r="D38" s="16" t="s">
        <v>110</v>
      </c>
      <c r="E38">
        <v>0.50439476162175656</v>
      </c>
      <c r="G38" s="16" t="s">
        <v>135</v>
      </c>
      <c r="H38">
        <v>0.41842860607225307</v>
      </c>
    </row>
    <row r="39" spans="1:11" x14ac:dyDescent="0.25">
      <c r="A39" s="16" t="s">
        <v>82</v>
      </c>
      <c r="B39">
        <v>0.24761215496620526</v>
      </c>
      <c r="D39" s="58" t="s">
        <v>79</v>
      </c>
      <c r="E39">
        <v>0.5022562640061109</v>
      </c>
      <c r="G39" s="16" t="s">
        <v>133</v>
      </c>
      <c r="H39">
        <v>0.41720458923844977</v>
      </c>
    </row>
    <row r="40" spans="1:11" x14ac:dyDescent="0.25">
      <c r="A40" s="16" t="s">
        <v>87</v>
      </c>
      <c r="B40">
        <v>0.24696762475135448</v>
      </c>
      <c r="D40" s="58" t="s">
        <v>77</v>
      </c>
      <c r="E40">
        <v>0.48432743547716861</v>
      </c>
      <c r="G40" s="16" t="s">
        <v>86</v>
      </c>
      <c r="H40">
        <v>0.37521241805551697</v>
      </c>
    </row>
    <row r="41" spans="1:11" x14ac:dyDescent="0.25">
      <c r="A41" s="16" t="s">
        <v>104</v>
      </c>
      <c r="B41">
        <v>0.2306287624678742</v>
      </c>
      <c r="D41" s="16" t="s">
        <v>84</v>
      </c>
      <c r="E41">
        <v>0.46398259763138228</v>
      </c>
      <c r="G41" s="16" t="s">
        <v>84</v>
      </c>
      <c r="H41">
        <v>0.37231662524226966</v>
      </c>
    </row>
    <row r="42" spans="1:11" x14ac:dyDescent="0.25">
      <c r="A42" s="58" t="s">
        <v>77</v>
      </c>
      <c r="B42">
        <v>0.22181059395042735</v>
      </c>
      <c r="D42" s="16" t="s">
        <v>85</v>
      </c>
      <c r="E42">
        <v>0.4486958122720307</v>
      </c>
      <c r="G42" s="16" t="s">
        <v>14</v>
      </c>
      <c r="H42">
        <v>0.37129653233790672</v>
      </c>
    </row>
    <row r="43" spans="1:11" x14ac:dyDescent="0.25">
      <c r="A43" s="16" t="s">
        <v>146</v>
      </c>
      <c r="B43">
        <v>0.21786767850540192</v>
      </c>
      <c r="D43" s="16" t="s">
        <v>109</v>
      </c>
      <c r="E43">
        <v>0.40923656923230417</v>
      </c>
      <c r="G43" s="16" t="s">
        <v>82</v>
      </c>
      <c r="H43">
        <v>0.36862131445707746</v>
      </c>
    </row>
    <row r="44" spans="1:11" x14ac:dyDescent="0.25">
      <c r="A44" s="16" t="s">
        <v>145</v>
      </c>
      <c r="B44">
        <v>0.20038567269047827</v>
      </c>
      <c r="D44" s="16" t="s">
        <v>82</v>
      </c>
      <c r="E44">
        <v>0.39844961408661883</v>
      </c>
      <c r="G44" s="58" t="s">
        <v>79</v>
      </c>
      <c r="H44">
        <v>0.36677665478295002</v>
      </c>
    </row>
    <row r="45" spans="1:11" x14ac:dyDescent="0.25">
      <c r="A45" s="16" t="s">
        <v>136</v>
      </c>
      <c r="B45">
        <v>0.19736583600923693</v>
      </c>
      <c r="D45" s="16" t="s">
        <v>102</v>
      </c>
      <c r="E45">
        <v>0.36806003707578289</v>
      </c>
      <c r="G45" s="16" t="s">
        <v>85</v>
      </c>
      <c r="H45">
        <v>0.34924793521566672</v>
      </c>
    </row>
    <row r="46" spans="1:11" x14ac:dyDescent="0.25">
      <c r="A46" s="58" t="s">
        <v>76</v>
      </c>
      <c r="B46">
        <v>0.19106752041021502</v>
      </c>
      <c r="D46" s="58" t="s">
        <v>75</v>
      </c>
      <c r="E46">
        <v>0.33513847241649736</v>
      </c>
      <c r="G46" s="16" t="s">
        <v>147</v>
      </c>
      <c r="H46">
        <v>0.33805451294156119</v>
      </c>
    </row>
    <row r="47" spans="1:11" x14ac:dyDescent="0.25">
      <c r="A47" s="16" t="s">
        <v>102</v>
      </c>
      <c r="B47">
        <v>0.18666215652393872</v>
      </c>
      <c r="D47" s="13" t="s">
        <v>100</v>
      </c>
      <c r="E47">
        <v>0.33511758696808219</v>
      </c>
      <c r="G47" s="16" t="s">
        <v>83</v>
      </c>
      <c r="H47">
        <v>0.33144035566685065</v>
      </c>
    </row>
    <row r="48" spans="1:11" x14ac:dyDescent="0.25">
      <c r="A48" s="16" t="s">
        <v>110</v>
      </c>
      <c r="B48">
        <v>0.18352573780646655</v>
      </c>
      <c r="D48" s="16" t="s">
        <v>96</v>
      </c>
      <c r="E48">
        <v>0.32646178883928129</v>
      </c>
      <c r="G48" s="16" t="s">
        <v>144</v>
      </c>
      <c r="H48">
        <v>0.33051198788729874</v>
      </c>
    </row>
    <row r="49" spans="1:8" x14ac:dyDescent="0.25">
      <c r="A49" s="13" t="s">
        <v>100</v>
      </c>
      <c r="B49">
        <v>0.18350402543323494</v>
      </c>
      <c r="D49" s="16" t="s">
        <v>103</v>
      </c>
      <c r="E49">
        <v>0.30232259420037949</v>
      </c>
      <c r="G49" s="16" t="s">
        <v>132</v>
      </c>
      <c r="H49">
        <v>0.31542384758019409</v>
      </c>
    </row>
    <row r="50" spans="1:8" x14ac:dyDescent="0.25">
      <c r="A50" s="16" t="s">
        <v>135</v>
      </c>
      <c r="B50">
        <v>0.16489093240865565</v>
      </c>
      <c r="D50" s="58" t="s">
        <v>78</v>
      </c>
      <c r="E50">
        <v>0.30212941899637763</v>
      </c>
      <c r="G50" s="16" t="s">
        <v>149</v>
      </c>
      <c r="H50">
        <v>0.28852621997030331</v>
      </c>
    </row>
    <row r="51" spans="1:8" x14ac:dyDescent="0.25">
      <c r="A51" s="16" t="s">
        <v>149</v>
      </c>
      <c r="B51">
        <v>0.15302628749504393</v>
      </c>
      <c r="D51" s="16" t="s">
        <v>113</v>
      </c>
      <c r="E51">
        <v>0.28142605526880027</v>
      </c>
      <c r="G51" s="16" t="s">
        <v>16</v>
      </c>
      <c r="H51">
        <v>0.28623971113190305</v>
      </c>
    </row>
    <row r="52" spans="1:8" x14ac:dyDescent="0.25">
      <c r="A52" s="16" t="s">
        <v>176</v>
      </c>
      <c r="B52">
        <v>0.14138272063705296</v>
      </c>
      <c r="D52" s="16" t="s">
        <v>93</v>
      </c>
      <c r="E52">
        <v>0.26129680736950051</v>
      </c>
      <c r="G52" s="16" t="s">
        <v>131</v>
      </c>
      <c r="H52">
        <v>0.28464835231593638</v>
      </c>
    </row>
    <row r="53" spans="1:8" x14ac:dyDescent="0.25">
      <c r="A53" s="58" t="s">
        <v>78</v>
      </c>
      <c r="B53">
        <v>0.13631876095115153</v>
      </c>
      <c r="D53" s="16" t="s">
        <v>120</v>
      </c>
      <c r="E53">
        <v>0.23357580130646194</v>
      </c>
      <c r="G53" s="16" t="s">
        <v>176</v>
      </c>
      <c r="H53">
        <v>0.27224288620112669</v>
      </c>
    </row>
    <row r="54" spans="1:8" x14ac:dyDescent="0.25">
      <c r="A54" s="16" t="s">
        <v>105</v>
      </c>
      <c r="B54">
        <v>0.13259165292751338</v>
      </c>
      <c r="D54" s="16" t="s">
        <v>104</v>
      </c>
      <c r="E54">
        <v>0.22946674214630525</v>
      </c>
      <c r="G54" s="13" t="s">
        <v>141</v>
      </c>
      <c r="H54">
        <v>0.26711876216035368</v>
      </c>
    </row>
    <row r="55" spans="1:8" x14ac:dyDescent="0.25">
      <c r="A55" s="16" t="s">
        <v>142</v>
      </c>
      <c r="B55">
        <v>0.1296907162719057</v>
      </c>
      <c r="D55" s="16" t="s">
        <v>176</v>
      </c>
      <c r="E55">
        <v>0.22223061816721401</v>
      </c>
      <c r="G55" s="16" t="s">
        <v>134</v>
      </c>
      <c r="H55">
        <v>0.26070016013752489</v>
      </c>
    </row>
    <row r="56" spans="1:8" x14ac:dyDescent="0.25">
      <c r="A56" s="13" t="s">
        <v>141</v>
      </c>
      <c r="B56">
        <v>0.1294922904030337</v>
      </c>
      <c r="D56" s="16" t="s">
        <v>136</v>
      </c>
      <c r="E56">
        <v>0.21499016969813606</v>
      </c>
      <c r="G56" s="16" t="s">
        <v>153</v>
      </c>
      <c r="H56">
        <v>0.25655862667365198</v>
      </c>
    </row>
    <row r="57" spans="1:8" x14ac:dyDescent="0.25">
      <c r="A57" s="16" t="s">
        <v>103</v>
      </c>
      <c r="B57">
        <v>0.12842234650911963</v>
      </c>
      <c r="D57" s="16" t="s">
        <v>142</v>
      </c>
      <c r="E57">
        <v>0.21466278498045294</v>
      </c>
      <c r="G57" s="16" t="s">
        <v>87</v>
      </c>
      <c r="H57">
        <v>0.24437698751076758</v>
      </c>
    </row>
    <row r="58" spans="1:8" x14ac:dyDescent="0.25">
      <c r="A58" s="16" t="s">
        <v>133</v>
      </c>
      <c r="B58">
        <v>0.12358279987694178</v>
      </c>
      <c r="D58" s="16" t="s">
        <v>112</v>
      </c>
      <c r="E58">
        <v>0.20149525484298417</v>
      </c>
      <c r="G58" s="16" t="s">
        <v>105</v>
      </c>
      <c r="H58">
        <v>0.24421839985278621</v>
      </c>
    </row>
    <row r="59" spans="1:8" x14ac:dyDescent="0.25">
      <c r="A59" s="16" t="s">
        <v>154</v>
      </c>
      <c r="B59">
        <v>0.12111803257389041</v>
      </c>
      <c r="D59" s="16" t="s">
        <v>111</v>
      </c>
      <c r="E59">
        <v>0.18779667374372264</v>
      </c>
      <c r="G59" s="16" t="s">
        <v>104</v>
      </c>
      <c r="H59">
        <v>0.23507463352551403</v>
      </c>
    </row>
    <row r="60" spans="1:8" x14ac:dyDescent="0.25">
      <c r="A60" s="16" t="s">
        <v>148</v>
      </c>
      <c r="B60">
        <v>0.1202765128910296</v>
      </c>
      <c r="D60" s="16" t="s">
        <v>166</v>
      </c>
      <c r="E60">
        <v>0.18230625995270902</v>
      </c>
      <c r="G60" s="16" t="s">
        <v>151</v>
      </c>
      <c r="H60">
        <v>0.23216836819327905</v>
      </c>
    </row>
    <row r="61" spans="1:8" x14ac:dyDescent="0.25">
      <c r="A61" s="16" t="s">
        <v>96</v>
      </c>
      <c r="B61">
        <v>0.11375337792864763</v>
      </c>
      <c r="D61" s="16" t="s">
        <v>129</v>
      </c>
      <c r="E61">
        <v>0.16291236321927616</v>
      </c>
      <c r="G61" s="16" t="s">
        <v>101</v>
      </c>
      <c r="H61">
        <v>0.21826639165499839</v>
      </c>
    </row>
    <row r="62" spans="1:8" x14ac:dyDescent="0.25">
      <c r="A62" s="16" t="s">
        <v>144</v>
      </c>
      <c r="B62">
        <v>0.11295957268396205</v>
      </c>
      <c r="D62" s="16" t="s">
        <v>108</v>
      </c>
      <c r="E62">
        <v>0.15758778757904293</v>
      </c>
      <c r="G62" s="16" t="s">
        <v>142</v>
      </c>
      <c r="H62">
        <v>0.21132377823589796</v>
      </c>
    </row>
    <row r="63" spans="1:8" x14ac:dyDescent="0.25">
      <c r="A63" s="16" t="s">
        <v>166</v>
      </c>
      <c r="B63">
        <v>0.11106852492207275</v>
      </c>
      <c r="D63" s="16" t="s">
        <v>175</v>
      </c>
      <c r="E63">
        <v>0.14533131252033749</v>
      </c>
      <c r="G63" s="16" t="s">
        <v>137</v>
      </c>
      <c r="H63">
        <v>0.20849089255548109</v>
      </c>
    </row>
    <row r="64" spans="1:8" x14ac:dyDescent="0.25">
      <c r="A64" s="16" t="s">
        <v>170</v>
      </c>
      <c r="B64">
        <v>0.11075553840384238</v>
      </c>
      <c r="D64" s="16" t="s">
        <v>99</v>
      </c>
      <c r="E64">
        <v>0.13702457778253713</v>
      </c>
      <c r="G64" s="58" t="s">
        <v>77</v>
      </c>
      <c r="H64">
        <v>0.20214511169671645</v>
      </c>
    </row>
    <row r="65" spans="1:8" x14ac:dyDescent="0.25">
      <c r="A65" s="16" t="s">
        <v>14</v>
      </c>
      <c r="B65">
        <v>0.10908794745755142</v>
      </c>
      <c r="D65" s="16" t="s">
        <v>95</v>
      </c>
      <c r="E65">
        <v>0.11269257792110825</v>
      </c>
      <c r="G65" s="16" t="s">
        <v>166</v>
      </c>
      <c r="H65">
        <v>0.19916885157149078</v>
      </c>
    </row>
    <row r="66" spans="1:8" x14ac:dyDescent="0.25">
      <c r="A66" s="16" t="s">
        <v>153</v>
      </c>
      <c r="B66">
        <v>0.10568469211281278</v>
      </c>
      <c r="D66" s="16" t="s">
        <v>106</v>
      </c>
      <c r="E66">
        <v>0.11084623698130514</v>
      </c>
      <c r="G66" s="16" t="s">
        <v>10</v>
      </c>
      <c r="H66">
        <v>0.19012385276647614</v>
      </c>
    </row>
    <row r="67" spans="1:8" x14ac:dyDescent="0.25">
      <c r="A67" s="58" t="s">
        <v>75</v>
      </c>
      <c r="B67">
        <v>0.10085938664193549</v>
      </c>
      <c r="D67" s="16" t="s">
        <v>161</v>
      </c>
      <c r="E67">
        <v>0.10805248868702125</v>
      </c>
      <c r="G67" s="16" t="s">
        <v>150</v>
      </c>
      <c r="H67">
        <v>0.18946559727297235</v>
      </c>
    </row>
    <row r="68" spans="1:8" x14ac:dyDescent="0.25">
      <c r="A68" s="16" t="s">
        <v>109</v>
      </c>
      <c r="B68">
        <v>9.7525228435555167E-2</v>
      </c>
      <c r="D68" s="16" t="s">
        <v>105</v>
      </c>
      <c r="E68">
        <v>0.10364546520516671</v>
      </c>
      <c r="G68" s="16" t="s">
        <v>140</v>
      </c>
      <c r="H68">
        <v>0.18745923924557972</v>
      </c>
    </row>
    <row r="69" spans="1:8" x14ac:dyDescent="0.25">
      <c r="A69" s="16" t="s">
        <v>147</v>
      </c>
      <c r="B69">
        <v>9.3118926726878978E-2</v>
      </c>
      <c r="D69" s="16" t="s">
        <v>149</v>
      </c>
      <c r="E69">
        <v>0.10321324524410476</v>
      </c>
      <c r="G69" s="16" t="s">
        <v>167</v>
      </c>
      <c r="H69">
        <v>0.17700613476420493</v>
      </c>
    </row>
    <row r="70" spans="1:8" x14ac:dyDescent="0.25">
      <c r="A70" s="16" t="s">
        <v>132</v>
      </c>
      <c r="B70">
        <v>9.2348494764439057E-2</v>
      </c>
      <c r="D70" s="16" t="s">
        <v>153</v>
      </c>
      <c r="E70">
        <v>0.10306328805548219</v>
      </c>
      <c r="G70" s="16" t="s">
        <v>170</v>
      </c>
      <c r="H70">
        <v>0.17145006733300891</v>
      </c>
    </row>
    <row r="71" spans="1:8" x14ac:dyDescent="0.25">
      <c r="A71" s="16" t="s">
        <v>101</v>
      </c>
      <c r="B71">
        <v>8.1933739866972374E-2</v>
      </c>
      <c r="D71" s="16" t="s">
        <v>170</v>
      </c>
      <c r="E71">
        <v>0.10110045118043778</v>
      </c>
      <c r="G71" s="16" t="s">
        <v>127</v>
      </c>
      <c r="H71">
        <v>0.16564816444217548</v>
      </c>
    </row>
    <row r="72" spans="1:8" x14ac:dyDescent="0.25">
      <c r="A72" s="16" t="s">
        <v>134</v>
      </c>
      <c r="B72">
        <v>7.6215491944161273E-2</v>
      </c>
      <c r="D72" s="16" t="s">
        <v>135</v>
      </c>
      <c r="E72">
        <v>8.5522083070360563E-2</v>
      </c>
      <c r="G72" s="16" t="s">
        <v>161</v>
      </c>
      <c r="H72">
        <v>0.1634404907839864</v>
      </c>
    </row>
    <row r="73" spans="1:8" x14ac:dyDescent="0.25">
      <c r="A73" s="16" t="s">
        <v>161</v>
      </c>
      <c r="B73">
        <v>7.5607553156995827E-2</v>
      </c>
      <c r="D73" s="16" t="s">
        <v>152</v>
      </c>
      <c r="E73">
        <v>7.8131617939900269E-2</v>
      </c>
      <c r="G73" s="16" t="s">
        <v>102</v>
      </c>
      <c r="H73">
        <v>0.16303804028346391</v>
      </c>
    </row>
    <row r="74" spans="1:8" x14ac:dyDescent="0.25">
      <c r="A74" s="16" t="s">
        <v>152</v>
      </c>
      <c r="B74">
        <v>7.344267311668258E-2</v>
      </c>
      <c r="D74" s="16" t="s">
        <v>145</v>
      </c>
      <c r="E74">
        <v>7.0658734703492862E-2</v>
      </c>
      <c r="G74" s="58" t="s">
        <v>74</v>
      </c>
      <c r="H74">
        <v>0.15833441499270706</v>
      </c>
    </row>
    <row r="75" spans="1:8" x14ac:dyDescent="0.25">
      <c r="A75" s="16" t="s">
        <v>106</v>
      </c>
      <c r="B75">
        <v>7.3384448598003374E-2</v>
      </c>
      <c r="D75" s="16" t="s">
        <v>157</v>
      </c>
      <c r="E75">
        <v>6.7612388667431828E-2</v>
      </c>
      <c r="G75" s="16" t="s">
        <v>123</v>
      </c>
      <c r="H75">
        <v>0.1536388905592512</v>
      </c>
    </row>
    <row r="76" spans="1:8" x14ac:dyDescent="0.25">
      <c r="A76" s="16" t="s">
        <v>131</v>
      </c>
      <c r="B76">
        <v>6.8541233665689177E-2</v>
      </c>
      <c r="D76" s="16" t="s">
        <v>119</v>
      </c>
      <c r="E76">
        <v>6.7030551408191516E-2</v>
      </c>
      <c r="G76" s="16" t="s">
        <v>154</v>
      </c>
      <c r="H76">
        <v>0.15108499531580599</v>
      </c>
    </row>
    <row r="77" spans="1:8" x14ac:dyDescent="0.25">
      <c r="A77" s="58" t="s">
        <v>74</v>
      </c>
      <c r="B77">
        <v>6.573419766322218E-2</v>
      </c>
      <c r="D77" s="16" t="s">
        <v>9</v>
      </c>
      <c r="E77">
        <v>6.1276079475791903E-2</v>
      </c>
      <c r="G77" s="13" t="s">
        <v>100</v>
      </c>
      <c r="H77">
        <v>0.14921660800946052</v>
      </c>
    </row>
    <row r="78" spans="1:8" x14ac:dyDescent="0.25">
      <c r="A78" s="16" t="s">
        <v>162</v>
      </c>
      <c r="B78">
        <v>6.3195751347623216E-2</v>
      </c>
      <c r="D78" s="16" t="s">
        <v>154</v>
      </c>
      <c r="E78">
        <v>6.1146357905191295E-2</v>
      </c>
      <c r="G78" s="16" t="s">
        <v>110</v>
      </c>
      <c r="H78">
        <v>0.13826035554005228</v>
      </c>
    </row>
    <row r="79" spans="1:8" x14ac:dyDescent="0.25">
      <c r="A79" s="16" t="s">
        <v>113</v>
      </c>
      <c r="B79">
        <v>5.996859983646189E-2</v>
      </c>
      <c r="D79" s="16" t="s">
        <v>107</v>
      </c>
      <c r="E79">
        <v>5.7230260604694341E-2</v>
      </c>
      <c r="G79" s="58" t="s">
        <v>75</v>
      </c>
      <c r="H79">
        <v>0.13422404700482995</v>
      </c>
    </row>
    <row r="80" spans="1:8" x14ac:dyDescent="0.25">
      <c r="A80" s="16" t="s">
        <v>167</v>
      </c>
      <c r="B80">
        <v>5.7797041467857975E-2</v>
      </c>
      <c r="D80" s="16" t="s">
        <v>146</v>
      </c>
      <c r="E80">
        <v>5.5261980101787934E-2</v>
      </c>
      <c r="G80" s="16" t="s">
        <v>158</v>
      </c>
      <c r="H80">
        <v>0.13296070893309186</v>
      </c>
    </row>
    <row r="81" spans="1:8" x14ac:dyDescent="0.25">
      <c r="A81" s="16" t="s">
        <v>10</v>
      </c>
      <c r="B81">
        <v>5.7721242402299068E-2</v>
      </c>
      <c r="D81" s="16" t="s">
        <v>94</v>
      </c>
      <c r="E81">
        <v>5.4734791385602999E-2</v>
      </c>
      <c r="G81" s="16" t="s">
        <v>124</v>
      </c>
      <c r="H81">
        <v>0.13254276491785319</v>
      </c>
    </row>
    <row r="82" spans="1:8" x14ac:dyDescent="0.25">
      <c r="A82" s="16" t="s">
        <v>107</v>
      </c>
      <c r="B82">
        <v>5.3828430133103677E-2</v>
      </c>
      <c r="D82" s="16" t="s">
        <v>156</v>
      </c>
      <c r="E82">
        <v>5.3987050150701099E-2</v>
      </c>
      <c r="G82" s="16" t="s">
        <v>152</v>
      </c>
      <c r="H82">
        <v>0.13196985055706056</v>
      </c>
    </row>
    <row r="83" spans="1:8" x14ac:dyDescent="0.25">
      <c r="A83" s="13" t="s">
        <v>138</v>
      </c>
      <c r="B83">
        <v>5.3189761043582195E-2</v>
      </c>
      <c r="D83" s="16" t="s">
        <v>159</v>
      </c>
      <c r="E83">
        <v>4.9072134603337737E-2</v>
      </c>
      <c r="G83" s="16" t="s">
        <v>107</v>
      </c>
      <c r="H83">
        <v>0.13084778521112136</v>
      </c>
    </row>
    <row r="84" spans="1:8" x14ac:dyDescent="0.25">
      <c r="A84" s="16" t="s">
        <v>175</v>
      </c>
      <c r="B84">
        <v>4.8964768066598059E-2</v>
      </c>
      <c r="D84" s="16" t="s">
        <v>117</v>
      </c>
      <c r="E84">
        <v>4.6611259966603799E-2</v>
      </c>
      <c r="G84" s="58" t="s">
        <v>78</v>
      </c>
      <c r="H84">
        <v>0.12796712056235893</v>
      </c>
    </row>
    <row r="85" spans="1:8" x14ac:dyDescent="0.25">
      <c r="A85" s="16" t="s">
        <v>157</v>
      </c>
      <c r="B85">
        <v>4.7813953400901422E-2</v>
      </c>
      <c r="D85" s="16" t="s">
        <v>162</v>
      </c>
      <c r="E85">
        <v>4.5706513526945811E-2</v>
      </c>
      <c r="G85" s="16" t="s">
        <v>162</v>
      </c>
      <c r="H85">
        <v>0.12195491274660679</v>
      </c>
    </row>
    <row r="86" spans="1:8" x14ac:dyDescent="0.25">
      <c r="A86" s="16" t="s">
        <v>127</v>
      </c>
      <c r="B86">
        <v>4.5978732594482839E-2</v>
      </c>
      <c r="D86" s="16" t="s">
        <v>128</v>
      </c>
      <c r="E86">
        <v>4.3233757661704522E-2</v>
      </c>
      <c r="G86" s="16" t="s">
        <v>94</v>
      </c>
      <c r="H86">
        <v>0.11805584450539404</v>
      </c>
    </row>
    <row r="87" spans="1:8" x14ac:dyDescent="0.25">
      <c r="A87" s="16" t="s">
        <v>140</v>
      </c>
      <c r="B87">
        <v>4.5198272030043916E-2</v>
      </c>
      <c r="D87" s="16" t="s">
        <v>163</v>
      </c>
      <c r="E87">
        <v>3.8993792074990645E-2</v>
      </c>
      <c r="G87" s="16" t="s">
        <v>122</v>
      </c>
      <c r="H87">
        <v>0.11376834846346155</v>
      </c>
    </row>
    <row r="88" spans="1:8" x14ac:dyDescent="0.25">
      <c r="A88" s="16" t="s">
        <v>94</v>
      </c>
      <c r="B88">
        <v>4.3742096142650892E-2</v>
      </c>
      <c r="D88" s="16" t="s">
        <v>165</v>
      </c>
      <c r="E88">
        <v>2.9538108939688855E-2</v>
      </c>
      <c r="G88" s="16" t="s">
        <v>163</v>
      </c>
      <c r="H88">
        <v>0.11129005047773206</v>
      </c>
    </row>
    <row r="89" spans="1:8" x14ac:dyDescent="0.25">
      <c r="A89" s="16" t="s">
        <v>168</v>
      </c>
      <c r="B89">
        <v>4.1666702499062645E-2</v>
      </c>
      <c r="D89" s="13" t="s">
        <v>141</v>
      </c>
      <c r="E89">
        <v>2.8384741687718162E-2</v>
      </c>
      <c r="G89" s="16" t="s">
        <v>106</v>
      </c>
      <c r="H89">
        <v>0.10473343362263526</v>
      </c>
    </row>
    <row r="90" spans="1:8" x14ac:dyDescent="0.25">
      <c r="A90" s="13" t="s">
        <v>171</v>
      </c>
      <c r="B90">
        <v>3.9306385563276557E-2</v>
      </c>
      <c r="D90" s="16" t="s">
        <v>6</v>
      </c>
      <c r="E90">
        <v>2.2359148138335304E-2</v>
      </c>
      <c r="G90" s="16" t="s">
        <v>15</v>
      </c>
      <c r="H90">
        <v>0.10388049836596236</v>
      </c>
    </row>
    <row r="91" spans="1:8" x14ac:dyDescent="0.25">
      <c r="A91" s="16" t="s">
        <v>6</v>
      </c>
      <c r="B91">
        <v>3.8717723745852632E-2</v>
      </c>
      <c r="D91" s="16" t="s">
        <v>172</v>
      </c>
      <c r="E91">
        <v>1.9258699678789896E-2</v>
      </c>
      <c r="G91" s="16" t="s">
        <v>103</v>
      </c>
      <c r="H91">
        <v>0.1022472840460396</v>
      </c>
    </row>
    <row r="92" spans="1:8" x14ac:dyDescent="0.25">
      <c r="A92" s="16" t="s">
        <v>163</v>
      </c>
      <c r="B92">
        <v>3.7342451185055671E-2</v>
      </c>
      <c r="D92" s="13" t="s">
        <v>171</v>
      </c>
      <c r="E92">
        <v>1.65278368255685E-2</v>
      </c>
      <c r="G92" s="16" t="s">
        <v>96</v>
      </c>
      <c r="H92">
        <v>9.8873299806450266E-2</v>
      </c>
    </row>
    <row r="93" spans="1:8" x14ac:dyDescent="0.25">
      <c r="A93" s="16" t="s">
        <v>156</v>
      </c>
      <c r="B93">
        <v>3.7117068742271504E-2</v>
      </c>
      <c r="D93" s="16" t="s">
        <v>92</v>
      </c>
      <c r="E93">
        <v>1.562056677538135E-2</v>
      </c>
      <c r="G93" s="58" t="s">
        <v>76</v>
      </c>
      <c r="H93">
        <v>9.813229254772686E-2</v>
      </c>
    </row>
    <row r="94" spans="1:8" x14ac:dyDescent="0.25">
      <c r="A94" s="16" t="s">
        <v>158</v>
      </c>
      <c r="B94">
        <v>3.6531328131951903E-2</v>
      </c>
      <c r="D94" s="16" t="s">
        <v>101</v>
      </c>
      <c r="E94">
        <v>1.2387993862935699E-2</v>
      </c>
      <c r="G94" s="16" t="s">
        <v>157</v>
      </c>
      <c r="H94">
        <v>9.627319772736076E-2</v>
      </c>
    </row>
    <row r="95" spans="1:8" x14ac:dyDescent="0.25">
      <c r="A95" s="16" t="s">
        <v>3</v>
      </c>
      <c r="B95">
        <v>3.5482038007513941E-2</v>
      </c>
      <c r="D95" s="16" t="s">
        <v>160</v>
      </c>
      <c r="E95">
        <v>1.2128408858579636E-2</v>
      </c>
      <c r="G95" s="16" t="s">
        <v>143</v>
      </c>
      <c r="H95">
        <v>8.4945113224138391E-2</v>
      </c>
    </row>
    <row r="96" spans="1:8" x14ac:dyDescent="0.25">
      <c r="A96" s="16" t="s">
        <v>108</v>
      </c>
      <c r="B96">
        <v>3.1205813257594025E-2</v>
      </c>
      <c r="D96" s="16" t="s">
        <v>7</v>
      </c>
      <c r="E96">
        <v>6.5902275960173203E-3</v>
      </c>
      <c r="G96" s="16" t="s">
        <v>6</v>
      </c>
      <c r="H96">
        <v>8.4721534263691126E-2</v>
      </c>
    </row>
    <row r="97" spans="1:8" x14ac:dyDescent="0.25">
      <c r="A97" s="16" t="s">
        <v>15</v>
      </c>
      <c r="B97">
        <v>3.0427599701503799E-2</v>
      </c>
      <c r="D97" s="13" t="s">
        <v>138</v>
      </c>
      <c r="E97">
        <v>-8.3889103049898002E-3</v>
      </c>
      <c r="G97" s="16" t="s">
        <v>169</v>
      </c>
      <c r="H97">
        <v>8.3124669022236614E-2</v>
      </c>
    </row>
    <row r="98" spans="1:8" x14ac:dyDescent="0.25">
      <c r="A98" s="16" t="s">
        <v>7</v>
      </c>
      <c r="B98">
        <v>3.001847965391281E-2</v>
      </c>
      <c r="D98" s="16" t="s">
        <v>98</v>
      </c>
      <c r="E98">
        <v>-1.0374102468193059E-2</v>
      </c>
      <c r="G98" s="16" t="s">
        <v>13</v>
      </c>
      <c r="H98">
        <v>8.2438799531204018E-2</v>
      </c>
    </row>
    <row r="99" spans="1:8" x14ac:dyDescent="0.25">
      <c r="A99" s="16" t="s">
        <v>137</v>
      </c>
      <c r="B99">
        <v>2.9142415701316718E-2</v>
      </c>
      <c r="D99" s="16" t="s">
        <v>118</v>
      </c>
      <c r="E99">
        <v>-1.0826763802532821E-2</v>
      </c>
      <c r="G99" s="16" t="s">
        <v>3</v>
      </c>
      <c r="H99">
        <v>8.1241763201054223E-2</v>
      </c>
    </row>
    <row r="100" spans="1:8" x14ac:dyDescent="0.25">
      <c r="A100" s="16" t="s">
        <v>160</v>
      </c>
      <c r="B100">
        <v>2.7464015250773299E-2</v>
      </c>
      <c r="D100" s="16" t="s">
        <v>168</v>
      </c>
      <c r="E100">
        <v>-1.0975950800186721E-2</v>
      </c>
      <c r="G100" s="13" t="s">
        <v>138</v>
      </c>
      <c r="H100">
        <v>7.5444392389779721E-2</v>
      </c>
    </row>
    <row r="101" spans="1:8" x14ac:dyDescent="0.25">
      <c r="A101" s="16" t="s">
        <v>111</v>
      </c>
      <c r="B101">
        <v>2.5515424268914556E-2</v>
      </c>
      <c r="D101" s="16" t="s">
        <v>3</v>
      </c>
      <c r="E101">
        <v>-1.9356113543006127E-2</v>
      </c>
      <c r="G101" s="16" t="s">
        <v>168</v>
      </c>
      <c r="H101">
        <v>7.4918893253383564E-2</v>
      </c>
    </row>
    <row r="102" spans="1:8" x14ac:dyDescent="0.25">
      <c r="A102" s="16" t="s">
        <v>97</v>
      </c>
      <c r="B102">
        <v>2.4997886238218834E-2</v>
      </c>
      <c r="D102" s="58" t="s">
        <v>74</v>
      </c>
      <c r="E102">
        <v>-2.2232028157837598E-2</v>
      </c>
      <c r="G102" s="16" t="s">
        <v>7</v>
      </c>
      <c r="H102">
        <v>7.4810215155058507E-2</v>
      </c>
    </row>
    <row r="103" spans="1:8" x14ac:dyDescent="0.25">
      <c r="A103" s="16" t="s">
        <v>172</v>
      </c>
      <c r="B103">
        <v>2.3700385131312621E-2</v>
      </c>
      <c r="D103" s="16" t="s">
        <v>144</v>
      </c>
      <c r="E103">
        <v>-2.5901711550907525E-2</v>
      </c>
      <c r="G103" s="16" t="s">
        <v>160</v>
      </c>
      <c r="H103">
        <v>6.8082872616421694E-2</v>
      </c>
    </row>
    <row r="104" spans="1:8" x14ac:dyDescent="0.25">
      <c r="A104" s="16" t="s">
        <v>165</v>
      </c>
      <c r="B104">
        <v>2.3092865021247133E-2</v>
      </c>
      <c r="D104" s="16" t="s">
        <v>97</v>
      </c>
      <c r="E104">
        <v>-3.232447839102378E-2</v>
      </c>
      <c r="G104" s="16" t="s">
        <v>164</v>
      </c>
      <c r="H104">
        <v>6.4144667631145666E-2</v>
      </c>
    </row>
    <row r="105" spans="1:8" x14ac:dyDescent="0.25">
      <c r="A105" s="16" t="s">
        <v>99</v>
      </c>
      <c r="B105">
        <v>2.1360547015389062E-2</v>
      </c>
      <c r="D105" s="16" t="s">
        <v>132</v>
      </c>
      <c r="E105">
        <v>-3.5433820324055468E-2</v>
      </c>
      <c r="G105" s="16" t="s">
        <v>98</v>
      </c>
      <c r="H105">
        <v>6.376822423840818E-2</v>
      </c>
    </row>
    <row r="106" spans="1:8" x14ac:dyDescent="0.25">
      <c r="A106" s="16" t="s">
        <v>169</v>
      </c>
      <c r="B106">
        <v>2.1196909582688019E-2</v>
      </c>
      <c r="D106" s="16" t="s">
        <v>15</v>
      </c>
      <c r="E106">
        <v>-3.7424965646155856E-2</v>
      </c>
      <c r="G106" s="16" t="s">
        <v>97</v>
      </c>
      <c r="H106">
        <v>6.037945208694645E-2</v>
      </c>
    </row>
    <row r="107" spans="1:8" x14ac:dyDescent="0.25">
      <c r="A107" s="16" t="s">
        <v>9</v>
      </c>
      <c r="B107">
        <v>2.1021979769477134E-2</v>
      </c>
      <c r="D107" s="16" t="s">
        <v>115</v>
      </c>
      <c r="E107">
        <v>-4.1341909796473231E-2</v>
      </c>
      <c r="G107" s="16" t="s">
        <v>175</v>
      </c>
      <c r="H107">
        <v>5.6165628513347367E-2</v>
      </c>
    </row>
    <row r="108" spans="1:8" x14ac:dyDescent="0.25">
      <c r="A108" s="16" t="s">
        <v>95</v>
      </c>
      <c r="B108">
        <v>2.0009125557757575E-2</v>
      </c>
      <c r="D108" s="16" t="s">
        <v>91</v>
      </c>
      <c r="E108">
        <v>-4.3158966036960442E-2</v>
      </c>
      <c r="G108" s="13" t="s">
        <v>171</v>
      </c>
      <c r="H108">
        <v>5.5078036725660764E-2</v>
      </c>
    </row>
    <row r="109" spans="1:8" x14ac:dyDescent="0.25">
      <c r="A109" s="16" t="s">
        <v>93</v>
      </c>
      <c r="B109">
        <v>1.9143317816682975E-2</v>
      </c>
      <c r="D109" s="16" t="s">
        <v>169</v>
      </c>
      <c r="E109">
        <v>-4.8069653898623131E-2</v>
      </c>
      <c r="G109" s="16" t="s">
        <v>156</v>
      </c>
      <c r="H109">
        <v>5.3936689523258488E-2</v>
      </c>
    </row>
    <row r="110" spans="1:8" x14ac:dyDescent="0.25">
      <c r="A110" s="16" t="s">
        <v>13</v>
      </c>
      <c r="B110">
        <v>1.5601296723858425E-2</v>
      </c>
      <c r="D110" s="16" t="s">
        <v>134</v>
      </c>
      <c r="E110">
        <v>-5.5181715003400508E-2</v>
      </c>
      <c r="G110" s="16" t="s">
        <v>128</v>
      </c>
      <c r="H110">
        <v>4.7022971647517453E-2</v>
      </c>
    </row>
    <row r="111" spans="1:8" x14ac:dyDescent="0.25">
      <c r="A111" s="16" t="s">
        <v>129</v>
      </c>
      <c r="B111">
        <v>1.0126361189673342E-2</v>
      </c>
      <c r="D111" s="16" t="s">
        <v>13</v>
      </c>
      <c r="E111">
        <v>-6.0591934947143156E-2</v>
      </c>
      <c r="G111" s="16" t="s">
        <v>109</v>
      </c>
      <c r="H111">
        <v>4.1320728944227378E-2</v>
      </c>
    </row>
    <row r="112" spans="1:8" x14ac:dyDescent="0.25">
      <c r="A112" s="16" t="s">
        <v>112</v>
      </c>
      <c r="B112">
        <v>1.0064344216978669E-2</v>
      </c>
      <c r="D112" s="16" t="s">
        <v>116</v>
      </c>
      <c r="E112">
        <v>-7.3796731698080334E-2</v>
      </c>
      <c r="G112" s="16" t="s">
        <v>121</v>
      </c>
      <c r="H112">
        <v>4.065065254652709E-2</v>
      </c>
    </row>
    <row r="113" spans="1:8" x14ac:dyDescent="0.25">
      <c r="A113" s="16" t="s">
        <v>120</v>
      </c>
      <c r="B113">
        <v>9.5156343145174817E-3</v>
      </c>
      <c r="D113" s="16" t="s">
        <v>173</v>
      </c>
      <c r="E113">
        <v>-7.8005346585790336E-2</v>
      </c>
      <c r="G113" s="16" t="s">
        <v>165</v>
      </c>
      <c r="H113">
        <v>3.6986004928518064E-2</v>
      </c>
    </row>
    <row r="114" spans="1:8" x14ac:dyDescent="0.25">
      <c r="A114" s="16" t="s">
        <v>151</v>
      </c>
      <c r="B114">
        <v>8.7195238165794289E-3</v>
      </c>
      <c r="D114" s="16" t="s">
        <v>158</v>
      </c>
      <c r="E114">
        <v>-8.2476190850278491E-2</v>
      </c>
      <c r="G114" s="16" t="s">
        <v>95</v>
      </c>
      <c r="H114">
        <v>3.5337745390024475E-2</v>
      </c>
    </row>
    <row r="115" spans="1:8" x14ac:dyDescent="0.25">
      <c r="A115" s="16" t="s">
        <v>16</v>
      </c>
      <c r="B115">
        <v>7.1074238235285829E-3</v>
      </c>
      <c r="D115" s="16" t="s">
        <v>10</v>
      </c>
      <c r="E115">
        <v>-8.5122473871432097E-2</v>
      </c>
      <c r="G115" s="16" t="s">
        <v>172</v>
      </c>
      <c r="H115">
        <v>2.9500565787582707E-2</v>
      </c>
    </row>
    <row r="116" spans="1:8" x14ac:dyDescent="0.25">
      <c r="A116" s="16" t="s">
        <v>143</v>
      </c>
      <c r="B116">
        <v>4.4960909328274961E-3</v>
      </c>
      <c r="D116" s="16" t="s">
        <v>14</v>
      </c>
      <c r="E116">
        <v>-9.4293205435967878E-2</v>
      </c>
      <c r="G116" s="16" t="s">
        <v>113</v>
      </c>
      <c r="H116">
        <v>2.909836977407473E-2</v>
      </c>
    </row>
    <row r="117" spans="1:8" x14ac:dyDescent="0.25">
      <c r="A117" s="16" t="s">
        <v>98</v>
      </c>
      <c r="B117">
        <v>-7.9753131823322877E-3</v>
      </c>
      <c r="D117" s="16" t="s">
        <v>133</v>
      </c>
      <c r="E117">
        <v>-0.10462340186176214</v>
      </c>
      <c r="G117" s="16" t="s">
        <v>92</v>
      </c>
      <c r="H117">
        <v>2.777161490633934E-2</v>
      </c>
    </row>
    <row r="118" spans="1:8" x14ac:dyDescent="0.25">
      <c r="A118" s="16" t="s">
        <v>159</v>
      </c>
      <c r="B118">
        <v>-1.3292600295155688E-2</v>
      </c>
      <c r="D118" s="16" t="s">
        <v>147</v>
      </c>
      <c r="E118">
        <v>-0.10995463174443856</v>
      </c>
      <c r="G118" s="16" t="s">
        <v>129</v>
      </c>
      <c r="H118">
        <v>1.9770896532018158E-2</v>
      </c>
    </row>
    <row r="119" spans="1:8" x14ac:dyDescent="0.25">
      <c r="A119" s="16" t="s">
        <v>92</v>
      </c>
      <c r="B119">
        <v>-1.613389203096486E-2</v>
      </c>
      <c r="D119" s="16" t="s">
        <v>167</v>
      </c>
      <c r="E119">
        <v>-0.11011652977528956</v>
      </c>
      <c r="G119" s="16" t="s">
        <v>9</v>
      </c>
      <c r="H119">
        <v>1.9493988336052426E-2</v>
      </c>
    </row>
    <row r="120" spans="1:8" x14ac:dyDescent="0.25">
      <c r="A120" s="16" t="s">
        <v>150</v>
      </c>
      <c r="B120">
        <v>-2.0896112834904806E-2</v>
      </c>
      <c r="D120" s="16" t="s">
        <v>114</v>
      </c>
      <c r="E120">
        <v>-0.12852152569730912</v>
      </c>
      <c r="G120" s="16" t="s">
        <v>120</v>
      </c>
      <c r="H120">
        <v>1.8048095068169123E-2</v>
      </c>
    </row>
    <row r="121" spans="1:8" x14ac:dyDescent="0.25">
      <c r="A121" s="16" t="s">
        <v>173</v>
      </c>
      <c r="B121">
        <v>-2.1718581036604973E-2</v>
      </c>
      <c r="D121" s="16" t="s">
        <v>130</v>
      </c>
      <c r="E121">
        <v>-0.1315938479796247</v>
      </c>
      <c r="G121" s="16" t="s">
        <v>117</v>
      </c>
      <c r="H121">
        <v>1.4006071066201579E-2</v>
      </c>
    </row>
    <row r="122" spans="1:8" x14ac:dyDescent="0.25">
      <c r="A122" s="16" t="s">
        <v>128</v>
      </c>
      <c r="B122">
        <v>-2.2532118867186049E-2</v>
      </c>
      <c r="D122" s="16" t="s">
        <v>127</v>
      </c>
      <c r="E122">
        <v>-0.13342730416217763</v>
      </c>
      <c r="G122" s="16" t="s">
        <v>112</v>
      </c>
      <c r="H122">
        <v>1.3503491622920989E-2</v>
      </c>
    </row>
    <row r="123" spans="1:8" x14ac:dyDescent="0.25">
      <c r="A123" s="16" t="s">
        <v>117</v>
      </c>
      <c r="B123">
        <v>-3.259590386559847E-2</v>
      </c>
      <c r="D123" s="16" t="s">
        <v>174</v>
      </c>
      <c r="E123">
        <v>-0.14164855062134679</v>
      </c>
      <c r="G123" s="16" t="s">
        <v>108</v>
      </c>
      <c r="H123">
        <v>1.2434206468252952E-2</v>
      </c>
    </row>
    <row r="124" spans="1:8" x14ac:dyDescent="0.25">
      <c r="A124" s="16" t="s">
        <v>174</v>
      </c>
      <c r="B124">
        <v>-5.22286676748333E-2</v>
      </c>
      <c r="D124" s="16" t="s">
        <v>126</v>
      </c>
      <c r="E124">
        <v>-0.1436068350779669</v>
      </c>
      <c r="G124" s="16" t="s">
        <v>173</v>
      </c>
      <c r="H124">
        <v>1.2030946398460163E-2</v>
      </c>
    </row>
    <row r="125" spans="1:8" x14ac:dyDescent="0.25">
      <c r="A125" s="16" t="s">
        <v>118</v>
      </c>
      <c r="B125">
        <v>-5.3493625649870334E-2</v>
      </c>
      <c r="D125" s="16" t="s">
        <v>131</v>
      </c>
      <c r="E125">
        <v>-0.15004904468332947</v>
      </c>
      <c r="G125" s="16" t="s">
        <v>111</v>
      </c>
      <c r="H125">
        <v>1.1697761249116582E-2</v>
      </c>
    </row>
    <row r="126" spans="1:8" x14ac:dyDescent="0.25">
      <c r="A126" s="16" t="s">
        <v>119</v>
      </c>
      <c r="B126">
        <v>-5.5719596529515691E-2</v>
      </c>
      <c r="D126" s="16" t="s">
        <v>143</v>
      </c>
      <c r="E126">
        <v>-0.15800719270096533</v>
      </c>
      <c r="G126" s="16" t="s">
        <v>99</v>
      </c>
      <c r="H126">
        <v>8.2594185501733003E-3</v>
      </c>
    </row>
    <row r="127" spans="1:8" x14ac:dyDescent="0.25">
      <c r="A127" s="16" t="s">
        <v>115</v>
      </c>
      <c r="B127">
        <v>-6.005541778504727E-2</v>
      </c>
      <c r="D127" s="16" t="s">
        <v>140</v>
      </c>
      <c r="E127">
        <v>-0.1627844213124135</v>
      </c>
      <c r="G127" s="16" t="s">
        <v>118</v>
      </c>
      <c r="H127">
        <v>4.5380111149767371E-3</v>
      </c>
    </row>
    <row r="128" spans="1:8" x14ac:dyDescent="0.25">
      <c r="A128" s="16" t="s">
        <v>164</v>
      </c>
      <c r="B128">
        <v>-6.9008391923636503E-2</v>
      </c>
      <c r="D128" s="16" t="s">
        <v>148</v>
      </c>
      <c r="E128">
        <v>-0.18090501294551892</v>
      </c>
      <c r="G128" s="16" t="s">
        <v>155</v>
      </c>
      <c r="H128">
        <v>4.4559316441888921E-3</v>
      </c>
    </row>
    <row r="129" spans="1:8" x14ac:dyDescent="0.25">
      <c r="A129" s="16" t="s">
        <v>116</v>
      </c>
      <c r="B129">
        <v>-9.5675149902203119E-2</v>
      </c>
      <c r="D129" s="16" t="s">
        <v>137</v>
      </c>
      <c r="E129">
        <v>-0.18974456606750692</v>
      </c>
      <c r="G129" s="16" t="s">
        <v>126</v>
      </c>
      <c r="H129">
        <v>3.6562705071659552E-3</v>
      </c>
    </row>
    <row r="130" spans="1:8" x14ac:dyDescent="0.25">
      <c r="A130" s="16" t="s">
        <v>130</v>
      </c>
      <c r="B130">
        <v>-0.10046126429415231</v>
      </c>
      <c r="D130" s="16" t="s">
        <v>90</v>
      </c>
      <c r="E130">
        <v>-0.27265038171395867</v>
      </c>
      <c r="G130" s="16" t="s">
        <v>174</v>
      </c>
      <c r="H130">
        <v>2.8120852735836585E-3</v>
      </c>
    </row>
    <row r="131" spans="1:8" x14ac:dyDescent="0.25">
      <c r="A131" s="16" t="s">
        <v>139</v>
      </c>
      <c r="B131">
        <v>-0.10551724242208584</v>
      </c>
      <c r="D131" s="16" t="s">
        <v>139</v>
      </c>
      <c r="E131">
        <v>-0.27638513362740219</v>
      </c>
      <c r="G131" s="16" t="s">
        <v>93</v>
      </c>
      <c r="H131">
        <v>1.9852213717315311E-3</v>
      </c>
    </row>
    <row r="132" spans="1:8" x14ac:dyDescent="0.25">
      <c r="A132" s="16" t="s">
        <v>91</v>
      </c>
      <c r="B132">
        <v>-0.10598791517063856</v>
      </c>
      <c r="D132" s="16" t="s">
        <v>155</v>
      </c>
      <c r="E132">
        <v>-0.29543378579558499</v>
      </c>
      <c r="G132" s="16" t="s">
        <v>119</v>
      </c>
      <c r="H132">
        <v>1.6888081630796565E-3</v>
      </c>
    </row>
    <row r="133" spans="1:8" x14ac:dyDescent="0.25">
      <c r="A133" s="16" t="s">
        <v>126</v>
      </c>
      <c r="B133">
        <v>-0.1076554827625758</v>
      </c>
      <c r="D133" s="16" t="s">
        <v>121</v>
      </c>
      <c r="E133">
        <v>-0.29735708091404323</v>
      </c>
      <c r="G133" s="16" t="s">
        <v>115</v>
      </c>
      <c r="H133">
        <v>2.7776774109664152E-4</v>
      </c>
    </row>
    <row r="134" spans="1:8" x14ac:dyDescent="0.25">
      <c r="A134" s="16" t="s">
        <v>114</v>
      </c>
      <c r="B134">
        <v>-0.12040847242616232</v>
      </c>
      <c r="D134" s="16" t="s">
        <v>89</v>
      </c>
      <c r="E134">
        <v>-0.30091936712011952</v>
      </c>
      <c r="G134" s="16" t="s">
        <v>125</v>
      </c>
      <c r="H134">
        <v>-5.3636143871719022E-3</v>
      </c>
    </row>
    <row r="135" spans="1:8" x14ac:dyDescent="0.25">
      <c r="A135" s="16" t="s">
        <v>155</v>
      </c>
      <c r="B135">
        <v>-0.13473375104862975</v>
      </c>
      <c r="D135" s="16" t="s">
        <v>151</v>
      </c>
      <c r="E135">
        <v>-0.32298455412894522</v>
      </c>
      <c r="G135" s="16" t="s">
        <v>90</v>
      </c>
      <c r="H135">
        <v>-5.8771527875866123E-3</v>
      </c>
    </row>
    <row r="136" spans="1:8" x14ac:dyDescent="0.25">
      <c r="A136" s="16" t="s">
        <v>90</v>
      </c>
      <c r="B136">
        <v>-0.1536895669859793</v>
      </c>
      <c r="D136" s="16" t="s">
        <v>16</v>
      </c>
      <c r="E136">
        <v>-0.35713766002961728</v>
      </c>
      <c r="G136" s="16" t="s">
        <v>114</v>
      </c>
      <c r="H136">
        <v>-6.9583074101982204E-3</v>
      </c>
    </row>
    <row r="137" spans="1:8" x14ac:dyDescent="0.25">
      <c r="A137" s="16" t="s">
        <v>121</v>
      </c>
      <c r="B137">
        <v>-0.15565443982745897</v>
      </c>
      <c r="D137" s="16" t="s">
        <v>150</v>
      </c>
      <c r="E137">
        <v>-0.38666525825709053</v>
      </c>
      <c r="G137" s="16" t="s">
        <v>116</v>
      </c>
      <c r="H137">
        <v>-9.5750558788360984E-3</v>
      </c>
    </row>
    <row r="138" spans="1:8" x14ac:dyDescent="0.25">
      <c r="A138" s="16" t="s">
        <v>89</v>
      </c>
      <c r="B138">
        <v>-0.17058486207916781</v>
      </c>
      <c r="D138" s="16" t="s">
        <v>88</v>
      </c>
      <c r="E138">
        <v>-0.39353222221282902</v>
      </c>
      <c r="G138" s="16" t="s">
        <v>139</v>
      </c>
      <c r="H138">
        <v>-1.0054869173957908E-2</v>
      </c>
    </row>
    <row r="139" spans="1:8" x14ac:dyDescent="0.25">
      <c r="A139" s="16" t="s">
        <v>122</v>
      </c>
      <c r="B139">
        <v>-0.21290793157362839</v>
      </c>
      <c r="D139" s="16" t="s">
        <v>164</v>
      </c>
      <c r="E139">
        <v>-0.48043453300139288</v>
      </c>
      <c r="G139" s="16" t="s">
        <v>159</v>
      </c>
      <c r="H139">
        <v>-1.0535649765509518E-2</v>
      </c>
    </row>
    <row r="140" spans="1:8" x14ac:dyDescent="0.25">
      <c r="A140" s="16" t="s">
        <v>88</v>
      </c>
      <c r="B140">
        <v>-0.21651171328806551</v>
      </c>
      <c r="D140" s="16" t="s">
        <v>125</v>
      </c>
      <c r="E140">
        <v>-0.49792652388450398</v>
      </c>
      <c r="G140" s="16" t="s">
        <v>89</v>
      </c>
      <c r="H140">
        <v>-1.0829903358430239E-2</v>
      </c>
    </row>
    <row r="141" spans="1:8" x14ac:dyDescent="0.25">
      <c r="A141" s="16" t="s">
        <v>123</v>
      </c>
      <c r="B141">
        <v>-0.22099637203827613</v>
      </c>
      <c r="D141" s="16" t="s">
        <v>122</v>
      </c>
      <c r="E141">
        <v>-0.5296805656171828</v>
      </c>
      <c r="G141" s="16" t="s">
        <v>130</v>
      </c>
      <c r="H141">
        <v>-1.0999481625186755E-2</v>
      </c>
    </row>
    <row r="142" spans="1:8" x14ac:dyDescent="0.25">
      <c r="A142" s="16" t="s">
        <v>124</v>
      </c>
      <c r="B142">
        <v>-0.22814273290723686</v>
      </c>
      <c r="D142" s="16" t="s">
        <v>123</v>
      </c>
      <c r="E142">
        <v>-0.5727276780746654</v>
      </c>
      <c r="G142" s="16" t="s">
        <v>88</v>
      </c>
      <c r="H142">
        <v>-1.8870770078882181E-2</v>
      </c>
    </row>
    <row r="143" spans="1:8" x14ac:dyDescent="0.25">
      <c r="A143" s="16" t="s">
        <v>125</v>
      </c>
      <c r="B143">
        <v>-0.25126829208282325</v>
      </c>
      <c r="D143" s="16" t="s">
        <v>124</v>
      </c>
      <c r="E143">
        <v>-0.62060430474684281</v>
      </c>
      <c r="G143" s="16" t="s">
        <v>91</v>
      </c>
      <c r="H143">
        <v>-3.0331928831132015E-2</v>
      </c>
    </row>
  </sheetData>
  <sortState ref="G34:H143">
    <sortCondition descending="1" ref="H34:H143"/>
  </sortState>
  <mergeCells count="8">
    <mergeCell ref="D33:E33"/>
    <mergeCell ref="G33:I33"/>
    <mergeCell ref="A27:B27"/>
    <mergeCell ref="A28:B28"/>
    <mergeCell ref="A29:B29"/>
    <mergeCell ref="A30:B30"/>
    <mergeCell ref="A31:B31"/>
    <mergeCell ref="A33:B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topLeftCell="A13" zoomScaleNormal="100" workbookViewId="0">
      <selection activeCell="H31" sqref="H31"/>
    </sheetView>
  </sheetViews>
  <sheetFormatPr defaultRowHeight="15" x14ac:dyDescent="0.25"/>
  <cols>
    <col min="1" max="1" width="12.7109375" bestFit="1" customWidth="1"/>
    <col min="4" max="4" width="12.42578125" bestFit="1" customWidth="1"/>
    <col min="7" max="7" width="12.140625" customWidth="1"/>
    <col min="10" max="10" width="12.42578125" bestFit="1" customWidth="1"/>
    <col min="13" max="13" width="12.42578125" bestFit="1" customWidth="1"/>
    <col min="15" max="15" width="11.5703125" customWidth="1"/>
    <col min="16" max="16" width="12.7109375" bestFit="1" customWidth="1"/>
    <col min="17" max="17" width="12.42578125" bestFit="1" customWidth="1"/>
    <col min="19" max="19" width="12.7109375" bestFit="1" customWidth="1"/>
    <col min="20" max="20" width="12.42578125" bestFit="1" customWidth="1"/>
    <col min="22" max="22" width="12.7109375" bestFit="1" customWidth="1"/>
    <col min="25" max="25" width="13.28515625" bestFit="1" customWidth="1"/>
    <col min="28" max="28" width="13.28515625" bestFit="1" customWidth="1"/>
  </cols>
  <sheetData>
    <row r="1" spans="1:27" ht="81.75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27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27" x14ac:dyDescent="0.25">
      <c r="A3" s="19" t="s">
        <v>111</v>
      </c>
      <c r="B3" s="51">
        <v>0.47</v>
      </c>
      <c r="C3" s="52">
        <v>1</v>
      </c>
      <c r="D3" s="18" t="s">
        <v>2</v>
      </c>
      <c r="E3" s="45">
        <v>0.17311255237365394</v>
      </c>
      <c r="F3" s="52">
        <v>1</v>
      </c>
      <c r="G3" s="18" t="s">
        <v>2</v>
      </c>
      <c r="H3" s="45">
        <v>0.21231697452451001</v>
      </c>
      <c r="I3" s="52">
        <v>1</v>
      </c>
      <c r="J3" s="18" t="s">
        <v>2</v>
      </c>
      <c r="K3" s="45">
        <v>0.20904178646803973</v>
      </c>
      <c r="L3" s="52">
        <v>1</v>
      </c>
      <c r="M3" s="19" t="s">
        <v>224</v>
      </c>
      <c r="N3" s="19">
        <v>66.67</v>
      </c>
      <c r="O3" s="52">
        <v>1</v>
      </c>
      <c r="P3" s="19" t="s">
        <v>224</v>
      </c>
      <c r="Q3" s="19">
        <v>72.73</v>
      </c>
      <c r="R3" s="52">
        <v>1</v>
      </c>
      <c r="S3" s="19" t="s">
        <v>232</v>
      </c>
      <c r="T3" s="19">
        <v>71.430000000000007</v>
      </c>
      <c r="U3" s="52">
        <v>1</v>
      </c>
      <c r="V3" s="19" t="s">
        <v>362</v>
      </c>
      <c r="W3" s="19">
        <v>28</v>
      </c>
      <c r="X3" s="52">
        <v>1</v>
      </c>
      <c r="Y3" s="19" t="s">
        <v>362</v>
      </c>
      <c r="Z3" s="19">
        <v>24</v>
      </c>
      <c r="AA3" s="52">
        <v>1</v>
      </c>
    </row>
    <row r="4" spans="1:27" x14ac:dyDescent="0.25">
      <c r="A4" s="19" t="s">
        <v>244</v>
      </c>
      <c r="B4" s="51">
        <v>0.36</v>
      </c>
      <c r="C4" s="52">
        <v>2</v>
      </c>
      <c r="D4" s="18" t="s">
        <v>246</v>
      </c>
      <c r="E4" s="45">
        <v>9.2482305104856596E-2</v>
      </c>
      <c r="F4" s="52">
        <v>2</v>
      </c>
      <c r="G4" s="18" t="s">
        <v>126</v>
      </c>
      <c r="H4" s="45">
        <v>0.13125599646421959</v>
      </c>
      <c r="I4" s="52">
        <v>2</v>
      </c>
      <c r="J4" s="18" t="s">
        <v>176</v>
      </c>
      <c r="K4" s="45">
        <v>0.14036016861664891</v>
      </c>
      <c r="L4" s="52">
        <v>2</v>
      </c>
      <c r="M4" s="19" t="s">
        <v>232</v>
      </c>
      <c r="N4" s="19">
        <v>57.14</v>
      </c>
      <c r="O4" s="52">
        <v>2</v>
      </c>
      <c r="P4" s="19" t="s">
        <v>126</v>
      </c>
      <c r="Q4" s="19">
        <v>63.64</v>
      </c>
      <c r="R4" s="52">
        <v>2</v>
      </c>
      <c r="S4" s="19" t="s">
        <v>224</v>
      </c>
      <c r="T4" s="19">
        <v>71.430000000000007</v>
      </c>
      <c r="U4" s="52">
        <v>1</v>
      </c>
      <c r="V4" s="19" t="s">
        <v>2</v>
      </c>
      <c r="W4" s="19">
        <v>22</v>
      </c>
      <c r="X4" s="52">
        <v>2</v>
      </c>
      <c r="Y4" s="19" t="s">
        <v>2</v>
      </c>
      <c r="Z4" s="19">
        <v>20</v>
      </c>
      <c r="AA4" s="52">
        <v>2</v>
      </c>
    </row>
    <row r="5" spans="1:27" x14ac:dyDescent="0.25">
      <c r="A5" s="19" t="s">
        <v>223</v>
      </c>
      <c r="B5" s="51">
        <v>0.33</v>
      </c>
      <c r="C5" s="52">
        <v>3</v>
      </c>
      <c r="D5" s="18" t="s">
        <v>241</v>
      </c>
      <c r="E5" s="45">
        <v>8.8831098402327571E-2</v>
      </c>
      <c r="F5" s="52">
        <v>2</v>
      </c>
      <c r="G5" s="18" t="s">
        <v>244</v>
      </c>
      <c r="H5" s="45">
        <v>0.10517813638799081</v>
      </c>
      <c r="I5" s="52">
        <v>3</v>
      </c>
      <c r="J5" s="18" t="s">
        <v>246</v>
      </c>
      <c r="K5" s="45">
        <v>0.11401167194619077</v>
      </c>
      <c r="L5" s="52">
        <v>3</v>
      </c>
      <c r="M5" s="19" t="s">
        <v>223</v>
      </c>
      <c r="N5" s="19">
        <v>54.76</v>
      </c>
      <c r="O5" s="52">
        <v>3</v>
      </c>
      <c r="P5" s="19" t="s">
        <v>111</v>
      </c>
      <c r="Q5" s="19">
        <v>54.55</v>
      </c>
      <c r="R5" s="52">
        <v>3</v>
      </c>
      <c r="S5" s="19" t="s">
        <v>223</v>
      </c>
      <c r="T5" s="19">
        <v>66.67</v>
      </c>
      <c r="U5" s="52">
        <v>2</v>
      </c>
      <c r="V5" s="19" t="s">
        <v>145</v>
      </c>
      <c r="W5" s="19">
        <v>17</v>
      </c>
      <c r="X5" s="52">
        <v>3</v>
      </c>
      <c r="Y5" s="19" t="s">
        <v>145</v>
      </c>
      <c r="Z5" s="19">
        <v>16</v>
      </c>
      <c r="AA5" s="52">
        <v>3</v>
      </c>
    </row>
    <row r="6" spans="1:27" x14ac:dyDescent="0.25">
      <c r="A6" s="19" t="s">
        <v>232</v>
      </c>
      <c r="B6" s="51">
        <v>0.32</v>
      </c>
      <c r="C6" s="52">
        <v>4</v>
      </c>
      <c r="D6" s="18" t="s">
        <v>244</v>
      </c>
      <c r="E6" s="45">
        <v>8.3150223860858588E-2</v>
      </c>
      <c r="F6" s="52">
        <v>3</v>
      </c>
      <c r="G6" s="18" t="s">
        <v>231</v>
      </c>
      <c r="H6" s="45">
        <v>0.10489662700921261</v>
      </c>
      <c r="I6" s="52">
        <v>4</v>
      </c>
      <c r="J6" s="18" t="s">
        <v>223</v>
      </c>
      <c r="K6" s="45">
        <v>0.11052932391147666</v>
      </c>
      <c r="L6" s="52">
        <v>3</v>
      </c>
      <c r="M6" s="19" t="s">
        <v>241</v>
      </c>
      <c r="N6" s="19">
        <v>54.76</v>
      </c>
      <c r="O6" s="52">
        <v>3</v>
      </c>
      <c r="P6" s="19" t="s">
        <v>244</v>
      </c>
      <c r="Q6" s="19">
        <v>54.55</v>
      </c>
      <c r="R6" s="52">
        <v>3</v>
      </c>
      <c r="S6" s="19" t="s">
        <v>241</v>
      </c>
      <c r="T6" s="19">
        <v>61.9</v>
      </c>
      <c r="U6" s="52">
        <v>3</v>
      </c>
      <c r="V6" s="19" t="s">
        <v>232</v>
      </c>
      <c r="W6" s="19">
        <v>17</v>
      </c>
      <c r="X6" s="52">
        <v>3</v>
      </c>
      <c r="Y6" s="19" t="s">
        <v>232</v>
      </c>
      <c r="Z6" s="19">
        <v>15</v>
      </c>
      <c r="AA6" s="52">
        <v>4</v>
      </c>
    </row>
    <row r="7" spans="1:27" x14ac:dyDescent="0.25">
      <c r="A7" s="19" t="s">
        <v>121</v>
      </c>
      <c r="B7" s="51">
        <v>0.32</v>
      </c>
      <c r="C7" s="52">
        <v>4</v>
      </c>
      <c r="D7" s="18" t="s">
        <v>176</v>
      </c>
      <c r="E7" s="45">
        <v>7.8607141409836268E-2</v>
      </c>
      <c r="F7" s="52">
        <v>3</v>
      </c>
      <c r="G7" s="18" t="s">
        <v>241</v>
      </c>
      <c r="H7" s="45">
        <v>9.0484829164808003E-2</v>
      </c>
      <c r="I7" s="52">
        <v>5</v>
      </c>
      <c r="J7" s="18" t="s">
        <v>241</v>
      </c>
      <c r="K7" s="45">
        <v>9.5370994945940105E-2</v>
      </c>
      <c r="L7" s="52">
        <v>4</v>
      </c>
      <c r="M7" s="19" t="s">
        <v>126</v>
      </c>
      <c r="N7" s="19">
        <v>52.38</v>
      </c>
      <c r="O7" s="52">
        <v>4</v>
      </c>
      <c r="P7" s="19" t="s">
        <v>223</v>
      </c>
      <c r="Q7" s="19">
        <v>54.55</v>
      </c>
      <c r="R7" s="52">
        <v>3</v>
      </c>
      <c r="S7" s="19" t="s">
        <v>113</v>
      </c>
      <c r="T7" s="19">
        <v>61.9</v>
      </c>
      <c r="U7" s="52">
        <v>3</v>
      </c>
      <c r="V7" s="19" t="s">
        <v>241</v>
      </c>
      <c r="W7" s="19">
        <v>14</v>
      </c>
      <c r="X7" s="52">
        <v>4</v>
      </c>
      <c r="Y7" s="19" t="s">
        <v>246</v>
      </c>
      <c r="Z7" s="19">
        <v>8</v>
      </c>
      <c r="AA7" s="52">
        <v>5</v>
      </c>
    </row>
    <row r="8" spans="1:27" x14ac:dyDescent="0.25">
      <c r="A8" s="19" t="s">
        <v>231</v>
      </c>
      <c r="B8" s="51">
        <v>0.28999999999999998</v>
      </c>
      <c r="C8" s="52">
        <v>5</v>
      </c>
      <c r="D8" s="18" t="s">
        <v>223</v>
      </c>
      <c r="E8" s="45">
        <v>7.7789196148394454E-2</v>
      </c>
      <c r="F8" s="52">
        <v>3</v>
      </c>
      <c r="G8" s="18" t="s">
        <v>111</v>
      </c>
      <c r="H8" s="45">
        <v>8.9167961024260944E-2</v>
      </c>
      <c r="I8" s="52">
        <v>5</v>
      </c>
      <c r="J8" s="18" t="s">
        <v>244</v>
      </c>
      <c r="K8" s="45">
        <v>9.3085999992117044E-2</v>
      </c>
      <c r="L8" s="52">
        <v>5</v>
      </c>
      <c r="M8" s="19" t="s">
        <v>11</v>
      </c>
      <c r="N8" s="19">
        <v>52.38</v>
      </c>
      <c r="O8" s="52">
        <v>4</v>
      </c>
      <c r="P8" s="19" t="s">
        <v>241</v>
      </c>
      <c r="Q8" s="19">
        <v>54.55</v>
      </c>
      <c r="R8" s="52">
        <v>3</v>
      </c>
      <c r="S8" s="19" t="s">
        <v>126</v>
      </c>
      <c r="T8" s="19">
        <v>60</v>
      </c>
      <c r="U8" s="52">
        <v>4</v>
      </c>
      <c r="V8" s="19" t="s">
        <v>223</v>
      </c>
      <c r="W8" s="19">
        <v>13</v>
      </c>
      <c r="X8" s="52">
        <v>5</v>
      </c>
      <c r="Y8" s="19" t="s">
        <v>124</v>
      </c>
      <c r="Z8" s="19">
        <v>8</v>
      </c>
      <c r="AA8" s="52">
        <v>5</v>
      </c>
    </row>
    <row r="9" spans="1:27" x14ac:dyDescent="0.25">
      <c r="A9" s="19" t="s">
        <v>124</v>
      </c>
      <c r="B9" s="51">
        <v>0.28999999999999998</v>
      </c>
      <c r="C9" s="52">
        <v>5</v>
      </c>
      <c r="D9" s="18" t="s">
        <v>232</v>
      </c>
      <c r="E9" s="45">
        <v>7.6580820612339229E-2</v>
      </c>
      <c r="F9" s="52">
        <v>3</v>
      </c>
      <c r="G9" s="13" t="s">
        <v>176</v>
      </c>
      <c r="H9" s="32">
        <v>6.9064102183134399E-2</v>
      </c>
      <c r="I9" s="60">
        <v>6</v>
      </c>
      <c r="J9" s="18" t="s">
        <v>224</v>
      </c>
      <c r="K9" s="45">
        <v>9.2120760480514416E-2</v>
      </c>
      <c r="L9" s="52">
        <v>5</v>
      </c>
      <c r="M9" s="19" t="s">
        <v>2</v>
      </c>
      <c r="N9" s="19">
        <v>45.24</v>
      </c>
      <c r="O9" s="52">
        <v>5</v>
      </c>
      <c r="P9" s="19" t="s">
        <v>11</v>
      </c>
      <c r="Q9" s="19">
        <v>54.55</v>
      </c>
      <c r="R9" s="52">
        <v>3</v>
      </c>
      <c r="S9" s="19" t="s">
        <v>11</v>
      </c>
      <c r="T9" s="19">
        <v>60</v>
      </c>
      <c r="U9" s="52">
        <v>4</v>
      </c>
      <c r="V9" t="s">
        <v>113</v>
      </c>
      <c r="W9">
        <v>12</v>
      </c>
      <c r="X9" s="55">
        <v>6</v>
      </c>
      <c r="Y9" t="s">
        <v>241</v>
      </c>
      <c r="Z9">
        <v>6</v>
      </c>
      <c r="AA9" s="55">
        <v>6</v>
      </c>
    </row>
    <row r="10" spans="1:27" x14ac:dyDescent="0.25">
      <c r="A10" t="s">
        <v>236</v>
      </c>
      <c r="B10" s="12">
        <v>0.27</v>
      </c>
      <c r="C10" s="53">
        <v>6</v>
      </c>
      <c r="D10" s="18" t="s">
        <v>224</v>
      </c>
      <c r="E10" s="45">
        <v>6.5856991186023797E-2</v>
      </c>
      <c r="F10" s="52">
        <v>4</v>
      </c>
      <c r="G10" s="13" t="s">
        <v>223</v>
      </c>
      <c r="H10" s="32">
        <v>6.8586382702094148E-2</v>
      </c>
      <c r="I10" s="60">
        <v>6</v>
      </c>
      <c r="J10" s="18" t="s">
        <v>113</v>
      </c>
      <c r="K10" s="45">
        <v>9.1324092423249792E-2</v>
      </c>
      <c r="L10" s="52">
        <v>5</v>
      </c>
      <c r="M10" t="s">
        <v>176</v>
      </c>
      <c r="N10">
        <v>42.86</v>
      </c>
      <c r="O10" s="53">
        <v>6</v>
      </c>
      <c r="P10" s="19" t="s">
        <v>232</v>
      </c>
      <c r="Q10" s="19">
        <v>45.45</v>
      </c>
      <c r="R10" s="52">
        <v>4</v>
      </c>
      <c r="S10" s="19" t="s">
        <v>2</v>
      </c>
      <c r="T10" s="19">
        <v>57.14</v>
      </c>
      <c r="U10" s="52">
        <v>5</v>
      </c>
      <c r="V10" t="s">
        <v>246</v>
      </c>
      <c r="W10">
        <v>10</v>
      </c>
      <c r="X10" s="55">
        <v>7</v>
      </c>
      <c r="Y10" t="s">
        <v>231</v>
      </c>
      <c r="Z10">
        <v>5</v>
      </c>
      <c r="AA10" s="55">
        <v>7</v>
      </c>
    </row>
    <row r="11" spans="1:27" x14ac:dyDescent="0.25">
      <c r="A11" t="s">
        <v>207</v>
      </c>
      <c r="B11" s="12">
        <v>0.27</v>
      </c>
      <c r="C11" s="53">
        <v>6</v>
      </c>
      <c r="D11" s="18" t="s">
        <v>126</v>
      </c>
      <c r="E11" s="45">
        <v>6.2655702018887857E-2</v>
      </c>
      <c r="F11" s="52">
        <v>5</v>
      </c>
      <c r="G11" s="13" t="s">
        <v>224</v>
      </c>
      <c r="H11" s="32">
        <v>6.1348796283737232E-2</v>
      </c>
      <c r="I11" s="60">
        <v>7</v>
      </c>
      <c r="J11" s="18" t="s">
        <v>232</v>
      </c>
      <c r="K11" s="45">
        <v>8.5631657140723058E-2</v>
      </c>
      <c r="L11" s="52">
        <v>5</v>
      </c>
      <c r="M11" t="s">
        <v>113</v>
      </c>
      <c r="N11">
        <v>42.86</v>
      </c>
      <c r="O11" s="53">
        <v>6</v>
      </c>
      <c r="P11" s="19" t="s">
        <v>231</v>
      </c>
      <c r="Q11" s="19">
        <v>45.45</v>
      </c>
      <c r="R11" s="52">
        <v>4</v>
      </c>
      <c r="S11" t="s">
        <v>246</v>
      </c>
      <c r="T11">
        <v>52.38</v>
      </c>
      <c r="U11" s="55">
        <v>6</v>
      </c>
      <c r="V11" t="s">
        <v>124</v>
      </c>
      <c r="W11">
        <v>8</v>
      </c>
      <c r="X11" s="55">
        <v>8</v>
      </c>
      <c r="Y11" t="s">
        <v>121</v>
      </c>
      <c r="Z11">
        <v>5</v>
      </c>
      <c r="AA11" s="55">
        <v>7</v>
      </c>
    </row>
    <row r="12" spans="1:27" x14ac:dyDescent="0.25">
      <c r="A12" t="s">
        <v>162</v>
      </c>
      <c r="B12" s="12">
        <v>0.27</v>
      </c>
      <c r="C12" s="53">
        <v>6</v>
      </c>
      <c r="D12" s="13" t="s">
        <v>362</v>
      </c>
      <c r="E12" s="32">
        <v>3.546551751461393E-2</v>
      </c>
      <c r="F12" s="53">
        <v>6</v>
      </c>
      <c r="G12" s="13" t="s">
        <v>232</v>
      </c>
      <c r="H12" s="32">
        <v>5.4200310536927039E-2</v>
      </c>
      <c r="I12" s="60">
        <v>8</v>
      </c>
      <c r="J12" s="13" t="s">
        <v>121</v>
      </c>
      <c r="K12" s="32">
        <v>8.2684104511592499E-2</v>
      </c>
      <c r="L12" s="53">
        <v>6</v>
      </c>
      <c r="M12" t="s">
        <v>246</v>
      </c>
      <c r="N12">
        <v>42.86</v>
      </c>
      <c r="O12" s="53">
        <v>6</v>
      </c>
      <c r="P12" s="19" t="s">
        <v>2</v>
      </c>
      <c r="Q12" s="19">
        <v>45.45</v>
      </c>
      <c r="R12" s="52">
        <v>4</v>
      </c>
      <c r="S12" t="s">
        <v>176</v>
      </c>
      <c r="T12">
        <v>50</v>
      </c>
      <c r="U12" s="55">
        <v>7</v>
      </c>
      <c r="V12" t="s">
        <v>207</v>
      </c>
      <c r="W12">
        <v>8</v>
      </c>
      <c r="X12" s="55">
        <v>8</v>
      </c>
      <c r="Y12" t="s">
        <v>126</v>
      </c>
      <c r="Z12">
        <v>5</v>
      </c>
      <c r="AA12" s="55">
        <v>7</v>
      </c>
    </row>
    <row r="13" spans="1:27" x14ac:dyDescent="0.25">
      <c r="A13" t="s">
        <v>10</v>
      </c>
      <c r="B13" s="12">
        <v>0.25</v>
      </c>
      <c r="C13" s="53">
        <v>7</v>
      </c>
      <c r="D13" s="13" t="s">
        <v>113</v>
      </c>
      <c r="E13" s="32">
        <v>3.2750348443422436E-2</v>
      </c>
      <c r="F13" s="53">
        <v>7</v>
      </c>
      <c r="G13" s="13" t="s">
        <v>246</v>
      </c>
      <c r="H13" s="32">
        <v>5.1813202326539853E-2</v>
      </c>
      <c r="I13" s="60">
        <v>8</v>
      </c>
      <c r="J13" s="13" t="s">
        <v>362</v>
      </c>
      <c r="K13" s="32">
        <v>6.5759158872427004E-2</v>
      </c>
      <c r="L13" s="53">
        <v>7</v>
      </c>
      <c r="M13" t="s">
        <v>244</v>
      </c>
      <c r="N13">
        <v>40.479999999999997</v>
      </c>
      <c r="O13" s="53">
        <v>7</v>
      </c>
      <c r="P13" s="19" t="s">
        <v>10</v>
      </c>
      <c r="Q13" s="19">
        <v>36.36</v>
      </c>
      <c r="R13" s="52">
        <v>5</v>
      </c>
      <c r="S13" t="s">
        <v>236</v>
      </c>
      <c r="T13">
        <v>47.62</v>
      </c>
      <c r="U13" s="55">
        <v>8</v>
      </c>
      <c r="V13" t="s">
        <v>231</v>
      </c>
      <c r="W13">
        <v>8</v>
      </c>
      <c r="X13" s="55">
        <v>8</v>
      </c>
      <c r="Y13" t="s">
        <v>11</v>
      </c>
      <c r="Z13">
        <v>4</v>
      </c>
      <c r="AA13" s="55">
        <v>8</v>
      </c>
    </row>
    <row r="14" spans="1:27" x14ac:dyDescent="0.25">
      <c r="A14" t="s">
        <v>247</v>
      </c>
      <c r="B14" s="12">
        <v>0.25</v>
      </c>
      <c r="C14" s="53">
        <v>7</v>
      </c>
      <c r="D14" s="13" t="s">
        <v>231</v>
      </c>
      <c r="E14" s="32">
        <v>2.8562787217988411E-2</v>
      </c>
      <c r="F14" s="53">
        <v>7</v>
      </c>
      <c r="G14" s="13" t="s">
        <v>11</v>
      </c>
      <c r="H14" s="32">
        <v>3.8196040833815795E-2</v>
      </c>
      <c r="I14" s="60">
        <v>9</v>
      </c>
      <c r="J14" s="13" t="s">
        <v>126</v>
      </c>
      <c r="K14" s="32">
        <v>4.4190882205805471E-2</v>
      </c>
      <c r="L14" s="53">
        <v>8</v>
      </c>
      <c r="M14" t="s">
        <v>236</v>
      </c>
      <c r="N14">
        <v>40.479999999999997</v>
      </c>
      <c r="O14" s="53">
        <v>7</v>
      </c>
      <c r="P14" s="19" t="s">
        <v>176</v>
      </c>
      <c r="Q14" s="19">
        <v>36.36</v>
      </c>
      <c r="R14" s="52">
        <v>5</v>
      </c>
      <c r="S14" t="s">
        <v>247</v>
      </c>
      <c r="T14">
        <v>47.62</v>
      </c>
      <c r="U14" s="55">
        <v>8</v>
      </c>
      <c r="V14" t="s">
        <v>244</v>
      </c>
      <c r="W14">
        <v>8</v>
      </c>
      <c r="X14" s="55">
        <v>8</v>
      </c>
      <c r="Y14" t="s">
        <v>223</v>
      </c>
      <c r="Z14">
        <v>2</v>
      </c>
      <c r="AA14" s="55">
        <v>9</v>
      </c>
    </row>
    <row r="15" spans="1:27" x14ac:dyDescent="0.25">
      <c r="A15" t="s">
        <v>145</v>
      </c>
      <c r="B15" s="12">
        <v>0.24</v>
      </c>
      <c r="C15" s="53">
        <v>8</v>
      </c>
      <c r="D15" s="13" t="s">
        <v>111</v>
      </c>
      <c r="E15" s="32">
        <v>2.3288412968880561E-2</v>
      </c>
      <c r="F15" s="53">
        <v>8</v>
      </c>
      <c r="G15" s="13" t="s">
        <v>10</v>
      </c>
      <c r="H15" s="32">
        <v>3.6243914984565383E-2</v>
      </c>
      <c r="I15" s="60">
        <v>9</v>
      </c>
      <c r="J15" s="13" t="s">
        <v>236</v>
      </c>
      <c r="K15" s="32">
        <v>3.9114295328263056E-2</v>
      </c>
      <c r="L15" s="53">
        <v>8</v>
      </c>
      <c r="M15" t="s">
        <v>247</v>
      </c>
      <c r="N15">
        <v>40.479999999999997</v>
      </c>
      <c r="O15" s="53">
        <v>7</v>
      </c>
      <c r="P15" s="19" t="s">
        <v>246</v>
      </c>
      <c r="Q15" s="19">
        <v>36.36</v>
      </c>
      <c r="R15" s="52">
        <v>5</v>
      </c>
      <c r="S15" t="s">
        <v>10</v>
      </c>
      <c r="T15">
        <v>42.86</v>
      </c>
      <c r="U15" s="55">
        <v>9</v>
      </c>
      <c r="V15" t="s">
        <v>121</v>
      </c>
      <c r="W15">
        <v>7</v>
      </c>
      <c r="X15" s="53">
        <v>9</v>
      </c>
      <c r="Y15" t="s">
        <v>132</v>
      </c>
      <c r="Z15">
        <v>2</v>
      </c>
      <c r="AA15" s="55">
        <v>9</v>
      </c>
    </row>
    <row r="16" spans="1:27" x14ac:dyDescent="0.25">
      <c r="A16" t="s">
        <v>2</v>
      </c>
      <c r="B16" s="12">
        <v>0.24</v>
      </c>
      <c r="C16" s="53">
        <v>8</v>
      </c>
      <c r="D16" s="13" t="s">
        <v>10</v>
      </c>
      <c r="E16" s="32">
        <v>2.15924384289423E-2</v>
      </c>
      <c r="F16" s="53">
        <v>8</v>
      </c>
      <c r="G16" s="13" t="s">
        <v>207</v>
      </c>
      <c r="H16" s="32">
        <v>1.7696364571380879E-2</v>
      </c>
      <c r="I16" s="60">
        <v>10</v>
      </c>
      <c r="J16" s="13" t="s">
        <v>111</v>
      </c>
      <c r="K16" s="32">
        <v>3.2992880267003297E-2</v>
      </c>
      <c r="L16" s="53">
        <v>9</v>
      </c>
      <c r="M16" t="s">
        <v>231</v>
      </c>
      <c r="N16">
        <v>35.71</v>
      </c>
      <c r="O16" s="53">
        <v>8</v>
      </c>
      <c r="P16" t="s">
        <v>121</v>
      </c>
      <c r="Q16">
        <v>27.27</v>
      </c>
      <c r="R16" s="55">
        <v>6</v>
      </c>
      <c r="S16" t="s">
        <v>244</v>
      </c>
      <c r="T16">
        <v>38.1</v>
      </c>
      <c r="U16" s="55">
        <v>10</v>
      </c>
      <c r="V16" t="s">
        <v>126</v>
      </c>
      <c r="W16">
        <v>7</v>
      </c>
      <c r="X16" s="53">
        <v>9</v>
      </c>
      <c r="Y16" t="s">
        <v>247</v>
      </c>
      <c r="Z16">
        <v>2</v>
      </c>
      <c r="AA16" s="55">
        <v>9</v>
      </c>
    </row>
    <row r="17" spans="1:30" x14ac:dyDescent="0.25">
      <c r="A17" t="s">
        <v>176</v>
      </c>
      <c r="B17" s="12">
        <v>0.24</v>
      </c>
      <c r="C17" s="53">
        <v>8</v>
      </c>
      <c r="D17" s="13" t="s">
        <v>11</v>
      </c>
      <c r="E17" s="32">
        <v>1.9528703045783628E-2</v>
      </c>
      <c r="F17" s="53">
        <v>8</v>
      </c>
      <c r="G17" s="13" t="s">
        <v>162</v>
      </c>
      <c r="H17" s="32">
        <v>1.3040996833896916E-2</v>
      </c>
      <c r="I17" s="53">
        <v>11</v>
      </c>
      <c r="J17" s="13" t="s">
        <v>145</v>
      </c>
      <c r="K17" s="32">
        <v>3.1879327856776003E-2</v>
      </c>
      <c r="L17" s="53">
        <v>9</v>
      </c>
      <c r="M17" t="s">
        <v>10</v>
      </c>
      <c r="N17">
        <v>35.71</v>
      </c>
      <c r="O17" s="53">
        <v>8</v>
      </c>
      <c r="P17" t="s">
        <v>236</v>
      </c>
      <c r="Q17">
        <v>27.27</v>
      </c>
      <c r="R17" s="55">
        <v>6</v>
      </c>
      <c r="S17" t="s">
        <v>362</v>
      </c>
      <c r="T17">
        <v>38.1</v>
      </c>
      <c r="U17" s="53">
        <v>10</v>
      </c>
      <c r="V17" t="s">
        <v>162</v>
      </c>
      <c r="W17">
        <v>7</v>
      </c>
      <c r="X17" s="53">
        <v>9</v>
      </c>
      <c r="Y17" t="s">
        <v>113</v>
      </c>
      <c r="Z17">
        <v>1</v>
      </c>
      <c r="AA17" s="53">
        <v>10</v>
      </c>
    </row>
    <row r="18" spans="1:30" x14ac:dyDescent="0.25">
      <c r="A18" t="s">
        <v>241</v>
      </c>
      <c r="B18" s="12">
        <v>0.23</v>
      </c>
      <c r="C18" s="53">
        <v>9</v>
      </c>
      <c r="D18" s="13" t="s">
        <v>236</v>
      </c>
      <c r="E18" s="32">
        <v>1.7880154267414357E-2</v>
      </c>
      <c r="F18" s="53">
        <v>8</v>
      </c>
      <c r="G18" s="13" t="s">
        <v>121</v>
      </c>
      <c r="H18" s="32">
        <v>-1.4830779434132595E-2</v>
      </c>
      <c r="I18" s="53">
        <v>12</v>
      </c>
      <c r="J18" s="13" t="s">
        <v>247</v>
      </c>
      <c r="K18" s="32">
        <v>2.9666113076638197E-2</v>
      </c>
      <c r="L18" s="53">
        <v>9</v>
      </c>
      <c r="M18" t="s">
        <v>362</v>
      </c>
      <c r="N18">
        <v>33.33</v>
      </c>
      <c r="O18" s="53">
        <v>9</v>
      </c>
      <c r="P18" t="s">
        <v>162</v>
      </c>
      <c r="Q18">
        <v>27.27</v>
      </c>
      <c r="R18" s="55">
        <v>6</v>
      </c>
      <c r="S18" t="s">
        <v>231</v>
      </c>
      <c r="T18">
        <v>33.33</v>
      </c>
      <c r="U18" s="53">
        <v>11</v>
      </c>
      <c r="V18" t="s">
        <v>11</v>
      </c>
      <c r="W18">
        <v>7</v>
      </c>
      <c r="X18" s="53">
        <v>9</v>
      </c>
      <c r="Y18" t="s">
        <v>207</v>
      </c>
      <c r="Z18">
        <v>1</v>
      </c>
      <c r="AA18" s="53">
        <v>10</v>
      </c>
    </row>
    <row r="19" spans="1:30" x14ac:dyDescent="0.25">
      <c r="A19" t="s">
        <v>113</v>
      </c>
      <c r="B19" s="12">
        <v>0.23</v>
      </c>
      <c r="C19" s="53">
        <v>9</v>
      </c>
      <c r="D19" s="13" t="s">
        <v>145</v>
      </c>
      <c r="E19" s="32">
        <v>1.358185300058991E-2</v>
      </c>
      <c r="F19" s="53">
        <v>9</v>
      </c>
      <c r="G19" s="13" t="s">
        <v>145</v>
      </c>
      <c r="H19" s="32">
        <v>-1.8928497578535087E-2</v>
      </c>
      <c r="I19" s="53">
        <v>13</v>
      </c>
      <c r="J19" s="13" t="s">
        <v>149</v>
      </c>
      <c r="K19" s="32">
        <v>2.5859637330143303E-2</v>
      </c>
      <c r="L19" s="53">
        <v>9</v>
      </c>
      <c r="M19" t="s">
        <v>111</v>
      </c>
      <c r="N19">
        <v>30.95</v>
      </c>
      <c r="O19" s="53">
        <v>10</v>
      </c>
      <c r="P19" t="s">
        <v>247</v>
      </c>
      <c r="Q19">
        <v>27.27</v>
      </c>
      <c r="R19" s="53">
        <v>6</v>
      </c>
      <c r="S19" t="s">
        <v>162</v>
      </c>
      <c r="T19">
        <v>33.33</v>
      </c>
      <c r="U19" s="53">
        <v>11</v>
      </c>
      <c r="V19" t="s">
        <v>111</v>
      </c>
      <c r="W19">
        <v>6</v>
      </c>
      <c r="X19" s="53">
        <v>10</v>
      </c>
      <c r="Y19" t="s">
        <v>244</v>
      </c>
      <c r="Z19">
        <v>1</v>
      </c>
      <c r="AA19" s="53">
        <v>10</v>
      </c>
    </row>
    <row r="20" spans="1:30" x14ac:dyDescent="0.25">
      <c r="A20" t="s">
        <v>132</v>
      </c>
      <c r="B20" s="12">
        <v>0.22</v>
      </c>
      <c r="C20" s="53">
        <v>10</v>
      </c>
      <c r="D20" s="13" t="s">
        <v>247</v>
      </c>
      <c r="E20" s="32">
        <v>1.2280354335893216E-2</v>
      </c>
      <c r="F20" s="53">
        <v>9</v>
      </c>
      <c r="G20" s="13" t="s">
        <v>362</v>
      </c>
      <c r="H20" s="32">
        <v>-1.8996579233968983E-2</v>
      </c>
      <c r="I20" s="53">
        <v>13</v>
      </c>
      <c r="J20" s="13" t="s">
        <v>10</v>
      </c>
      <c r="K20" s="32">
        <v>2.1612451431613656E-2</v>
      </c>
      <c r="L20" s="53">
        <v>10</v>
      </c>
      <c r="M20" t="s">
        <v>162</v>
      </c>
      <c r="N20">
        <v>30.95</v>
      </c>
      <c r="O20" s="53">
        <v>10</v>
      </c>
      <c r="P20" t="s">
        <v>113</v>
      </c>
      <c r="Q20">
        <v>27.27</v>
      </c>
      <c r="R20" s="53">
        <v>6</v>
      </c>
      <c r="S20" t="s">
        <v>121</v>
      </c>
      <c r="T20">
        <v>30</v>
      </c>
      <c r="U20" s="53">
        <v>12</v>
      </c>
      <c r="V20" t="s">
        <v>132</v>
      </c>
      <c r="W20">
        <v>3</v>
      </c>
      <c r="X20" s="53">
        <v>11</v>
      </c>
      <c r="Y20" t="s">
        <v>162</v>
      </c>
      <c r="Z20">
        <v>0</v>
      </c>
      <c r="AA20" s="53">
        <v>11</v>
      </c>
    </row>
    <row r="21" spans="1:30" x14ac:dyDescent="0.25">
      <c r="A21" t="s">
        <v>246</v>
      </c>
      <c r="B21" s="12">
        <v>0.22</v>
      </c>
      <c r="C21" s="53">
        <v>10</v>
      </c>
      <c r="D21" s="13" t="s">
        <v>121</v>
      </c>
      <c r="E21" s="32">
        <v>7.5887759377767901E-3</v>
      </c>
      <c r="F21" s="53">
        <v>9</v>
      </c>
      <c r="G21" s="13" t="s">
        <v>247</v>
      </c>
      <c r="H21" s="32">
        <v>-2.0727469599819002E-2</v>
      </c>
      <c r="I21" s="53">
        <v>13</v>
      </c>
      <c r="J21" s="13" t="s">
        <v>11</v>
      </c>
      <c r="K21" s="32">
        <v>1.7803040572925272E-2</v>
      </c>
      <c r="L21" s="53">
        <v>10</v>
      </c>
      <c r="M21" t="s">
        <v>121</v>
      </c>
      <c r="N21">
        <v>26.19</v>
      </c>
      <c r="O21" s="53">
        <v>11</v>
      </c>
      <c r="P21" t="s">
        <v>362</v>
      </c>
      <c r="Q21">
        <v>27.27</v>
      </c>
      <c r="R21" s="53">
        <v>6</v>
      </c>
      <c r="S21" t="s">
        <v>207</v>
      </c>
      <c r="T21">
        <v>30</v>
      </c>
      <c r="U21" s="53">
        <v>12</v>
      </c>
      <c r="V21" t="s">
        <v>247</v>
      </c>
      <c r="W21">
        <v>3</v>
      </c>
      <c r="X21" s="53">
        <v>11</v>
      </c>
      <c r="Y21" t="s">
        <v>111</v>
      </c>
      <c r="Z21">
        <v>0</v>
      </c>
      <c r="AA21" s="53">
        <v>11</v>
      </c>
    </row>
    <row r="22" spans="1:30" x14ac:dyDescent="0.25">
      <c r="A22" t="s">
        <v>126</v>
      </c>
      <c r="B22" s="12">
        <v>0.22</v>
      </c>
      <c r="C22" s="53">
        <v>10</v>
      </c>
      <c r="D22" s="13" t="s">
        <v>149</v>
      </c>
      <c r="E22" s="32">
        <v>4.4527178306980426E-3</v>
      </c>
      <c r="F22" s="53">
        <v>10</v>
      </c>
      <c r="G22" s="13" t="s">
        <v>132</v>
      </c>
      <c r="H22" s="32">
        <v>-2.1235455857908467E-2</v>
      </c>
      <c r="I22" s="53">
        <v>13</v>
      </c>
      <c r="J22" s="13" t="s">
        <v>231</v>
      </c>
      <c r="K22" s="32">
        <v>1.1179196457230121E-2</v>
      </c>
      <c r="L22" s="53">
        <v>11</v>
      </c>
      <c r="M22" t="s">
        <v>145</v>
      </c>
      <c r="N22">
        <v>23.81</v>
      </c>
      <c r="O22" s="53">
        <v>12</v>
      </c>
      <c r="P22" t="s">
        <v>124</v>
      </c>
      <c r="Q22">
        <v>18.18</v>
      </c>
      <c r="R22" s="53">
        <v>7</v>
      </c>
      <c r="S22" t="s">
        <v>145</v>
      </c>
      <c r="T22">
        <v>28.57</v>
      </c>
      <c r="U22" s="53">
        <v>13</v>
      </c>
      <c r="V22" t="s">
        <v>149</v>
      </c>
      <c r="W22">
        <v>0</v>
      </c>
      <c r="X22" s="53">
        <v>12</v>
      </c>
      <c r="Y22" t="s">
        <v>149</v>
      </c>
      <c r="Z22">
        <v>0</v>
      </c>
      <c r="AA22" s="53">
        <v>11</v>
      </c>
    </row>
    <row r="23" spans="1:30" x14ac:dyDescent="0.25">
      <c r="A23" t="s">
        <v>11</v>
      </c>
      <c r="B23" s="12">
        <v>0.22</v>
      </c>
      <c r="C23" s="53">
        <v>10</v>
      </c>
      <c r="D23" s="13" t="s">
        <v>207</v>
      </c>
      <c r="E23" s="32">
        <v>4.1323236370622251E-4</v>
      </c>
      <c r="F23" s="53">
        <v>10</v>
      </c>
      <c r="G23" s="13" t="s">
        <v>236</v>
      </c>
      <c r="H23" s="32">
        <v>-3.050040185968831E-2</v>
      </c>
      <c r="I23" s="53">
        <v>14</v>
      </c>
      <c r="J23" s="13" t="s">
        <v>162</v>
      </c>
      <c r="K23" s="32">
        <v>2.0188100555111888E-3</v>
      </c>
      <c r="L23" s="53">
        <v>12</v>
      </c>
      <c r="M23" t="s">
        <v>149</v>
      </c>
      <c r="N23">
        <v>23.81</v>
      </c>
      <c r="O23" s="53">
        <v>12</v>
      </c>
      <c r="P23" t="s">
        <v>207</v>
      </c>
      <c r="Q23">
        <v>18.18</v>
      </c>
      <c r="R23" s="53">
        <v>7</v>
      </c>
      <c r="S23" t="s">
        <v>149</v>
      </c>
      <c r="T23">
        <v>28.57</v>
      </c>
      <c r="U23" s="53">
        <v>13</v>
      </c>
      <c r="V23" t="s">
        <v>10</v>
      </c>
      <c r="W23">
        <v>0</v>
      </c>
      <c r="X23" s="53">
        <v>12</v>
      </c>
      <c r="Y23" t="s">
        <v>10</v>
      </c>
      <c r="Z23">
        <v>0</v>
      </c>
      <c r="AA23" s="53">
        <v>11</v>
      </c>
    </row>
    <row r="24" spans="1:30" x14ac:dyDescent="0.25">
      <c r="A24" t="s">
        <v>224</v>
      </c>
      <c r="B24" s="12">
        <v>0.21</v>
      </c>
      <c r="C24" s="53">
        <v>11</v>
      </c>
      <c r="D24" s="13" t="s">
        <v>162</v>
      </c>
      <c r="E24" s="32">
        <v>-2.637117523781699E-3</v>
      </c>
      <c r="F24" s="53">
        <v>10</v>
      </c>
      <c r="G24" s="13" t="s">
        <v>124</v>
      </c>
      <c r="H24" s="32">
        <v>-3.2874190074030377E-2</v>
      </c>
      <c r="I24" s="53">
        <v>14</v>
      </c>
      <c r="J24" s="13" t="s">
        <v>207</v>
      </c>
      <c r="K24" s="32">
        <v>-3.640010048359202E-3</v>
      </c>
      <c r="L24" s="53">
        <v>12</v>
      </c>
      <c r="M24" t="s">
        <v>207</v>
      </c>
      <c r="N24">
        <v>21.43</v>
      </c>
      <c r="O24" s="53">
        <v>13</v>
      </c>
      <c r="P24" t="s">
        <v>145</v>
      </c>
      <c r="Q24">
        <v>18.18</v>
      </c>
      <c r="R24" s="53">
        <v>7</v>
      </c>
      <c r="S24" t="s">
        <v>111</v>
      </c>
      <c r="T24">
        <v>23.81</v>
      </c>
      <c r="U24" s="53">
        <v>14</v>
      </c>
      <c r="V24" t="s">
        <v>176</v>
      </c>
      <c r="W24">
        <v>0</v>
      </c>
      <c r="X24" s="53">
        <v>12</v>
      </c>
      <c r="Y24" t="s">
        <v>176</v>
      </c>
      <c r="Z24">
        <v>0</v>
      </c>
      <c r="AA24" s="53">
        <v>11</v>
      </c>
    </row>
    <row r="25" spans="1:30" x14ac:dyDescent="0.25">
      <c r="A25" t="s">
        <v>149</v>
      </c>
      <c r="B25" s="12">
        <v>0.2</v>
      </c>
      <c r="C25" s="53">
        <v>10</v>
      </c>
      <c r="D25" s="13" t="s">
        <v>124</v>
      </c>
      <c r="E25" s="32">
        <v>-3.8469759681288997E-2</v>
      </c>
      <c r="F25" s="53">
        <v>11</v>
      </c>
      <c r="G25" s="13" t="s">
        <v>149</v>
      </c>
      <c r="H25" s="32">
        <v>-4.9636589839311546E-2</v>
      </c>
      <c r="I25" s="53">
        <v>15</v>
      </c>
      <c r="J25" s="13" t="s">
        <v>124</v>
      </c>
      <c r="K25" s="32">
        <v>-3.4007076072505985E-2</v>
      </c>
      <c r="L25" s="53">
        <v>13</v>
      </c>
      <c r="M25" t="s">
        <v>124</v>
      </c>
      <c r="N25">
        <v>14.29</v>
      </c>
      <c r="O25" s="53">
        <v>14</v>
      </c>
      <c r="P25" t="s">
        <v>149</v>
      </c>
      <c r="Q25">
        <v>18.18</v>
      </c>
      <c r="R25" s="53">
        <v>7</v>
      </c>
      <c r="S25" t="s">
        <v>124</v>
      </c>
      <c r="T25">
        <v>19.05</v>
      </c>
      <c r="U25" s="53">
        <v>15</v>
      </c>
      <c r="V25" t="s">
        <v>224</v>
      </c>
      <c r="W25" s="12">
        <v>0</v>
      </c>
      <c r="X25" s="53">
        <v>13</v>
      </c>
      <c r="Y25" t="s">
        <v>224</v>
      </c>
      <c r="Z25" s="12">
        <v>0</v>
      </c>
      <c r="AA25" s="53">
        <v>12</v>
      </c>
    </row>
    <row r="26" spans="1:30" x14ac:dyDescent="0.25">
      <c r="A26" t="s">
        <v>362</v>
      </c>
      <c r="B26" s="12">
        <v>0.2</v>
      </c>
      <c r="C26" s="53">
        <v>10</v>
      </c>
      <c r="D26" s="13" t="s">
        <v>132</v>
      </c>
      <c r="E26" s="32">
        <v>-4.2720380264286983E-2</v>
      </c>
      <c r="F26" s="53">
        <v>11</v>
      </c>
      <c r="G26" s="13" t="s">
        <v>113</v>
      </c>
      <c r="H26" s="32">
        <v>-6.5042196948212908E-2</v>
      </c>
      <c r="I26" s="53">
        <v>16</v>
      </c>
      <c r="J26" s="13" t="s">
        <v>132</v>
      </c>
      <c r="K26" s="32">
        <v>-5.0244783984158194E-2</v>
      </c>
      <c r="L26" s="53">
        <v>14</v>
      </c>
      <c r="M26" t="s">
        <v>132</v>
      </c>
      <c r="N26">
        <v>9.52</v>
      </c>
      <c r="O26" s="53">
        <v>15</v>
      </c>
      <c r="P26" t="s">
        <v>132</v>
      </c>
      <c r="Q26">
        <v>9.09</v>
      </c>
      <c r="R26" s="53">
        <v>8</v>
      </c>
      <c r="S26" t="s">
        <v>132</v>
      </c>
      <c r="T26">
        <v>14.29</v>
      </c>
      <c r="U26" s="53">
        <v>16</v>
      </c>
      <c r="V26" t="s">
        <v>236</v>
      </c>
      <c r="W26" s="12">
        <v>0</v>
      </c>
      <c r="X26" s="53">
        <v>13</v>
      </c>
      <c r="Y26" t="s">
        <v>236</v>
      </c>
      <c r="Z26" s="12">
        <v>0</v>
      </c>
      <c r="AA26" s="53">
        <v>12</v>
      </c>
    </row>
    <row r="27" spans="1:30" x14ac:dyDescent="0.25">
      <c r="A27" s="3"/>
      <c r="B27" s="2"/>
      <c r="C27" s="4"/>
      <c r="D27" s="3"/>
      <c r="E27" s="2"/>
      <c r="F27" s="4"/>
      <c r="G27" s="3"/>
      <c r="H27" s="2"/>
      <c r="I27" s="4"/>
      <c r="J27" s="3"/>
      <c r="K27" s="2"/>
      <c r="L27" s="4"/>
      <c r="M27" s="3"/>
      <c r="N27" s="2"/>
      <c r="O27" s="4"/>
      <c r="P27" s="3"/>
      <c r="Q27" s="2"/>
      <c r="R27" s="4"/>
      <c r="S27" s="3"/>
      <c r="T27" s="2"/>
      <c r="U27" s="4"/>
      <c r="V27" s="3"/>
      <c r="W27" s="2"/>
      <c r="X27" s="4"/>
      <c r="Y27" s="3"/>
      <c r="Z27" s="2"/>
      <c r="AA27" s="4"/>
    </row>
    <row r="28" spans="1:30" ht="15.75" thickBot="1" x14ac:dyDescent="0.3">
      <c r="A28" s="197" t="s">
        <v>20</v>
      </c>
      <c r="B28" s="198"/>
      <c r="C28" s="199"/>
      <c r="D28" s="197" t="s">
        <v>20</v>
      </c>
      <c r="E28" s="198"/>
      <c r="F28" s="199"/>
      <c r="G28" s="197" t="s">
        <v>20</v>
      </c>
      <c r="H28" s="198"/>
      <c r="I28" s="199"/>
      <c r="J28" s="197" t="s">
        <v>20</v>
      </c>
      <c r="K28" s="198"/>
      <c r="L28" s="199"/>
      <c r="M28" s="197" t="s">
        <v>20</v>
      </c>
      <c r="N28" s="198"/>
      <c r="O28" s="199"/>
      <c r="P28" s="197" t="s">
        <v>20</v>
      </c>
      <c r="Q28" s="198"/>
      <c r="R28" s="199"/>
      <c r="S28" s="197" t="s">
        <v>20</v>
      </c>
      <c r="T28" s="198"/>
      <c r="U28" s="199"/>
      <c r="V28" s="197" t="s">
        <v>20</v>
      </c>
      <c r="W28" s="198"/>
      <c r="X28" s="199"/>
      <c r="Y28" s="197" t="s">
        <v>20</v>
      </c>
      <c r="Z28" s="198"/>
      <c r="AA28" s="199"/>
    </row>
    <row r="30" spans="1:30" ht="15" customHeight="1" x14ac:dyDescent="0.25">
      <c r="V30" s="203" t="s">
        <v>405</v>
      </c>
      <c r="W30" s="204"/>
      <c r="X30" s="204"/>
      <c r="Y30" s="204"/>
      <c r="Z30" s="204"/>
      <c r="AA30" s="205"/>
    </row>
    <row r="31" spans="1:30" s="61" customFormat="1" ht="15.75" thickBot="1" x14ac:dyDescent="0.3">
      <c r="V31" s="206"/>
      <c r="W31" s="207"/>
      <c r="X31" s="207"/>
      <c r="Y31" s="207"/>
      <c r="Z31" s="207"/>
      <c r="AA31" s="208"/>
    </row>
    <row r="32" spans="1:30" s="61" customFormat="1" ht="15.75" thickBot="1" x14ac:dyDescent="0.3">
      <c r="Q32" s="224" t="s">
        <v>417</v>
      </c>
      <c r="R32" s="225"/>
      <c r="Y32" s="64"/>
      <c r="Z32" s="64"/>
      <c r="AA32" s="64"/>
      <c r="AB32" s="64"/>
      <c r="AC32" s="64"/>
      <c r="AD32" s="64"/>
    </row>
    <row r="33" spans="1:30" x14ac:dyDescent="0.25">
      <c r="A33" s="221" t="s">
        <v>416</v>
      </c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3"/>
      <c r="M33" s="228" t="s">
        <v>418</v>
      </c>
      <c r="N33" s="229"/>
      <c r="O33" s="230"/>
      <c r="Q33" s="226"/>
      <c r="R33" s="227"/>
    </row>
    <row r="34" spans="1:30" ht="45" x14ac:dyDescent="0.25">
      <c r="A34" s="5" t="s">
        <v>30</v>
      </c>
      <c r="B34" s="6" t="s">
        <v>29</v>
      </c>
      <c r="C34" s="6" t="s">
        <v>31</v>
      </c>
      <c r="D34" s="6" t="s">
        <v>32</v>
      </c>
      <c r="E34" s="6" t="s">
        <v>33</v>
      </c>
      <c r="F34" s="6" t="s">
        <v>34</v>
      </c>
      <c r="G34" s="6" t="s">
        <v>35</v>
      </c>
      <c r="H34" s="6" t="s">
        <v>36</v>
      </c>
      <c r="I34" s="6" t="s">
        <v>271</v>
      </c>
      <c r="J34" s="6" t="s">
        <v>37</v>
      </c>
      <c r="K34" s="70" t="s">
        <v>38</v>
      </c>
      <c r="L34" s="66" t="s">
        <v>39</v>
      </c>
      <c r="M34" s="5" t="s">
        <v>30</v>
      </c>
      <c r="N34" s="70" t="s">
        <v>419</v>
      </c>
      <c r="O34" s="66" t="s">
        <v>420</v>
      </c>
      <c r="Q34" s="65" t="s">
        <v>21</v>
      </c>
      <c r="R34" s="66" t="s">
        <v>273</v>
      </c>
      <c r="T34" s="63" t="s">
        <v>21</v>
      </c>
      <c r="U34" s="49" t="s">
        <v>407</v>
      </c>
      <c r="V34" s="49" t="s">
        <v>408</v>
      </c>
      <c r="W34" s="49" t="s">
        <v>409</v>
      </c>
      <c r="X34" s="49" t="s">
        <v>410</v>
      </c>
      <c r="Y34" s="49" t="s">
        <v>411</v>
      </c>
      <c r="Z34" s="49" t="s">
        <v>412</v>
      </c>
      <c r="AA34" s="49" t="s">
        <v>413</v>
      </c>
      <c r="AB34" s="49" t="s">
        <v>414</v>
      </c>
      <c r="AC34" s="49" t="s">
        <v>415</v>
      </c>
      <c r="AD34" s="49" t="s">
        <v>406</v>
      </c>
    </row>
    <row r="35" spans="1:30" x14ac:dyDescent="0.25">
      <c r="A35" s="17" t="s">
        <v>2</v>
      </c>
      <c r="B35" s="51">
        <v>8</v>
      </c>
      <c r="C35" s="21">
        <v>1</v>
      </c>
      <c r="D35" s="21">
        <v>1</v>
      </c>
      <c r="E35" s="21">
        <v>1</v>
      </c>
      <c r="F35" s="21">
        <v>5</v>
      </c>
      <c r="G35" s="21">
        <v>4</v>
      </c>
      <c r="H35" s="51">
        <v>5</v>
      </c>
      <c r="I35" s="21">
        <v>2</v>
      </c>
      <c r="J35" s="21">
        <v>2</v>
      </c>
      <c r="K35" s="21">
        <f t="shared" ref="K35:K58" si="0">SUM(B35:J35)</f>
        <v>29</v>
      </c>
      <c r="L35" s="48">
        <v>1</v>
      </c>
      <c r="M35" s="96" t="s">
        <v>223</v>
      </c>
      <c r="N35" s="2">
        <v>23</v>
      </c>
      <c r="O35" s="113">
        <v>1</v>
      </c>
      <c r="Q35" s="106" t="s">
        <v>232</v>
      </c>
      <c r="R35" s="104">
        <v>8</v>
      </c>
      <c r="T35" s="62" t="s">
        <v>176</v>
      </c>
      <c r="U35">
        <f>COUNTIF(A3:C9,"metacell-110")</f>
        <v>0</v>
      </c>
      <c r="V35">
        <f>COUNTIF(D3:F11,"metacell-110")</f>
        <v>1</v>
      </c>
      <c r="W35">
        <f>COUNTIF(G3:I8,"metacell-110")</f>
        <v>0</v>
      </c>
      <c r="X35">
        <f>COUNTIF(J3:L11,"metacell-110")</f>
        <v>1</v>
      </c>
      <c r="Y35">
        <f>COUNTIF(M3:O9,"metacell-110")</f>
        <v>0</v>
      </c>
      <c r="Z35">
        <f>COUNTIF(P3:R15,"metacell-110")</f>
        <v>1</v>
      </c>
      <c r="AA35">
        <f>COUNTIF(S3:U10,"metacell-110")</f>
        <v>0</v>
      </c>
      <c r="AB35">
        <f>COUNTIF(V3:X8,"metacell-110")</f>
        <v>0</v>
      </c>
      <c r="AC35">
        <f>COUNTIF(Y3:AA8,"metacell-110")</f>
        <v>0</v>
      </c>
      <c r="AD35">
        <f>SUM(U35:AC35)</f>
        <v>3</v>
      </c>
    </row>
    <row r="36" spans="1:30" x14ac:dyDescent="0.25">
      <c r="A36" s="17" t="s">
        <v>232</v>
      </c>
      <c r="B36" s="51">
        <v>4</v>
      </c>
      <c r="C36" s="21">
        <v>3</v>
      </c>
      <c r="D36" s="21">
        <v>8</v>
      </c>
      <c r="E36" s="21">
        <v>5</v>
      </c>
      <c r="F36" s="21">
        <v>2</v>
      </c>
      <c r="G36" s="21">
        <v>4</v>
      </c>
      <c r="H36" s="51">
        <v>1</v>
      </c>
      <c r="I36" s="21">
        <v>3</v>
      </c>
      <c r="J36" s="21">
        <v>4</v>
      </c>
      <c r="K36" s="21">
        <f t="shared" si="0"/>
        <v>34</v>
      </c>
      <c r="L36" s="48">
        <v>2</v>
      </c>
      <c r="M36" s="96" t="s">
        <v>2</v>
      </c>
      <c r="N36" s="2">
        <v>25</v>
      </c>
      <c r="O36" s="113">
        <v>2</v>
      </c>
      <c r="Q36" s="106" t="s">
        <v>2</v>
      </c>
      <c r="R36" s="104">
        <v>8</v>
      </c>
      <c r="T36" s="62" t="s">
        <v>207</v>
      </c>
      <c r="U36">
        <f>COUNTIF(A3:C9,"metacell-141")</f>
        <v>0</v>
      </c>
      <c r="V36">
        <f>COUNTIF(D3:F11,"metacell-141")</f>
        <v>0</v>
      </c>
      <c r="W36">
        <f>COUNTIF(G3:I8,"metacell-141")</f>
        <v>0</v>
      </c>
      <c r="X36">
        <f>COUNTIF(J3:L11,"metacell-141")</f>
        <v>0</v>
      </c>
      <c r="Y36">
        <f>COUNTIF(M3:O9,"metacell-141")</f>
        <v>0</v>
      </c>
      <c r="Z36">
        <f>COUNTIF(P3:R15,"metacell-141")</f>
        <v>0</v>
      </c>
      <c r="AA36">
        <f>COUNTIF(S3:U10,"metacell-141")</f>
        <v>0</v>
      </c>
      <c r="AB36">
        <f>COUNTIF(V3:X8,"metacell-141")</f>
        <v>0</v>
      </c>
      <c r="AC36">
        <f>COUNTIF(Y3:AA8,"metacell-141")</f>
        <v>0</v>
      </c>
      <c r="AD36">
        <f t="shared" ref="AD36:AD58" si="1">SUM(U36:AC36)</f>
        <v>0</v>
      </c>
    </row>
    <row r="37" spans="1:30" x14ac:dyDescent="0.25">
      <c r="A37" s="17" t="s">
        <v>223</v>
      </c>
      <c r="B37" s="51">
        <v>3</v>
      </c>
      <c r="C37" s="21">
        <v>3</v>
      </c>
      <c r="D37" s="21">
        <v>6</v>
      </c>
      <c r="E37" s="21">
        <v>3</v>
      </c>
      <c r="F37" s="21">
        <v>3</v>
      </c>
      <c r="G37" s="21">
        <v>3</v>
      </c>
      <c r="H37" s="51">
        <v>2</v>
      </c>
      <c r="I37" s="21">
        <v>5</v>
      </c>
      <c r="J37" s="21">
        <v>9</v>
      </c>
      <c r="K37" s="21">
        <f t="shared" si="0"/>
        <v>37</v>
      </c>
      <c r="L37" s="48">
        <v>3</v>
      </c>
      <c r="M37" s="96" t="s">
        <v>232</v>
      </c>
      <c r="N37" s="2">
        <v>27</v>
      </c>
      <c r="O37" s="113">
        <v>3</v>
      </c>
      <c r="Q37" s="106" t="s">
        <v>223</v>
      </c>
      <c r="R37" s="104">
        <v>7</v>
      </c>
      <c r="T37" s="62" t="s">
        <v>223</v>
      </c>
      <c r="U37">
        <f>COUNTIF(A3:C9,"metacell-157")</f>
        <v>1</v>
      </c>
      <c r="V37">
        <f>COUNTIF(D3:F11,"metacell-157")</f>
        <v>1</v>
      </c>
      <c r="W37">
        <f>COUNTIF(G3:I8,"metacell-157")</f>
        <v>0</v>
      </c>
      <c r="X37">
        <f>COUNTIF(J3:L11,"metacell-157")</f>
        <v>1</v>
      </c>
      <c r="Y37">
        <f>COUNTIF(M3:O9,"metacell-157")</f>
        <v>1</v>
      </c>
      <c r="Z37">
        <f>COUNTIF(P3:R15,"metacell-157")</f>
        <v>1</v>
      </c>
      <c r="AA37">
        <f>COUNTIF(S3:U10,"metacell-157")</f>
        <v>1</v>
      </c>
      <c r="AB37">
        <f>COUNTIF(V3:X8,"metacell-157")</f>
        <v>1</v>
      </c>
      <c r="AC37">
        <f>COUNTIF(Y3:AA8,"metacell-157")</f>
        <v>0</v>
      </c>
      <c r="AD37">
        <f t="shared" si="1"/>
        <v>7</v>
      </c>
    </row>
    <row r="38" spans="1:30" x14ac:dyDescent="0.25">
      <c r="A38" s="17" t="s">
        <v>241</v>
      </c>
      <c r="B38" s="51">
        <v>9</v>
      </c>
      <c r="C38" s="21">
        <v>2</v>
      </c>
      <c r="D38" s="21">
        <v>5</v>
      </c>
      <c r="E38" s="21">
        <v>4</v>
      </c>
      <c r="F38" s="21">
        <v>3</v>
      </c>
      <c r="G38" s="21">
        <v>3</v>
      </c>
      <c r="H38" s="51">
        <v>3</v>
      </c>
      <c r="I38" s="21">
        <v>4</v>
      </c>
      <c r="J38" s="21">
        <v>6</v>
      </c>
      <c r="K38" s="21">
        <f t="shared" si="0"/>
        <v>39</v>
      </c>
      <c r="L38" s="48">
        <v>4</v>
      </c>
      <c r="M38" s="96" t="s">
        <v>241</v>
      </c>
      <c r="N38" s="2">
        <v>29</v>
      </c>
      <c r="O38" s="113">
        <v>4</v>
      </c>
      <c r="Q38" s="106" t="s">
        <v>241</v>
      </c>
      <c r="R38" s="104">
        <v>7</v>
      </c>
      <c r="T38" s="62" t="s">
        <v>224</v>
      </c>
      <c r="U38">
        <f>COUNTIF(A3:C9,"metacell-158")</f>
        <v>0</v>
      </c>
      <c r="V38">
        <f>COUNTIF(D3:F11,"metacell-158")</f>
        <v>1</v>
      </c>
      <c r="W38">
        <f>COUNTIF(G3:I8,"metacell-158")</f>
        <v>0</v>
      </c>
      <c r="X38">
        <f>COUNTIF(J3:L11,"metacell-158")</f>
        <v>1</v>
      </c>
      <c r="Y38">
        <f>COUNTIF(M3:O9,"metacell-158")</f>
        <v>1</v>
      </c>
      <c r="Z38">
        <f>COUNTIF(P3:R15,"metacell-158")</f>
        <v>1</v>
      </c>
      <c r="AA38">
        <f>COUNTIF(S3:U10,"metacell-158")</f>
        <v>1</v>
      </c>
      <c r="AB38">
        <f>COUNTIF(V3:X8,"metacell-158")</f>
        <v>0</v>
      </c>
      <c r="AC38">
        <f>COUNTIF(Y3:AA8,"metacell-158")</f>
        <v>0</v>
      </c>
      <c r="AD38">
        <f t="shared" si="1"/>
        <v>5</v>
      </c>
    </row>
    <row r="39" spans="1:30" x14ac:dyDescent="0.25">
      <c r="A39" s="17" t="s">
        <v>126</v>
      </c>
      <c r="B39" s="51">
        <v>10</v>
      </c>
      <c r="C39" s="21">
        <v>5</v>
      </c>
      <c r="D39" s="21">
        <v>2</v>
      </c>
      <c r="E39" s="21">
        <v>8</v>
      </c>
      <c r="F39" s="21">
        <v>4</v>
      </c>
      <c r="G39" s="21">
        <v>2</v>
      </c>
      <c r="H39" s="51">
        <v>4</v>
      </c>
      <c r="I39" s="21">
        <v>9</v>
      </c>
      <c r="J39" s="21">
        <v>7</v>
      </c>
      <c r="K39" s="21">
        <f t="shared" si="0"/>
        <v>51</v>
      </c>
      <c r="L39" s="48">
        <v>5</v>
      </c>
      <c r="M39" s="100" t="s">
        <v>224</v>
      </c>
      <c r="N39" s="2">
        <v>30</v>
      </c>
      <c r="O39" s="113">
        <v>5</v>
      </c>
      <c r="Q39" s="106" t="s">
        <v>224</v>
      </c>
      <c r="R39" s="104">
        <v>5</v>
      </c>
      <c r="T39" s="62" t="s">
        <v>231</v>
      </c>
      <c r="U39">
        <f>COUNTIF(A3:C9,"metacell-165")</f>
        <v>1</v>
      </c>
      <c r="V39">
        <f>COUNTIF(D3:F11,"metacell-165")</f>
        <v>0</v>
      </c>
      <c r="W39">
        <f>COUNTIF(G3:I8,"metacell-165")</f>
        <v>1</v>
      </c>
      <c r="X39">
        <f>COUNTIF(J3:L11,"metacell-165")</f>
        <v>0</v>
      </c>
      <c r="Y39">
        <f>COUNTIF(M3:O9,"metacell-165")</f>
        <v>0</v>
      </c>
      <c r="Z39">
        <f>COUNTIF(P3:R15,"metacell-165")</f>
        <v>1</v>
      </c>
      <c r="AA39">
        <f>COUNTIF(S3:U10,"metacell-165")</f>
        <v>0</v>
      </c>
      <c r="AB39">
        <f>COUNTIF(V3:X8,"metacell-165")</f>
        <v>0</v>
      </c>
      <c r="AC39">
        <f>COUNTIF(Y3:AA8,"metacell-165")</f>
        <v>0</v>
      </c>
      <c r="AD39">
        <f t="shared" si="1"/>
        <v>3</v>
      </c>
    </row>
    <row r="40" spans="1:30" x14ac:dyDescent="0.25">
      <c r="A40" s="17" t="s">
        <v>244</v>
      </c>
      <c r="B40" s="51">
        <v>2</v>
      </c>
      <c r="C40" s="21">
        <v>3</v>
      </c>
      <c r="D40" s="21">
        <v>3</v>
      </c>
      <c r="E40" s="21">
        <v>5</v>
      </c>
      <c r="F40" s="21">
        <v>7</v>
      </c>
      <c r="G40" s="21">
        <v>3</v>
      </c>
      <c r="H40" s="51">
        <v>10</v>
      </c>
      <c r="I40" s="21">
        <v>8</v>
      </c>
      <c r="J40" s="21">
        <v>10</v>
      </c>
      <c r="K40" s="21">
        <f t="shared" si="0"/>
        <v>51</v>
      </c>
      <c r="L40" s="48">
        <v>5</v>
      </c>
      <c r="M40" s="17" t="s">
        <v>244</v>
      </c>
      <c r="N40" s="2">
        <v>33</v>
      </c>
      <c r="O40" s="94">
        <v>6</v>
      </c>
      <c r="Q40" s="106" t="s">
        <v>244</v>
      </c>
      <c r="R40" s="104">
        <v>5</v>
      </c>
      <c r="T40" s="62" t="s">
        <v>232</v>
      </c>
      <c r="U40">
        <f>COUNTIF(A3:C9,"metacell-166")</f>
        <v>1</v>
      </c>
      <c r="V40">
        <f>COUNTIF(D3:F11,"metacell-166")</f>
        <v>1</v>
      </c>
      <c r="W40">
        <f>COUNTIF(G3:I8,"metacell-166")</f>
        <v>0</v>
      </c>
      <c r="X40">
        <f>COUNTIF(J3:L11,"metacell-166")</f>
        <v>1</v>
      </c>
      <c r="Y40">
        <f>COUNTIF(M3:O9,"metacell-166")</f>
        <v>1</v>
      </c>
      <c r="Z40">
        <f>COUNTIF(P3:R15,"metacell-166")</f>
        <v>1</v>
      </c>
      <c r="AA40">
        <f>COUNTIF(S3:U10,"metacell-166")</f>
        <v>1</v>
      </c>
      <c r="AB40">
        <f>COUNTIF(V3:X8,"metacell-166")</f>
        <v>1</v>
      </c>
      <c r="AC40">
        <f>COUNTIF(Y3:AA8,"metacell-166")</f>
        <v>1</v>
      </c>
      <c r="AD40">
        <f t="shared" si="1"/>
        <v>8</v>
      </c>
    </row>
    <row r="41" spans="1:30" x14ac:dyDescent="0.25">
      <c r="A41" s="67" t="s">
        <v>246</v>
      </c>
      <c r="B41" s="20">
        <v>10</v>
      </c>
      <c r="C41" s="2">
        <v>2</v>
      </c>
      <c r="D41" s="2">
        <v>8</v>
      </c>
      <c r="E41" s="2">
        <v>3</v>
      </c>
      <c r="F41" s="2">
        <v>6</v>
      </c>
      <c r="G41" s="2">
        <v>5</v>
      </c>
      <c r="H41" s="20">
        <v>6</v>
      </c>
      <c r="I41" s="2">
        <v>7</v>
      </c>
      <c r="J41" s="2">
        <v>5</v>
      </c>
      <c r="K41" s="2">
        <f t="shared" si="0"/>
        <v>52</v>
      </c>
      <c r="L41" s="4">
        <v>6</v>
      </c>
      <c r="M41" s="17" t="s">
        <v>126</v>
      </c>
      <c r="N41" s="2">
        <v>35</v>
      </c>
      <c r="O41" s="55">
        <v>7</v>
      </c>
      <c r="Q41" s="106" t="s">
        <v>126</v>
      </c>
      <c r="R41" s="104">
        <v>5</v>
      </c>
      <c r="T41" s="62" t="s">
        <v>236</v>
      </c>
      <c r="U41">
        <f>COUNTIF(A3:C9,"metacell-171")</f>
        <v>0</v>
      </c>
      <c r="V41">
        <f>COUNTIF(D3:F11,"metacell-171")</f>
        <v>0</v>
      </c>
      <c r="W41">
        <f>COUNTIF(G3:I8,"metacell-171")</f>
        <v>0</v>
      </c>
      <c r="X41">
        <f>COUNTIF(J3:L11,"metacell-171")</f>
        <v>0</v>
      </c>
      <c r="Y41">
        <f>COUNTIF(M3:O9,"metacell-171")</f>
        <v>0</v>
      </c>
      <c r="Z41">
        <f>COUNTIF(P3:R15,"metacell-171")</f>
        <v>0</v>
      </c>
      <c r="AA41">
        <f>COUNTIF(S3:U10,"metacell-171")</f>
        <v>0</v>
      </c>
      <c r="AB41">
        <f>COUNTIF(V3:X8,"metacell-171")</f>
        <v>0</v>
      </c>
      <c r="AC41">
        <f>COUNTIF(Y3:AA8,"metacell-171")</f>
        <v>0</v>
      </c>
      <c r="AD41">
        <f t="shared" si="1"/>
        <v>0</v>
      </c>
    </row>
    <row r="42" spans="1:30" x14ac:dyDescent="0.25">
      <c r="A42" s="67" t="s">
        <v>224</v>
      </c>
      <c r="B42" s="20">
        <v>11</v>
      </c>
      <c r="C42" s="2">
        <v>4</v>
      </c>
      <c r="D42" s="2">
        <v>7</v>
      </c>
      <c r="E42" s="2">
        <v>5</v>
      </c>
      <c r="F42" s="2">
        <v>1</v>
      </c>
      <c r="G42" s="2">
        <v>1</v>
      </c>
      <c r="H42" s="20">
        <v>1</v>
      </c>
      <c r="I42" s="2">
        <v>13</v>
      </c>
      <c r="J42" s="2">
        <v>12</v>
      </c>
      <c r="K42" s="2">
        <f t="shared" si="0"/>
        <v>55</v>
      </c>
      <c r="L42" s="4">
        <v>7</v>
      </c>
      <c r="M42" s="67" t="s">
        <v>176</v>
      </c>
      <c r="N42" s="2">
        <v>37</v>
      </c>
      <c r="O42" s="55">
        <v>8</v>
      </c>
      <c r="Q42" s="67" t="s">
        <v>246</v>
      </c>
      <c r="R42" s="4">
        <v>4</v>
      </c>
      <c r="T42" s="62" t="s">
        <v>11</v>
      </c>
      <c r="U42">
        <f>COUNTIF(A3:C9,"metacell-172")</f>
        <v>0</v>
      </c>
      <c r="V42">
        <f>COUNTIF(D3:F11,"metacell-172")</f>
        <v>0</v>
      </c>
      <c r="W42">
        <f>COUNTIF(G3:I8,"metacell-172")</f>
        <v>0</v>
      </c>
      <c r="X42">
        <f>COUNTIF(J3:L11,"metacell-172")</f>
        <v>0</v>
      </c>
      <c r="Y42">
        <f>COUNTIF(M3:O9,"metacell-172")</f>
        <v>1</v>
      </c>
      <c r="Z42">
        <f>COUNTIF(P3:R15,"metacell-172")</f>
        <v>1</v>
      </c>
      <c r="AA42">
        <f>COUNTIF(S3:U10,"metacell-172")</f>
        <v>1</v>
      </c>
      <c r="AB42">
        <f>COUNTIF(V3:X8,"metacell-172")</f>
        <v>0</v>
      </c>
      <c r="AC42">
        <f>COUNTIF(Y3:AA8,"metacell-172")</f>
        <v>0</v>
      </c>
      <c r="AD42">
        <f t="shared" si="1"/>
        <v>3</v>
      </c>
    </row>
    <row r="43" spans="1:30" x14ac:dyDescent="0.25">
      <c r="A43" s="67" t="s">
        <v>176</v>
      </c>
      <c r="B43" s="20">
        <v>8</v>
      </c>
      <c r="C43" s="2">
        <v>3</v>
      </c>
      <c r="D43" s="2">
        <v>6</v>
      </c>
      <c r="E43" s="2">
        <v>2</v>
      </c>
      <c r="F43" s="2">
        <v>6</v>
      </c>
      <c r="G43" s="2">
        <v>5</v>
      </c>
      <c r="H43" s="20">
        <v>7</v>
      </c>
      <c r="I43" s="2">
        <v>12</v>
      </c>
      <c r="J43" s="2">
        <v>11</v>
      </c>
      <c r="K43" s="2">
        <f t="shared" si="0"/>
        <v>60</v>
      </c>
      <c r="L43" s="4">
        <v>8</v>
      </c>
      <c r="M43" s="67" t="s">
        <v>246</v>
      </c>
      <c r="N43" s="2">
        <v>40</v>
      </c>
      <c r="O43" s="55">
        <v>9</v>
      </c>
      <c r="Q43" s="67" t="s">
        <v>176</v>
      </c>
      <c r="R43" s="4">
        <v>3</v>
      </c>
      <c r="T43" s="62" t="s">
        <v>241</v>
      </c>
      <c r="U43">
        <f>COUNTIF(A3:C9,"metacell-177")</f>
        <v>0</v>
      </c>
      <c r="V43">
        <f>COUNTIF(D3:F11,"metacell-177")</f>
        <v>1</v>
      </c>
      <c r="W43">
        <f>COUNTIF(G3:I8,"metacell-177")</f>
        <v>1</v>
      </c>
      <c r="X43">
        <f>COUNTIF(J3:L11,"metacell-177")</f>
        <v>1</v>
      </c>
      <c r="Y43">
        <f>COUNTIF(M3:O9,"metacell-177")</f>
        <v>1</v>
      </c>
      <c r="Z43">
        <f>COUNTIF(P3:R15,"metacell-177")</f>
        <v>1</v>
      </c>
      <c r="AA43">
        <f>COUNTIF(S3:U10,"metacell-177")</f>
        <v>1</v>
      </c>
      <c r="AB43">
        <f>COUNTIF(V3:X8,"metacell-177")</f>
        <v>1</v>
      </c>
      <c r="AC43">
        <f>COUNTIF(Y3:AA8,"metacell-177")</f>
        <v>0</v>
      </c>
      <c r="AD43">
        <f t="shared" si="1"/>
        <v>7</v>
      </c>
    </row>
    <row r="44" spans="1:30" x14ac:dyDescent="0.25">
      <c r="A44" s="67" t="s">
        <v>362</v>
      </c>
      <c r="B44" s="20">
        <v>10</v>
      </c>
      <c r="C44" s="2">
        <v>6</v>
      </c>
      <c r="D44" s="2">
        <v>13</v>
      </c>
      <c r="E44" s="2">
        <v>7</v>
      </c>
      <c r="F44" s="2">
        <v>9</v>
      </c>
      <c r="G44" s="2">
        <v>6</v>
      </c>
      <c r="H44" s="20">
        <v>10</v>
      </c>
      <c r="I44" s="2">
        <v>1</v>
      </c>
      <c r="J44" s="2">
        <v>1</v>
      </c>
      <c r="K44" s="2">
        <f t="shared" si="0"/>
        <v>63</v>
      </c>
      <c r="L44" s="4">
        <v>9</v>
      </c>
      <c r="M44" s="67" t="s">
        <v>11</v>
      </c>
      <c r="N44" s="2">
        <v>48</v>
      </c>
      <c r="O44" s="55">
        <v>10</v>
      </c>
      <c r="Q44" s="67" t="s">
        <v>231</v>
      </c>
      <c r="R44" s="4">
        <v>3</v>
      </c>
      <c r="T44" s="62" t="s">
        <v>244</v>
      </c>
      <c r="U44">
        <f>COUNTIF(A3:C9,"metacell-180")</f>
        <v>1</v>
      </c>
      <c r="V44">
        <f>COUNTIF(D3:F11,"metacell-180")</f>
        <v>1</v>
      </c>
      <c r="W44">
        <f>COUNTIF(G3:I8,"metacell-180")</f>
        <v>1</v>
      </c>
      <c r="X44">
        <f>COUNTIF(J3:L11,"metacell-180")</f>
        <v>1</v>
      </c>
      <c r="Y44">
        <f>COUNTIF(M3:O9,"metacell-180")</f>
        <v>0</v>
      </c>
      <c r="Z44">
        <f>COUNTIF(P3:R15,"metacell-180")</f>
        <v>1</v>
      </c>
      <c r="AA44">
        <f>COUNTIF(S3:U10,"metacell-180")</f>
        <v>0</v>
      </c>
      <c r="AB44">
        <f>COUNTIF(V3:X8,"metacell-180")</f>
        <v>0</v>
      </c>
      <c r="AC44">
        <f>COUNTIF(Y3:AA8,"metacell-180")</f>
        <v>0</v>
      </c>
      <c r="AD44">
        <f t="shared" si="1"/>
        <v>5</v>
      </c>
    </row>
    <row r="45" spans="1:30" x14ac:dyDescent="0.25">
      <c r="A45" s="67" t="s">
        <v>231</v>
      </c>
      <c r="B45" s="20">
        <v>5</v>
      </c>
      <c r="C45" s="2">
        <v>7</v>
      </c>
      <c r="D45" s="2">
        <v>4</v>
      </c>
      <c r="E45" s="2">
        <v>11</v>
      </c>
      <c r="F45" s="2">
        <v>8</v>
      </c>
      <c r="G45" s="2">
        <v>4</v>
      </c>
      <c r="H45" s="20">
        <v>11</v>
      </c>
      <c r="I45" s="2">
        <v>8</v>
      </c>
      <c r="J45" s="2">
        <v>7</v>
      </c>
      <c r="K45" s="2">
        <f t="shared" si="0"/>
        <v>65</v>
      </c>
      <c r="L45" s="4">
        <v>10</v>
      </c>
      <c r="M45" s="67" t="s">
        <v>231</v>
      </c>
      <c r="N45" s="2">
        <v>50</v>
      </c>
      <c r="O45" s="55">
        <v>11</v>
      </c>
      <c r="Q45" s="67" t="s">
        <v>11</v>
      </c>
      <c r="R45" s="4">
        <v>3</v>
      </c>
      <c r="T45" s="62" t="s">
        <v>246</v>
      </c>
      <c r="U45">
        <f>COUNTIF(A3:C9,"metacell-182")</f>
        <v>0</v>
      </c>
      <c r="V45">
        <f>COUNTIF(D3:F11,"metacell-182")</f>
        <v>1</v>
      </c>
      <c r="W45">
        <f>COUNTIF(G3:I8,"metacell-182")</f>
        <v>0</v>
      </c>
      <c r="X45">
        <f>COUNTIF(J3:L11,"metacell-182")</f>
        <v>1</v>
      </c>
      <c r="Y45">
        <f>COUNTIF(M3:O9,"metacell-182")</f>
        <v>0</v>
      </c>
      <c r="Z45">
        <f>COUNTIF(P3:R15,"metacell-182")</f>
        <v>1</v>
      </c>
      <c r="AA45">
        <f>COUNTIF(S3:U10,"metacell-182")</f>
        <v>0</v>
      </c>
      <c r="AB45">
        <f>COUNTIF(V3:X8,"metacell-182")</f>
        <v>0</v>
      </c>
      <c r="AC45">
        <f>COUNTIF(Y3:AA8,"metacell-182")</f>
        <v>1</v>
      </c>
      <c r="AD45">
        <f t="shared" si="1"/>
        <v>4</v>
      </c>
    </row>
    <row r="46" spans="1:30" x14ac:dyDescent="0.25">
      <c r="A46" s="67" t="s">
        <v>11</v>
      </c>
      <c r="B46" s="20">
        <v>10</v>
      </c>
      <c r="C46" s="2">
        <v>8</v>
      </c>
      <c r="D46" s="2">
        <v>9</v>
      </c>
      <c r="E46" s="2">
        <v>10</v>
      </c>
      <c r="F46" s="2">
        <v>4</v>
      </c>
      <c r="G46" s="2">
        <v>3</v>
      </c>
      <c r="H46" s="20">
        <v>4</v>
      </c>
      <c r="I46" s="2">
        <v>9</v>
      </c>
      <c r="J46" s="2">
        <v>8</v>
      </c>
      <c r="K46" s="2">
        <f t="shared" si="0"/>
        <v>65</v>
      </c>
      <c r="L46" s="4">
        <v>10</v>
      </c>
      <c r="M46" s="67" t="s">
        <v>111</v>
      </c>
      <c r="N46" s="2">
        <v>50</v>
      </c>
      <c r="O46" s="55">
        <v>11</v>
      </c>
      <c r="Q46" s="67" t="s">
        <v>111</v>
      </c>
      <c r="R46" s="4">
        <v>3</v>
      </c>
      <c r="T46" s="62" t="s">
        <v>247</v>
      </c>
      <c r="U46">
        <f>COUNTIF(A3:C9,"metacell-183")</f>
        <v>0</v>
      </c>
      <c r="V46">
        <f>COUNTIF(D3:F11,"metacell-183")</f>
        <v>0</v>
      </c>
      <c r="W46">
        <f>COUNTIF(G3:I8,"metacell-183")</f>
        <v>0</v>
      </c>
      <c r="X46">
        <f>COUNTIF(J3:L11,"metacell-183")</f>
        <v>0</v>
      </c>
      <c r="Y46">
        <f>COUNTIF(M3:O9,"metacell-183")</f>
        <v>0</v>
      </c>
      <c r="Z46">
        <f>COUNTIF(P3:R15,"metacell-183")</f>
        <v>0</v>
      </c>
      <c r="AA46">
        <f>COUNTIF(S3:U10,"metacell-183")</f>
        <v>0</v>
      </c>
      <c r="AB46">
        <f>COUNTIF(V3:X8,"metacell-183")</f>
        <v>0</v>
      </c>
      <c r="AC46">
        <f>COUNTIF(Y3:AA8,"metacell-183")</f>
        <v>0</v>
      </c>
      <c r="AD46">
        <f t="shared" si="1"/>
        <v>0</v>
      </c>
    </row>
    <row r="47" spans="1:30" x14ac:dyDescent="0.25">
      <c r="A47" s="67" t="s">
        <v>113</v>
      </c>
      <c r="B47" s="20">
        <v>9</v>
      </c>
      <c r="C47" s="2">
        <v>7</v>
      </c>
      <c r="D47" s="2">
        <v>16</v>
      </c>
      <c r="E47" s="2">
        <v>5</v>
      </c>
      <c r="F47" s="2">
        <v>6</v>
      </c>
      <c r="G47" s="2">
        <v>6</v>
      </c>
      <c r="H47" s="20">
        <v>3</v>
      </c>
      <c r="I47" s="2">
        <v>6</v>
      </c>
      <c r="J47" s="2">
        <v>10</v>
      </c>
      <c r="K47" s="2">
        <f t="shared" si="0"/>
        <v>68</v>
      </c>
      <c r="L47" s="4">
        <v>11</v>
      </c>
      <c r="M47" s="67" t="s">
        <v>113</v>
      </c>
      <c r="N47" s="2">
        <v>52</v>
      </c>
      <c r="O47" s="55">
        <v>12</v>
      </c>
      <c r="Q47" s="67" t="s">
        <v>362</v>
      </c>
      <c r="R47" s="4">
        <v>2</v>
      </c>
      <c r="T47" s="62" t="s">
        <v>2</v>
      </c>
      <c r="U47">
        <f>COUNTIF(A3:C9,"metacell-198")</f>
        <v>0</v>
      </c>
      <c r="V47">
        <f>COUNTIF(D3:F11,"metacell-198")</f>
        <v>1</v>
      </c>
      <c r="W47">
        <f>COUNTIF(G3:I8,"metacell-198")</f>
        <v>1</v>
      </c>
      <c r="X47">
        <f>COUNTIF(J3:L11,"metacell-198")</f>
        <v>1</v>
      </c>
      <c r="Y47">
        <f>COUNTIF(M3:O9,"metacell-198")</f>
        <v>1</v>
      </c>
      <c r="Z47">
        <f>COUNTIF(P3:R15,"metacell-198")</f>
        <v>1</v>
      </c>
      <c r="AA47">
        <f>COUNTIF(S3:U10,"metacell-198")</f>
        <v>1</v>
      </c>
      <c r="AB47">
        <f>COUNTIF(V3:X8,"metacell-198")</f>
        <v>1</v>
      </c>
      <c r="AC47">
        <f>COUNTIF(Y3:AA8,"metacell-198")</f>
        <v>1</v>
      </c>
      <c r="AD47">
        <f t="shared" si="1"/>
        <v>8</v>
      </c>
    </row>
    <row r="48" spans="1:30" x14ac:dyDescent="0.25">
      <c r="A48" s="67" t="s">
        <v>111</v>
      </c>
      <c r="B48" s="20">
        <v>1</v>
      </c>
      <c r="C48" s="2">
        <v>8</v>
      </c>
      <c r="D48" s="2">
        <v>5</v>
      </c>
      <c r="E48" s="2">
        <v>9</v>
      </c>
      <c r="F48" s="2">
        <v>10</v>
      </c>
      <c r="G48" s="2">
        <v>3</v>
      </c>
      <c r="H48" s="20">
        <v>14</v>
      </c>
      <c r="I48" s="2">
        <v>10</v>
      </c>
      <c r="J48" s="2">
        <v>11</v>
      </c>
      <c r="K48" s="2">
        <f t="shared" si="0"/>
        <v>71</v>
      </c>
      <c r="L48" s="4">
        <v>12</v>
      </c>
      <c r="M48" s="67" t="s">
        <v>10</v>
      </c>
      <c r="N48" s="2">
        <v>56</v>
      </c>
      <c r="O48" s="55">
        <v>13</v>
      </c>
      <c r="Q48" s="67" t="s">
        <v>113</v>
      </c>
      <c r="R48" s="4">
        <v>2</v>
      </c>
      <c r="T48" s="62" t="s">
        <v>362</v>
      </c>
      <c r="U48">
        <f>COUNTIF(A3:C9,"metacell-209")</f>
        <v>0</v>
      </c>
      <c r="V48">
        <f>COUNTIF(D3:F11,"metacell-209")</f>
        <v>0</v>
      </c>
      <c r="W48">
        <f>COUNTIF(G3:I8,"metacell-209")</f>
        <v>0</v>
      </c>
      <c r="X48">
        <f>COUNTIF(J3:L11,"metacell-209")</f>
        <v>0</v>
      </c>
      <c r="Y48">
        <f>COUNTIF(M3:O9,"metacell-209")</f>
        <v>0</v>
      </c>
      <c r="Z48">
        <f>COUNTIF(P3:R15,"metacell-209")</f>
        <v>0</v>
      </c>
      <c r="AA48">
        <f>COUNTIF(S3:U10,"metacell-209")</f>
        <v>0</v>
      </c>
      <c r="AB48">
        <f>COUNTIF(V3:X8,"metacell-209")</f>
        <v>1</v>
      </c>
      <c r="AC48">
        <f>COUNTIF(Y3:AA8,"metacell-209")</f>
        <v>1</v>
      </c>
      <c r="AD48">
        <f t="shared" si="1"/>
        <v>2</v>
      </c>
    </row>
    <row r="49" spans="1:30" x14ac:dyDescent="0.25">
      <c r="A49" s="67" t="s">
        <v>121</v>
      </c>
      <c r="B49" s="20">
        <v>4</v>
      </c>
      <c r="C49" s="2">
        <v>9</v>
      </c>
      <c r="D49" s="2">
        <v>12</v>
      </c>
      <c r="E49" s="2">
        <v>6</v>
      </c>
      <c r="F49" s="2">
        <v>11</v>
      </c>
      <c r="G49" s="2">
        <v>6</v>
      </c>
      <c r="H49" s="20">
        <v>12</v>
      </c>
      <c r="I49" s="2">
        <v>9</v>
      </c>
      <c r="J49" s="2">
        <v>7</v>
      </c>
      <c r="K49" s="2">
        <f t="shared" si="0"/>
        <v>76</v>
      </c>
      <c r="L49" s="4">
        <v>13</v>
      </c>
      <c r="M49" s="67" t="s">
        <v>236</v>
      </c>
      <c r="N49" s="2">
        <v>57</v>
      </c>
      <c r="O49" s="55">
        <v>14</v>
      </c>
      <c r="Q49" s="67" t="s">
        <v>124</v>
      </c>
      <c r="R49" s="4">
        <v>2</v>
      </c>
      <c r="T49" s="62" t="s">
        <v>111</v>
      </c>
      <c r="U49">
        <f>COUNTIF(A3:C9,"metacell-36")</f>
        <v>1</v>
      </c>
      <c r="V49">
        <f>COUNTIF(D3:F11,"metacell-36")</f>
        <v>0</v>
      </c>
      <c r="W49">
        <f>COUNTIF(G3:I8,"metacell-36")</f>
        <v>1</v>
      </c>
      <c r="X49">
        <f>COUNTIF(J3:L11,"metacell-36")</f>
        <v>0</v>
      </c>
      <c r="Y49">
        <f>COUNTIF(M3:O9,"metacell-36")</f>
        <v>0</v>
      </c>
      <c r="Z49">
        <f>COUNTIF(P3:R15,"metacell-36")</f>
        <v>1</v>
      </c>
      <c r="AA49">
        <f>COUNTIF(S3:U10,"metacell-36")</f>
        <v>0</v>
      </c>
      <c r="AB49">
        <f>COUNTIF(V3:X8,"metacell-36")</f>
        <v>0</v>
      </c>
      <c r="AC49">
        <f>COUNTIF(Y3:AA8,"metacell-36")</f>
        <v>0</v>
      </c>
      <c r="AD49">
        <f t="shared" si="1"/>
        <v>3</v>
      </c>
    </row>
    <row r="50" spans="1:30" x14ac:dyDescent="0.25">
      <c r="A50" s="67" t="s">
        <v>145</v>
      </c>
      <c r="B50" s="20">
        <v>8</v>
      </c>
      <c r="C50" s="2">
        <v>9</v>
      </c>
      <c r="D50" s="2">
        <v>13</v>
      </c>
      <c r="E50" s="2">
        <v>9</v>
      </c>
      <c r="F50" s="2">
        <v>12</v>
      </c>
      <c r="G50" s="2">
        <v>7</v>
      </c>
      <c r="H50" s="20">
        <v>13</v>
      </c>
      <c r="I50" s="2">
        <v>3</v>
      </c>
      <c r="J50" s="2">
        <v>3</v>
      </c>
      <c r="K50" s="2">
        <f t="shared" si="0"/>
        <v>77</v>
      </c>
      <c r="L50" s="4">
        <v>14</v>
      </c>
      <c r="M50" s="67" t="s">
        <v>247</v>
      </c>
      <c r="N50" s="2">
        <v>59</v>
      </c>
      <c r="O50" s="55">
        <v>15</v>
      </c>
      <c r="Q50" s="67" t="s">
        <v>145</v>
      </c>
      <c r="R50" s="4">
        <v>2</v>
      </c>
      <c r="T50" s="62" t="s">
        <v>113</v>
      </c>
      <c r="U50">
        <f>COUNTIF(A3:C9,"metacell-38")</f>
        <v>0</v>
      </c>
      <c r="V50">
        <f>COUNTIF(D3:F11,"metacell-38")</f>
        <v>0</v>
      </c>
      <c r="W50">
        <f>COUNTIF(G3:I8,"metacell-38")</f>
        <v>0</v>
      </c>
      <c r="X50">
        <f>COUNTIF(J3:L11,"metacell-38")</f>
        <v>1</v>
      </c>
      <c r="Y50">
        <f>COUNTIF(M3:O9,"metacell-38")</f>
        <v>0</v>
      </c>
      <c r="Z50">
        <f>COUNTIF(P3:R15,"metacell-38")</f>
        <v>0</v>
      </c>
      <c r="AA50">
        <f>COUNTIF(S3:U10,"metacell-38")</f>
        <v>1</v>
      </c>
      <c r="AB50">
        <f>COUNTIF(V3:X8,"metacell-38")</f>
        <v>0</v>
      </c>
      <c r="AC50">
        <f>COUNTIF(Y3:AA8,"metacell-38")</f>
        <v>0</v>
      </c>
      <c r="AD50">
        <f t="shared" si="1"/>
        <v>2</v>
      </c>
    </row>
    <row r="51" spans="1:30" x14ac:dyDescent="0.25">
      <c r="A51" s="67" t="s">
        <v>247</v>
      </c>
      <c r="B51" s="20">
        <v>7</v>
      </c>
      <c r="C51" s="2">
        <v>9</v>
      </c>
      <c r="D51" s="2">
        <v>13</v>
      </c>
      <c r="E51" s="2">
        <v>9</v>
      </c>
      <c r="F51" s="2">
        <v>7</v>
      </c>
      <c r="G51" s="2">
        <v>6</v>
      </c>
      <c r="H51" s="20">
        <v>8</v>
      </c>
      <c r="I51" s="2">
        <v>11</v>
      </c>
      <c r="J51" s="2">
        <v>9</v>
      </c>
      <c r="K51" s="2">
        <f t="shared" si="0"/>
        <v>79</v>
      </c>
      <c r="L51" s="4">
        <v>15</v>
      </c>
      <c r="M51" s="67" t="s">
        <v>121</v>
      </c>
      <c r="N51" s="2">
        <v>60</v>
      </c>
      <c r="O51" s="55">
        <v>16</v>
      </c>
      <c r="Q51" s="67" t="s">
        <v>121</v>
      </c>
      <c r="R51" s="4">
        <v>1</v>
      </c>
      <c r="T51" s="62" t="s">
        <v>121</v>
      </c>
      <c r="U51">
        <f>COUNTIF(A3:C9,"metacell-46")</f>
        <v>1</v>
      </c>
      <c r="V51">
        <f>COUNTIF(D3:F11,"metacell-46")</f>
        <v>0</v>
      </c>
      <c r="W51">
        <f>COUNTIF(G3:I8,"metacell-46")</f>
        <v>0</v>
      </c>
      <c r="X51">
        <f>COUNTIF(J3:L11,"metacell-46")</f>
        <v>0</v>
      </c>
      <c r="Y51">
        <f>COUNTIF(M3:O9,"metacell-46")</f>
        <v>0</v>
      </c>
      <c r="Z51">
        <f>COUNTIF(P3:R15,"metacell-46")</f>
        <v>0</v>
      </c>
      <c r="AA51">
        <f>COUNTIF(S3:U10,"metacell-46")</f>
        <v>0</v>
      </c>
      <c r="AB51">
        <f>COUNTIF(V3:X8,"metacell-46")</f>
        <v>0</v>
      </c>
      <c r="AC51">
        <f>COUNTIF(Y3:AA8,"metacell-46")</f>
        <v>0</v>
      </c>
      <c r="AD51">
        <f t="shared" si="1"/>
        <v>1</v>
      </c>
    </row>
    <row r="52" spans="1:30" x14ac:dyDescent="0.25">
      <c r="A52" s="67" t="s">
        <v>10</v>
      </c>
      <c r="B52" s="20">
        <v>7</v>
      </c>
      <c r="C52" s="2">
        <v>8</v>
      </c>
      <c r="D52" s="2">
        <v>9</v>
      </c>
      <c r="E52" s="2">
        <v>10</v>
      </c>
      <c r="F52" s="2">
        <v>8</v>
      </c>
      <c r="G52" s="2">
        <v>5</v>
      </c>
      <c r="H52" s="20">
        <v>9</v>
      </c>
      <c r="I52" s="2">
        <v>12</v>
      </c>
      <c r="J52" s="2">
        <v>11</v>
      </c>
      <c r="K52" s="2">
        <f t="shared" si="0"/>
        <v>79</v>
      </c>
      <c r="L52" s="4">
        <v>15</v>
      </c>
      <c r="M52" s="67" t="s">
        <v>362</v>
      </c>
      <c r="N52" s="2">
        <v>61</v>
      </c>
      <c r="O52" s="55">
        <v>17</v>
      </c>
      <c r="Q52" s="67" t="s">
        <v>10</v>
      </c>
      <c r="R52" s="4">
        <v>1</v>
      </c>
      <c r="T52" s="62" t="s">
        <v>124</v>
      </c>
      <c r="U52">
        <f>COUNTIF(A3:C9,"metacell-49")</f>
        <v>1</v>
      </c>
      <c r="V52">
        <f>COUNTIF(D3:F11,"metacell-49")</f>
        <v>0</v>
      </c>
      <c r="W52">
        <f>COUNTIF(G3:I8,"metacell-49")</f>
        <v>0</v>
      </c>
      <c r="X52">
        <f>COUNTIF(J3:L11,"metacell-49")</f>
        <v>0</v>
      </c>
      <c r="Y52">
        <f>COUNTIF(M3:O9,"metacell-49")</f>
        <v>0</v>
      </c>
      <c r="Z52">
        <f>COUNTIF(P3:R15,"metacell-49")</f>
        <v>0</v>
      </c>
      <c r="AA52">
        <f>COUNTIF(S3:U10,"metacell-49")</f>
        <v>0</v>
      </c>
      <c r="AB52">
        <f>COUNTIF(V3:X8,"metacell-49")</f>
        <v>0</v>
      </c>
      <c r="AC52">
        <f>COUNTIF(Y3:AA8,"metacell-49")</f>
        <v>1</v>
      </c>
      <c r="AD52">
        <f t="shared" si="1"/>
        <v>2</v>
      </c>
    </row>
    <row r="53" spans="1:30" x14ac:dyDescent="0.25">
      <c r="A53" s="67" t="s">
        <v>236</v>
      </c>
      <c r="B53" s="20">
        <v>6</v>
      </c>
      <c r="C53" s="2">
        <v>8</v>
      </c>
      <c r="D53" s="2">
        <v>14</v>
      </c>
      <c r="E53" s="2">
        <v>8</v>
      </c>
      <c r="F53" s="2">
        <v>7</v>
      </c>
      <c r="G53" s="2">
        <v>6</v>
      </c>
      <c r="H53" s="20">
        <v>8</v>
      </c>
      <c r="I53" s="2">
        <v>13</v>
      </c>
      <c r="J53" s="2">
        <v>12</v>
      </c>
      <c r="K53" s="2">
        <f t="shared" si="0"/>
        <v>82</v>
      </c>
      <c r="L53" s="4">
        <v>16</v>
      </c>
      <c r="M53" s="67" t="s">
        <v>162</v>
      </c>
      <c r="N53" s="2">
        <v>66</v>
      </c>
      <c r="O53" s="55">
        <v>18</v>
      </c>
      <c r="Q53" s="67" t="s">
        <v>207</v>
      </c>
      <c r="R53" s="4">
        <v>0</v>
      </c>
      <c r="T53" s="62" t="s">
        <v>126</v>
      </c>
      <c r="U53">
        <f>COUNTIF(A3:C9,"metacell-51")</f>
        <v>0</v>
      </c>
      <c r="V53">
        <f>COUNTIF(D3:F11,"metacell-51")</f>
        <v>1</v>
      </c>
      <c r="W53">
        <f>COUNTIF(G3:I8,"metacell-51")</f>
        <v>1</v>
      </c>
      <c r="X53">
        <f>COUNTIF(J3:L11,"metacell-51")</f>
        <v>0</v>
      </c>
      <c r="Y53">
        <f>COUNTIF(M3:O9,"metacell-51")</f>
        <v>1</v>
      </c>
      <c r="Z53">
        <f>COUNTIF(P3:R15,"metacell-51")</f>
        <v>1</v>
      </c>
      <c r="AA53">
        <f>COUNTIF(S3:U10,"metacell-51")</f>
        <v>1</v>
      </c>
      <c r="AB53">
        <f>COUNTIF(V3:X8,"metacell-51")</f>
        <v>0</v>
      </c>
      <c r="AC53">
        <f>COUNTIF(Y3:AA8,"metacell-51")</f>
        <v>0</v>
      </c>
      <c r="AD53">
        <f t="shared" si="1"/>
        <v>5</v>
      </c>
    </row>
    <row r="54" spans="1:30" x14ac:dyDescent="0.25">
      <c r="A54" s="67" t="s">
        <v>162</v>
      </c>
      <c r="B54" s="20">
        <v>6</v>
      </c>
      <c r="C54" s="2">
        <v>10</v>
      </c>
      <c r="D54" s="2">
        <v>11</v>
      </c>
      <c r="E54" s="2">
        <v>12</v>
      </c>
      <c r="F54" s="2">
        <v>10</v>
      </c>
      <c r="G54" s="2">
        <v>6</v>
      </c>
      <c r="H54" s="20">
        <v>11</v>
      </c>
      <c r="I54" s="2">
        <v>9</v>
      </c>
      <c r="J54" s="2">
        <v>11</v>
      </c>
      <c r="K54" s="2">
        <f t="shared" si="0"/>
        <v>86</v>
      </c>
      <c r="L54" s="4">
        <v>17</v>
      </c>
      <c r="M54" s="67" t="s">
        <v>207</v>
      </c>
      <c r="N54" s="2">
        <v>70</v>
      </c>
      <c r="O54" s="55">
        <v>19</v>
      </c>
      <c r="Q54" s="67" t="s">
        <v>236</v>
      </c>
      <c r="R54" s="4">
        <v>0</v>
      </c>
      <c r="T54" s="62" t="s">
        <v>132</v>
      </c>
      <c r="U54">
        <f>COUNTIF(A3:C9,"metacell-57")</f>
        <v>0</v>
      </c>
      <c r="V54">
        <f>COUNTIF(D3:F11,"metacell-57")</f>
        <v>0</v>
      </c>
      <c r="W54">
        <f>COUNTIF(G3:I8,"metacell-57")</f>
        <v>0</v>
      </c>
      <c r="X54">
        <f>COUNTIF(J3:L11,"metacell-57")</f>
        <v>0</v>
      </c>
      <c r="Y54">
        <f>COUNTIF(M3:O9,"metacell-57")</f>
        <v>0</v>
      </c>
      <c r="Z54">
        <f>COUNTIF(P3:R15,"metacell-57")</f>
        <v>0</v>
      </c>
      <c r="AA54">
        <f>COUNTIF(S3:U10,"metacell-57")</f>
        <v>0</v>
      </c>
      <c r="AB54">
        <f>COUNTIF(V3:X8,"metacell-57")</f>
        <v>0</v>
      </c>
      <c r="AC54">
        <f>COUNTIF(Y3:AA8,"metacell-57")</f>
        <v>0</v>
      </c>
      <c r="AD54">
        <f t="shared" si="1"/>
        <v>0</v>
      </c>
    </row>
    <row r="55" spans="1:30" x14ac:dyDescent="0.25">
      <c r="A55" s="67" t="s">
        <v>207</v>
      </c>
      <c r="B55" s="20">
        <v>6</v>
      </c>
      <c r="C55" s="2">
        <v>10</v>
      </c>
      <c r="D55" s="2">
        <v>10</v>
      </c>
      <c r="E55" s="2">
        <v>12</v>
      </c>
      <c r="F55" s="2">
        <v>13</v>
      </c>
      <c r="G55" s="2">
        <v>7</v>
      </c>
      <c r="H55" s="20">
        <v>12</v>
      </c>
      <c r="I55" s="2">
        <v>8</v>
      </c>
      <c r="J55" s="2">
        <v>10</v>
      </c>
      <c r="K55" s="2">
        <f t="shared" si="0"/>
        <v>88</v>
      </c>
      <c r="L55" s="4">
        <v>18</v>
      </c>
      <c r="M55" s="67" t="s">
        <v>145</v>
      </c>
      <c r="N55" s="2">
        <v>71</v>
      </c>
      <c r="O55" s="55">
        <v>20</v>
      </c>
      <c r="Q55" s="67" t="s">
        <v>247</v>
      </c>
      <c r="R55" s="4">
        <v>0</v>
      </c>
      <c r="T55" s="62" t="s">
        <v>145</v>
      </c>
      <c r="U55">
        <f>COUNTIF(A3:C9,"metacell-71")</f>
        <v>0</v>
      </c>
      <c r="V55">
        <f>COUNTIF(D3:F11,"metacell-71")</f>
        <v>0</v>
      </c>
      <c r="W55">
        <f>COUNTIF(G3:I8,"metacell-71")</f>
        <v>0</v>
      </c>
      <c r="X55">
        <f>COUNTIF(J3:L11,"metacell-71")</f>
        <v>0</v>
      </c>
      <c r="Y55">
        <f>COUNTIF(M3:O9,"metacell-71")</f>
        <v>0</v>
      </c>
      <c r="Z55">
        <f>COUNTIF(P3:R15,"metacell-71")</f>
        <v>0</v>
      </c>
      <c r="AA55">
        <f>COUNTIF(S3:U10,"metacell-71")</f>
        <v>0</v>
      </c>
      <c r="AB55">
        <f>COUNTIF(V3:X8,"metacell-71")</f>
        <v>1</v>
      </c>
      <c r="AC55">
        <f>COUNTIF(Y3:AA8,"metacell-71")</f>
        <v>1</v>
      </c>
      <c r="AD55">
        <f t="shared" si="1"/>
        <v>2</v>
      </c>
    </row>
    <row r="56" spans="1:30" x14ac:dyDescent="0.25">
      <c r="A56" s="67" t="s">
        <v>124</v>
      </c>
      <c r="B56" s="20">
        <v>5</v>
      </c>
      <c r="C56" s="2">
        <v>11</v>
      </c>
      <c r="D56" s="2">
        <v>14</v>
      </c>
      <c r="E56" s="2">
        <v>13</v>
      </c>
      <c r="F56" s="2">
        <v>14</v>
      </c>
      <c r="G56" s="2">
        <v>7</v>
      </c>
      <c r="H56" s="20">
        <v>15</v>
      </c>
      <c r="I56" s="2">
        <v>8</v>
      </c>
      <c r="J56" s="2">
        <v>5</v>
      </c>
      <c r="K56" s="2">
        <f t="shared" si="0"/>
        <v>92</v>
      </c>
      <c r="L56" s="4">
        <v>19</v>
      </c>
      <c r="M56" s="67" t="s">
        <v>149</v>
      </c>
      <c r="N56" s="2">
        <v>76</v>
      </c>
      <c r="O56" s="55">
        <v>21</v>
      </c>
      <c r="Q56" s="67" t="s">
        <v>132</v>
      </c>
      <c r="R56" s="4">
        <v>0</v>
      </c>
      <c r="T56" s="62" t="s">
        <v>149</v>
      </c>
      <c r="U56">
        <f>COUNTIF(A3:C9,"metacell-75")</f>
        <v>0</v>
      </c>
      <c r="V56">
        <f>COUNTIF(D3:F11,"metacell-75")</f>
        <v>0</v>
      </c>
      <c r="W56">
        <f>COUNTIF(G3:I8,"metacell-75")</f>
        <v>0</v>
      </c>
      <c r="X56">
        <f>COUNTIF(J3:L11,"metacell-75")</f>
        <v>0</v>
      </c>
      <c r="Y56">
        <f>COUNTIF(M3:O9,"metacell-75")</f>
        <v>0</v>
      </c>
      <c r="Z56">
        <f>COUNTIF(P3:R15,"metacell-75")</f>
        <v>0</v>
      </c>
      <c r="AA56">
        <f>COUNTIF(S3:U10,"metacell-75")</f>
        <v>0</v>
      </c>
      <c r="AB56">
        <f>COUNTIF(V3:X8,"metacell-75")</f>
        <v>0</v>
      </c>
      <c r="AC56">
        <f>COUNTIF(Y3:AA8,"metacell-75")</f>
        <v>0</v>
      </c>
      <c r="AD56">
        <f t="shared" si="1"/>
        <v>0</v>
      </c>
    </row>
    <row r="57" spans="1:30" x14ac:dyDescent="0.25">
      <c r="A57" s="67" t="s">
        <v>149</v>
      </c>
      <c r="B57" s="20">
        <v>10</v>
      </c>
      <c r="C57" s="2">
        <v>10</v>
      </c>
      <c r="D57" s="2">
        <v>15</v>
      </c>
      <c r="E57" s="2">
        <v>9</v>
      </c>
      <c r="F57" s="2">
        <v>12</v>
      </c>
      <c r="G57" s="2">
        <v>7</v>
      </c>
      <c r="H57" s="20">
        <v>13</v>
      </c>
      <c r="I57" s="2">
        <v>12</v>
      </c>
      <c r="J57" s="2">
        <v>11</v>
      </c>
      <c r="K57" s="2">
        <f t="shared" si="0"/>
        <v>99</v>
      </c>
      <c r="L57" s="4">
        <v>20</v>
      </c>
      <c r="M57" s="67" t="s">
        <v>124</v>
      </c>
      <c r="N57" s="2">
        <v>79</v>
      </c>
      <c r="O57" s="55">
        <v>22</v>
      </c>
      <c r="Q57" s="67" t="s">
        <v>149</v>
      </c>
      <c r="R57" s="4">
        <v>0</v>
      </c>
      <c r="T57" s="62" t="s">
        <v>10</v>
      </c>
      <c r="U57">
        <f>COUNTIF(A3:C9,"metacell-76")</f>
        <v>0</v>
      </c>
      <c r="V57">
        <f>COUNTIF(D3:F11,"metacell-76")</f>
        <v>0</v>
      </c>
      <c r="W57">
        <f>COUNTIF(G3:I8,"metacell-76")</f>
        <v>0</v>
      </c>
      <c r="X57">
        <f>COUNTIF(J3:L11,"metacell-76")</f>
        <v>0</v>
      </c>
      <c r="Y57">
        <f>COUNTIF(M3:O9,"metacell-76")</f>
        <v>0</v>
      </c>
      <c r="Z57">
        <f>COUNTIF(P3:R15,"metacell-76")</f>
        <v>1</v>
      </c>
      <c r="AA57">
        <f>COUNTIF(S3:U10,"metacell-76")</f>
        <v>0</v>
      </c>
      <c r="AB57">
        <f>COUNTIF(V3:X8,"metacell-76")</f>
        <v>0</v>
      </c>
      <c r="AC57">
        <f>COUNTIF(Y3:AA8,"metacell-76")</f>
        <v>0</v>
      </c>
      <c r="AD57">
        <f t="shared" si="1"/>
        <v>1</v>
      </c>
    </row>
    <row r="58" spans="1:30" ht="15.75" thickBot="1" x14ac:dyDescent="0.3">
      <c r="A58" s="68" t="s">
        <v>132</v>
      </c>
      <c r="B58" s="71">
        <v>10</v>
      </c>
      <c r="C58" s="11">
        <v>11</v>
      </c>
      <c r="D58" s="11">
        <v>13</v>
      </c>
      <c r="E58" s="11">
        <v>14</v>
      </c>
      <c r="F58" s="11">
        <v>15</v>
      </c>
      <c r="G58" s="11">
        <v>8</v>
      </c>
      <c r="H58" s="71">
        <v>16</v>
      </c>
      <c r="I58" s="11">
        <v>11</v>
      </c>
      <c r="J58" s="11">
        <v>9</v>
      </c>
      <c r="K58" s="11">
        <f t="shared" si="0"/>
        <v>107</v>
      </c>
      <c r="L58" s="69">
        <v>21</v>
      </c>
      <c r="M58" s="68" t="s">
        <v>132</v>
      </c>
      <c r="N58" s="11">
        <v>87</v>
      </c>
      <c r="O58" s="75">
        <v>23</v>
      </c>
      <c r="Q58" s="68" t="s">
        <v>162</v>
      </c>
      <c r="R58" s="69">
        <v>0</v>
      </c>
      <c r="T58" s="62" t="s">
        <v>162</v>
      </c>
      <c r="U58">
        <f>COUNTIF(A3:C9,"metacell-92")</f>
        <v>0</v>
      </c>
      <c r="V58">
        <f>COUNTIF(D3:F11,"metacell-92")</f>
        <v>0</v>
      </c>
      <c r="W58">
        <f>COUNTIF(G3:I8,"metacell-92")</f>
        <v>0</v>
      </c>
      <c r="X58">
        <f>COUNTIF(J3:L11,"metacell-92")</f>
        <v>0</v>
      </c>
      <c r="Y58">
        <f>COUNTIF(M3:O9,"metacell-92")</f>
        <v>0</v>
      </c>
      <c r="Z58">
        <f>COUNTIF(P3:R15,"metacell-92")</f>
        <v>0</v>
      </c>
      <c r="AA58">
        <f>COUNTIF(S3:U10,"metacell-92")</f>
        <v>0</v>
      </c>
      <c r="AB58">
        <f>COUNTIF(V3:X8,"metacell-92")</f>
        <v>0</v>
      </c>
      <c r="AC58">
        <f>COUNTIF(Y3:AA8,"metacell-92")</f>
        <v>0</v>
      </c>
      <c r="AD58">
        <f t="shared" si="1"/>
        <v>0</v>
      </c>
    </row>
    <row r="60" spans="1:30" x14ac:dyDescent="0.25">
      <c r="N60" s="21"/>
    </row>
    <row r="61" spans="1:30" x14ac:dyDescent="0.25">
      <c r="N61" s="21"/>
    </row>
    <row r="62" spans="1:30" x14ac:dyDescent="0.25">
      <c r="B62" s="19"/>
      <c r="N62" s="21"/>
    </row>
    <row r="63" spans="1:30" x14ac:dyDescent="0.25">
      <c r="N63" s="21"/>
    </row>
    <row r="64" spans="1:30" x14ac:dyDescent="0.25">
      <c r="N64" s="21"/>
    </row>
    <row r="65" spans="1:14" x14ac:dyDescent="0.25">
      <c r="A65" s="19"/>
      <c r="N65" s="21"/>
    </row>
    <row r="66" spans="1:14" x14ac:dyDescent="0.25">
      <c r="A66" s="19"/>
      <c r="N66" s="21"/>
    </row>
    <row r="67" spans="1:14" x14ac:dyDescent="0.25">
      <c r="N67" s="21"/>
    </row>
    <row r="68" spans="1:14" x14ac:dyDescent="0.25">
      <c r="B68" s="19"/>
      <c r="N68" s="21"/>
    </row>
    <row r="69" spans="1:14" x14ac:dyDescent="0.25">
      <c r="A69" s="19"/>
      <c r="N69" s="21"/>
    </row>
    <row r="70" spans="1:14" x14ac:dyDescent="0.25">
      <c r="A70" s="19"/>
      <c r="B70" s="19"/>
      <c r="N70" s="21"/>
    </row>
    <row r="71" spans="1:14" x14ac:dyDescent="0.25">
      <c r="N71" s="21"/>
    </row>
    <row r="72" spans="1:14" x14ac:dyDescent="0.25">
      <c r="A72" s="19"/>
      <c r="B72" s="19"/>
      <c r="N72" s="21"/>
    </row>
    <row r="73" spans="1:14" x14ac:dyDescent="0.25">
      <c r="N73" s="21"/>
    </row>
    <row r="74" spans="1:14" x14ac:dyDescent="0.25">
      <c r="A74" s="19"/>
      <c r="N74" s="21"/>
    </row>
    <row r="75" spans="1:14" x14ac:dyDescent="0.25">
      <c r="B75" s="19"/>
      <c r="N75" s="21"/>
    </row>
    <row r="76" spans="1:14" x14ac:dyDescent="0.25">
      <c r="B76" s="19"/>
      <c r="N76" s="21"/>
    </row>
    <row r="77" spans="1:14" x14ac:dyDescent="0.25">
      <c r="N77" s="21"/>
    </row>
    <row r="78" spans="1:14" x14ac:dyDescent="0.25">
      <c r="B78" s="19"/>
      <c r="N78" s="21"/>
    </row>
    <row r="79" spans="1:14" x14ac:dyDescent="0.25">
      <c r="N79" s="21"/>
    </row>
    <row r="80" spans="1:14" x14ac:dyDescent="0.25">
      <c r="A80" s="19"/>
      <c r="N80" s="21"/>
    </row>
    <row r="81" spans="1:14" x14ac:dyDescent="0.25">
      <c r="A81" s="19"/>
      <c r="N81" s="21"/>
    </row>
    <row r="82" spans="1:14" x14ac:dyDescent="0.25">
      <c r="N82" s="21"/>
    </row>
    <row r="83" spans="1:14" x14ac:dyDescent="0.25">
      <c r="B83" s="19"/>
      <c r="N83" s="21"/>
    </row>
  </sheetData>
  <sortState ref="M35:N58">
    <sortCondition ref="N35:N58"/>
  </sortState>
  <mergeCells count="22">
    <mergeCell ref="G1:I1"/>
    <mergeCell ref="J1:L1"/>
    <mergeCell ref="P1:R1"/>
    <mergeCell ref="Y28:AA28"/>
    <mergeCell ref="A33:L33"/>
    <mergeCell ref="V1:X1"/>
    <mergeCell ref="Y1:AA1"/>
    <mergeCell ref="A28:C28"/>
    <mergeCell ref="D28:F28"/>
    <mergeCell ref="G28:I28"/>
    <mergeCell ref="J28:L28"/>
    <mergeCell ref="P28:R28"/>
    <mergeCell ref="S28:U28"/>
    <mergeCell ref="V28:X28"/>
    <mergeCell ref="A1:C1"/>
    <mergeCell ref="D1:F1"/>
    <mergeCell ref="S1:U1"/>
    <mergeCell ref="M1:O1"/>
    <mergeCell ref="M28:O28"/>
    <mergeCell ref="V30:AA31"/>
    <mergeCell ref="M33:O33"/>
    <mergeCell ref="Q32:R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260"/>
  <sheetViews>
    <sheetView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A51" sqref="A51:K51"/>
    </sheetView>
  </sheetViews>
  <sheetFormatPr defaultRowHeight="15" x14ac:dyDescent="0.25"/>
  <cols>
    <col min="1" max="1" width="18.7109375" customWidth="1"/>
    <col min="2" max="2" width="25.7109375" customWidth="1"/>
    <col min="3" max="11" width="10.42578125" bestFit="1" customWidth="1"/>
    <col min="12" max="101" width="11.42578125" bestFit="1" customWidth="1"/>
    <col min="102" max="211" width="12.42578125" bestFit="1" customWidth="1"/>
  </cols>
  <sheetData>
    <row r="1" spans="1:211" s="59" customFormat="1" x14ac:dyDescent="0.25">
      <c r="B1" s="16" t="s">
        <v>80</v>
      </c>
      <c r="C1" s="58" t="s">
        <v>74</v>
      </c>
      <c r="D1" s="58" t="s">
        <v>75</v>
      </c>
      <c r="E1" s="58" t="s">
        <v>76</v>
      </c>
      <c r="F1" s="58" t="s">
        <v>77</v>
      </c>
      <c r="G1" s="58" t="s">
        <v>78</v>
      </c>
      <c r="H1" s="58" t="s">
        <v>79</v>
      </c>
      <c r="I1" s="16" t="s">
        <v>82</v>
      </c>
      <c r="J1" s="16" t="s">
        <v>83</v>
      </c>
      <c r="K1" s="16" t="s">
        <v>84</v>
      </c>
      <c r="L1" s="16" t="s">
        <v>85</v>
      </c>
      <c r="M1" s="16" t="s">
        <v>86</v>
      </c>
      <c r="N1" s="16" t="s">
        <v>87</v>
      </c>
      <c r="O1" s="16" t="s">
        <v>88</v>
      </c>
      <c r="P1" s="16" t="s">
        <v>89</v>
      </c>
      <c r="Q1" s="16" t="s">
        <v>90</v>
      </c>
      <c r="R1" s="16" t="s">
        <v>91</v>
      </c>
      <c r="S1" s="16" t="s">
        <v>92</v>
      </c>
      <c r="T1" s="16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102</v>
      </c>
      <c r="AD1" s="16" t="s">
        <v>103</v>
      </c>
      <c r="AE1" s="16" t="s">
        <v>104</v>
      </c>
      <c r="AF1" s="16" t="s">
        <v>105</v>
      </c>
      <c r="AG1" s="16" t="s">
        <v>106</v>
      </c>
      <c r="AH1" s="16" t="s">
        <v>107</v>
      </c>
      <c r="AI1" s="16" t="s">
        <v>108</v>
      </c>
      <c r="AJ1" s="16" t="s">
        <v>109</v>
      </c>
      <c r="AK1" s="16" t="s">
        <v>110</v>
      </c>
      <c r="AL1" s="13" t="s">
        <v>111</v>
      </c>
      <c r="AM1" s="16" t="s">
        <v>112</v>
      </c>
      <c r="AN1" s="13" t="s">
        <v>113</v>
      </c>
      <c r="AO1" s="16" t="s">
        <v>114</v>
      </c>
      <c r="AP1" s="16" t="s">
        <v>115</v>
      </c>
      <c r="AQ1" s="16" t="s">
        <v>116</v>
      </c>
      <c r="AR1" s="16" t="s">
        <v>117</v>
      </c>
      <c r="AS1" s="16" t="s">
        <v>118</v>
      </c>
      <c r="AT1" s="16" t="s">
        <v>119</v>
      </c>
      <c r="AU1" s="16" t="s">
        <v>120</v>
      </c>
      <c r="AV1" s="13" t="s">
        <v>121</v>
      </c>
      <c r="AW1" s="16" t="s">
        <v>122</v>
      </c>
      <c r="AX1" s="16" t="s">
        <v>123</v>
      </c>
      <c r="AY1" s="13" t="s">
        <v>124</v>
      </c>
      <c r="AZ1" s="16" t="s">
        <v>125</v>
      </c>
      <c r="BA1" s="13" t="s">
        <v>126</v>
      </c>
      <c r="BB1" s="16" t="s">
        <v>127</v>
      </c>
      <c r="BC1" s="16" t="s">
        <v>128</v>
      </c>
      <c r="BD1" s="16" t="s">
        <v>129</v>
      </c>
      <c r="BE1" s="16" t="s">
        <v>130</v>
      </c>
      <c r="BF1" s="16" t="s">
        <v>131</v>
      </c>
      <c r="BG1" s="13" t="s">
        <v>132</v>
      </c>
      <c r="BH1" s="16" t="s">
        <v>133</v>
      </c>
      <c r="BI1" s="16" t="s">
        <v>134</v>
      </c>
      <c r="BJ1" s="16" t="s">
        <v>135</v>
      </c>
      <c r="BK1" s="16" t="s">
        <v>136</v>
      </c>
      <c r="BL1" s="16" t="s">
        <v>137</v>
      </c>
      <c r="BM1" s="16" t="s">
        <v>14</v>
      </c>
      <c r="BN1" s="16" t="s">
        <v>138</v>
      </c>
      <c r="BO1" s="16" t="s">
        <v>139</v>
      </c>
      <c r="BP1" s="16" t="s">
        <v>140</v>
      </c>
      <c r="BQ1" s="16" t="s">
        <v>141</v>
      </c>
      <c r="BR1" s="16" t="s">
        <v>142</v>
      </c>
      <c r="BS1" s="16" t="s">
        <v>143</v>
      </c>
      <c r="BT1" s="16" t="s">
        <v>144</v>
      </c>
      <c r="BU1" s="13" t="s">
        <v>145</v>
      </c>
      <c r="BV1" s="16" t="s">
        <v>146</v>
      </c>
      <c r="BW1" s="16" t="s">
        <v>147</v>
      </c>
      <c r="BX1" s="16" t="s">
        <v>148</v>
      </c>
      <c r="BY1" s="13" t="s">
        <v>149</v>
      </c>
      <c r="BZ1" s="13" t="s">
        <v>10</v>
      </c>
      <c r="CA1" s="16" t="s">
        <v>150</v>
      </c>
      <c r="CB1" s="16" t="s">
        <v>16</v>
      </c>
      <c r="CC1" s="16" t="s">
        <v>151</v>
      </c>
      <c r="CD1" s="16" t="s">
        <v>152</v>
      </c>
      <c r="CE1" s="16" t="s">
        <v>153</v>
      </c>
      <c r="CF1" s="16" t="s">
        <v>154</v>
      </c>
      <c r="CG1" s="16" t="s">
        <v>155</v>
      </c>
      <c r="CH1" s="16" t="s">
        <v>156</v>
      </c>
      <c r="CI1" s="16" t="s">
        <v>157</v>
      </c>
      <c r="CJ1" s="16" t="s">
        <v>158</v>
      </c>
      <c r="CK1" s="16" t="s">
        <v>159</v>
      </c>
      <c r="CL1" s="16" t="s">
        <v>15</v>
      </c>
      <c r="CM1" s="16" t="s">
        <v>9</v>
      </c>
      <c r="CN1" s="16" t="s">
        <v>160</v>
      </c>
      <c r="CO1" s="16" t="s">
        <v>161</v>
      </c>
      <c r="CP1" s="13" t="s">
        <v>162</v>
      </c>
      <c r="CQ1" s="16" t="s">
        <v>7</v>
      </c>
      <c r="CR1" s="16" t="s">
        <v>3</v>
      </c>
      <c r="CS1" s="16" t="s">
        <v>13</v>
      </c>
      <c r="CT1" s="16" t="s">
        <v>6</v>
      </c>
      <c r="CU1" s="16" t="s">
        <v>163</v>
      </c>
      <c r="CV1" s="16" t="s">
        <v>164</v>
      </c>
      <c r="CW1" s="16" t="s">
        <v>165</v>
      </c>
      <c r="CX1" s="16" t="s">
        <v>166</v>
      </c>
      <c r="CY1" s="16" t="s">
        <v>167</v>
      </c>
      <c r="CZ1" s="16" t="s">
        <v>168</v>
      </c>
      <c r="DA1" s="16" t="s">
        <v>169</v>
      </c>
      <c r="DB1" s="16" t="s">
        <v>170</v>
      </c>
      <c r="DC1" s="16" t="s">
        <v>171</v>
      </c>
      <c r="DD1" s="16" t="s">
        <v>172</v>
      </c>
      <c r="DE1" s="16" t="s">
        <v>173</v>
      </c>
      <c r="DF1" s="16" t="s">
        <v>174</v>
      </c>
      <c r="DG1" s="16" t="s">
        <v>175</v>
      </c>
      <c r="DH1" s="13" t="s">
        <v>176</v>
      </c>
      <c r="DI1" s="16" t="s">
        <v>177</v>
      </c>
      <c r="DJ1" s="16" t="s">
        <v>178</v>
      </c>
      <c r="DK1" s="16" t="s">
        <v>179</v>
      </c>
      <c r="DL1" s="16" t="s">
        <v>180</v>
      </c>
      <c r="DM1" s="16" t="s">
        <v>181</v>
      </c>
      <c r="DN1" s="16" t="s">
        <v>182</v>
      </c>
      <c r="DO1" s="16" t="s">
        <v>183</v>
      </c>
      <c r="DP1" s="16" t="s">
        <v>184</v>
      </c>
      <c r="DQ1" s="16" t="s">
        <v>185</v>
      </c>
      <c r="DR1" s="16" t="s">
        <v>186</v>
      </c>
      <c r="DS1" s="16" t="s">
        <v>187</v>
      </c>
      <c r="DT1" s="16" t="s">
        <v>188</v>
      </c>
      <c r="DU1" s="16" t="s">
        <v>189</v>
      </c>
      <c r="DV1" s="16" t="s">
        <v>190</v>
      </c>
      <c r="DW1" s="16" t="s">
        <v>191</v>
      </c>
      <c r="DX1" s="16" t="s">
        <v>192</v>
      </c>
      <c r="DY1" s="16" t="s">
        <v>193</v>
      </c>
      <c r="DZ1" s="16" t="s">
        <v>194</v>
      </c>
      <c r="EA1" s="16" t="s">
        <v>195</v>
      </c>
      <c r="EB1" s="16" t="s">
        <v>196</v>
      </c>
      <c r="EC1" s="16" t="s">
        <v>197</v>
      </c>
      <c r="ED1" s="16" t="s">
        <v>198</v>
      </c>
      <c r="EE1" s="16" t="s">
        <v>199</v>
      </c>
      <c r="EF1" s="16" t="s">
        <v>200</v>
      </c>
      <c r="EG1" s="16" t="s">
        <v>201</v>
      </c>
      <c r="EH1" s="16" t="s">
        <v>202</v>
      </c>
      <c r="EI1" s="16" t="s">
        <v>203</v>
      </c>
      <c r="EJ1" s="16" t="s">
        <v>204</v>
      </c>
      <c r="EK1" s="16" t="s">
        <v>205</v>
      </c>
      <c r="EL1" s="16" t="s">
        <v>206</v>
      </c>
      <c r="EM1" s="13" t="s">
        <v>207</v>
      </c>
      <c r="EN1" s="16" t="s">
        <v>208</v>
      </c>
      <c r="EO1" s="16" t="s">
        <v>209</v>
      </c>
      <c r="EP1" s="16" t="s">
        <v>210</v>
      </c>
      <c r="EQ1" s="16" t="s">
        <v>211</v>
      </c>
      <c r="ER1" s="16" t="s">
        <v>212</v>
      </c>
      <c r="ES1" s="16" t="s">
        <v>213</v>
      </c>
      <c r="ET1" s="16" t="s">
        <v>214</v>
      </c>
      <c r="EU1" s="16" t="s">
        <v>215</v>
      </c>
      <c r="EV1" s="16" t="s">
        <v>216</v>
      </c>
      <c r="EW1" s="16" t="s">
        <v>217</v>
      </c>
      <c r="EX1" s="16" t="s">
        <v>218</v>
      </c>
      <c r="EY1" s="16" t="s">
        <v>219</v>
      </c>
      <c r="EZ1" s="16" t="s">
        <v>220</v>
      </c>
      <c r="FA1" s="16" t="s">
        <v>221</v>
      </c>
      <c r="FB1" s="16" t="s">
        <v>222</v>
      </c>
      <c r="FC1" s="13" t="s">
        <v>223</v>
      </c>
      <c r="FD1" s="13" t="s">
        <v>224</v>
      </c>
      <c r="FE1" s="16" t="s">
        <v>225</v>
      </c>
      <c r="FF1" s="16" t="s">
        <v>226</v>
      </c>
      <c r="FG1" s="16" t="s">
        <v>227</v>
      </c>
      <c r="FH1" s="16" t="s">
        <v>228</v>
      </c>
      <c r="FI1" s="16" t="s">
        <v>229</v>
      </c>
      <c r="FJ1" s="16" t="s">
        <v>230</v>
      </c>
      <c r="FK1" s="13" t="s">
        <v>231</v>
      </c>
      <c r="FL1" s="13" t="s">
        <v>232</v>
      </c>
      <c r="FM1" s="16" t="s">
        <v>233</v>
      </c>
      <c r="FN1" s="16" t="s">
        <v>234</v>
      </c>
      <c r="FO1" s="16" t="s">
        <v>1</v>
      </c>
      <c r="FP1" s="16" t="s">
        <v>235</v>
      </c>
      <c r="FQ1" s="13" t="s">
        <v>236</v>
      </c>
      <c r="FR1" s="13" t="s">
        <v>11</v>
      </c>
      <c r="FS1" s="16" t="s">
        <v>237</v>
      </c>
      <c r="FT1" s="16" t="s">
        <v>238</v>
      </c>
      <c r="FU1" s="16" t="s">
        <v>239</v>
      </c>
      <c r="FV1" s="16" t="s">
        <v>240</v>
      </c>
      <c r="FW1" s="13" t="s">
        <v>241</v>
      </c>
      <c r="FX1" s="16" t="s">
        <v>242</v>
      </c>
      <c r="FY1" s="16" t="s">
        <v>243</v>
      </c>
      <c r="FZ1" s="13" t="s">
        <v>244</v>
      </c>
      <c r="GA1" s="16" t="s">
        <v>245</v>
      </c>
      <c r="GB1" s="13" t="s">
        <v>246</v>
      </c>
      <c r="GC1" s="13" t="s">
        <v>247</v>
      </c>
      <c r="GD1" s="16" t="s">
        <v>248</v>
      </c>
      <c r="GE1" s="16" t="s">
        <v>249</v>
      </c>
      <c r="GF1" s="16" t="s">
        <v>250</v>
      </c>
      <c r="GG1" s="16" t="s">
        <v>251</v>
      </c>
      <c r="GH1" s="16" t="s">
        <v>0</v>
      </c>
      <c r="GI1" s="16" t="s">
        <v>5</v>
      </c>
      <c r="GJ1" s="16" t="s">
        <v>252</v>
      </c>
      <c r="GK1" s="16" t="s">
        <v>253</v>
      </c>
      <c r="GL1" s="16" t="s">
        <v>254</v>
      </c>
      <c r="GM1" s="16" t="s">
        <v>255</v>
      </c>
      <c r="GN1" s="16" t="s">
        <v>256</v>
      </c>
      <c r="GO1" s="16" t="s">
        <v>257</v>
      </c>
      <c r="GP1" s="16" t="s">
        <v>4</v>
      </c>
      <c r="GQ1" s="16" t="s">
        <v>8</v>
      </c>
      <c r="GR1" s="13" t="s">
        <v>2</v>
      </c>
      <c r="GS1" s="16" t="s">
        <v>258</v>
      </c>
      <c r="GT1" s="16" t="s">
        <v>259</v>
      </c>
      <c r="GU1" s="16" t="s">
        <v>12</v>
      </c>
      <c r="GV1" s="16" t="s">
        <v>355</v>
      </c>
      <c r="GW1" s="16" t="s">
        <v>356</v>
      </c>
      <c r="GX1" s="16" t="s">
        <v>357</v>
      </c>
      <c r="GY1" s="16" t="s">
        <v>358</v>
      </c>
      <c r="GZ1" s="16" t="s">
        <v>359</v>
      </c>
      <c r="HA1" s="16" t="s">
        <v>360</v>
      </c>
      <c r="HB1" s="16" t="s">
        <v>361</v>
      </c>
      <c r="HC1" s="13" t="s">
        <v>362</v>
      </c>
    </row>
    <row r="2" spans="1:211" x14ac:dyDescent="0.25">
      <c r="A2" t="s">
        <v>265</v>
      </c>
      <c r="B2" t="s">
        <v>364</v>
      </c>
      <c r="C2">
        <v>4.65755571291857E-2</v>
      </c>
      <c r="D2">
        <v>0</v>
      </c>
      <c r="E2">
        <v>0</v>
      </c>
      <c r="F2">
        <v>0.15755153553169801</v>
      </c>
      <c r="G2">
        <v>8.7143039284198601E-2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2.6409331005654301E-2</v>
      </c>
      <c r="O2">
        <v>0</v>
      </c>
      <c r="P2">
        <v>6.6480937907045096E-2</v>
      </c>
      <c r="Q2">
        <v>0</v>
      </c>
      <c r="R2">
        <v>0</v>
      </c>
      <c r="S2">
        <v>0</v>
      </c>
      <c r="T2">
        <v>0</v>
      </c>
      <c r="U2">
        <v>0.23127915632447399</v>
      </c>
      <c r="V2">
        <v>0</v>
      </c>
      <c r="W2">
        <v>0</v>
      </c>
      <c r="X2">
        <v>0</v>
      </c>
      <c r="Y2">
        <v>0</v>
      </c>
      <c r="Z2">
        <v>0.22339201433115199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0.129534396437265</v>
      </c>
      <c r="AJ2">
        <v>0</v>
      </c>
      <c r="AK2">
        <v>0</v>
      </c>
      <c r="AL2">
        <v>0.25568959332136298</v>
      </c>
      <c r="AM2">
        <v>0</v>
      </c>
      <c r="AN2">
        <v>0.22850842611265201</v>
      </c>
      <c r="AO2">
        <v>0</v>
      </c>
      <c r="AP2">
        <v>0.14942667541150501</v>
      </c>
      <c r="AQ2">
        <v>0</v>
      </c>
      <c r="AR2">
        <v>0.115976530652688</v>
      </c>
      <c r="AS2">
        <v>0</v>
      </c>
      <c r="AT2">
        <v>0</v>
      </c>
      <c r="AU2">
        <v>0</v>
      </c>
      <c r="AV2">
        <v>0.31840813371337801</v>
      </c>
      <c r="AW2">
        <v>0</v>
      </c>
      <c r="AX2">
        <v>0</v>
      </c>
      <c r="AY2">
        <v>0</v>
      </c>
      <c r="AZ2">
        <v>0.41322017237263697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5.6354139556913901E-2</v>
      </c>
      <c r="BJ2">
        <v>0</v>
      </c>
      <c r="BK2">
        <v>0.31427797195500501</v>
      </c>
      <c r="BL2">
        <v>0</v>
      </c>
      <c r="BM2">
        <v>0</v>
      </c>
      <c r="BN2">
        <v>0.177780548303968</v>
      </c>
      <c r="BO2">
        <v>0.202400909867016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0.12882668011399501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0.13413090172213299</v>
      </c>
      <c r="CD2">
        <v>0</v>
      </c>
      <c r="CE2">
        <v>2.1272848573621599E-2</v>
      </c>
      <c r="CF2">
        <v>8.4248473506903898E-2</v>
      </c>
      <c r="CG2">
        <v>0.16276861526355699</v>
      </c>
      <c r="CH2">
        <v>0</v>
      </c>
      <c r="CI2">
        <v>8.4232271932848296E-2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8.1334510039344193E-2</v>
      </c>
      <c r="CR2">
        <v>8.0921832201189106E-2</v>
      </c>
      <c r="CS2">
        <v>0</v>
      </c>
      <c r="CT2">
        <v>0.13906246831692501</v>
      </c>
      <c r="CU2">
        <v>0</v>
      </c>
      <c r="CV2">
        <v>0.120156158466656</v>
      </c>
      <c r="CW2">
        <v>0.12775355345701001</v>
      </c>
      <c r="CX2">
        <v>8.5465214909349996E-2</v>
      </c>
      <c r="CY2">
        <v>7.7346915416979606E-2</v>
      </c>
      <c r="CZ2">
        <v>0</v>
      </c>
      <c r="DA2">
        <v>0</v>
      </c>
      <c r="DB2">
        <v>4.88290144995304E-2</v>
      </c>
      <c r="DC2">
        <v>0.16871110127002201</v>
      </c>
      <c r="DD2">
        <v>4.5664737093077799E-2</v>
      </c>
      <c r="DE2">
        <v>0.10307042038471199</v>
      </c>
      <c r="DF2">
        <v>0</v>
      </c>
      <c r="DG2">
        <v>5.6768843891167001E-2</v>
      </c>
      <c r="DH2">
        <v>0</v>
      </c>
      <c r="DI2">
        <v>2.7468756420785299E-2</v>
      </c>
      <c r="DJ2">
        <v>7.4113006172832702E-2</v>
      </c>
      <c r="DK2">
        <v>4.1944004299938498E-2</v>
      </c>
      <c r="DL2">
        <v>8.5244652160695697E-2</v>
      </c>
      <c r="DM2">
        <v>0</v>
      </c>
      <c r="DN2">
        <v>6.3683224139960706E-2</v>
      </c>
      <c r="DO2">
        <v>3.6830609091360302E-2</v>
      </c>
      <c r="DP2">
        <v>3.1896445430524202E-2</v>
      </c>
      <c r="DQ2">
        <v>0</v>
      </c>
      <c r="DR2">
        <v>7.3470985246821205E-2</v>
      </c>
      <c r="DS2">
        <v>0</v>
      </c>
      <c r="DT2">
        <v>0</v>
      </c>
      <c r="DU2">
        <v>4.5028333483079303E-2</v>
      </c>
      <c r="DV2">
        <v>7.3213015050414401E-2</v>
      </c>
      <c r="DW2">
        <v>0.12531848842954399</v>
      </c>
      <c r="DX2">
        <v>0</v>
      </c>
      <c r="DY2">
        <v>0.20851447503290399</v>
      </c>
      <c r="DZ2">
        <v>0</v>
      </c>
      <c r="EA2">
        <v>0.28792982717548399</v>
      </c>
      <c r="EB2">
        <v>0.19125824047116199</v>
      </c>
      <c r="EC2">
        <v>0</v>
      </c>
      <c r="ED2">
        <v>0.113412951718683</v>
      </c>
      <c r="EE2">
        <v>8.2855797592275598E-2</v>
      </c>
      <c r="EF2">
        <v>0.13549438447199599</v>
      </c>
      <c r="EG2">
        <v>0</v>
      </c>
      <c r="EH2">
        <v>7.2698203460989805E-2</v>
      </c>
      <c r="EI2">
        <v>0</v>
      </c>
      <c r="EJ2">
        <v>0</v>
      </c>
      <c r="EK2">
        <v>0.16474749641019101</v>
      </c>
      <c r="EL2">
        <v>0</v>
      </c>
      <c r="EM2">
        <v>0.14314773744644199</v>
      </c>
      <c r="EN2">
        <v>0</v>
      </c>
      <c r="EO2">
        <v>0</v>
      </c>
      <c r="EP2">
        <v>0.105111095761847</v>
      </c>
      <c r="EQ2">
        <v>0.162818904675573</v>
      </c>
      <c r="ER2">
        <v>0</v>
      </c>
      <c r="ES2">
        <v>0.184758924889627</v>
      </c>
      <c r="ET2">
        <v>0</v>
      </c>
      <c r="EU2">
        <v>0</v>
      </c>
      <c r="EV2">
        <v>0</v>
      </c>
      <c r="EW2">
        <v>4.97458588061125E-2</v>
      </c>
      <c r="EX2">
        <v>0</v>
      </c>
      <c r="EY2">
        <v>0</v>
      </c>
      <c r="EZ2">
        <v>0</v>
      </c>
      <c r="FA2">
        <v>9.6243054216283694E-2</v>
      </c>
      <c r="FB2">
        <v>0</v>
      </c>
      <c r="FC2">
        <v>0</v>
      </c>
      <c r="FD2">
        <v>0</v>
      </c>
      <c r="FE2">
        <v>0</v>
      </c>
      <c r="FF2">
        <v>0.36690985777895802</v>
      </c>
      <c r="FG2">
        <v>0</v>
      </c>
      <c r="FH2">
        <v>0.197459467334726</v>
      </c>
      <c r="FI2">
        <v>0</v>
      </c>
      <c r="FJ2">
        <v>0.26751906136991499</v>
      </c>
      <c r="FK2">
        <v>0.15150252098959799</v>
      </c>
      <c r="FL2">
        <v>0.25550911641911001</v>
      </c>
      <c r="FM2">
        <v>8.7290722087359301E-2</v>
      </c>
      <c r="FN2">
        <v>0.153833995511204</v>
      </c>
      <c r="FO2">
        <v>0</v>
      </c>
      <c r="FP2">
        <v>9.8320177564086106E-2</v>
      </c>
      <c r="FQ2">
        <v>0.35729295164118802</v>
      </c>
      <c r="FR2">
        <v>8.6874417916175006E-2</v>
      </c>
      <c r="FS2">
        <v>0.16252866354718901</v>
      </c>
      <c r="FT2">
        <v>0</v>
      </c>
      <c r="FU2">
        <v>0.11661576680621499</v>
      </c>
      <c r="FV2">
        <v>0</v>
      </c>
      <c r="FW2">
        <v>0.148696881887278</v>
      </c>
      <c r="FX2">
        <v>0.15077243879763899</v>
      </c>
      <c r="FY2">
        <v>0.19312221660669099</v>
      </c>
      <c r="FZ2">
        <v>0</v>
      </c>
      <c r="GA2">
        <v>0</v>
      </c>
      <c r="GB2">
        <v>0</v>
      </c>
      <c r="GC2">
        <v>0.128693286037071</v>
      </c>
      <c r="GD2">
        <v>0</v>
      </c>
      <c r="GE2">
        <v>0.51160146210724</v>
      </c>
      <c r="GF2">
        <v>5.52609206594806E-2</v>
      </c>
      <c r="GG2">
        <v>0.237086846368006</v>
      </c>
      <c r="GH2">
        <v>0.20701868172628499</v>
      </c>
      <c r="GI2">
        <v>0</v>
      </c>
      <c r="GJ2">
        <v>0.25458658421729902</v>
      </c>
      <c r="GK2">
        <v>7.2780585861602798E-2</v>
      </c>
      <c r="GL2">
        <v>5.9305902762271302E-2</v>
      </c>
      <c r="GM2">
        <v>0</v>
      </c>
      <c r="GN2">
        <v>0.59483106951199705</v>
      </c>
      <c r="GO2">
        <v>0.42829078420192801</v>
      </c>
      <c r="GP2">
        <v>0.285689822942225</v>
      </c>
      <c r="GQ2">
        <v>0</v>
      </c>
      <c r="GR2">
        <v>0.23696612637136899</v>
      </c>
      <c r="GS2">
        <v>0.37047505857853102</v>
      </c>
      <c r="GT2">
        <v>1.31947678622371</v>
      </c>
      <c r="GU2">
        <v>0</v>
      </c>
      <c r="GV2">
        <v>0</v>
      </c>
      <c r="GW2">
        <v>0</v>
      </c>
      <c r="GX2">
        <v>0</v>
      </c>
      <c r="GY2">
        <v>9.4247194393962105E-2</v>
      </c>
      <c r="GZ2">
        <v>0.59133515856889296</v>
      </c>
      <c r="HA2">
        <v>0</v>
      </c>
      <c r="HB2">
        <v>0.24982151612450301</v>
      </c>
      <c r="HC2">
        <v>0.31159466980855499</v>
      </c>
    </row>
    <row r="3" spans="1:211" x14ac:dyDescent="0.25">
      <c r="A3" t="s">
        <v>265</v>
      </c>
      <c r="B3" t="s">
        <v>365</v>
      </c>
      <c r="C3">
        <v>0</v>
      </c>
      <c r="D3">
        <v>0.108726117132802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0.28203864377750698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0.115976530652688</v>
      </c>
      <c r="AS3">
        <v>0</v>
      </c>
      <c r="AT3">
        <v>0</v>
      </c>
      <c r="AU3">
        <v>0.18476667832174901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0.15914197520675599</v>
      </c>
      <c r="BQ3">
        <v>0</v>
      </c>
      <c r="BR3">
        <v>0.18370788247795999</v>
      </c>
      <c r="BS3">
        <v>0</v>
      </c>
      <c r="BT3">
        <v>0</v>
      </c>
      <c r="BU3">
        <v>0.23932496750915599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2.1272848573621599E-2</v>
      </c>
      <c r="CF3">
        <v>0</v>
      </c>
      <c r="CG3">
        <v>0</v>
      </c>
      <c r="CH3">
        <v>0</v>
      </c>
      <c r="CI3">
        <v>8.4232271932848296E-2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8.1334510039344193E-2</v>
      </c>
      <c r="CR3">
        <v>0</v>
      </c>
      <c r="CS3">
        <v>0</v>
      </c>
      <c r="CT3">
        <v>0</v>
      </c>
      <c r="CU3">
        <v>0</v>
      </c>
      <c r="CV3">
        <v>0</v>
      </c>
      <c r="CW3">
        <v>9.2906722644195097E-2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2.7468756420785299E-2</v>
      </c>
      <c r="DJ3">
        <v>0</v>
      </c>
      <c r="DK3">
        <v>0</v>
      </c>
      <c r="DL3">
        <v>0</v>
      </c>
      <c r="DM3">
        <v>0</v>
      </c>
      <c r="DN3">
        <v>0</v>
      </c>
      <c r="DO3">
        <v>7.3009658173682296E-2</v>
      </c>
      <c r="DP3">
        <v>0</v>
      </c>
      <c r="DQ3">
        <v>0</v>
      </c>
      <c r="DR3">
        <v>0</v>
      </c>
      <c r="DS3">
        <v>0</v>
      </c>
      <c r="DT3">
        <v>4.4191723186216697E-2</v>
      </c>
      <c r="DU3">
        <v>0</v>
      </c>
      <c r="DV3">
        <v>4.6563252133133497E-2</v>
      </c>
      <c r="DW3">
        <v>0</v>
      </c>
      <c r="DX3">
        <v>0</v>
      </c>
      <c r="DY3">
        <v>0.20851447503290399</v>
      </c>
      <c r="DZ3">
        <v>8.3716896368759799E-2</v>
      </c>
      <c r="EA3">
        <v>0</v>
      </c>
      <c r="EB3">
        <v>0</v>
      </c>
      <c r="EC3">
        <v>0</v>
      </c>
      <c r="ED3">
        <v>0</v>
      </c>
      <c r="EE3">
        <v>0</v>
      </c>
      <c r="EF3">
        <v>6.9151051521479406E-2</v>
      </c>
      <c r="EG3">
        <v>0</v>
      </c>
      <c r="EH3">
        <v>0</v>
      </c>
      <c r="EI3">
        <v>3.4354406433133498E-2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0.105111095761847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3.4241005244577898E-2</v>
      </c>
      <c r="EY3">
        <v>8.3537549760195007E-2</v>
      </c>
      <c r="EZ3">
        <v>0</v>
      </c>
      <c r="FA3">
        <v>0</v>
      </c>
      <c r="FB3">
        <v>0</v>
      </c>
      <c r="FC3">
        <v>0</v>
      </c>
      <c r="FD3">
        <v>6.97536860220003E-2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0.132896003093607</v>
      </c>
      <c r="FM3">
        <v>0</v>
      </c>
      <c r="FN3">
        <v>7.8676926504957806E-2</v>
      </c>
      <c r="FO3">
        <v>0</v>
      </c>
      <c r="FP3">
        <v>0.123164665307613</v>
      </c>
      <c r="FQ3">
        <v>0</v>
      </c>
      <c r="FR3">
        <v>8.6874417916175006E-2</v>
      </c>
      <c r="FS3">
        <v>0</v>
      </c>
      <c r="FT3">
        <v>0</v>
      </c>
      <c r="FU3">
        <v>0</v>
      </c>
      <c r="FV3">
        <v>0</v>
      </c>
      <c r="FW3">
        <v>0</v>
      </c>
      <c r="FX3">
        <v>0.15077243879763899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9.8289851092727795E-2</v>
      </c>
      <c r="GF3">
        <v>0</v>
      </c>
      <c r="GG3">
        <v>0</v>
      </c>
      <c r="GH3">
        <v>0</v>
      </c>
      <c r="GI3">
        <v>0.28296228351432101</v>
      </c>
      <c r="GJ3">
        <v>0.14004231758837801</v>
      </c>
      <c r="GK3">
        <v>0</v>
      </c>
      <c r="GL3">
        <v>0</v>
      </c>
      <c r="GM3">
        <v>0</v>
      </c>
      <c r="GN3">
        <v>8.8042982664772201E-2</v>
      </c>
      <c r="GO3">
        <v>0.184548412214246</v>
      </c>
      <c r="GP3">
        <v>0</v>
      </c>
      <c r="GQ3">
        <v>0</v>
      </c>
      <c r="GR3">
        <v>0</v>
      </c>
      <c r="GS3">
        <v>0</v>
      </c>
      <c r="GT3">
        <v>0.77671750237388204</v>
      </c>
      <c r="GU3">
        <v>0</v>
      </c>
      <c r="GV3">
        <v>0</v>
      </c>
      <c r="GW3">
        <v>0</v>
      </c>
      <c r="GX3">
        <v>0</v>
      </c>
      <c r="GY3">
        <v>0</v>
      </c>
      <c r="GZ3">
        <v>0.14855739118091399</v>
      </c>
      <c r="HA3">
        <v>0</v>
      </c>
      <c r="HB3">
        <v>0</v>
      </c>
      <c r="HC3">
        <v>0</v>
      </c>
    </row>
    <row r="4" spans="1:211" x14ac:dyDescent="0.25">
      <c r="A4" t="s">
        <v>265</v>
      </c>
      <c r="B4" t="s">
        <v>372</v>
      </c>
      <c r="C4">
        <v>0</v>
      </c>
      <c r="D4">
        <v>0</v>
      </c>
      <c r="E4">
        <v>4.7243588110225998E-2</v>
      </c>
      <c r="F4">
        <v>0</v>
      </c>
      <c r="G4">
        <v>0</v>
      </c>
      <c r="H4">
        <v>5.0588230557474002E-2</v>
      </c>
      <c r="I4">
        <v>5.1377008219726697E-2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6.6480937907045096E-2</v>
      </c>
      <c r="Q4">
        <v>0</v>
      </c>
      <c r="R4">
        <v>0</v>
      </c>
      <c r="S4">
        <v>7.5527525102641796E-2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0.22476307431394499</v>
      </c>
      <c r="AI4">
        <v>6.6041050601816198E-2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0.115976530652688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3.7997905364583903E-2</v>
      </c>
      <c r="BB4">
        <v>0</v>
      </c>
      <c r="BC4">
        <v>0.15809622465752701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8.3086839701319498E-2</v>
      </c>
      <c r="BY4">
        <v>0.204730490326366</v>
      </c>
      <c r="BZ4">
        <v>0</v>
      </c>
      <c r="CA4">
        <v>0.25735001593423901</v>
      </c>
      <c r="CB4">
        <v>0</v>
      </c>
      <c r="CC4">
        <v>6.8526514950210199E-2</v>
      </c>
      <c r="CD4">
        <v>0</v>
      </c>
      <c r="CE4">
        <v>2.1272848573621599E-2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0.141749371317023</v>
      </c>
      <c r="CQ4">
        <v>0.27273421129847503</v>
      </c>
      <c r="CR4">
        <v>8.0921832201189106E-2</v>
      </c>
      <c r="CS4">
        <v>0.104674462533679</v>
      </c>
      <c r="CT4">
        <v>0</v>
      </c>
      <c r="CU4">
        <v>4.9395901862327597E-2</v>
      </c>
      <c r="CV4">
        <v>0</v>
      </c>
      <c r="CW4">
        <v>0</v>
      </c>
      <c r="CX4">
        <v>5.4341933552554997E-2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0.15255823793015799</v>
      </c>
      <c r="DI4">
        <v>0</v>
      </c>
      <c r="DJ4">
        <v>0</v>
      </c>
      <c r="DK4">
        <v>0</v>
      </c>
      <c r="DL4">
        <v>0</v>
      </c>
      <c r="DM4">
        <v>0</v>
      </c>
      <c r="DN4">
        <v>6.3683224139960706E-2</v>
      </c>
      <c r="DO4">
        <v>3.6830609091360302E-2</v>
      </c>
      <c r="DP4">
        <v>6.3349841607375598E-2</v>
      </c>
      <c r="DQ4">
        <v>0</v>
      </c>
      <c r="DR4">
        <v>0</v>
      </c>
      <c r="DS4">
        <v>0</v>
      </c>
      <c r="DT4">
        <v>4.4191723186216697E-2</v>
      </c>
      <c r="DU4">
        <v>4.5028333483079303E-2</v>
      </c>
      <c r="DV4">
        <v>0</v>
      </c>
      <c r="DW4">
        <v>0</v>
      </c>
      <c r="DX4">
        <v>0</v>
      </c>
      <c r="DY4">
        <v>0.10767420198994999</v>
      </c>
      <c r="DZ4">
        <v>8.3716896368759799E-2</v>
      </c>
      <c r="EA4">
        <v>0.28005975564001501</v>
      </c>
      <c r="EB4">
        <v>0.27884235620473202</v>
      </c>
      <c r="EC4">
        <v>0</v>
      </c>
      <c r="ED4">
        <v>4.9752096899832503E-2</v>
      </c>
      <c r="EE4">
        <v>8.2855797592275598E-2</v>
      </c>
      <c r="EF4">
        <v>6.9151051521479406E-2</v>
      </c>
      <c r="EG4">
        <v>0.124807400789382</v>
      </c>
      <c r="EH4">
        <v>0</v>
      </c>
      <c r="EI4">
        <v>0</v>
      </c>
      <c r="EJ4">
        <v>0.29381939099103899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9.7188360064785803E-2</v>
      </c>
      <c r="EW4">
        <v>0</v>
      </c>
      <c r="EX4">
        <v>3.4241005244577898E-2</v>
      </c>
      <c r="EY4">
        <v>0.16294295722007399</v>
      </c>
      <c r="EZ4">
        <v>0</v>
      </c>
      <c r="FA4">
        <v>0</v>
      </c>
      <c r="FB4">
        <v>8.5578127064297599E-2</v>
      </c>
      <c r="FC4">
        <v>0.27212658199978801</v>
      </c>
      <c r="FD4">
        <v>0.23853116106644701</v>
      </c>
      <c r="FE4">
        <v>0</v>
      </c>
      <c r="FF4">
        <v>0</v>
      </c>
      <c r="FG4">
        <v>0.14482749933005401</v>
      </c>
      <c r="FH4">
        <v>0</v>
      </c>
      <c r="FI4">
        <v>6.6440024981408496E-2</v>
      </c>
      <c r="FJ4">
        <v>0.13919961123974101</v>
      </c>
      <c r="FK4">
        <v>0</v>
      </c>
      <c r="FL4">
        <v>0</v>
      </c>
      <c r="FM4">
        <v>0</v>
      </c>
      <c r="FN4">
        <v>0.153833995511204</v>
      </c>
      <c r="FO4">
        <v>7.2129468472401995E-2</v>
      </c>
      <c r="FP4">
        <v>0.157586633757827</v>
      </c>
      <c r="FQ4">
        <v>9.6711304295129599E-2</v>
      </c>
      <c r="FR4">
        <v>0.21554479908274601</v>
      </c>
      <c r="FS4">
        <v>8.3378178075488807E-2</v>
      </c>
      <c r="FT4">
        <v>0.125377153850804</v>
      </c>
      <c r="FU4">
        <v>0</v>
      </c>
      <c r="FV4">
        <v>0</v>
      </c>
      <c r="FW4">
        <v>0</v>
      </c>
      <c r="FX4">
        <v>0</v>
      </c>
      <c r="FY4">
        <v>0.29574490271957499</v>
      </c>
      <c r="FZ4">
        <v>0.18933155774485599</v>
      </c>
      <c r="GA4">
        <v>0.45827227339576398</v>
      </c>
      <c r="GB4">
        <v>0</v>
      </c>
      <c r="GC4">
        <v>0</v>
      </c>
      <c r="GD4">
        <v>0</v>
      </c>
      <c r="GE4">
        <v>9.8289851092727795E-2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5.9305902762271302E-2</v>
      </c>
      <c r="GM4">
        <v>0</v>
      </c>
      <c r="GN4">
        <v>0</v>
      </c>
      <c r="GO4">
        <v>9.4823851206833606E-2</v>
      </c>
      <c r="GP4">
        <v>0.242422744992424</v>
      </c>
      <c r="GQ4">
        <v>9.3442635844618899E-2</v>
      </c>
      <c r="GR4">
        <v>0</v>
      </c>
      <c r="GS4">
        <v>0</v>
      </c>
      <c r="GT4">
        <v>0.19066400123451499</v>
      </c>
      <c r="GU4">
        <v>0</v>
      </c>
      <c r="GV4">
        <v>0</v>
      </c>
      <c r="GW4">
        <v>0</v>
      </c>
      <c r="GX4">
        <v>0.735612086792786</v>
      </c>
      <c r="GY4">
        <v>6.0071151206032701E-2</v>
      </c>
      <c r="GZ4">
        <v>0</v>
      </c>
      <c r="HA4">
        <v>0</v>
      </c>
      <c r="HB4">
        <v>0.286553273004793</v>
      </c>
      <c r="HC4">
        <v>0.20359248930535301</v>
      </c>
    </row>
    <row r="5" spans="1:211" x14ac:dyDescent="0.25">
      <c r="A5" t="s">
        <v>265</v>
      </c>
      <c r="B5" t="s">
        <v>374</v>
      </c>
      <c r="C5">
        <v>7.3322944063642995E-2</v>
      </c>
      <c r="D5">
        <v>6.9411082601717494E-2</v>
      </c>
      <c r="E5">
        <v>9.3227894248385498E-2</v>
      </c>
      <c r="F5">
        <v>0</v>
      </c>
      <c r="G5">
        <v>4.4106643934412902E-2</v>
      </c>
      <c r="H5">
        <v>0</v>
      </c>
      <c r="I5">
        <v>0</v>
      </c>
      <c r="J5">
        <v>0</v>
      </c>
      <c r="K5">
        <v>0</v>
      </c>
      <c r="L5">
        <v>0</v>
      </c>
      <c r="M5">
        <v>4.9480426591276799E-2</v>
      </c>
      <c r="N5">
        <v>0</v>
      </c>
      <c r="O5">
        <v>4.2085181631320301E-2</v>
      </c>
      <c r="P5">
        <v>0</v>
      </c>
      <c r="Q5">
        <v>4.61693600155327E-2</v>
      </c>
      <c r="R5">
        <v>8.0780904827724903E-2</v>
      </c>
      <c r="S5">
        <v>0</v>
      </c>
      <c r="T5">
        <v>0.13319100781279899</v>
      </c>
      <c r="U5">
        <v>6.7826908649061102E-2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0.18916132689120699</v>
      </c>
      <c r="AC5">
        <v>0</v>
      </c>
      <c r="AD5">
        <v>0</v>
      </c>
      <c r="AE5">
        <v>0</v>
      </c>
      <c r="AF5">
        <v>9.2180646851826906E-2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0.46113179554320899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0.220527019173337</v>
      </c>
      <c r="BA5">
        <v>7.5150132619739601E-2</v>
      </c>
      <c r="BB5">
        <v>0</v>
      </c>
      <c r="BC5">
        <v>0</v>
      </c>
      <c r="BD5">
        <v>3.2379837841080797E-2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0.23693984414855401</v>
      </c>
      <c r="BY5">
        <v>0</v>
      </c>
      <c r="BZ5">
        <v>0</v>
      </c>
      <c r="CA5">
        <v>0</v>
      </c>
      <c r="CB5">
        <v>0</v>
      </c>
      <c r="CC5">
        <v>0.171252157212752</v>
      </c>
      <c r="CD5">
        <v>6.0099293578207598E-2</v>
      </c>
      <c r="CE5">
        <v>0.18636261834132101</v>
      </c>
      <c r="CF5">
        <v>8.4248473506903898E-2</v>
      </c>
      <c r="CG5">
        <v>0</v>
      </c>
      <c r="CH5">
        <v>0.24349850342967999</v>
      </c>
      <c r="CI5">
        <v>0.164377703964945</v>
      </c>
      <c r="CJ5">
        <v>0.23624779282528999</v>
      </c>
      <c r="CK5">
        <v>9.8377285681650495E-2</v>
      </c>
      <c r="CL5">
        <v>0</v>
      </c>
      <c r="CM5">
        <v>9.4311880793141706E-2</v>
      </c>
      <c r="CN5">
        <v>0.178871353763083</v>
      </c>
      <c r="CO5">
        <v>0</v>
      </c>
      <c r="CP5">
        <v>0</v>
      </c>
      <c r="CQ5">
        <v>0</v>
      </c>
      <c r="CR5">
        <v>8.0921832201189106E-2</v>
      </c>
      <c r="CS5">
        <v>0</v>
      </c>
      <c r="CT5">
        <v>0</v>
      </c>
      <c r="CU5">
        <v>0.112822738679319</v>
      </c>
      <c r="CV5">
        <v>0</v>
      </c>
      <c r="CW5">
        <v>3.64427874243268E-2</v>
      </c>
      <c r="CX5">
        <v>0</v>
      </c>
      <c r="CY5">
        <v>0.13642352557894999</v>
      </c>
      <c r="CZ5">
        <v>0</v>
      </c>
      <c r="DA5">
        <v>0</v>
      </c>
      <c r="DB5">
        <v>4.88290144995304E-2</v>
      </c>
      <c r="DC5">
        <v>0</v>
      </c>
      <c r="DD5">
        <v>4.5664737093077799E-2</v>
      </c>
      <c r="DE5">
        <v>0.152605990565188</v>
      </c>
      <c r="DF5">
        <v>0.103883256250258</v>
      </c>
      <c r="DG5">
        <v>0</v>
      </c>
      <c r="DH5">
        <v>0.15255823793015799</v>
      </c>
      <c r="DI5">
        <v>0.12319856475221901</v>
      </c>
      <c r="DJ5">
        <v>0</v>
      </c>
      <c r="DK5">
        <v>0.123261103853579</v>
      </c>
      <c r="DL5">
        <v>7.3633943797144399E-2</v>
      </c>
      <c r="DM5">
        <v>0</v>
      </c>
      <c r="DN5">
        <v>6.3683224139960706E-2</v>
      </c>
      <c r="DO5">
        <v>8.4522603856224607E-2</v>
      </c>
      <c r="DP5">
        <v>6.3349841607375598E-2</v>
      </c>
      <c r="DQ5">
        <v>4.1930747344742197E-2</v>
      </c>
      <c r="DR5">
        <v>0</v>
      </c>
      <c r="DS5">
        <v>0.118582260441223</v>
      </c>
      <c r="DT5">
        <v>8.7389395163029807E-2</v>
      </c>
      <c r="DU5">
        <v>4.5028333483079303E-2</v>
      </c>
      <c r="DV5">
        <v>4.6563252133133497E-2</v>
      </c>
      <c r="DW5">
        <v>4.9564029656789299E-2</v>
      </c>
      <c r="DX5">
        <v>8.2497509234472494E-2</v>
      </c>
      <c r="DY5">
        <v>0.10767420198994999</v>
      </c>
      <c r="DZ5">
        <v>0</v>
      </c>
      <c r="EA5">
        <v>0.184752814274115</v>
      </c>
      <c r="EB5">
        <v>0</v>
      </c>
      <c r="EC5">
        <v>0</v>
      </c>
      <c r="ED5">
        <v>4.9752096899832503E-2</v>
      </c>
      <c r="EE5">
        <v>8.2855797592275598E-2</v>
      </c>
      <c r="EF5">
        <v>0.19926278991137</v>
      </c>
      <c r="EG5">
        <v>0.115944172456884</v>
      </c>
      <c r="EH5">
        <v>7.2698203460989805E-2</v>
      </c>
      <c r="EI5">
        <v>0.120272061584071</v>
      </c>
      <c r="EJ5">
        <v>0.15358369537918601</v>
      </c>
      <c r="EK5">
        <v>0.16474749641019101</v>
      </c>
      <c r="EL5">
        <v>0</v>
      </c>
      <c r="EM5">
        <v>0</v>
      </c>
      <c r="EN5">
        <v>0</v>
      </c>
      <c r="EO5">
        <v>0.260047940809502</v>
      </c>
      <c r="EP5">
        <v>0</v>
      </c>
      <c r="EQ5">
        <v>0</v>
      </c>
      <c r="ER5">
        <v>0</v>
      </c>
      <c r="ES5">
        <v>0</v>
      </c>
      <c r="ET5">
        <v>0</v>
      </c>
      <c r="EU5">
        <v>9.6451335253110101E-2</v>
      </c>
      <c r="EV5">
        <v>0</v>
      </c>
      <c r="EW5">
        <v>0.121928775048809</v>
      </c>
      <c r="EX5">
        <v>0.15221015647265401</v>
      </c>
      <c r="EY5">
        <v>8.3537549760195007E-2</v>
      </c>
      <c r="EZ5">
        <v>0</v>
      </c>
      <c r="FA5">
        <v>0</v>
      </c>
      <c r="FB5">
        <v>8.5578127064297599E-2</v>
      </c>
      <c r="FC5">
        <v>0.11082592708875499</v>
      </c>
      <c r="FD5">
        <v>6.97536860220003E-2</v>
      </c>
      <c r="FE5">
        <v>0</v>
      </c>
      <c r="FF5">
        <v>0</v>
      </c>
      <c r="FG5">
        <v>0</v>
      </c>
      <c r="FH5">
        <v>0.101756696168591</v>
      </c>
      <c r="FI5">
        <v>0.19159230229466601</v>
      </c>
      <c r="FJ5">
        <v>0.13919961123974101</v>
      </c>
      <c r="FK5">
        <v>0</v>
      </c>
      <c r="FL5">
        <v>0.25550911641911001</v>
      </c>
      <c r="FM5">
        <v>0</v>
      </c>
      <c r="FN5">
        <v>0.19629790214895201</v>
      </c>
      <c r="FO5">
        <v>0.27138911635780799</v>
      </c>
      <c r="FP5">
        <v>0.123164665307613</v>
      </c>
      <c r="FQ5">
        <v>0</v>
      </c>
      <c r="FR5">
        <v>0</v>
      </c>
      <c r="FS5">
        <v>0</v>
      </c>
      <c r="FT5">
        <v>0</v>
      </c>
      <c r="FU5">
        <v>0.22533745429027799</v>
      </c>
      <c r="FV5">
        <v>0.15512970346695101</v>
      </c>
      <c r="FW5">
        <v>0</v>
      </c>
      <c r="FX5">
        <v>0.15077243879763899</v>
      </c>
      <c r="FY5">
        <v>0.19312221660669099</v>
      </c>
      <c r="FZ5">
        <v>0.18933155774485599</v>
      </c>
      <c r="GA5">
        <v>0.19352593885386399</v>
      </c>
      <c r="GB5">
        <v>0</v>
      </c>
      <c r="GC5">
        <v>0.128693286037071</v>
      </c>
      <c r="GD5">
        <v>0</v>
      </c>
      <c r="GE5">
        <v>4.9847749555662201E-2</v>
      </c>
      <c r="GF5">
        <v>0.13921519779831401</v>
      </c>
      <c r="GG5">
        <v>9.8810679508334207E-2</v>
      </c>
      <c r="GH5">
        <v>0</v>
      </c>
      <c r="GI5">
        <v>0</v>
      </c>
      <c r="GJ5">
        <v>3.1415355028082903E-2</v>
      </c>
      <c r="GK5">
        <v>0</v>
      </c>
      <c r="GL5">
        <v>5.9305902762271302E-2</v>
      </c>
      <c r="GM5">
        <v>0.106303541992433</v>
      </c>
      <c r="GN5">
        <v>0.25928351432516999</v>
      </c>
      <c r="GO5">
        <v>0</v>
      </c>
      <c r="GP5">
        <v>8.4979314555368599E-2</v>
      </c>
      <c r="GQ5">
        <v>0</v>
      </c>
      <c r="GR5">
        <v>0</v>
      </c>
      <c r="GS5">
        <v>0.24307525694392301</v>
      </c>
      <c r="GT5">
        <v>0</v>
      </c>
      <c r="GU5">
        <v>0</v>
      </c>
      <c r="GV5">
        <v>0</v>
      </c>
      <c r="GW5">
        <v>0.167542411652674</v>
      </c>
      <c r="GX5">
        <v>0</v>
      </c>
      <c r="GY5">
        <v>0.17419036467398399</v>
      </c>
      <c r="GZ5">
        <v>0.14855739118091399</v>
      </c>
      <c r="HA5">
        <v>0.12504230927355001</v>
      </c>
      <c r="HB5">
        <v>0.19659245974537001</v>
      </c>
      <c r="HC5">
        <v>0</v>
      </c>
    </row>
    <row r="6" spans="1:211" x14ac:dyDescent="0.25">
      <c r="A6" t="s">
        <v>265</v>
      </c>
      <c r="B6" t="s">
        <v>381</v>
      </c>
      <c r="C6">
        <v>2.78609430229604E-2</v>
      </c>
      <c r="D6">
        <v>0</v>
      </c>
      <c r="E6">
        <v>-0.108726117132802</v>
      </c>
      <c r="F6">
        <v>4.8825418398896002E-2</v>
      </c>
      <c r="G6">
        <v>-6.4619473198388594E-2</v>
      </c>
      <c r="H6">
        <v>-5.8137886575327598E-2</v>
      </c>
      <c r="I6">
        <v>-0.108726117132802</v>
      </c>
      <c r="J6">
        <v>-0.108726117132802</v>
      </c>
      <c r="K6">
        <v>-0.108726117132802</v>
      </c>
      <c r="L6">
        <v>0.100500130504804</v>
      </c>
      <c r="M6">
        <v>6.2714656045892506E-2</v>
      </c>
      <c r="N6">
        <v>-0.108726117132802</v>
      </c>
      <c r="O6">
        <v>-0.108726117132802</v>
      </c>
      <c r="P6">
        <v>-4.2245179225756303E-2</v>
      </c>
      <c r="Q6">
        <v>5.6583837925301096E-3</v>
      </c>
      <c r="R6">
        <v>-6.7892039350636604E-2</v>
      </c>
      <c r="S6">
        <v>-0.108726117132802</v>
      </c>
      <c r="T6">
        <v>-0.108726117132802</v>
      </c>
      <c r="U6">
        <v>-4.0899208483740297E-2</v>
      </c>
      <c r="V6">
        <v>7.6641514316293E-2</v>
      </c>
      <c r="W6">
        <v>-0.108726117132802</v>
      </c>
      <c r="X6">
        <v>-0.108726117132802</v>
      </c>
      <c r="Y6">
        <v>0.22803004801299701</v>
      </c>
      <c r="Z6">
        <v>-0.108726117132802</v>
      </c>
      <c r="AA6">
        <v>-0.108726117132802</v>
      </c>
      <c r="AB6">
        <v>0.24878843443196599</v>
      </c>
      <c r="AC6">
        <v>-0.108726117132802</v>
      </c>
      <c r="AD6">
        <v>2.3161574899625701E-2</v>
      </c>
      <c r="AE6">
        <v>-0.108726117132802</v>
      </c>
      <c r="AF6">
        <v>7.0451345086483499E-2</v>
      </c>
      <c r="AG6">
        <v>-0.108726117132802</v>
      </c>
      <c r="AH6">
        <v>-0.108726117132802</v>
      </c>
      <c r="AI6">
        <v>-0.108726117132802</v>
      </c>
      <c r="AJ6">
        <v>2.2667880607867001E-2</v>
      </c>
      <c r="AK6">
        <v>-0.108726117132802</v>
      </c>
      <c r="AL6">
        <v>-0.108726117132802</v>
      </c>
      <c r="AM6">
        <v>0.100833688813267</v>
      </c>
      <c r="AN6">
        <v>0.11978230897985</v>
      </c>
      <c r="AO6">
        <v>0.101355709859454</v>
      </c>
      <c r="AP6">
        <v>-0.108726117132802</v>
      </c>
      <c r="AQ6">
        <v>1.5133258237119101E-2</v>
      </c>
      <c r="AR6">
        <v>-0.108726117132802</v>
      </c>
      <c r="AS6">
        <v>-0.108726117132802</v>
      </c>
      <c r="AT6">
        <v>-0.108726117132802</v>
      </c>
      <c r="AU6">
        <v>0.24049288136764099</v>
      </c>
      <c r="AV6">
        <v>0.47197444114666398</v>
      </c>
      <c r="AW6">
        <v>-0.108726117132802</v>
      </c>
      <c r="AX6">
        <v>-0.108726117132802</v>
      </c>
      <c r="AY6">
        <v>-0.108726117132802</v>
      </c>
      <c r="AZ6">
        <v>0.111800902040536</v>
      </c>
      <c r="BA6">
        <v>2.7701831990495501E-3</v>
      </c>
      <c r="BB6">
        <v>-0.108726117132802</v>
      </c>
      <c r="BC6">
        <v>0.32348717757420198</v>
      </c>
      <c r="BD6">
        <v>-4.4538657269844899E-2</v>
      </c>
      <c r="BE6">
        <v>8.1543849958006995E-3</v>
      </c>
      <c r="BF6">
        <v>-4.6070224936533899E-2</v>
      </c>
      <c r="BG6">
        <v>-0.108726117132802</v>
      </c>
      <c r="BH6">
        <v>0.10019882960307799</v>
      </c>
      <c r="BI6">
        <v>-0.108726117132802</v>
      </c>
      <c r="BJ6">
        <v>-0.108726117132802</v>
      </c>
      <c r="BK6">
        <v>-0.108726117132802</v>
      </c>
      <c r="BL6">
        <v>-0.108726117132802</v>
      </c>
      <c r="BM6">
        <v>0.123809749804154</v>
      </c>
      <c r="BN6">
        <v>-0.108726117132802</v>
      </c>
      <c r="BO6">
        <v>-0.108726117132802</v>
      </c>
      <c r="BP6">
        <v>-0.108726117132802</v>
      </c>
      <c r="BQ6">
        <v>-0.108726117132802</v>
      </c>
      <c r="BR6">
        <v>0.23885647375969399</v>
      </c>
      <c r="BS6">
        <v>-0.108726117132802</v>
      </c>
      <c r="BT6">
        <v>0.30053697649453598</v>
      </c>
      <c r="BU6">
        <v>-0.108726117132802</v>
      </c>
      <c r="BV6">
        <v>-0.108726117132802</v>
      </c>
      <c r="BW6">
        <v>-0.108726117132802</v>
      </c>
      <c r="BX6">
        <v>-2.5639277431482001E-2</v>
      </c>
      <c r="BY6">
        <v>-0.108726117132802</v>
      </c>
      <c r="BZ6">
        <v>5.6833318200554803E-2</v>
      </c>
      <c r="CA6">
        <v>-0.108726117132802</v>
      </c>
      <c r="CB6">
        <v>0.16695468573609901</v>
      </c>
      <c r="CC6">
        <v>-4.0199602182591297E-2</v>
      </c>
      <c r="CD6">
        <v>-0.108726117132802</v>
      </c>
      <c r="CE6">
        <v>-2.5090555871704501E-2</v>
      </c>
      <c r="CF6">
        <v>-2.4477643625897699E-2</v>
      </c>
      <c r="CG6">
        <v>-0.108726117132802</v>
      </c>
      <c r="CH6">
        <v>0.18058027429516499</v>
      </c>
      <c r="CI6">
        <v>-2.4493845199953401E-2</v>
      </c>
      <c r="CJ6">
        <v>-0.108726117132802</v>
      </c>
      <c r="CK6">
        <v>-1.03488314511511E-2</v>
      </c>
      <c r="CL6">
        <v>-0.108726117132802</v>
      </c>
      <c r="CM6">
        <v>-1.44142363396599E-2</v>
      </c>
      <c r="CN6">
        <v>-0.108726117132802</v>
      </c>
      <c r="CO6">
        <v>0.26774211574442502</v>
      </c>
      <c r="CP6">
        <v>3.3023254184221598E-2</v>
      </c>
      <c r="CQ6">
        <v>0.117859232249726</v>
      </c>
      <c r="CR6">
        <v>-0.108726117132802</v>
      </c>
      <c r="CS6">
        <v>-0.108726117132802</v>
      </c>
      <c r="CT6">
        <v>3.0336351184123599E-2</v>
      </c>
      <c r="CU6">
        <v>-1.11609727361994E-2</v>
      </c>
      <c r="CV6">
        <v>1.14300413338542E-2</v>
      </c>
      <c r="CW6">
        <v>-3.6478624360414803E-2</v>
      </c>
      <c r="CX6">
        <v>-1.4637913150612699E-3</v>
      </c>
      <c r="CY6">
        <v>-3.13792017158218E-2</v>
      </c>
      <c r="CZ6">
        <v>-1.1317072596567499E-2</v>
      </c>
      <c r="DA6">
        <v>0.21998516089641301</v>
      </c>
      <c r="DB6">
        <v>7.9474604259111695E-2</v>
      </c>
      <c r="DC6">
        <v>-0.108726117132802</v>
      </c>
      <c r="DD6">
        <v>-1.8481957073594998E-2</v>
      </c>
      <c r="DE6">
        <v>4.38798734323868E-2</v>
      </c>
      <c r="DF6">
        <v>-4.8428608825435201E-3</v>
      </c>
      <c r="DG6">
        <v>2.9889245026960098E-3</v>
      </c>
      <c r="DH6">
        <v>0.46702785079699199</v>
      </c>
      <c r="DI6">
        <v>-2.7337973054373702E-2</v>
      </c>
      <c r="DJ6">
        <v>5.75554117657118E-2</v>
      </c>
      <c r="DK6">
        <v>5.3988734278257497E-2</v>
      </c>
      <c r="DL6">
        <v>-5.0157642511063201E-2</v>
      </c>
      <c r="DM6">
        <v>-0.108726117132802</v>
      </c>
      <c r="DN6">
        <v>6.4354753142245202E-2</v>
      </c>
      <c r="DO6">
        <v>-1.61726996635487E-4</v>
      </c>
      <c r="DP6">
        <v>0.110730515543883</v>
      </c>
      <c r="DQ6">
        <v>1.40911410206315E-2</v>
      </c>
      <c r="DR6">
        <v>-0.108726117132802</v>
      </c>
      <c r="DS6">
        <v>9.8561433084213192E-3</v>
      </c>
      <c r="DT6">
        <v>-2.1336721969771801E-2</v>
      </c>
      <c r="DU6">
        <v>-6.3697783649722006E-2</v>
      </c>
      <c r="DV6">
        <v>2.7260337801803401E-2</v>
      </c>
      <c r="DW6">
        <v>-5.9162087476012301E-2</v>
      </c>
      <c r="DX6">
        <v>-5.6219072777062097E-2</v>
      </c>
      <c r="DY6">
        <v>0.28423107437537298</v>
      </c>
      <c r="DZ6">
        <v>9.95514090081112E-2</v>
      </c>
      <c r="EA6">
        <v>2.6401252262604501E-2</v>
      </c>
      <c r="EB6">
        <v>-1.0190530470153201E-2</v>
      </c>
      <c r="EC6">
        <v>4.8222053024787298E-2</v>
      </c>
      <c r="ED6">
        <v>3.6465136483945497E-2</v>
      </c>
      <c r="EE6">
        <v>0.128797394675115</v>
      </c>
      <c r="EF6">
        <v>-3.9575065611322E-2</v>
      </c>
      <c r="EG6">
        <v>6.3018703061541198E-2</v>
      </c>
      <c r="EH6">
        <v>-7.70580667147589E-4</v>
      </c>
      <c r="EI6">
        <v>2.4973663131318598E-2</v>
      </c>
      <c r="EJ6">
        <v>-0.108726117132802</v>
      </c>
      <c r="EK6">
        <v>-0.108726117132802</v>
      </c>
      <c r="EL6">
        <v>-0.108726117132802</v>
      </c>
      <c r="EM6">
        <v>-0.108726117132802</v>
      </c>
      <c r="EN6">
        <v>0.46358388359479102</v>
      </c>
      <c r="EO6">
        <v>0.47721641309732499</v>
      </c>
      <c r="EP6">
        <v>-3.61502137095421E-3</v>
      </c>
      <c r="EQ6">
        <v>5.4092787542771102E-2</v>
      </c>
      <c r="ER6">
        <v>0.33099478334038002</v>
      </c>
      <c r="ES6">
        <v>7.6032807756825305E-2</v>
      </c>
      <c r="ET6">
        <v>0.13088565462431201</v>
      </c>
      <c r="EU6">
        <v>-1.22747818796914E-2</v>
      </c>
      <c r="EV6">
        <v>0.16780050495486201</v>
      </c>
      <c r="EW6">
        <v>0.19671304959258701</v>
      </c>
      <c r="EX6">
        <v>0.24326732018015401</v>
      </c>
      <c r="EY6">
        <v>0.31065293332156901</v>
      </c>
      <c r="EZ6">
        <v>-1.2877221761241099E-3</v>
      </c>
      <c r="FA6">
        <v>0.164049571704318</v>
      </c>
      <c r="FB6">
        <v>0.251372877612765</v>
      </c>
      <c r="FC6">
        <v>-0.108726117132802</v>
      </c>
      <c r="FD6">
        <v>0.15551440015829099</v>
      </c>
      <c r="FE6">
        <v>-1.40199636876518E-2</v>
      </c>
      <c r="FF6">
        <v>0.41622252365402201</v>
      </c>
      <c r="FG6">
        <v>0.36162561059720499</v>
      </c>
      <c r="FH6">
        <v>-6.9694209642104299E-3</v>
      </c>
      <c r="FI6">
        <v>0.17558688879620701</v>
      </c>
      <c r="FJ6">
        <v>0.116394594186218</v>
      </c>
      <c r="FK6">
        <v>4.2776403856796402E-2</v>
      </c>
      <c r="FL6">
        <v>-0.108726117132802</v>
      </c>
      <c r="FM6">
        <v>0.140069763971399</v>
      </c>
      <c r="FN6">
        <v>0.15779762624048699</v>
      </c>
      <c r="FO6">
        <v>7.1639313569208996E-2</v>
      </c>
      <c r="FP6">
        <v>0.33905798164011303</v>
      </c>
      <c r="FQ6">
        <v>-1.20148128376719E-2</v>
      </c>
      <c r="FR6">
        <v>6.0526555141497899E-2</v>
      </c>
      <c r="FS6">
        <v>5.3802546414387697E-2</v>
      </c>
      <c r="FT6">
        <v>-1.0970927894030501E-2</v>
      </c>
      <c r="FU6">
        <v>0.36799198982391201</v>
      </c>
      <c r="FV6">
        <v>0.18749177566352401</v>
      </c>
      <c r="FW6">
        <v>0.30036016974213697</v>
      </c>
      <c r="FX6">
        <v>-0.108726117132802</v>
      </c>
      <c r="FY6">
        <v>0.25589327281232699</v>
      </c>
      <c r="FZ6">
        <v>-0.108726117132802</v>
      </c>
      <c r="GA6">
        <v>8.4799821721062305E-2</v>
      </c>
      <c r="GB6">
        <v>0.63729347037563699</v>
      </c>
      <c r="GC6">
        <v>0.13879457801119599</v>
      </c>
      <c r="GD6">
        <v>0.183488126188285</v>
      </c>
      <c r="GE6">
        <v>-1.0436266040073699E-2</v>
      </c>
      <c r="GF6">
        <v>0.25191510492720598</v>
      </c>
      <c r="GG6">
        <v>3.7422573364430098E-2</v>
      </c>
      <c r="GH6">
        <v>-1.7932296911539901E-3</v>
      </c>
      <c r="GI6">
        <v>-0.108726117132802</v>
      </c>
      <c r="GJ6">
        <v>0.24326671692670199</v>
      </c>
      <c r="GK6">
        <v>0.101002221389518</v>
      </c>
      <c r="GL6">
        <v>7.8312013374694893E-3</v>
      </c>
      <c r="GM6">
        <v>-2.4225751403684301E-3</v>
      </c>
      <c r="GN6">
        <v>0.12744817075148601</v>
      </c>
      <c r="GO6">
        <v>7.5822295081443905E-2</v>
      </c>
      <c r="GP6">
        <v>5.6915104011719099E-2</v>
      </c>
      <c r="GQ6">
        <v>7.2819101403901895E-2</v>
      </c>
      <c r="GR6">
        <v>-0.108726117132802</v>
      </c>
      <c r="GS6">
        <v>0.26174894144572902</v>
      </c>
      <c r="GT6">
        <v>0.191803692290062</v>
      </c>
      <c r="GU6">
        <v>0.223330706154245</v>
      </c>
      <c r="GV6">
        <v>0.26732207240913097</v>
      </c>
      <c r="GW6">
        <v>0.46329082710648301</v>
      </c>
      <c r="GX6">
        <v>7.3705181086628394E-2</v>
      </c>
      <c r="GY6">
        <v>0.28154657064349897</v>
      </c>
      <c r="GZ6">
        <v>0.17584599206292301</v>
      </c>
      <c r="HA6">
        <v>4.7540466219838998E-2</v>
      </c>
      <c r="HB6">
        <v>-7.4141013944534996E-3</v>
      </c>
      <c r="HC6">
        <v>0.27530043270396898</v>
      </c>
    </row>
    <row r="7" spans="1:211" x14ac:dyDescent="0.25">
      <c r="A7" t="s">
        <v>265</v>
      </c>
      <c r="B7" t="s">
        <v>382</v>
      </c>
      <c r="C7">
        <v>-0.132896003093607</v>
      </c>
      <c r="D7">
        <v>-6.3484920491889196E-2</v>
      </c>
      <c r="E7">
        <v>5.1284478134268098E-3</v>
      </c>
      <c r="F7">
        <v>-0.132896003093607</v>
      </c>
      <c r="G7">
        <v>-4.5752963809407798E-2</v>
      </c>
      <c r="H7">
        <v>0.176409516190212</v>
      </c>
      <c r="I7">
        <v>-3.1631041757325902E-2</v>
      </c>
      <c r="J7">
        <v>-0.132896003093607</v>
      </c>
      <c r="K7">
        <v>0.115830123322766</v>
      </c>
      <c r="L7">
        <v>-9.3678658003911106E-2</v>
      </c>
      <c r="M7">
        <v>5.7388351932655603E-2</v>
      </c>
      <c r="N7">
        <v>4.8911035476450003E-2</v>
      </c>
      <c r="O7">
        <v>9.0684223381374898E-2</v>
      </c>
      <c r="P7">
        <v>9.4648189854709297E-2</v>
      </c>
      <c r="Q7">
        <v>8.9297528585038893E-2</v>
      </c>
      <c r="R7">
        <v>0.17113129895163001</v>
      </c>
      <c r="S7">
        <v>-5.73684779909647E-2</v>
      </c>
      <c r="T7">
        <v>3.34582758857409E-2</v>
      </c>
      <c r="U7">
        <v>-0.132896003093607</v>
      </c>
      <c r="V7">
        <v>6.2353048530716701E-2</v>
      </c>
      <c r="W7">
        <v>0.107961585353519</v>
      </c>
      <c r="X7">
        <v>-0.132896003093607</v>
      </c>
      <c r="Y7">
        <v>-0.132896003093607</v>
      </c>
      <c r="Z7">
        <v>9.0496011237545498E-2</v>
      </c>
      <c r="AA7">
        <v>-0.132896003093607</v>
      </c>
      <c r="AB7">
        <v>-0.132896003093607</v>
      </c>
      <c r="AC7">
        <v>0.14914264068390101</v>
      </c>
      <c r="AD7">
        <v>6.1443261060470697E-2</v>
      </c>
      <c r="AE7">
        <v>0.32845104953293403</v>
      </c>
      <c r="AF7">
        <v>0.17491301277948501</v>
      </c>
      <c r="AG7">
        <v>2.5573104208129302E-3</v>
      </c>
      <c r="AH7">
        <v>0.33634086174612798</v>
      </c>
      <c r="AI7">
        <v>-0.132896003093607</v>
      </c>
      <c r="AJ7">
        <v>-0.132896003093607</v>
      </c>
      <c r="AK7">
        <v>1.19726096213464E-2</v>
      </c>
      <c r="AL7">
        <v>-0.132896003093607</v>
      </c>
      <c r="AM7">
        <v>0.45134228815657601</v>
      </c>
      <c r="AN7">
        <v>-0.132896003093607</v>
      </c>
      <c r="AO7">
        <v>-0.132896003093607</v>
      </c>
      <c r="AP7">
        <v>1.65306723178986E-2</v>
      </c>
      <c r="AQ7">
        <v>-0.132896003093607</v>
      </c>
      <c r="AR7">
        <v>-0.132896003093607</v>
      </c>
      <c r="AS7">
        <v>-0.132896003093607</v>
      </c>
      <c r="AT7">
        <v>-0.132896003093607</v>
      </c>
      <c r="AU7">
        <v>5.1870675228142003E-2</v>
      </c>
      <c r="AV7">
        <v>-0.132896003093607</v>
      </c>
      <c r="AW7">
        <v>-0.132896003093607</v>
      </c>
      <c r="AX7">
        <v>-0.132896003093607</v>
      </c>
      <c r="AY7">
        <v>-0.132896003093607</v>
      </c>
      <c r="AZ7">
        <v>0.20326160867454801</v>
      </c>
      <c r="BA7">
        <v>1.4177308185645001E-2</v>
      </c>
      <c r="BB7">
        <v>-0.132896003093607</v>
      </c>
      <c r="BC7">
        <v>2.52002215639201E-2</v>
      </c>
      <c r="BD7">
        <v>-3.7450871961480198E-2</v>
      </c>
      <c r="BE7">
        <v>-0.132896003093607</v>
      </c>
      <c r="BF7">
        <v>-0.132896003093607</v>
      </c>
      <c r="BG7">
        <v>-0.132896003093607</v>
      </c>
      <c r="BH7">
        <v>9.1418927502153503E-3</v>
      </c>
      <c r="BI7">
        <v>-0.132896003093607</v>
      </c>
      <c r="BJ7">
        <v>-0.132896003093607</v>
      </c>
      <c r="BK7">
        <v>-0.132896003093607</v>
      </c>
      <c r="BL7">
        <v>-0.132896003093607</v>
      </c>
      <c r="BM7">
        <v>-0.132896003093607</v>
      </c>
      <c r="BN7">
        <v>0.20416308798248001</v>
      </c>
      <c r="BO7">
        <v>-0.132896003093607</v>
      </c>
      <c r="BP7">
        <v>2.6245972113149399E-2</v>
      </c>
      <c r="BQ7">
        <v>-0.132896003093607</v>
      </c>
      <c r="BR7">
        <v>-0.132896003093607</v>
      </c>
      <c r="BS7">
        <v>-0.132896003093607</v>
      </c>
      <c r="BT7">
        <v>-0.132896003093607</v>
      </c>
      <c r="BU7">
        <v>-0.132896003093607</v>
      </c>
      <c r="BV7">
        <v>-4.06932297961108E-3</v>
      </c>
      <c r="BW7">
        <v>-0.132896003093607</v>
      </c>
      <c r="BX7">
        <v>2.90285488071889E-2</v>
      </c>
      <c r="BY7">
        <v>-0.132896003093607</v>
      </c>
      <c r="BZ7">
        <v>-0.132896003093607</v>
      </c>
      <c r="CA7">
        <v>-0.132896003093607</v>
      </c>
      <c r="CB7">
        <v>-0.132896003093607</v>
      </c>
      <c r="CC7">
        <v>0.23893957406163999</v>
      </c>
      <c r="CD7">
        <v>0.20671636274986399</v>
      </c>
      <c r="CE7">
        <v>0.162879830844605</v>
      </c>
      <c r="CF7">
        <v>-4.8647529586702799E-2</v>
      </c>
      <c r="CG7">
        <v>0.31115086388261898</v>
      </c>
      <c r="CH7">
        <v>-5.5947463461083202E-2</v>
      </c>
      <c r="CI7">
        <v>0.31231845815126402</v>
      </c>
      <c r="CJ7">
        <v>-0.132896003093607</v>
      </c>
      <c r="CK7">
        <v>-0.132896003093607</v>
      </c>
      <c r="CL7">
        <v>-0.132896003093607</v>
      </c>
      <c r="CM7">
        <v>0.21546685923401601</v>
      </c>
      <c r="CN7">
        <v>4.5975350669476202E-2</v>
      </c>
      <c r="CO7">
        <v>6.7072382948173206E-2</v>
      </c>
      <c r="CP7">
        <v>8.6124013850791103E-2</v>
      </c>
      <c r="CQ7">
        <v>-5.1561493054262497E-2</v>
      </c>
      <c r="CR7">
        <v>2.5380663814033901E-2</v>
      </c>
      <c r="CS7">
        <v>6.9877649213320195E-2</v>
      </c>
      <c r="CT7">
        <v>6.1664652233185601E-3</v>
      </c>
      <c r="CU7">
        <v>-3.5330858697004301E-2</v>
      </c>
      <c r="CV7">
        <v>8.5324391629154603E-2</v>
      </c>
      <c r="CW7">
        <v>6.2854699206179004E-2</v>
      </c>
      <c r="CX7">
        <v>-7.8554069541051499E-2</v>
      </c>
      <c r="CY7">
        <v>-3.3526300483780899E-2</v>
      </c>
      <c r="CZ7">
        <v>-0.132896003093607</v>
      </c>
      <c r="DA7">
        <v>3.9202896939978998E-2</v>
      </c>
      <c r="DB7">
        <v>9.9666832061527898E-3</v>
      </c>
      <c r="DC7">
        <v>-2.4444109138460499E-2</v>
      </c>
      <c r="DD7">
        <v>8.9993515515844895E-4</v>
      </c>
      <c r="DE7">
        <v>0.14222903836308901</v>
      </c>
      <c r="DF7">
        <v>-0.132896003093607</v>
      </c>
      <c r="DG7">
        <v>3.2066040231045E-2</v>
      </c>
      <c r="DH7">
        <v>0.20140574242308301</v>
      </c>
      <c r="DI7">
        <v>-7.8301381750148294E-2</v>
      </c>
      <c r="DJ7">
        <v>3.33855258049068E-2</v>
      </c>
      <c r="DK7">
        <v>-0.132896003093607</v>
      </c>
      <c r="DL7">
        <v>3.2194433152685199E-2</v>
      </c>
      <c r="DM7">
        <v>5.3087228571489301E-2</v>
      </c>
      <c r="DN7">
        <v>8.6766740224802005E-2</v>
      </c>
      <c r="DO7">
        <v>-9.6065394002246396E-2</v>
      </c>
      <c r="DP7">
        <v>3.9801622629764499E-2</v>
      </c>
      <c r="DQ7">
        <v>0.14110931784612901</v>
      </c>
      <c r="DR7">
        <v>0.142965134605509</v>
      </c>
      <c r="DS7">
        <v>-1.4313742652383801E-2</v>
      </c>
      <c r="DT7">
        <v>0.141161026025656</v>
      </c>
      <c r="DU7">
        <v>0.17264944750386599</v>
      </c>
      <c r="DV7">
        <v>-4.1027719618236001E-2</v>
      </c>
      <c r="DW7">
        <v>0.21194928179985401</v>
      </c>
      <c r="DX7">
        <v>0.30453406054008297</v>
      </c>
      <c r="DY7">
        <v>-0.132896003093607</v>
      </c>
      <c r="DZ7">
        <v>0.10651381504559899</v>
      </c>
      <c r="EA7">
        <v>-7.9383869762106596E-2</v>
      </c>
      <c r="EB7">
        <v>-3.4360416430958197E-2</v>
      </c>
      <c r="EC7">
        <v>-0.132896003093607</v>
      </c>
      <c r="ED7">
        <v>0.102827309435785</v>
      </c>
      <c r="EE7">
        <v>0.21818360402075401</v>
      </c>
      <c r="EF7">
        <v>0.18697538628742799</v>
      </c>
      <c r="EG7">
        <v>-2.7860206528015699E-2</v>
      </c>
      <c r="EH7">
        <v>4.35462377927009E-2</v>
      </c>
      <c r="EI7">
        <v>-0.132896003093607</v>
      </c>
      <c r="EJ7">
        <v>0.104182567577551</v>
      </c>
      <c r="EK7">
        <v>0.31583405518102797</v>
      </c>
      <c r="EL7">
        <v>-0.132896003093607</v>
      </c>
      <c r="EM7">
        <v>0.14147658413276701</v>
      </c>
      <c r="EN7">
        <v>-0.132896003093607</v>
      </c>
      <c r="EO7">
        <v>-0.132896003093607</v>
      </c>
      <c r="EP7">
        <v>-0.132896003093607</v>
      </c>
      <c r="EQ7">
        <v>2.9922901581966001E-2</v>
      </c>
      <c r="ER7">
        <v>0.102442579054096</v>
      </c>
      <c r="ES7">
        <v>0.30576188904660301</v>
      </c>
      <c r="ET7">
        <v>3.0683874435316401E-2</v>
      </c>
      <c r="EU7">
        <v>5.4569912884028703E-2</v>
      </c>
      <c r="EV7">
        <v>-0.132896003093607</v>
      </c>
      <c r="EW7">
        <v>-8.3150144287493996E-2</v>
      </c>
      <c r="EX7">
        <v>-6.5016349334767395E-2</v>
      </c>
      <c r="EY7">
        <v>0.105730205163306</v>
      </c>
      <c r="EZ7">
        <v>-0.132896003093607</v>
      </c>
      <c r="FA7">
        <v>-0.132896003093607</v>
      </c>
      <c r="FB7">
        <v>0.383489313327184</v>
      </c>
      <c r="FC7">
        <v>-0.132896003093607</v>
      </c>
      <c r="FD7">
        <v>6.8781471828613897E-2</v>
      </c>
      <c r="FE7">
        <v>-3.8189849648456897E-2</v>
      </c>
      <c r="FF7">
        <v>-0.132896003093607</v>
      </c>
      <c r="FG7">
        <v>1.1931496236448E-2</v>
      </c>
      <c r="FH7">
        <v>6.4563464241119903E-2</v>
      </c>
      <c r="FI7">
        <v>-2.6629977436892602E-3</v>
      </c>
      <c r="FJ7">
        <v>0.195241542771392</v>
      </c>
      <c r="FK7">
        <v>0.15647063615609699</v>
      </c>
      <c r="FL7">
        <v>0</v>
      </c>
      <c r="FM7">
        <v>0.274638299322569</v>
      </c>
      <c r="FN7">
        <v>9.2899852674503097E-2</v>
      </c>
      <c r="FO7">
        <v>-0.132896003093607</v>
      </c>
      <c r="FP7">
        <v>2.4690630664220899E-2</v>
      </c>
      <c r="FQ7">
        <v>0.10647421969738</v>
      </c>
      <c r="FR7">
        <v>3.6356669180692802E-2</v>
      </c>
      <c r="FS7">
        <v>-2.7332415122544801E-3</v>
      </c>
      <c r="FT7">
        <v>-7.5188492428023496E-3</v>
      </c>
      <c r="FU7">
        <v>-0.132896003093607</v>
      </c>
      <c r="FV7">
        <v>2.2233700373344201E-2</v>
      </c>
      <c r="FW7">
        <v>9.6575791311882903E-2</v>
      </c>
      <c r="FX7">
        <v>-0.132896003093607</v>
      </c>
      <c r="FY7">
        <v>0.16284889962596899</v>
      </c>
      <c r="FZ7">
        <v>-0.132896003093607</v>
      </c>
      <c r="GA7">
        <v>0.16360672738139601</v>
      </c>
      <c r="GB7">
        <v>8.7045522827961297E-2</v>
      </c>
      <c r="GC7">
        <v>-0.132896003093607</v>
      </c>
      <c r="GD7">
        <v>-0.132896003093607</v>
      </c>
      <c r="GE7">
        <v>0.230770695200154</v>
      </c>
      <c r="GF7">
        <v>6.3191947047080603E-3</v>
      </c>
      <c r="GG7">
        <v>0.10419084327439899</v>
      </c>
      <c r="GH7">
        <v>-0.132896003093607</v>
      </c>
      <c r="GI7">
        <v>5.1525162134941301E-2</v>
      </c>
      <c r="GJ7">
        <v>-1.01723577705479E-2</v>
      </c>
      <c r="GK7">
        <v>0.20382285968070299</v>
      </c>
      <c r="GL7">
        <v>1.6258252331459399E-2</v>
      </c>
      <c r="GM7">
        <v>0.14934674777752399</v>
      </c>
      <c r="GN7">
        <v>-4.4853020428834302E-2</v>
      </c>
      <c r="GO7">
        <v>0.217949340417604</v>
      </c>
      <c r="GP7">
        <v>-4.7916688538238099E-2</v>
      </c>
      <c r="GQ7">
        <v>-3.9453367248987799E-2</v>
      </c>
      <c r="GR7">
        <v>0.43603704364548102</v>
      </c>
      <c r="GS7">
        <v>0.32251670879048</v>
      </c>
      <c r="GT7">
        <v>-1.00493672080408E-2</v>
      </c>
      <c r="GU7">
        <v>-0.132896003093607</v>
      </c>
      <c r="GV7">
        <v>-1.89551658857974E-2</v>
      </c>
      <c r="GW7">
        <v>-0.132896003093607</v>
      </c>
      <c r="GX7">
        <v>-0.132896003093607</v>
      </c>
      <c r="GY7">
        <v>1.82317010801069E-2</v>
      </c>
      <c r="GZ7">
        <v>-0.132896003093607</v>
      </c>
      <c r="HA7">
        <v>9.6257827370901994E-2</v>
      </c>
      <c r="HB7">
        <v>6.3696456651763406E-2</v>
      </c>
      <c r="HC7">
        <v>-0.132896003093607</v>
      </c>
    </row>
    <row r="8" spans="1:211" x14ac:dyDescent="0.25">
      <c r="A8" t="s">
        <v>265</v>
      </c>
      <c r="B8" t="s">
        <v>396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0.115976530652688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0.220527019173337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0.153434434770894</v>
      </c>
      <c r="EC8">
        <v>0</v>
      </c>
      <c r="ED8">
        <v>0</v>
      </c>
      <c r="EE8">
        <v>0</v>
      </c>
      <c r="EF8">
        <v>0</v>
      </c>
      <c r="EG8">
        <v>3.5714029006097298E-2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0.10743839495667699</v>
      </c>
      <c r="FA8">
        <v>0</v>
      </c>
      <c r="FB8">
        <v>8.5578127064297599E-2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0.11127119131943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8.6874417916175006E-2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5.52609206594806E-2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0.113940837207809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</row>
    <row r="9" spans="1:211" x14ac:dyDescent="0.25">
      <c r="A9" t="s">
        <v>265</v>
      </c>
      <c r="B9" t="s">
        <v>400</v>
      </c>
      <c r="C9">
        <v>0.33844259409645999</v>
      </c>
      <c r="D9">
        <v>0.13676428644723501</v>
      </c>
      <c r="E9">
        <v>-0.34093492237303702</v>
      </c>
      <c r="F9">
        <v>-0.14549099871303101</v>
      </c>
      <c r="G9">
        <v>6.6825884414239006E-2</v>
      </c>
      <c r="H9">
        <v>0.10660555933804</v>
      </c>
      <c r="I9">
        <v>-0.20608351664484401</v>
      </c>
      <c r="J9">
        <v>-9.1984029735881101E-2</v>
      </c>
      <c r="K9">
        <v>0.243535941926773</v>
      </c>
      <c r="L9">
        <v>5.1914824374103802E-2</v>
      </c>
      <c r="M9">
        <v>-0.13072043455579499</v>
      </c>
      <c r="N9">
        <v>0.144503061621503</v>
      </c>
      <c r="O9">
        <v>0.28905806205387902</v>
      </c>
      <c r="P9">
        <v>0.296985795200855</v>
      </c>
      <c r="Q9">
        <v>0.12999877184331701</v>
      </c>
      <c r="R9">
        <v>0.383925845793331</v>
      </c>
      <c r="S9">
        <v>0.41139360163212302</v>
      </c>
      <c r="T9">
        <v>-0.46990353349480901</v>
      </c>
      <c r="U9">
        <v>-0.29954109130617002</v>
      </c>
      <c r="V9">
        <v>9.4363386205149294E-2</v>
      </c>
      <c r="W9">
        <v>3.2417921538871797E-2</v>
      </c>
      <c r="X9">
        <v>-0.15818466501185499</v>
      </c>
      <c r="Y9">
        <v>-0.34833742399487899</v>
      </c>
      <c r="Z9">
        <v>0.42203350136339601</v>
      </c>
      <c r="AA9">
        <v>-0.49529461695162202</v>
      </c>
      <c r="AB9">
        <v>-0.23744676840728901</v>
      </c>
      <c r="AC9">
        <v>-0.10341784580838299</v>
      </c>
      <c r="AD9">
        <v>0.17568835353231099</v>
      </c>
      <c r="AE9">
        <v>0.21757304176977699</v>
      </c>
      <c r="AF9">
        <v>-0.44526784256852198</v>
      </c>
      <c r="AG9">
        <v>-0.47601663956645401</v>
      </c>
      <c r="AH9">
        <v>3.9908787749602999E-2</v>
      </c>
      <c r="AI9">
        <v>-0.23529685630580099</v>
      </c>
      <c r="AJ9">
        <v>-0.23058568150818601</v>
      </c>
      <c r="AK9">
        <v>0.14797254619060901</v>
      </c>
      <c r="AL9">
        <v>0.31586132957507901</v>
      </c>
      <c r="AM9">
        <v>-4.2003686530138598E-2</v>
      </c>
      <c r="AN9">
        <v>-4.2221871833056202E-2</v>
      </c>
      <c r="AO9">
        <v>-0.22446687319123701</v>
      </c>
      <c r="AP9">
        <v>-0.54327057341875296</v>
      </c>
      <c r="AQ9">
        <v>-0.30931999111972602</v>
      </c>
      <c r="AR9">
        <v>-0.35596006434751098</v>
      </c>
      <c r="AS9">
        <v>6.4449903121658395E-2</v>
      </c>
      <c r="AT9">
        <v>-0.13617524051636801</v>
      </c>
      <c r="AU9">
        <v>4.1887535428318197E-2</v>
      </c>
      <c r="AV9">
        <v>0.16935447334949</v>
      </c>
      <c r="AW9">
        <v>-0.204390991462615</v>
      </c>
      <c r="AX9">
        <v>-0.12082707383277</v>
      </c>
      <c r="AY9">
        <v>-0.29834309805076897</v>
      </c>
      <c r="AZ9">
        <v>-0.313420507318034</v>
      </c>
      <c r="BA9">
        <v>9.1621562631357206E-2</v>
      </c>
      <c r="BB9">
        <v>-0.55062566799762303</v>
      </c>
      <c r="BC9">
        <v>0.129947499341695</v>
      </c>
      <c r="BD9">
        <v>0.39703669064619002</v>
      </c>
      <c r="BE9">
        <v>0.456913790526074</v>
      </c>
      <c r="BF9">
        <v>0.435184715155852</v>
      </c>
      <c r="BG9">
        <v>-0.26082571961517298</v>
      </c>
      <c r="BH9">
        <v>3.1876700140207999E-2</v>
      </c>
      <c r="BI9">
        <v>0.52981243600747996</v>
      </c>
      <c r="BJ9">
        <v>-0.219303191438215</v>
      </c>
      <c r="BK9">
        <v>-0.178337393619524</v>
      </c>
      <c r="BL9">
        <v>-0.35634920891954602</v>
      </c>
      <c r="BM9">
        <v>-0.215968058319462</v>
      </c>
      <c r="BN9">
        <v>3.7633966601561597E-2</v>
      </c>
      <c r="BO9">
        <v>-0.35736198416883502</v>
      </c>
      <c r="BP9">
        <v>-0.20751264441123299</v>
      </c>
      <c r="BQ9">
        <v>-0.54543213509037003</v>
      </c>
      <c r="BR9">
        <v>-0.645397277321893</v>
      </c>
      <c r="BS9">
        <v>-8.7328960310334297E-3</v>
      </c>
      <c r="BT9">
        <v>-0.61066201059418901</v>
      </c>
      <c r="BU9">
        <v>0.32109043128501302</v>
      </c>
      <c r="BV9">
        <v>-0.12728641658086501</v>
      </c>
      <c r="BW9">
        <v>-0.51366280873500603</v>
      </c>
      <c r="BX9">
        <v>4.2634017059230804E-3</v>
      </c>
      <c r="BY9">
        <v>0.295488003201476</v>
      </c>
      <c r="BZ9">
        <v>0.130400554014523</v>
      </c>
      <c r="CA9">
        <v>3.7190406178802198E-2</v>
      </c>
      <c r="CB9">
        <v>-0.32005591994961002</v>
      </c>
      <c r="CC9">
        <v>-0.32093422988717502</v>
      </c>
      <c r="CD9">
        <v>0.351138932945669</v>
      </c>
      <c r="CE9">
        <v>0.63820180614291999</v>
      </c>
      <c r="CF9">
        <v>0.17743274108770801</v>
      </c>
      <c r="CG9">
        <v>-8.3994132091657403E-2</v>
      </c>
      <c r="CH9">
        <v>0.37960864708282899</v>
      </c>
      <c r="CI9">
        <v>0.298622549061826</v>
      </c>
      <c r="CJ9">
        <v>-4.5720869116445503E-2</v>
      </c>
      <c r="CK9">
        <v>-6.7168788585567296E-2</v>
      </c>
      <c r="CL9">
        <v>0.637536353247111</v>
      </c>
      <c r="CM9">
        <v>-0.209343168646281</v>
      </c>
      <c r="CN9">
        <v>-0.402129177763346</v>
      </c>
      <c r="CO9">
        <v>-0.45263692692262603</v>
      </c>
      <c r="CP9">
        <v>-0.55750155168946802</v>
      </c>
      <c r="CQ9">
        <v>-0.34009524899183302</v>
      </c>
      <c r="CR9">
        <v>-4.2574407043673899E-2</v>
      </c>
      <c r="CS9">
        <v>-5.89636730024172E-2</v>
      </c>
      <c r="CT9">
        <v>-0.37687848762354198</v>
      </c>
      <c r="CU9">
        <v>0.27519740492449302</v>
      </c>
      <c r="CV9">
        <v>3.9294793389815098E-2</v>
      </c>
      <c r="CW9">
        <v>-0.28853649713555402</v>
      </c>
      <c r="CX9">
        <v>-2.5880687314763801E-3</v>
      </c>
      <c r="CY9">
        <v>-0.17564061309237</v>
      </c>
      <c r="CZ9">
        <v>6.9415209626430302E-2</v>
      </c>
      <c r="DA9">
        <v>-0.50039388177063804</v>
      </c>
      <c r="DB9">
        <v>-0.215600601274753</v>
      </c>
      <c r="DC9">
        <v>-0.18666148489013201</v>
      </c>
      <c r="DD9">
        <v>-0.18585888933757999</v>
      </c>
      <c r="DE9">
        <v>-0.30540862702051402</v>
      </c>
      <c r="DF9">
        <v>0.18695409104599101</v>
      </c>
      <c r="DG9">
        <v>-0.316895211021478</v>
      </c>
      <c r="DH9">
        <v>0.43005161708609801</v>
      </c>
      <c r="DI9">
        <v>-5.1865057114440102E-2</v>
      </c>
      <c r="DJ9">
        <v>-0.39424324807259598</v>
      </c>
      <c r="DK9">
        <v>-0.13441458916121299</v>
      </c>
      <c r="DL9">
        <v>-6.7949642916307201E-2</v>
      </c>
      <c r="DM9">
        <v>0.16844057711420801</v>
      </c>
      <c r="DN9">
        <v>4.5926675666520402E-2</v>
      </c>
      <c r="DO9">
        <v>0.16235762666327599</v>
      </c>
      <c r="DP9">
        <v>-0.10075344654170799</v>
      </c>
      <c r="DQ9">
        <v>0.363704112851508</v>
      </c>
      <c r="DR9">
        <v>0.40442866817713902</v>
      </c>
      <c r="DS9">
        <v>0.327528819081087</v>
      </c>
      <c r="DT9">
        <v>0.20375781391995201</v>
      </c>
      <c r="DU9">
        <v>0.22766268170301099</v>
      </c>
      <c r="DV9">
        <v>0.446014583223108</v>
      </c>
      <c r="DW9">
        <v>0.53116819188307896</v>
      </c>
      <c r="DX9">
        <v>0.46986918318192999</v>
      </c>
      <c r="DY9">
        <v>0.17950970711052999</v>
      </c>
      <c r="DZ9">
        <v>2.2542907566098998E-2</v>
      </c>
      <c r="EA9">
        <v>-0.28977351564998999</v>
      </c>
      <c r="EB9">
        <v>-0.27070165835018101</v>
      </c>
      <c r="EC9">
        <v>-0.45857998346343398</v>
      </c>
      <c r="ED9">
        <v>0.207086965223265</v>
      </c>
      <c r="EE9">
        <v>6.80134592712308E-2</v>
      </c>
      <c r="EF9">
        <v>0.336041958632528</v>
      </c>
      <c r="EG9">
        <v>4.83950490719093E-2</v>
      </c>
      <c r="EH9">
        <v>0.284526906651415</v>
      </c>
      <c r="EI9">
        <v>8.9756734685696296E-2</v>
      </c>
      <c r="EJ9">
        <v>-0.40615080762897698</v>
      </c>
      <c r="EK9">
        <v>-0.14087896655358101</v>
      </c>
      <c r="EL9">
        <v>0.34651245363740102</v>
      </c>
      <c r="EM9">
        <v>-0.43352130700332397</v>
      </c>
      <c r="EN9">
        <v>-0.48494995432895399</v>
      </c>
      <c r="EO9">
        <v>0.45421948614725099</v>
      </c>
      <c r="EP9">
        <v>0.27743449744819598</v>
      </c>
      <c r="EQ9">
        <v>-0.51832174370953799</v>
      </c>
      <c r="ER9">
        <v>2.92970638497651E-2</v>
      </c>
      <c r="ES9">
        <v>6.6203545314609299E-2</v>
      </c>
      <c r="ET9">
        <v>0.477222233390863</v>
      </c>
      <c r="EU9">
        <v>0.51459425431997996</v>
      </c>
      <c r="EV9">
        <v>-3.2639089922659903E-2</v>
      </c>
      <c r="EW9">
        <v>0.108195942544056</v>
      </c>
      <c r="EX9">
        <v>0.34508504542083401</v>
      </c>
      <c r="EY9">
        <v>0.285719824635362</v>
      </c>
      <c r="EZ9">
        <v>-0.19320090906955001</v>
      </c>
      <c r="FA9">
        <v>-0.14644680071337601</v>
      </c>
      <c r="FB9">
        <v>-0.20814799392858399</v>
      </c>
      <c r="FC9">
        <v>-0.16421211906050401</v>
      </c>
      <c r="FD9">
        <v>-0.44571350449626601</v>
      </c>
      <c r="FE9">
        <v>-0.59422240956263805</v>
      </c>
      <c r="FF9">
        <v>0.262366135146886</v>
      </c>
      <c r="FG9">
        <v>-0.101299617820021</v>
      </c>
      <c r="FH9">
        <v>0.15399308022503699</v>
      </c>
      <c r="FI9">
        <v>2.3484042150275299E-2</v>
      </c>
      <c r="FJ9">
        <v>0.338569649879565</v>
      </c>
      <c r="FK9">
        <v>-0.53973852055014904</v>
      </c>
      <c r="FL9">
        <v>-6.31956262821908E-3</v>
      </c>
      <c r="FM9">
        <v>-0.22466758866676501</v>
      </c>
      <c r="FN9">
        <v>0.10296407405248199</v>
      </c>
      <c r="FO9">
        <v>-0.270420520938988</v>
      </c>
      <c r="FP9">
        <v>-0.44397381897537103</v>
      </c>
      <c r="FQ9">
        <v>-0.38010426929670499</v>
      </c>
      <c r="FR9">
        <v>-0.395020871424209</v>
      </c>
      <c r="FS9">
        <v>-0.117978707306653</v>
      </c>
      <c r="FT9">
        <v>0.20753632967031199</v>
      </c>
      <c r="FU9">
        <v>-0.13424400515319801</v>
      </c>
      <c r="FV9">
        <v>-0.28374941539121801</v>
      </c>
      <c r="FW9">
        <v>0.18714927527882999</v>
      </c>
      <c r="FX9">
        <v>-8.2666708466442695E-2</v>
      </c>
      <c r="FY9">
        <v>-0.310138838965893</v>
      </c>
      <c r="FZ9">
        <v>0.24350290679040101</v>
      </c>
      <c r="GA9">
        <v>-3.6997174674280597E-2</v>
      </c>
      <c r="GB9">
        <v>0.19572748473843399</v>
      </c>
      <c r="GC9">
        <v>-0.27118975993268002</v>
      </c>
      <c r="GD9">
        <v>-0.14424234169512101</v>
      </c>
      <c r="GE9">
        <v>-0.192661143625068</v>
      </c>
      <c r="GF9">
        <v>8.1812868282324994E-2</v>
      </c>
      <c r="GG9">
        <v>0.24308098396724101</v>
      </c>
      <c r="GH9">
        <v>2.10457898819791E-2</v>
      </c>
      <c r="GI9">
        <v>-0.119558348571443</v>
      </c>
      <c r="GJ9">
        <v>0.80512789406906904</v>
      </c>
      <c r="GK9">
        <v>0.38263459904855401</v>
      </c>
      <c r="GL9">
        <v>0.61506386575554906</v>
      </c>
      <c r="GM9">
        <v>0.37821266303060902</v>
      </c>
      <c r="GN9">
        <v>0.75812280759992801</v>
      </c>
      <c r="GO9">
        <v>0.65541894277712898</v>
      </c>
      <c r="GP9">
        <v>0.48461353940709301</v>
      </c>
      <c r="GQ9">
        <v>-0.33794235293277203</v>
      </c>
      <c r="GR9">
        <v>-1.89140887890266E-2</v>
      </c>
      <c r="GS9">
        <v>0.68030325840223904</v>
      </c>
      <c r="GT9">
        <v>0.35853382136294998</v>
      </c>
      <c r="GU9">
        <v>1.0240273785090599</v>
      </c>
      <c r="GV9">
        <v>0.41038322081823098</v>
      </c>
      <c r="GW9">
        <v>5.16289179130867E-2</v>
      </c>
      <c r="GX9">
        <v>0.17682833101739201</v>
      </c>
      <c r="GY9">
        <v>0.319329102356673</v>
      </c>
      <c r="GZ9">
        <v>5.4639987808204902E-3</v>
      </c>
      <c r="HA9">
        <v>-5.7349688199947998E-2</v>
      </c>
      <c r="HB9">
        <v>0.35015362029903402</v>
      </c>
      <c r="HC9">
        <v>0</v>
      </c>
    </row>
    <row r="10" spans="1:211" x14ac:dyDescent="0.25">
      <c r="A10" t="s">
        <v>265</v>
      </c>
      <c r="B10" t="s">
        <v>401</v>
      </c>
      <c r="C10">
        <v>0</v>
      </c>
      <c r="D10">
        <v>6.9411082601717494E-2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2.9263455477480198E-2</v>
      </c>
      <c r="R10">
        <v>4.0834077782164899E-2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0.238377689613331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0.15914197520675599</v>
      </c>
      <c r="BQ10">
        <v>0</v>
      </c>
      <c r="BR10">
        <v>0</v>
      </c>
      <c r="BS10">
        <v>0</v>
      </c>
      <c r="BT10">
        <v>0.21844314920566399</v>
      </c>
      <c r="BU10">
        <v>0</v>
      </c>
      <c r="BV10">
        <v>0</v>
      </c>
      <c r="BW10">
        <v>0</v>
      </c>
      <c r="BX10">
        <v>0.16192455190079499</v>
      </c>
      <c r="BY10">
        <v>0</v>
      </c>
      <c r="BZ10">
        <v>0</v>
      </c>
      <c r="CA10">
        <v>0</v>
      </c>
      <c r="CB10">
        <v>0</v>
      </c>
      <c r="CC10">
        <v>6.8526514950210199E-2</v>
      </c>
      <c r="CD10">
        <v>0</v>
      </c>
      <c r="CE10">
        <v>2.1272848573621599E-2</v>
      </c>
      <c r="CF10">
        <v>8.4248473506903898E-2</v>
      </c>
      <c r="CG10">
        <v>0.16276861526355699</v>
      </c>
      <c r="CH10">
        <v>0.45391630800960803</v>
      </c>
      <c r="CI10">
        <v>0.20952900493495899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8.8194541735431398E-2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6.3349841607375598E-2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5.2507044355739302E-2</v>
      </c>
      <c r="DY10">
        <v>0</v>
      </c>
      <c r="DZ10">
        <v>0.188241976586386</v>
      </c>
      <c r="EA10">
        <v>0</v>
      </c>
      <c r="EB10">
        <v>0</v>
      </c>
      <c r="EC10">
        <v>0.100766706537761</v>
      </c>
      <c r="ED10">
        <v>9.8121800942752593E-2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0.105111095761847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2.5041964735762999E-2</v>
      </c>
      <c r="EX10">
        <v>0</v>
      </c>
      <c r="EY10">
        <v>0</v>
      </c>
      <c r="EZ10">
        <v>0.10743839495667699</v>
      </c>
      <c r="FA10">
        <v>0.186959407338471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6.6440024981408496E-2</v>
      </c>
      <c r="FJ10">
        <v>7.1082033171792E-2</v>
      </c>
      <c r="FK10">
        <v>0</v>
      </c>
      <c r="FL10">
        <v>0.293057693686059</v>
      </c>
      <c r="FM10">
        <v>0</v>
      </c>
      <c r="FN10">
        <v>0</v>
      </c>
      <c r="FO10">
        <v>0</v>
      </c>
      <c r="FP10">
        <v>6.2685072413836002E-2</v>
      </c>
      <c r="FQ10">
        <v>9.6711304295129599E-2</v>
      </c>
      <c r="FR10">
        <v>0</v>
      </c>
      <c r="FS10">
        <v>0</v>
      </c>
      <c r="FT10">
        <v>4.9539386526737901E-2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0.116557318470271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</row>
    <row r="11" spans="1:211" s="11" customFormat="1" ht="15.75" thickBot="1" x14ac:dyDescent="0.3">
      <c r="A11" s="11" t="s">
        <v>265</v>
      </c>
      <c r="B11" s="11" t="s">
        <v>402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5.1377008219726697E-2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9.2180646851826906E-2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3.7997905364583903E-2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4.2298849119303303E-2</v>
      </c>
      <c r="CF11" s="11">
        <v>8.4248473506903898E-2</v>
      </c>
      <c r="CG11" s="11">
        <v>0</v>
      </c>
      <c r="CH11" s="11">
        <v>0</v>
      </c>
      <c r="CI11" s="11">
        <v>8.4232271932848296E-2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0.126582146957506</v>
      </c>
      <c r="CS11" s="11">
        <v>0.104674462533679</v>
      </c>
      <c r="CT11" s="11">
        <v>0</v>
      </c>
      <c r="CU11" s="11">
        <v>0</v>
      </c>
      <c r="CV11" s="11">
        <v>0</v>
      </c>
      <c r="CW11" s="11">
        <v>0</v>
      </c>
      <c r="CX11" s="11">
        <v>5.4341933552554997E-2</v>
      </c>
      <c r="CY11" s="11">
        <v>0</v>
      </c>
      <c r="CZ11" s="11">
        <v>0</v>
      </c>
      <c r="DA11" s="11">
        <v>0</v>
      </c>
      <c r="DB11" s="11">
        <v>7.6816765827038003E-2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2.7468756420785299E-2</v>
      </c>
      <c r="DJ11" s="11">
        <v>0</v>
      </c>
      <c r="DK11" s="11">
        <v>0.106656428948722</v>
      </c>
      <c r="DL11" s="11">
        <v>0</v>
      </c>
      <c r="DM11" s="11">
        <v>0</v>
      </c>
      <c r="DN11" s="11">
        <v>9.4790168326311403E-2</v>
      </c>
      <c r="DO11" s="11">
        <v>3.6830609091360302E-2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8.3716896368759799E-2</v>
      </c>
      <c r="EA11" s="11">
        <v>0</v>
      </c>
      <c r="EB11" s="11">
        <v>0</v>
      </c>
      <c r="EC11" s="11">
        <v>0</v>
      </c>
      <c r="ED11" s="11">
        <v>9.8121800942752593E-2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0.22122300207332499</v>
      </c>
      <c r="EN11" s="11">
        <v>0</v>
      </c>
      <c r="EO11" s="11">
        <v>0</v>
      </c>
      <c r="EP11" s="11">
        <v>0.105111095761847</v>
      </c>
      <c r="EQ11" s="11">
        <v>0</v>
      </c>
      <c r="ER11" s="11">
        <v>0</v>
      </c>
      <c r="ES11" s="11">
        <v>0</v>
      </c>
      <c r="ET11" s="11">
        <v>0</v>
      </c>
      <c r="EU11" s="11">
        <v>9.6451335253110101E-2</v>
      </c>
      <c r="EV11" s="11">
        <v>0</v>
      </c>
      <c r="EW11" s="11">
        <v>4.97458588061125E-2</v>
      </c>
      <c r="EX11" s="11">
        <v>6.7879653758839295E-2</v>
      </c>
      <c r="EY11" s="11">
        <v>8.3537549760195007E-2</v>
      </c>
      <c r="EZ11" s="11">
        <v>0.10743839495667699</v>
      </c>
      <c r="FA11" s="11">
        <v>9.6243054216283694E-2</v>
      </c>
      <c r="FB11" s="11">
        <v>8.5578127064297599E-2</v>
      </c>
      <c r="FC11" s="11">
        <v>0.21446195656689199</v>
      </c>
      <c r="FD11" s="11">
        <v>0</v>
      </c>
      <c r="FE11" s="11">
        <v>0</v>
      </c>
      <c r="FF11" s="11">
        <v>0</v>
      </c>
      <c r="FG11" s="11">
        <v>0.14482749933005401</v>
      </c>
      <c r="FH11" s="11">
        <v>0</v>
      </c>
      <c r="FI11" s="11">
        <v>0</v>
      </c>
      <c r="FJ11" s="11">
        <v>7.1082033171792E-2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6.2685072413836002E-2</v>
      </c>
      <c r="FQ11" s="11">
        <v>0</v>
      </c>
      <c r="FR11" s="11">
        <v>0</v>
      </c>
      <c r="FS11" s="11">
        <v>8.3378178075488807E-2</v>
      </c>
      <c r="FT11" s="11">
        <v>0</v>
      </c>
      <c r="FU11" s="11">
        <v>0</v>
      </c>
      <c r="FV11" s="11">
        <v>0.15512970346695101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0.128693286037071</v>
      </c>
      <c r="GD11" s="11">
        <v>0</v>
      </c>
      <c r="GE11" s="11">
        <v>0</v>
      </c>
      <c r="GF11" s="11">
        <v>0</v>
      </c>
      <c r="GG11" s="11">
        <v>5.01233857037678E-2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0</v>
      </c>
      <c r="GN11" s="11">
        <v>4.4544924966086703E-2</v>
      </c>
      <c r="GO11" s="11">
        <v>0</v>
      </c>
      <c r="GP11" s="11">
        <v>0</v>
      </c>
      <c r="GQ11" s="11">
        <v>0</v>
      </c>
      <c r="GR11" s="11">
        <v>0</v>
      </c>
      <c r="GS11" s="11">
        <v>0.24307525694392301</v>
      </c>
      <c r="GT11" s="11">
        <v>0</v>
      </c>
      <c r="GU11" s="11">
        <v>0</v>
      </c>
      <c r="GV11" s="11">
        <v>0</v>
      </c>
      <c r="GW11" s="11">
        <v>0</v>
      </c>
      <c r="GX11" s="11">
        <v>0</v>
      </c>
      <c r="GY11" s="11">
        <v>6.0071151206032701E-2</v>
      </c>
      <c r="GZ11" s="11">
        <v>0</v>
      </c>
      <c r="HA11" s="11">
        <v>0</v>
      </c>
      <c r="HB11" s="11">
        <v>0</v>
      </c>
      <c r="HC11" s="11">
        <v>0</v>
      </c>
    </row>
    <row r="12" spans="1:211" x14ac:dyDescent="0.25">
      <c r="A12" t="s">
        <v>266</v>
      </c>
      <c r="B12" t="s">
        <v>379</v>
      </c>
      <c r="C12">
        <v>0.21293665023761399</v>
      </c>
      <c r="D12">
        <v>0.40854598024083699</v>
      </c>
      <c r="E12">
        <v>0.43857956540112197</v>
      </c>
      <c r="F12">
        <v>-0.28388151293785202</v>
      </c>
      <c r="G12">
        <v>3.3616003783151299E-2</v>
      </c>
      <c r="H12">
        <v>-8.94852387282951E-2</v>
      </c>
      <c r="I12">
        <v>-0.29167756027137098</v>
      </c>
      <c r="J12">
        <v>3.90601541557112E-4</v>
      </c>
      <c r="K12">
        <v>-0.15555628750678899</v>
      </c>
      <c r="L12">
        <v>-0.114731090038506</v>
      </c>
      <c r="M12">
        <v>0.300237781056438</v>
      </c>
      <c r="N12">
        <v>0.28756143798933698</v>
      </c>
      <c r="O12">
        <v>0.39681471867555201</v>
      </c>
      <c r="P12">
        <v>9.9303139192117695E-2</v>
      </c>
      <c r="Q12">
        <v>0.30666305935796301</v>
      </c>
      <c r="R12">
        <v>0.41361794517092798</v>
      </c>
      <c r="S12">
        <v>-0.156718191509605</v>
      </c>
      <c r="T12">
        <v>-0.123962062745648</v>
      </c>
      <c r="U12">
        <v>-0.185339455190346</v>
      </c>
      <c r="V12">
        <v>0.23160240696169199</v>
      </c>
      <c r="W12">
        <v>-9.2496615483080399E-2</v>
      </c>
      <c r="X12">
        <v>6.6159069028219095E-2</v>
      </c>
      <c r="Y12">
        <v>0.17097377787806101</v>
      </c>
      <c r="Z12">
        <v>-0.44143304846954901</v>
      </c>
      <c r="AA12">
        <v>-0.44143304846954901</v>
      </c>
      <c r="AB12">
        <v>6.7862792402496402E-2</v>
      </c>
      <c r="AC12">
        <v>-0.159394404692042</v>
      </c>
      <c r="AD12">
        <v>4.5482430934214398E-2</v>
      </c>
      <c r="AE12">
        <v>1.99140041569911E-2</v>
      </c>
      <c r="AF12">
        <v>1.49222656214713E-2</v>
      </c>
      <c r="AG12">
        <v>-0.18100416923527299</v>
      </c>
      <c r="AH12">
        <v>-0.16275378621967601</v>
      </c>
      <c r="AI12">
        <v>-0.134798141938443</v>
      </c>
      <c r="AJ12">
        <v>-7.5683218799317803E-2</v>
      </c>
      <c r="AK12">
        <v>-0.16434196606255799</v>
      </c>
      <c r="AL12">
        <v>0.32367137920100297</v>
      </c>
      <c r="AM12">
        <v>0.30991311510495001</v>
      </c>
      <c r="AN12">
        <v>-0.44143304846954901</v>
      </c>
      <c r="AO12">
        <v>-4.6707036427713601E-2</v>
      </c>
      <c r="AP12">
        <v>-0.22232428667593301</v>
      </c>
      <c r="AQ12">
        <v>-0.17418652618408101</v>
      </c>
      <c r="AR12">
        <v>0.11856963513523799</v>
      </c>
      <c r="AS12">
        <v>-0.44143304846954901</v>
      </c>
      <c r="AT12">
        <v>-5.5661481325701499E-2</v>
      </c>
      <c r="AU12">
        <v>-9.2214049969106801E-2</v>
      </c>
      <c r="AV12">
        <v>3.5917849042369603E-2</v>
      </c>
      <c r="AW12">
        <v>0.183281119867689</v>
      </c>
      <c r="AX12">
        <v>0.26684503749753302</v>
      </c>
      <c r="AY12">
        <v>-0.44143304846954901</v>
      </c>
      <c r="AZ12">
        <v>7.4251604012269906E-2</v>
      </c>
      <c r="BA12">
        <v>0.57329638221401802</v>
      </c>
      <c r="BB12">
        <v>0.19506255492307101</v>
      </c>
      <c r="BC12">
        <v>-0.14014200003902999</v>
      </c>
      <c r="BD12">
        <v>-2.7889745095938498E-3</v>
      </c>
      <c r="BE12">
        <v>0.34504620766995697</v>
      </c>
      <c r="BF12">
        <v>-0.14755566252824501</v>
      </c>
      <c r="BG12">
        <v>-8.7438960333548393E-2</v>
      </c>
      <c r="BH12">
        <v>0.202316143218228</v>
      </c>
      <c r="BI12">
        <v>-0.12928717471021001</v>
      </c>
      <c r="BJ12">
        <v>-0.10665504734497699</v>
      </c>
      <c r="BK12">
        <v>0.172096991834402</v>
      </c>
      <c r="BL12">
        <v>3.1322902410757497E-2</v>
      </c>
      <c r="BM12">
        <v>-0.20889718153259401</v>
      </c>
      <c r="BN12">
        <v>0.52963729015626004</v>
      </c>
      <c r="BO12">
        <v>-0.13841220189645101</v>
      </c>
      <c r="BP12">
        <v>-0.138425191944235</v>
      </c>
      <c r="BQ12">
        <v>0.39787853346256402</v>
      </c>
      <c r="BR12">
        <v>-0.25772516599158901</v>
      </c>
      <c r="BS12">
        <v>-2.0627274470821699E-2</v>
      </c>
      <c r="BT12">
        <v>-0.44143304846954901</v>
      </c>
      <c r="BU12">
        <v>-0.20210808096039401</v>
      </c>
      <c r="BV12">
        <v>-8.2955441019265705E-2</v>
      </c>
      <c r="BW12">
        <v>-0.44143304846954901</v>
      </c>
      <c r="BX12">
        <v>-9.2550551128868105E-2</v>
      </c>
      <c r="BY12">
        <v>-0.236702558143184</v>
      </c>
      <c r="BZ12">
        <v>1.0057830683605299E-2</v>
      </c>
      <c r="CA12">
        <v>-0.123308769688008</v>
      </c>
      <c r="CB12">
        <v>0.44938345020887599</v>
      </c>
      <c r="CC12">
        <v>4.5631138555113901E-2</v>
      </c>
      <c r="CD12">
        <v>8.5954903262964094E-2</v>
      </c>
      <c r="CE12">
        <v>0.439559796291626</v>
      </c>
      <c r="CF12">
        <v>0.348309298978354</v>
      </c>
      <c r="CG12">
        <v>0.126084884351881</v>
      </c>
      <c r="CH12">
        <v>0.106497070013529</v>
      </c>
      <c r="CI12">
        <v>-1.7678571293260101E-2</v>
      </c>
      <c r="CJ12">
        <v>0.48869423329053202</v>
      </c>
      <c r="CK12">
        <v>0.43785091652779901</v>
      </c>
      <c r="CL12">
        <v>0.34104844810360402</v>
      </c>
      <c r="CM12">
        <v>5.6917619630197501E-2</v>
      </c>
      <c r="CN12">
        <v>-0.44143304846954901</v>
      </c>
      <c r="CO12">
        <v>-6.4964815592322797E-2</v>
      </c>
      <c r="CP12">
        <v>0.263004741109641</v>
      </c>
      <c r="CQ12">
        <v>4.7576862338470298E-2</v>
      </c>
      <c r="CR12">
        <v>6.0324897754308597E-2</v>
      </c>
      <c r="CS12">
        <v>2.3585316590934401E-2</v>
      </c>
      <c r="CT12">
        <v>5.6049941105793602E-2</v>
      </c>
      <c r="CU12">
        <v>-0.15478731494827699</v>
      </c>
      <c r="CV12">
        <v>-7.4249806577186203E-2</v>
      </c>
      <c r="CW12">
        <v>-0.33399252211833202</v>
      </c>
      <c r="CX12">
        <v>-0.282585438546683</v>
      </c>
      <c r="CY12">
        <v>-0.218436544028979</v>
      </c>
      <c r="CZ12">
        <v>-0.25173344163941702</v>
      </c>
      <c r="DA12">
        <v>-0.353238506734118</v>
      </c>
      <c r="DB12">
        <v>0.21408294015826301</v>
      </c>
      <c r="DC12">
        <v>-0.33298115451440302</v>
      </c>
      <c r="DD12">
        <v>-3.6700336242407899E-2</v>
      </c>
      <c r="DE12">
        <v>-1.51858425946134E-2</v>
      </c>
      <c r="DF12">
        <v>-0.148158438385667</v>
      </c>
      <c r="DG12">
        <v>0.24583095862665399</v>
      </c>
      <c r="DH12">
        <v>0.20879301067109399</v>
      </c>
      <c r="DI12">
        <v>-5.72096276556101E-2</v>
      </c>
      <c r="DJ12">
        <v>-0.17280208845627201</v>
      </c>
      <c r="DK12">
        <v>-0.14324161858492299</v>
      </c>
      <c r="DL12">
        <v>0.258718911627004</v>
      </c>
      <c r="DM12">
        <v>0.26558197187206001</v>
      </c>
      <c r="DN12">
        <v>-6.9942354297164902E-2</v>
      </c>
      <c r="DO12">
        <v>-0.21016046133847399</v>
      </c>
      <c r="DP12">
        <v>-9.9433738342303395E-3</v>
      </c>
      <c r="DQ12">
        <v>0.78444814425000298</v>
      </c>
      <c r="DR12">
        <v>0.421730497638236</v>
      </c>
      <c r="DS12">
        <v>0.75739375867911496</v>
      </c>
      <c r="DT12">
        <v>0.67275410686396797</v>
      </c>
      <c r="DU12">
        <v>0.77177681930497999</v>
      </c>
      <c r="DV12">
        <v>1.02418239250992</v>
      </c>
      <c r="DW12">
        <v>0.42958004838717101</v>
      </c>
      <c r="DX12">
        <v>0.41946098639440499</v>
      </c>
      <c r="DY12">
        <v>0.30906039316025202</v>
      </c>
      <c r="DZ12">
        <v>-0.27804550837353298</v>
      </c>
      <c r="EA12">
        <v>-0.11554124674465199</v>
      </c>
      <c r="EB12">
        <v>-6.7189140155844999E-4</v>
      </c>
      <c r="EC12">
        <v>-7.0907872133130295E-2</v>
      </c>
      <c r="ED12">
        <v>-0.13709749904825799</v>
      </c>
      <c r="EE12">
        <v>9.4607128812536995E-2</v>
      </c>
      <c r="EF12">
        <v>7.5026340658257903E-2</v>
      </c>
      <c r="EG12">
        <v>-4.4625324867697103E-2</v>
      </c>
      <c r="EH12">
        <v>0</v>
      </c>
      <c r="EI12">
        <v>-6.3975215919397796E-2</v>
      </c>
      <c r="EJ12">
        <v>1.2607555300705</v>
      </c>
      <c r="EK12">
        <v>0.45416900087689699</v>
      </c>
      <c r="EL12">
        <v>0.48048275476345798</v>
      </c>
      <c r="EM12">
        <v>-8.7046353797256906E-3</v>
      </c>
      <c r="EN12">
        <v>0.25987005367859001</v>
      </c>
      <c r="EO12">
        <v>0.52496588942162703</v>
      </c>
      <c r="EP12">
        <v>0.25351020279615399</v>
      </c>
      <c r="EQ12">
        <v>5.0808985619631803E-3</v>
      </c>
      <c r="ER12">
        <v>-0.14350426722126999</v>
      </c>
      <c r="ES12">
        <v>-9.1716350117529599E-2</v>
      </c>
      <c r="ET12">
        <v>0.69130705373526402</v>
      </c>
      <c r="EU12">
        <v>1.2461202152406501</v>
      </c>
      <c r="EV12">
        <v>4.2691926430876902E-2</v>
      </c>
      <c r="EW12">
        <v>-0.14163315322796299</v>
      </c>
      <c r="EX12">
        <v>-3.2494377011684603E-2</v>
      </c>
      <c r="EY12">
        <v>-0.27849009124947499</v>
      </c>
      <c r="EZ12">
        <v>-0.13839592036689199</v>
      </c>
      <c r="FA12">
        <v>-0.16865735963243</v>
      </c>
      <c r="FB12">
        <v>-0.35585492140525199</v>
      </c>
      <c r="FC12">
        <v>0.28557928419122303</v>
      </c>
      <c r="FD12">
        <v>3.1319245855711698E-2</v>
      </c>
      <c r="FE12">
        <v>7.4443122325615702E-2</v>
      </c>
      <c r="FF12">
        <v>2.1466920324294501E-2</v>
      </c>
      <c r="FG12">
        <v>-0.16324484958445901</v>
      </c>
      <c r="FH12">
        <v>0.24783826863387301</v>
      </c>
      <c r="FI12">
        <v>8.48088948336473E-2</v>
      </c>
      <c r="FJ12">
        <v>0.17704076371938299</v>
      </c>
      <c r="FK12">
        <v>0.451012935614091</v>
      </c>
      <c r="FL12">
        <v>0.22818990496692801</v>
      </c>
      <c r="FM12">
        <v>-5.2177719259316399E-3</v>
      </c>
      <c r="FN12">
        <v>-4.25260845120728E-2</v>
      </c>
      <c r="FO12">
        <v>-0.108570332880345</v>
      </c>
      <c r="FP12">
        <v>-0.20328904048222901</v>
      </c>
      <c r="FQ12">
        <v>-0.34472174417441998</v>
      </c>
      <c r="FR12">
        <v>-0.119125540993336</v>
      </c>
      <c r="FS12">
        <v>1.3983994525947599E-2</v>
      </c>
      <c r="FT12">
        <v>0.27811548510147499</v>
      </c>
      <c r="FU12">
        <v>-2.5687311315877401E-3</v>
      </c>
      <c r="FV12">
        <v>0.103922695939086</v>
      </c>
      <c r="FW12">
        <v>0.19084264720230701</v>
      </c>
      <c r="FX12">
        <v>-0.15286931516906299</v>
      </c>
      <c r="FY12">
        <v>0.21794549383294901</v>
      </c>
      <c r="FZ12">
        <v>8.1948592010643393E-3</v>
      </c>
      <c r="GA12">
        <v>-0.44143304846954901</v>
      </c>
      <c r="GB12">
        <v>7.6538622355509095E-2</v>
      </c>
      <c r="GC12">
        <v>-0.19391235332555201</v>
      </c>
      <c r="GD12">
        <v>-2.0837173197240301E-2</v>
      </c>
      <c r="GE12">
        <v>-0.36308342562457002</v>
      </c>
      <c r="GF12">
        <v>2.5108212553581099E-2</v>
      </c>
      <c r="GG12">
        <v>2.7051698755336001E-2</v>
      </c>
      <c r="GH12">
        <v>-5.1512214720420703E-2</v>
      </c>
      <c r="GI12">
        <v>0.31907374369274</v>
      </c>
      <c r="GJ12">
        <v>2.87842306224791E-2</v>
      </c>
      <c r="GK12">
        <v>1.3796635732313999E-2</v>
      </c>
      <c r="GL12">
        <v>-0.11368980291027</v>
      </c>
      <c r="GM12">
        <v>0.279400737257194</v>
      </c>
      <c r="GN12">
        <v>-0.221826279357108</v>
      </c>
      <c r="GO12">
        <v>-9.0587704958338899E-2</v>
      </c>
      <c r="GP12">
        <v>0.49761467358546402</v>
      </c>
      <c r="GQ12">
        <v>-0.25988782993284598</v>
      </c>
      <c r="GR12">
        <v>-0.14109171666894099</v>
      </c>
      <c r="GS12">
        <v>0.12699930801463999</v>
      </c>
      <c r="GT12">
        <v>-9.7348890648279507E-2</v>
      </c>
      <c r="GU12">
        <v>0.29589778506611603</v>
      </c>
      <c r="GV12">
        <v>6.2187761555323198E-2</v>
      </c>
      <c r="GW12">
        <v>0.30836936190605102</v>
      </c>
      <c r="GX12">
        <v>-9.4976603575149199E-2</v>
      </c>
      <c r="GY12">
        <v>-0.212914966527361</v>
      </c>
      <c r="GZ12">
        <v>-0.29287565728863502</v>
      </c>
      <c r="HA12">
        <v>-0.102944941039407</v>
      </c>
      <c r="HB12">
        <v>0.31200009383750299</v>
      </c>
      <c r="HC12">
        <v>-5.7406498632778802E-2</v>
      </c>
    </row>
    <row r="13" spans="1:211" x14ac:dyDescent="0.25">
      <c r="A13" t="s">
        <v>266</v>
      </c>
      <c r="B13" t="s">
        <v>380</v>
      </c>
      <c r="C13">
        <v>0</v>
      </c>
      <c r="D13">
        <v>0</v>
      </c>
      <c r="E13">
        <v>0</v>
      </c>
      <c r="F13">
        <v>0.15755153553169801</v>
      </c>
      <c r="G13">
        <v>4.4106643934412902E-2</v>
      </c>
      <c r="H13">
        <v>5.0588230557474002E-2</v>
      </c>
      <c r="I13">
        <v>5.1377008219726697E-2</v>
      </c>
      <c r="J13">
        <v>0</v>
      </c>
      <c r="K13">
        <v>0</v>
      </c>
      <c r="L13">
        <v>3.9217345089695398E-2</v>
      </c>
      <c r="M13">
        <v>0</v>
      </c>
      <c r="N13">
        <v>0</v>
      </c>
      <c r="O13">
        <v>4.2085181631320301E-2</v>
      </c>
      <c r="P13">
        <v>0</v>
      </c>
      <c r="Q13">
        <v>5.8071572581512299E-2</v>
      </c>
      <c r="R13">
        <v>4.0834077782164899E-2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0.17770925853764</v>
      </c>
      <c r="Z13">
        <v>0</v>
      </c>
      <c r="AA13">
        <v>0</v>
      </c>
      <c r="AB13">
        <v>0.18916132689120699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0.14550464883078301</v>
      </c>
      <c r="AI13">
        <v>0</v>
      </c>
      <c r="AJ13">
        <v>0</v>
      </c>
      <c r="AK13">
        <v>0</v>
      </c>
      <c r="AL13">
        <v>0.25568959332136298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0.30701393341611499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5.9416994570540602E-2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0.21844314920566399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8.3635561261097099E-2</v>
      </c>
      <c r="CF13">
        <v>8.4248473506903898E-2</v>
      </c>
      <c r="CG13">
        <v>0.16276861526355699</v>
      </c>
      <c r="CH13">
        <v>0</v>
      </c>
      <c r="CI13">
        <v>0</v>
      </c>
      <c r="CJ13">
        <v>0</v>
      </c>
      <c r="CK13">
        <v>0.153238597742859</v>
      </c>
      <c r="CL13">
        <v>0</v>
      </c>
      <c r="CM13">
        <v>9.4311880793141706E-2</v>
      </c>
      <c r="CN13">
        <v>0</v>
      </c>
      <c r="CO13">
        <v>0.19996838604177999</v>
      </c>
      <c r="CP13">
        <v>0</v>
      </c>
      <c r="CQ13">
        <v>0</v>
      </c>
      <c r="CR13">
        <v>8.0921832201189106E-2</v>
      </c>
      <c r="CS13">
        <v>0</v>
      </c>
      <c r="CT13">
        <v>0.13906246831692501</v>
      </c>
      <c r="CU13">
        <v>0</v>
      </c>
      <c r="CV13">
        <v>0</v>
      </c>
      <c r="CW13">
        <v>3.64427874243268E-2</v>
      </c>
      <c r="CX13">
        <v>0</v>
      </c>
      <c r="CY13">
        <v>3.90800731030038E-2</v>
      </c>
      <c r="CZ13">
        <v>0</v>
      </c>
      <c r="DA13">
        <v>0.25214727684051302</v>
      </c>
      <c r="DB13">
        <v>4.88290144995304E-2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8.1388144078427899E-2</v>
      </c>
      <c r="DJ13">
        <v>5.8942671509948599E-2</v>
      </c>
      <c r="DK13">
        <v>0</v>
      </c>
      <c r="DL13">
        <v>3.71465045752499E-2</v>
      </c>
      <c r="DM13">
        <v>0</v>
      </c>
      <c r="DN13">
        <v>0</v>
      </c>
      <c r="DO13">
        <v>3.6830609091360302E-2</v>
      </c>
      <c r="DP13">
        <v>0</v>
      </c>
      <c r="DQ13">
        <v>0.10634352828253101</v>
      </c>
      <c r="DR13">
        <v>7.3470985246821205E-2</v>
      </c>
      <c r="DS13">
        <v>0</v>
      </c>
      <c r="DT13">
        <v>4.4191723186216697E-2</v>
      </c>
      <c r="DU13">
        <v>4.5028333483079303E-2</v>
      </c>
      <c r="DV13">
        <v>4.6563252133133497E-2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0.100766706537761</v>
      </c>
      <c r="ED13">
        <v>0</v>
      </c>
      <c r="EE13">
        <v>0</v>
      </c>
      <c r="EF13">
        <v>6.9151051521479406E-2</v>
      </c>
      <c r="EG13">
        <v>7.0715700295647999E-2</v>
      </c>
      <c r="EH13">
        <v>7.2698203460989805E-2</v>
      </c>
      <c r="EI13">
        <v>0</v>
      </c>
      <c r="EJ13">
        <v>0.29381939099103899</v>
      </c>
      <c r="EK13">
        <v>0.16474749641019101</v>
      </c>
      <c r="EL13">
        <v>0.43329646405001099</v>
      </c>
      <c r="EM13">
        <v>0</v>
      </c>
      <c r="EN13">
        <v>0</v>
      </c>
      <c r="EO13">
        <v>0</v>
      </c>
      <c r="EP13">
        <v>0.29658856026254898</v>
      </c>
      <c r="EQ13">
        <v>0</v>
      </c>
      <c r="ER13">
        <v>0.122137096568708</v>
      </c>
      <c r="ES13">
        <v>0</v>
      </c>
      <c r="ET13">
        <v>8.3844927329188093E-2</v>
      </c>
      <c r="EU13">
        <v>0</v>
      </c>
      <c r="EV13">
        <v>9.7188360064785803E-2</v>
      </c>
      <c r="EW13">
        <v>2.5041964735762999E-2</v>
      </c>
      <c r="EX13">
        <v>0</v>
      </c>
      <c r="EY13">
        <v>0</v>
      </c>
      <c r="EZ13">
        <v>0</v>
      </c>
      <c r="FA13">
        <v>0.186959407338471</v>
      </c>
      <c r="FB13">
        <v>8.5578127064297599E-2</v>
      </c>
      <c r="FC13">
        <v>0</v>
      </c>
      <c r="FD13">
        <v>6.97536860220003E-2</v>
      </c>
      <c r="FE13">
        <v>9.4706153445149696E-2</v>
      </c>
      <c r="FF13">
        <v>0.119489998276544</v>
      </c>
      <c r="FG13">
        <v>0.14482749933005401</v>
      </c>
      <c r="FH13">
        <v>0</v>
      </c>
      <c r="FI13">
        <v>0</v>
      </c>
      <c r="FJ13">
        <v>7.1082033171792E-2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6.2685072413836002E-2</v>
      </c>
      <c r="FQ13">
        <v>0</v>
      </c>
      <c r="FR13">
        <v>0</v>
      </c>
      <c r="FS13">
        <v>0</v>
      </c>
      <c r="FT13">
        <v>0</v>
      </c>
      <c r="FU13">
        <v>0.11661576680621499</v>
      </c>
      <c r="FV13">
        <v>0.15512970346695101</v>
      </c>
      <c r="FW13">
        <v>0</v>
      </c>
      <c r="FX13">
        <v>0</v>
      </c>
      <c r="FY13">
        <v>0</v>
      </c>
      <c r="FZ13">
        <v>0</v>
      </c>
      <c r="GA13">
        <v>0.19352593885386399</v>
      </c>
      <c r="GB13">
        <v>0</v>
      </c>
      <c r="GC13">
        <v>0</v>
      </c>
      <c r="GD13">
        <v>0</v>
      </c>
      <c r="GE13">
        <v>4.9847749555662201E-2</v>
      </c>
      <c r="GF13">
        <v>5.52609206594806E-2</v>
      </c>
      <c r="GG13">
        <v>0.126660190600628</v>
      </c>
      <c r="GH13">
        <v>0</v>
      </c>
      <c r="GI13">
        <v>0</v>
      </c>
      <c r="GJ13">
        <v>0</v>
      </c>
      <c r="GK13">
        <v>0.113967792195474</v>
      </c>
      <c r="GL13">
        <v>0.116557318470271</v>
      </c>
      <c r="GM13">
        <v>0</v>
      </c>
      <c r="GN13">
        <v>0</v>
      </c>
      <c r="GO13">
        <v>9.4823851206833606E-2</v>
      </c>
      <c r="GP13">
        <v>0</v>
      </c>
      <c r="GQ13">
        <v>0</v>
      </c>
      <c r="GR13">
        <v>0</v>
      </c>
      <c r="GS13">
        <v>0</v>
      </c>
      <c r="GT13">
        <v>0.12284663588556601</v>
      </c>
      <c r="GU13">
        <v>0.11842548944938899</v>
      </c>
      <c r="GV13">
        <v>0</v>
      </c>
      <c r="GW13">
        <v>0</v>
      </c>
      <c r="GX13">
        <v>0</v>
      </c>
      <c r="GY13">
        <v>0</v>
      </c>
      <c r="GZ13">
        <v>0.14855739118091399</v>
      </c>
      <c r="HA13">
        <v>0</v>
      </c>
      <c r="HB13">
        <v>0.19659245974537001</v>
      </c>
      <c r="HC13">
        <v>0</v>
      </c>
    </row>
    <row r="14" spans="1:211" x14ac:dyDescent="0.25">
      <c r="A14" t="s">
        <v>266</v>
      </c>
      <c r="B14" t="s">
        <v>387</v>
      </c>
      <c r="C14">
        <v>1.6310498533619499E-2</v>
      </c>
      <c r="D14">
        <v>1.38190809224967E-2</v>
      </c>
      <c r="E14">
        <v>-0.15499975358767801</v>
      </c>
      <c r="F14">
        <v>-0.24822764783606299</v>
      </c>
      <c r="G14">
        <v>-0.11906215515943699</v>
      </c>
      <c r="H14">
        <v>-0.100624794821578</v>
      </c>
      <c r="I14">
        <v>-0.196850639616336</v>
      </c>
      <c r="J14">
        <v>-0.11225395202579801</v>
      </c>
      <c r="K14">
        <v>-2.6105643106289999E-2</v>
      </c>
      <c r="L14">
        <v>-1.83652551803716E-2</v>
      </c>
      <c r="M14">
        <v>-5.7943292809801199E-2</v>
      </c>
      <c r="N14">
        <v>-0.19576855168853799</v>
      </c>
      <c r="O14">
        <v>-8.5396896653684801E-2</v>
      </c>
      <c r="P14">
        <v>3.7922533064548097E-2</v>
      </c>
      <c r="Q14">
        <v>4.3764826302243797E-3</v>
      </c>
      <c r="R14">
        <v>-0.16744674300833801</v>
      </c>
      <c r="S14">
        <v>-0.172700122733421</v>
      </c>
      <c r="T14">
        <v>-8.1873368856715797E-2</v>
      </c>
      <c r="U14">
        <v>-0.180400739187002</v>
      </c>
      <c r="V14">
        <v>0.112160016531068</v>
      </c>
      <c r="W14">
        <v>2.82209122065618E-2</v>
      </c>
      <c r="X14">
        <v>0.25936446966170501</v>
      </c>
      <c r="Y14">
        <v>-7.0518389298422607E-2</v>
      </c>
      <c r="Z14">
        <v>-0.24822764783606299</v>
      </c>
      <c r="AA14">
        <v>-0.24822764783606299</v>
      </c>
      <c r="AB14">
        <v>-0.24822764783606299</v>
      </c>
      <c r="AC14">
        <v>3.38109959414441E-2</v>
      </c>
      <c r="AD14">
        <v>-7.9544641360538806E-2</v>
      </c>
      <c r="AE14">
        <v>0</v>
      </c>
      <c r="AF14">
        <v>-0.24822764783606299</v>
      </c>
      <c r="AG14">
        <v>1.22012313982138E-2</v>
      </c>
      <c r="AH14">
        <v>-0.24822764783606299</v>
      </c>
      <c r="AI14">
        <v>-0.24822764783606299</v>
      </c>
      <c r="AJ14">
        <v>-5.49756095260929E-2</v>
      </c>
      <c r="AK14">
        <v>-0.10335903512111</v>
      </c>
      <c r="AL14">
        <v>7.4619454852997502E-3</v>
      </c>
      <c r="AM14">
        <v>-0.24822764783606299</v>
      </c>
      <c r="AN14">
        <v>-1.9719221723411801E-2</v>
      </c>
      <c r="AO14">
        <v>-0.24822764783606299</v>
      </c>
      <c r="AP14">
        <v>-0.17172674026400001</v>
      </c>
      <c r="AQ14">
        <v>8.6057256256736006E-2</v>
      </c>
      <c r="AR14">
        <v>-2.4260211190968502E-2</v>
      </c>
      <c r="AS14">
        <v>-0.24822764783606299</v>
      </c>
      <c r="AT14">
        <v>-0.24822764783606299</v>
      </c>
      <c r="AU14">
        <v>0.249221998675349</v>
      </c>
      <c r="AV14">
        <v>-0.24822764783606299</v>
      </c>
      <c r="AW14">
        <v>0.304064129685997</v>
      </c>
      <c r="AX14">
        <v>-0.24822764783606299</v>
      </c>
      <c r="AY14">
        <v>-0.24822764783606299</v>
      </c>
      <c r="AZ14">
        <v>-0.24822764783606299</v>
      </c>
      <c r="BA14">
        <v>-0.173077515216324</v>
      </c>
      <c r="BB14">
        <v>-0.24822764783606299</v>
      </c>
      <c r="BC14">
        <v>-0.24822764783606299</v>
      </c>
      <c r="BD14">
        <v>-6.2105042336210101E-2</v>
      </c>
      <c r="BE14">
        <v>-4.3941407223324201E-2</v>
      </c>
      <c r="BF14">
        <v>-0.14989624576515301</v>
      </c>
      <c r="BG14">
        <v>-0.171060493982058</v>
      </c>
      <c r="BH14">
        <v>-2.0212559168688998E-2</v>
      </c>
      <c r="BI14">
        <v>-8.4714969645970695E-2</v>
      </c>
      <c r="BJ14">
        <v>-7.1733170479886907E-2</v>
      </c>
      <c r="BK14">
        <v>3.3658462410792399E-4</v>
      </c>
      <c r="BL14">
        <v>0.51713504747793804</v>
      </c>
      <c r="BM14">
        <v>-0.24822764783606299</v>
      </c>
      <c r="BN14">
        <v>8.8831443240023594E-2</v>
      </c>
      <c r="BO14">
        <v>-8.9384533250483997E-2</v>
      </c>
      <c r="BP14">
        <v>-0.24822764783606299</v>
      </c>
      <c r="BQ14">
        <v>-0.24822764783606299</v>
      </c>
      <c r="BR14">
        <v>0.24735236651017301</v>
      </c>
      <c r="BS14">
        <v>-0.24822764783606299</v>
      </c>
      <c r="BT14">
        <v>-2.97844986303996E-2</v>
      </c>
      <c r="BU14">
        <v>-0.24822764783606299</v>
      </c>
      <c r="BV14">
        <v>-0.119400967722068</v>
      </c>
      <c r="BW14">
        <v>6.7214703228783201E-2</v>
      </c>
      <c r="BX14">
        <v>6.02705825997032E-2</v>
      </c>
      <c r="BY14">
        <v>6.4552849045906802E-2</v>
      </c>
      <c r="BZ14">
        <v>0.27787450479300402</v>
      </c>
      <c r="CA14">
        <v>0.33311060700286099</v>
      </c>
      <c r="CB14">
        <v>-0.24822764783606299</v>
      </c>
      <c r="CC14">
        <v>-5.11679762626292E-2</v>
      </c>
      <c r="CD14">
        <v>0.20726758995973099</v>
      </c>
      <c r="CE14">
        <v>5.4686990549803298E-2</v>
      </c>
      <c r="CF14">
        <v>-8.3942671895514603E-2</v>
      </c>
      <c r="CG14">
        <v>-8.5459032572506297E-2</v>
      </c>
      <c r="CH14">
        <v>-9.7600150686229001E-2</v>
      </c>
      <c r="CI14">
        <v>0.30470266107654898</v>
      </c>
      <c r="CJ14">
        <v>-0.24822764783606299</v>
      </c>
      <c r="CK14">
        <v>0.448764668957783</v>
      </c>
      <c r="CL14">
        <v>-1.1980981196300901E-2</v>
      </c>
      <c r="CM14">
        <v>0.32037113887020902</v>
      </c>
      <c r="CN14">
        <v>-6.9356294072980398E-2</v>
      </c>
      <c r="CO14">
        <v>-4.8259261794283401E-2</v>
      </c>
      <c r="CP14">
        <v>-0.24822764783606299</v>
      </c>
      <c r="CQ14">
        <v>0.11376076658353999</v>
      </c>
      <c r="CR14">
        <v>0.22735100279745599</v>
      </c>
      <c r="CS14">
        <v>-0.24822764783606299</v>
      </c>
      <c r="CT14">
        <v>1.9050371454347698E-2</v>
      </c>
      <c r="CU14">
        <v>-3.13556403661535E-2</v>
      </c>
      <c r="CV14">
        <v>-5.1788540585829899E-2</v>
      </c>
      <c r="CW14">
        <v>0.10096394930730999</v>
      </c>
      <c r="CX14">
        <v>1.83319765528481E-2</v>
      </c>
      <c r="CY14">
        <v>8.7739994709345806E-2</v>
      </c>
      <c r="CZ14">
        <v>-5.8528041005931203E-2</v>
      </c>
      <c r="DA14">
        <v>-2.8860473020865699E-2</v>
      </c>
      <c r="DB14">
        <v>6.9964805806879998E-2</v>
      </c>
      <c r="DC14">
        <v>0.282653715072676</v>
      </c>
      <c r="DD14">
        <v>0.245012852569537</v>
      </c>
      <c r="DE14">
        <v>-0.116027337664755</v>
      </c>
      <c r="DF14">
        <v>4.5046962247819497E-2</v>
      </c>
      <c r="DG14">
        <v>-3.1606452772247599E-2</v>
      </c>
      <c r="DH14">
        <v>0.17196694952602401</v>
      </c>
      <c r="DI14">
        <v>0.23474688738016999</v>
      </c>
      <c r="DJ14">
        <v>6.7108679989537401E-2</v>
      </c>
      <c r="DK14">
        <v>0.156919354685919</v>
      </c>
      <c r="DL14">
        <v>1.8271615946270001E-2</v>
      </c>
      <c r="DM14">
        <v>-1.7007907054427798E-2</v>
      </c>
      <c r="DN14">
        <v>0.123263046336321</v>
      </c>
      <c r="DO14">
        <v>-0.10470725735597999</v>
      </c>
      <c r="DP14">
        <v>7.3734711313537302E-2</v>
      </c>
      <c r="DQ14">
        <v>6.16058189937711E-2</v>
      </c>
      <c r="DR14">
        <v>0.25031414810474201</v>
      </c>
      <c r="DS14">
        <v>-0.24822764783606299</v>
      </c>
      <c r="DT14">
        <v>0.12384019521362</v>
      </c>
      <c r="DU14">
        <v>2.8859691131458899E-2</v>
      </c>
      <c r="DV14">
        <v>-2.73088200758041E-2</v>
      </c>
      <c r="DW14">
        <v>5.4837403205888702E-2</v>
      </c>
      <c r="DX14">
        <v>7.1577429361341399E-2</v>
      </c>
      <c r="DY14">
        <v>-0.24822764783606299</v>
      </c>
      <c r="DZ14">
        <v>-8.4840107740046397E-2</v>
      </c>
      <c r="EA14">
        <v>8.7701811818404099E-2</v>
      </c>
      <c r="EB14">
        <v>-0.14969206117341499</v>
      </c>
      <c r="EC14">
        <v>-5.2554416244684599E-2</v>
      </c>
      <c r="ED14">
        <v>0.122198421548652</v>
      </c>
      <c r="EE14">
        <v>-8.6318652215592595E-2</v>
      </c>
      <c r="EF14">
        <v>2.2644580853987701E-2</v>
      </c>
      <c r="EG14">
        <v>0.114962227837765</v>
      </c>
      <c r="EH14">
        <v>-0.11996766946543599</v>
      </c>
      <c r="EI14">
        <v>8.6509422526005006E-2</v>
      </c>
      <c r="EJ14">
        <v>4.5591743154976203E-2</v>
      </c>
      <c r="EK14">
        <v>5.1928864386592199E-3</v>
      </c>
      <c r="EL14">
        <v>3.9118042401678703E-2</v>
      </c>
      <c r="EM14">
        <v>0.147356204960466</v>
      </c>
      <c r="EN14">
        <v>0.14496400433298401</v>
      </c>
      <c r="EO14">
        <v>-0.11297665297807501</v>
      </c>
      <c r="EP14">
        <v>1.0461328236144801E-2</v>
      </c>
      <c r="EQ14">
        <v>0.27282472410939901</v>
      </c>
      <c r="ER14">
        <v>-0.12609055126735499</v>
      </c>
      <c r="ES14">
        <v>-6.3468722946436296E-2</v>
      </c>
      <c r="ET14">
        <v>-8.61587607894998E-3</v>
      </c>
      <c r="EU14">
        <v>-0.24822764783606299</v>
      </c>
      <c r="EV14">
        <v>-0.15103928777127701</v>
      </c>
      <c r="EW14">
        <v>1.76261417129004E-2</v>
      </c>
      <c r="EX14">
        <v>4.5175121445857599E-2</v>
      </c>
      <c r="EY14">
        <v>-0.16469009807586801</v>
      </c>
      <c r="EZ14">
        <v>5.48094802665944E-2</v>
      </c>
      <c r="FA14">
        <v>2.4548041001056401E-2</v>
      </c>
      <c r="FB14">
        <v>0.420845501344146</v>
      </c>
      <c r="FC14">
        <v>2.3898934163724499E-2</v>
      </c>
      <c r="FD14">
        <v>0.309910561059346</v>
      </c>
      <c r="FE14">
        <v>0.32032798669234902</v>
      </c>
      <c r="FF14">
        <v>-1.75222178356087E-2</v>
      </c>
      <c r="FG14">
        <v>0.479577894143769</v>
      </c>
      <c r="FH14">
        <v>0.12521929441786001</v>
      </c>
      <c r="FI14">
        <v>-0.117994642486146</v>
      </c>
      <c r="FJ14">
        <v>-0.109028036596323</v>
      </c>
      <c r="FK14">
        <v>4.1138991413640698E-2</v>
      </c>
      <c r="FL14">
        <v>-0.115331644742457</v>
      </c>
      <c r="FM14">
        <v>7.5647041270486007E-2</v>
      </c>
      <c r="FN14">
        <v>1.82960955372252E-2</v>
      </c>
      <c r="FO14">
        <v>0.177713061303858</v>
      </c>
      <c r="FP14">
        <v>2.2165105548148399E-2</v>
      </c>
      <c r="FQ14">
        <v>0.15553021455274299</v>
      </c>
      <c r="FR14">
        <v>0.21390220660287201</v>
      </c>
      <c r="FS14">
        <v>-0.16484946976057399</v>
      </c>
      <c r="FT14">
        <v>0.191972460403113</v>
      </c>
      <c r="FU14">
        <v>-2.2890193545785E-2</v>
      </c>
      <c r="FV14">
        <v>0.177451847942904</v>
      </c>
      <c r="FW14">
        <v>3.6106042441950897E-2</v>
      </c>
      <c r="FX14">
        <v>-0.24822764783606299</v>
      </c>
      <c r="FY14">
        <v>-0.24822764783606299</v>
      </c>
      <c r="FZ14">
        <v>0.47934087727135399</v>
      </c>
      <c r="GA14">
        <v>0.21004462555969999</v>
      </c>
      <c r="GB14">
        <v>8.7968349174975105E-2</v>
      </c>
      <c r="GC14">
        <v>0.109707063700292</v>
      </c>
      <c r="GD14">
        <v>0.24303689919186799</v>
      </c>
      <c r="GE14">
        <v>0.11543905045769701</v>
      </c>
      <c r="GF14">
        <v>0.47778495585796499</v>
      </c>
      <c r="GG14">
        <v>0.65040396160777503</v>
      </c>
      <c r="GH14">
        <v>1.4511847310281E-2</v>
      </c>
      <c r="GI14">
        <v>-0.24822764783606299</v>
      </c>
      <c r="GJ14">
        <v>0.24460451361548899</v>
      </c>
      <c r="GK14">
        <v>0.183044706024589</v>
      </c>
      <c r="GL14">
        <v>0.20318179139534301</v>
      </c>
      <c r="GM14">
        <v>0.75085183316249904</v>
      </c>
      <c r="GN14">
        <v>0.288220452454584</v>
      </c>
      <c r="GO14">
        <v>0.55899350614516297</v>
      </c>
      <c r="GP14">
        <v>0.177198915631537</v>
      </c>
      <c r="GQ14">
        <v>0.31164366786437703</v>
      </c>
      <c r="GR14">
        <v>0.51503313389208105</v>
      </c>
      <c r="GS14">
        <v>-5.1523908921406198E-3</v>
      </c>
      <c r="GT14">
        <v>9.5856509985206603E-2</v>
      </c>
      <c r="GU14">
        <v>-0.129802158386674</v>
      </c>
      <c r="GV14">
        <v>-0.13428681062825401</v>
      </c>
      <c r="GW14">
        <v>-8.0685236183389603E-2</v>
      </c>
      <c r="GX14">
        <v>0.51107541190606998</v>
      </c>
      <c r="GY14">
        <v>-4.2049778057848999E-2</v>
      </c>
      <c r="GZ14">
        <v>-0.24822764783606299</v>
      </c>
      <c r="HA14">
        <v>0.15573331782774899</v>
      </c>
      <c r="HB14">
        <v>0.13761047451927</v>
      </c>
      <c r="HC14">
        <v>-0.24822764783606299</v>
      </c>
    </row>
    <row r="15" spans="1:211" x14ac:dyDescent="0.25">
      <c r="A15" t="s">
        <v>266</v>
      </c>
      <c r="B15" t="s">
        <v>388</v>
      </c>
      <c r="C15">
        <v>8.8398461125949401E-2</v>
      </c>
      <c r="D15">
        <v>-0.154556354043377</v>
      </c>
      <c r="E15">
        <v>7.4835606260106498E-3</v>
      </c>
      <c r="F15">
        <v>-0.223967436645095</v>
      </c>
      <c r="G15">
        <v>4.8272160619743897E-2</v>
      </c>
      <c r="H15">
        <v>-2.97753893269131E-2</v>
      </c>
      <c r="I15" s="10">
        <v>-1.73056999117297E-5</v>
      </c>
      <c r="J15">
        <v>3.7296681168576297E-2</v>
      </c>
      <c r="K15">
        <v>-2.8812771165000001E-2</v>
      </c>
      <c r="L15">
        <v>-1.47411890074895E-2</v>
      </c>
      <c r="M15">
        <v>1.8418678409700202E-2</v>
      </c>
      <c r="N15">
        <v>0.14974531717157399</v>
      </c>
      <c r="O15">
        <v>0.19933539655961499</v>
      </c>
      <c r="P15">
        <v>-9.3431558213647695E-2</v>
      </c>
      <c r="Q15">
        <v>-8.2069984441329701E-3</v>
      </c>
      <c r="R15">
        <v>-0.223967436645095</v>
      </c>
      <c r="S15">
        <v>-3.4915517060060103E-2</v>
      </c>
      <c r="T15">
        <v>-0.13868185554436299</v>
      </c>
      <c r="U15">
        <v>-0.15614052799603301</v>
      </c>
      <c r="V15">
        <v>2.8230865917235001E-2</v>
      </c>
      <c r="W15">
        <v>-9.8991345129029296E-2</v>
      </c>
      <c r="X15">
        <v>0.283624680852674</v>
      </c>
      <c r="Y15">
        <v>0.112788728500704</v>
      </c>
      <c r="Z15">
        <v>-0.223967436645095</v>
      </c>
      <c r="AA15">
        <v>-0.223967436645095</v>
      </c>
      <c r="AB15">
        <v>-0.223967436645095</v>
      </c>
      <c r="AC15">
        <v>-0.223967436645095</v>
      </c>
      <c r="AD15">
        <v>0.23207280121899701</v>
      </c>
      <c r="AE15">
        <v>-0.223967436645095</v>
      </c>
      <c r="AF15">
        <v>-4.4789974425809599E-2</v>
      </c>
      <c r="AG15">
        <v>-8.8514123130675207E-2</v>
      </c>
      <c r="AH15">
        <v>-0.223967436645095</v>
      </c>
      <c r="AI15">
        <v>-9.4433040207829902E-2</v>
      </c>
      <c r="AJ15">
        <v>2.8851332569129001E-2</v>
      </c>
      <c r="AK15">
        <v>5.3123645761897098E-2</v>
      </c>
      <c r="AL15">
        <v>3.1722156676268598E-2</v>
      </c>
      <c r="AM15">
        <v>0.48246709211824201</v>
      </c>
      <c r="AN15">
        <v>4.5409894675569598E-3</v>
      </c>
      <c r="AO15">
        <v>0.220819085966145</v>
      </c>
      <c r="AP15">
        <v>-0.223967436645095</v>
      </c>
      <c r="AQ15">
        <v>-0.144674810131213</v>
      </c>
      <c r="AR15">
        <v>0</v>
      </c>
      <c r="AS15">
        <v>-0.223967436645095</v>
      </c>
      <c r="AT15">
        <v>-0.223967436645095</v>
      </c>
      <c r="AU15">
        <v>-0.223967436645095</v>
      </c>
      <c r="AV15">
        <v>9.4440697068283799E-2</v>
      </c>
      <c r="AW15">
        <v>-0.223967436645095</v>
      </c>
      <c r="AX15">
        <v>0.17141028437665101</v>
      </c>
      <c r="AY15">
        <v>-0.223967436645095</v>
      </c>
      <c r="AZ15">
        <v>-0.223967436645095</v>
      </c>
      <c r="BA15">
        <v>0.18373460981832099</v>
      </c>
      <c r="BB15">
        <v>5.4512055157135503E-2</v>
      </c>
      <c r="BC15">
        <v>-0.223967436645095</v>
      </c>
      <c r="BD15">
        <v>6.9699695194470404E-2</v>
      </c>
      <c r="BE15">
        <v>-0.223967436645095</v>
      </c>
      <c r="BF15">
        <v>4.7209974263008402E-2</v>
      </c>
      <c r="BG15">
        <v>-3.1499485328273798E-2</v>
      </c>
      <c r="BH15">
        <v>-0.11636049145879</v>
      </c>
      <c r="BI15">
        <v>-6.04547584550022E-2</v>
      </c>
      <c r="BJ15">
        <v>-4.7472959288918197E-2</v>
      </c>
      <c r="BK15">
        <v>-9.4661830443655698E-2</v>
      </c>
      <c r="BL15">
        <v>-0.223967436645095</v>
      </c>
      <c r="BM15">
        <v>8.5684302918607996E-3</v>
      </c>
      <c r="BN15">
        <v>-4.6186888341126803E-2</v>
      </c>
      <c r="BO15">
        <v>-0.142520750050529</v>
      </c>
      <c r="BP15">
        <v>2.0992373805106501E-2</v>
      </c>
      <c r="BQ15">
        <v>-0.223967436645095</v>
      </c>
      <c r="BR15">
        <v>-0.223967436645095</v>
      </c>
      <c r="BS15">
        <v>-0.223967436645095</v>
      </c>
      <c r="BT15">
        <v>0.18529565698224201</v>
      </c>
      <c r="BU15">
        <v>-0.223967436645095</v>
      </c>
      <c r="BV15">
        <v>0.13451017080518901</v>
      </c>
      <c r="BW15">
        <v>9.1474914419751696E-2</v>
      </c>
      <c r="BX15">
        <v>0.152947763575912</v>
      </c>
      <c r="BY15">
        <v>-1.9236946318728802E-2</v>
      </c>
      <c r="BZ15">
        <v>-5.84080013117384E-2</v>
      </c>
      <c r="CA15">
        <v>-5.6604533532429703E-2</v>
      </c>
      <c r="CB15">
        <v>5.1713366223805603E-2</v>
      </c>
      <c r="CC15">
        <v>-0.15544092169488399</v>
      </c>
      <c r="CD15">
        <v>-0.10592711708673901</v>
      </c>
      <c r="CE15">
        <v>0.128735475592544</v>
      </c>
      <c r="CF15">
        <v>1.6563663267129901E-2</v>
      </c>
      <c r="CG15">
        <v>-6.1198821381537802E-2</v>
      </c>
      <c r="CH15">
        <v>-7.3339939495260395E-2</v>
      </c>
      <c r="CI15">
        <v>0.131349730247034</v>
      </c>
      <c r="CJ15">
        <v>1.2280356180195601E-2</v>
      </c>
      <c r="CK15">
        <v>1.8929992765811001E-2</v>
      </c>
      <c r="CL15">
        <v>1.2279229994667599E-2</v>
      </c>
      <c r="CM15">
        <v>-4.0523218667300603E-2</v>
      </c>
      <c r="CN15">
        <v>0.203008545391412</v>
      </c>
      <c r="CO15">
        <v>0.152500796232132</v>
      </c>
      <c r="CP15">
        <v>-4.9474197006969403E-3</v>
      </c>
      <c r="CQ15">
        <v>-7.27859985526456E-2</v>
      </c>
      <c r="CR15">
        <v>-0.14304560444390599</v>
      </c>
      <c r="CS15">
        <v>-2.11937843381678E-2</v>
      </c>
      <c r="CT15">
        <v>8.2564423259404995E-2</v>
      </c>
      <c r="CU15">
        <v>-0.126402292248492</v>
      </c>
      <c r="CV15">
        <v>-2.7528329394861301E-2</v>
      </c>
      <c r="CW15">
        <v>6.9857153814026907E-2</v>
      </c>
      <c r="CX15">
        <v>-1.47907992816101E-2</v>
      </c>
      <c r="CY15">
        <v>4.5401317277530197E-2</v>
      </c>
      <c r="CZ15">
        <v>0.13711972266317099</v>
      </c>
      <c r="DA15">
        <v>-0.13577289490966299</v>
      </c>
      <c r="DB15">
        <v>8.5321500046652999E-3</v>
      </c>
      <c r="DC15">
        <v>-0.115515542689948</v>
      </c>
      <c r="DD15">
        <v>-0.108125881443072</v>
      </c>
      <c r="DE15">
        <v>7.0140940998906706E-2</v>
      </c>
      <c r="DF15">
        <v>-2.25836037241837E-2</v>
      </c>
      <c r="DG15">
        <v>-0.11225239500959699</v>
      </c>
      <c r="DH15">
        <v>0.26687604930859998</v>
      </c>
      <c r="DI15">
        <v>1.39598706409841E-3</v>
      </c>
      <c r="DJ15">
        <v>6.2743467717046794E-2</v>
      </c>
      <c r="DK15">
        <v>5.8987904992975897E-2</v>
      </c>
      <c r="DL15">
        <v>4.2531827137238298E-2</v>
      </c>
      <c r="DM15">
        <v>0.111154407944784</v>
      </c>
      <c r="DN15">
        <v>-0.111198040565699</v>
      </c>
      <c r="DO15">
        <v>0.19067638938289799</v>
      </c>
      <c r="DP15">
        <v>0.14615033398003399</v>
      </c>
      <c r="DQ15">
        <v>-0.101150178491662</v>
      </c>
      <c r="DR15">
        <v>0.20832649114294299</v>
      </c>
      <c r="DS15">
        <v>0.20658063248410299</v>
      </c>
      <c r="DT15">
        <v>-1.24606015652131E-2</v>
      </c>
      <c r="DU15">
        <v>-9.2254738173555006E-2</v>
      </c>
      <c r="DV15">
        <v>0.14584368350400601</v>
      </c>
      <c r="DW15">
        <v>-0.174403406988305</v>
      </c>
      <c r="DX15">
        <v>0.114177128283159</v>
      </c>
      <c r="DY15">
        <v>-1.54529616121904E-2</v>
      </c>
      <c r="DZ15">
        <v>8.8158310739959903E-2</v>
      </c>
      <c r="EA15">
        <v>0.12820917990844699</v>
      </c>
      <c r="EB15">
        <v>-0.223967436645095</v>
      </c>
      <c r="EC15">
        <v>-2.8294205053716E-2</v>
      </c>
      <c r="ED15">
        <v>-3.2931930541750101E-2</v>
      </c>
      <c r="EE15">
        <v>0.29809070843323798</v>
      </c>
      <c r="EF15">
        <v>-0.15481638512361501</v>
      </c>
      <c r="EG15">
        <v>-8.5264283225329696E-2</v>
      </c>
      <c r="EH15">
        <v>3.7290385404656998E-2</v>
      </c>
      <c r="EI15">
        <v>-5.2933829074236299E-2</v>
      </c>
      <c r="EJ15">
        <v>-0.223967436645095</v>
      </c>
      <c r="EK15">
        <v>-5.9219940234903103E-2</v>
      </c>
      <c r="EL15">
        <v>-0.223967436645095</v>
      </c>
      <c r="EM15">
        <v>-2.7444345717699201E-3</v>
      </c>
      <c r="EN15">
        <v>0.208204639246753</v>
      </c>
      <c r="EO15">
        <v>-0.223967436645095</v>
      </c>
      <c r="EP15">
        <v>0.16044220364886899</v>
      </c>
      <c r="EQ15">
        <v>0.22254651038641801</v>
      </c>
      <c r="ER15">
        <v>0.17547659571296001</v>
      </c>
      <c r="ES15">
        <v>-0.223967436645095</v>
      </c>
      <c r="ET15">
        <v>0.28906877116577301</v>
      </c>
      <c r="EU15">
        <v>-0.223967436645095</v>
      </c>
      <c r="EV15">
        <v>0.101709510602363</v>
      </c>
      <c r="EW15">
        <v>0.14271427992515301</v>
      </c>
      <c r="EX15">
        <v>5.1970814209140702E-2</v>
      </c>
      <c r="EY15">
        <v>0.23369421609781599</v>
      </c>
      <c r="EZ15">
        <v>-0.116529041688417</v>
      </c>
      <c r="FA15">
        <v>0.130250277894534</v>
      </c>
      <c r="FB15">
        <v>2.0364414654517299E-2</v>
      </c>
      <c r="FC15">
        <v>-0.11314150955634</v>
      </c>
      <c r="FD15">
        <v>-2.2289961722874299E-2</v>
      </c>
      <c r="FE15">
        <v>0.32176393318616803</v>
      </c>
      <c r="FF15">
        <v>-0.104477438368551</v>
      </c>
      <c r="FG15">
        <v>-0.223967436645095</v>
      </c>
      <c r="FH15">
        <v>0.11448442091732999</v>
      </c>
      <c r="FI15">
        <v>2.6739061722874199E-2</v>
      </c>
      <c r="FJ15">
        <v>0.10417010921990399</v>
      </c>
      <c r="FK15">
        <v>0.19194025190036801</v>
      </c>
      <c r="FL15">
        <v>-9.1071433551488001E-2</v>
      </c>
      <c r="FM15">
        <v>-5.3900270644157602E-2</v>
      </c>
      <c r="FN15">
        <v>7.0876856363155202E-2</v>
      </c>
      <c r="FO15">
        <v>0.20197327249482699</v>
      </c>
      <c r="FP15">
        <v>-0.161282364231259</v>
      </c>
      <c r="FQ15">
        <v>-0.223967436645095</v>
      </c>
      <c r="FR15">
        <v>-0.13709301872891999</v>
      </c>
      <c r="FS15">
        <v>0.50971348146974205</v>
      </c>
      <c r="FT15">
        <v>6.2178322440198497E-2</v>
      </c>
      <c r="FU15">
        <v>-0.107351669838879</v>
      </c>
      <c r="FV15">
        <v>7.2250456151230602E-2</v>
      </c>
      <c r="FW15">
        <v>-7.5270554757816896E-2</v>
      </c>
      <c r="FX15">
        <v>6.4596296655391294E-2</v>
      </c>
      <c r="FY15">
        <v>0.23279232503223499</v>
      </c>
      <c r="FZ15">
        <v>0.225660471025519</v>
      </c>
      <c r="GA15">
        <v>0.438229315617017</v>
      </c>
      <c r="GB15">
        <v>-4.0259107235268302E-3</v>
      </c>
      <c r="GC15">
        <v>-0.223967436645095</v>
      </c>
      <c r="GD15">
        <v>-7.1206068298285297E-2</v>
      </c>
      <c r="GE15">
        <v>0.10528201054031899</v>
      </c>
      <c r="GF15">
        <v>0.26726516567740199</v>
      </c>
      <c r="GG15">
        <v>5.6858401295298698E-2</v>
      </c>
      <c r="GH15">
        <v>0.41867061151604801</v>
      </c>
      <c r="GI15">
        <v>0.43295129378367597</v>
      </c>
      <c r="GJ15">
        <v>-1.66368744867646E-2</v>
      </c>
      <c r="GK15">
        <v>0.172987449809998</v>
      </c>
      <c r="GL15">
        <v>-0.223967436645095</v>
      </c>
      <c r="GM15">
        <v>7.7575816287754507E-2</v>
      </c>
      <c r="GN15">
        <v>0.29243322788537801</v>
      </c>
      <c r="GO15">
        <v>0.38983720700503299</v>
      </c>
      <c r="GP15">
        <v>0.29353511036680502</v>
      </c>
      <c r="GQ15">
        <v>6.8811126396303001E-3</v>
      </c>
      <c r="GR15">
        <v>0.67519238814207405</v>
      </c>
      <c r="GS15">
        <v>-0.223967436645095</v>
      </c>
      <c r="GT15">
        <v>0.220641917896824</v>
      </c>
      <c r="GU15">
        <v>0.20527531980222999</v>
      </c>
      <c r="GV15">
        <v>-0.223967436645095</v>
      </c>
      <c r="GW15">
        <v>-5.6425024992421198E-2</v>
      </c>
      <c r="GX15">
        <v>0.40862385702547399</v>
      </c>
      <c r="GY15">
        <v>-4.9777071971110198E-2</v>
      </c>
      <c r="GZ15">
        <v>0.321786470464694</v>
      </c>
      <c r="HA15">
        <v>0.14200523047733399</v>
      </c>
      <c r="HB15">
        <v>0.19569032502449499</v>
      </c>
      <c r="HC15">
        <v>8.7627233163459994E-2</v>
      </c>
    </row>
    <row r="16" spans="1:211" x14ac:dyDescent="0.25">
      <c r="A16" t="s">
        <v>266</v>
      </c>
      <c r="B16" t="s">
        <v>389</v>
      </c>
      <c r="C16">
        <v>9.2040671977119001E-2</v>
      </c>
      <c r="D16">
        <v>-0.12861596198091399</v>
      </c>
      <c r="E16">
        <v>-0.24053266875151499</v>
      </c>
      <c r="F16">
        <v>-9.0306288168872702E-3</v>
      </c>
      <c r="G16">
        <v>0.184989953664106</v>
      </c>
      <c r="H16">
        <v>4.5265780023414803E-2</v>
      </c>
      <c r="I16">
        <v>-9.03442335595952E-2</v>
      </c>
      <c r="J16">
        <v>-9.5893418384551399E-2</v>
      </c>
      <c r="K16">
        <v>-0.220678661681769</v>
      </c>
      <c r="L16">
        <v>1.8663372952300299E-2</v>
      </c>
      <c r="M16">
        <v>0.166124392781417</v>
      </c>
      <c r="N16">
        <v>0.23143546652738201</v>
      </c>
      <c r="O16">
        <v>0.30868126437558502</v>
      </c>
      <c r="P16">
        <v>-8.1528108993876094E-2</v>
      </c>
      <c r="Q16">
        <v>-0.14865818753055099</v>
      </c>
      <c r="R16">
        <v>2.82264558266924E-2</v>
      </c>
      <c r="S16">
        <v>-0.33182680314338397</v>
      </c>
      <c r="T16">
        <v>0.149296566886256</v>
      </c>
      <c r="U16">
        <v>-0.22053062052681099</v>
      </c>
      <c r="V16">
        <v>-0.184067938198473</v>
      </c>
      <c r="W16">
        <v>0.1445904942025</v>
      </c>
      <c r="X16">
        <v>-6.8336015227658697E-2</v>
      </c>
      <c r="Y16">
        <v>-0.167009294370631</v>
      </c>
      <c r="Z16">
        <v>-3.2261151561678698E-2</v>
      </c>
      <c r="AA16">
        <v>-0.44560557787000998</v>
      </c>
      <c r="AB16">
        <v>-5.62922333429723E-2</v>
      </c>
      <c r="AC16">
        <v>0.29064570654113803</v>
      </c>
      <c r="AD16">
        <v>0.63265517982161101</v>
      </c>
      <c r="AE16">
        <v>-0.13118211961415399</v>
      </c>
      <c r="AF16">
        <v>-0.16053407803945899</v>
      </c>
      <c r="AG16">
        <v>3.7863578257940497E-2</v>
      </c>
      <c r="AH16">
        <v>-0.200652104139417</v>
      </c>
      <c r="AI16">
        <v>-0.233617290994036</v>
      </c>
      <c r="AJ16">
        <v>-0.52659735150401699</v>
      </c>
      <c r="AK16">
        <v>0.197661585272221</v>
      </c>
      <c r="AL16">
        <v>5.3479513545241303E-2</v>
      </c>
      <c r="AM16">
        <v>-0.38574004568596898</v>
      </c>
      <c r="AN16">
        <v>-0.55090769460558997</v>
      </c>
      <c r="AO16">
        <v>-0.67075214333057598</v>
      </c>
      <c r="AP16">
        <v>-0.62998944530673595</v>
      </c>
      <c r="AQ16">
        <v>-0.25963095203811398</v>
      </c>
      <c r="AR16">
        <v>5.85577215747244E-2</v>
      </c>
      <c r="AS16">
        <v>-0.217799703722835</v>
      </c>
      <c r="AT16">
        <v>0.38862753281842199</v>
      </c>
      <c r="AU16">
        <v>-0.28196647420682902</v>
      </c>
      <c r="AV16">
        <v>-0.198715562438775</v>
      </c>
      <c r="AW16">
        <v>-5.8182092384132501E-2</v>
      </c>
      <c r="AX16">
        <v>-0.384038399696496</v>
      </c>
      <c r="AY16">
        <v>-5.8694404756072498E-3</v>
      </c>
      <c r="AZ16">
        <v>0.34792853393328799</v>
      </c>
      <c r="BA16">
        <v>0.46397405940283698</v>
      </c>
      <c r="BB16">
        <v>0.52993888776758102</v>
      </c>
      <c r="BC16">
        <v>-0.16013114471300899</v>
      </c>
      <c r="BD16">
        <v>0.107119913058668</v>
      </c>
      <c r="BE16">
        <v>0.13764408265231101</v>
      </c>
      <c r="BF16">
        <v>5.0115060585284102E-2</v>
      </c>
      <c r="BG16">
        <v>0</v>
      </c>
      <c r="BH16">
        <v>0.16943820918958599</v>
      </c>
      <c r="BI16">
        <v>0.32120753895012899</v>
      </c>
      <c r="BJ16">
        <v>-0.444638119593668</v>
      </c>
      <c r="BK16">
        <v>0.13010486617563899</v>
      </c>
      <c r="BL16">
        <v>-1.40534254042397E-2</v>
      </c>
      <c r="BM16">
        <v>-0.16627901923784999</v>
      </c>
      <c r="BN16">
        <v>-0.60163557241427301</v>
      </c>
      <c r="BO16">
        <v>-0.195631862738602</v>
      </c>
      <c r="BP16">
        <v>-0.224279162870928</v>
      </c>
      <c r="BQ16">
        <v>-0.25658296321881802</v>
      </c>
      <c r="BR16">
        <v>-0.14883681341521501</v>
      </c>
      <c r="BS16">
        <v>0.27689003479768798</v>
      </c>
      <c r="BT16">
        <v>-0.37015302709090397</v>
      </c>
      <c r="BU16">
        <v>0.39172676789316202</v>
      </c>
      <c r="BV16">
        <v>-0.16622208910865899</v>
      </c>
      <c r="BW16">
        <v>0.13742814810111201</v>
      </c>
      <c r="BX16">
        <v>-0.12212455034188199</v>
      </c>
      <c r="BY16">
        <v>-0.39438427981813501</v>
      </c>
      <c r="BZ16">
        <v>-8.62031723039757E-2</v>
      </c>
      <c r="CA16">
        <v>-8.1581990722085398E-2</v>
      </c>
      <c r="CB16">
        <v>-0.27036688086799798</v>
      </c>
      <c r="CC16">
        <v>-0.15373882351010201</v>
      </c>
      <c r="CD16">
        <v>-6.6563919784523501E-2</v>
      </c>
      <c r="CE16">
        <v>0.37387601183188202</v>
      </c>
      <c r="CF16">
        <v>-0.32951324712242902</v>
      </c>
      <c r="CG16">
        <v>-0.14397787657669101</v>
      </c>
      <c r="CH16">
        <v>3.0820812556202298E-3</v>
      </c>
      <c r="CI16">
        <v>0.112065641875834</v>
      </c>
      <c r="CJ16">
        <v>-0.15789820055682199</v>
      </c>
      <c r="CK16">
        <v>0.47311479462341899</v>
      </c>
      <c r="CL16">
        <v>0.283141191024747</v>
      </c>
      <c r="CM16">
        <v>-9.4160651895442496E-2</v>
      </c>
      <c r="CN16">
        <v>-0.43964499705235</v>
      </c>
      <c r="CO16">
        <v>-0.101711700154944</v>
      </c>
      <c r="CP16">
        <v>-0.114769644502771</v>
      </c>
      <c r="CQ16">
        <v>-6.6136712206514597E-2</v>
      </c>
      <c r="CR16">
        <v>-4.6590932885028802E-2</v>
      </c>
      <c r="CS16">
        <v>-0.11857070337398699</v>
      </c>
      <c r="CT16">
        <v>-0.39310158584489202</v>
      </c>
      <c r="CU16">
        <v>0.18595498699553101</v>
      </c>
      <c r="CV16">
        <v>-3.6056229915486501E-2</v>
      </c>
      <c r="CW16">
        <v>3.02272927560404E-2</v>
      </c>
      <c r="CX16">
        <v>0.337495442386678</v>
      </c>
      <c r="CY16">
        <v>0.14000955974783599</v>
      </c>
      <c r="CZ16">
        <v>-0.188088298537263</v>
      </c>
      <c r="DA16">
        <v>-9.9739633253869503E-2</v>
      </c>
      <c r="DB16">
        <v>9.2384336919282203E-2</v>
      </c>
      <c r="DC16">
        <v>0.47543675033069799</v>
      </c>
      <c r="DD16">
        <v>0.16822370303158499</v>
      </c>
      <c r="DE16">
        <v>2.9250587977189501E-2</v>
      </c>
      <c r="DF16">
        <v>-0.121001546868861</v>
      </c>
      <c r="DG16">
        <v>0.19702590126359301</v>
      </c>
      <c r="DH16">
        <v>-0.111035618347243</v>
      </c>
      <c r="DI16">
        <v>0.12723364946549301</v>
      </c>
      <c r="DJ16">
        <v>0.167701019272913</v>
      </c>
      <c r="DK16">
        <v>8.1577164329402596E-2</v>
      </c>
      <c r="DL16">
        <v>4.2794904782714999E-2</v>
      </c>
      <c r="DM16">
        <v>0.38175421906604801</v>
      </c>
      <c r="DN16">
        <v>0.17085210746885199</v>
      </c>
      <c r="DO16">
        <v>6.4032788102627997E-2</v>
      </c>
      <c r="DP16">
        <v>9.6804494650225406E-2</v>
      </c>
      <c r="DQ16">
        <v>0.29787777606044302</v>
      </c>
      <c r="DR16">
        <v>0.436063157400289</v>
      </c>
      <c r="DS16">
        <v>0.27467708464242102</v>
      </c>
      <c r="DT16">
        <v>0.68964008046764003</v>
      </c>
      <c r="DU16">
        <v>0.24703178021666999</v>
      </c>
      <c r="DV16">
        <v>0.49353564253244803</v>
      </c>
      <c r="DW16">
        <v>0.43376122553725199</v>
      </c>
      <c r="DX16">
        <v>0.54319879987441999</v>
      </c>
      <c r="DY16">
        <v>-0.14395654460808299</v>
      </c>
      <c r="DZ16">
        <v>-2.0719140366519201E-2</v>
      </c>
      <c r="EA16">
        <v>0.175296019664755</v>
      </c>
      <c r="EB16">
        <v>-0.15095845397580901</v>
      </c>
      <c r="EC16">
        <v>0.19647452819709699</v>
      </c>
      <c r="ED16">
        <v>0.129573850130664</v>
      </c>
      <c r="EE16">
        <v>0.34138850312222002</v>
      </c>
      <c r="EF16">
        <v>-1.4192273845764901E-2</v>
      </c>
      <c r="EG16">
        <v>-3.1329935961004897E-2</v>
      </c>
      <c r="EH16">
        <v>7.7637886674832901E-2</v>
      </c>
      <c r="EI16">
        <v>0.111115556253032</v>
      </c>
      <c r="EJ16">
        <v>0.133759413624324</v>
      </c>
      <c r="EK16">
        <v>-2.7625662205089101E-2</v>
      </c>
      <c r="EL16">
        <v>-0.250396860670827</v>
      </c>
      <c r="EM16">
        <v>-5.0657668625501702E-2</v>
      </c>
      <c r="EN16">
        <v>-0.20710611999064801</v>
      </c>
      <c r="EO16">
        <v>-0.13673651987660401</v>
      </c>
      <c r="EP16">
        <v>9.9973152145389502E-2</v>
      </c>
      <c r="EQ16">
        <v>0.28827043533257302</v>
      </c>
      <c r="ER16">
        <v>0.162987800063182</v>
      </c>
      <c r="ES16">
        <v>0.45562807209776801</v>
      </c>
      <c r="ET16">
        <v>0.44766099684021798</v>
      </c>
      <c r="EU16">
        <v>0.53763696048016196</v>
      </c>
      <c r="EV16">
        <v>8.5759786264507601E-2</v>
      </c>
      <c r="EW16">
        <v>0.266046888774708</v>
      </c>
      <c r="EX16">
        <v>-4.4409766742396502E-2</v>
      </c>
      <c r="EY16">
        <v>-0.17243568764255701</v>
      </c>
      <c r="EZ16">
        <v>-0.30164321032013502</v>
      </c>
      <c r="FA16">
        <v>3.8394518782684003E-2</v>
      </c>
      <c r="FB16">
        <v>0.341748428016449</v>
      </c>
      <c r="FC16">
        <v>-0.19256299915699601</v>
      </c>
      <c r="FD16">
        <v>-0.11012237614453101</v>
      </c>
      <c r="FE16">
        <v>-0.27590672085766399</v>
      </c>
      <c r="FF16">
        <v>-0.20274175105244799</v>
      </c>
      <c r="FG16">
        <v>0.16705164469525699</v>
      </c>
      <c r="FH16">
        <v>6.88989525240149E-2</v>
      </c>
      <c r="FI16">
        <v>0.32951871096418101</v>
      </c>
      <c r="FJ16">
        <v>-0.219721405352691</v>
      </c>
      <c r="FK16">
        <v>-1.92730065268291E-2</v>
      </c>
      <c r="FL16">
        <v>7.7624652611134395E-2</v>
      </c>
      <c r="FM16">
        <v>-0.38377056707087698</v>
      </c>
      <c r="FN16">
        <v>-0.25749455370019902</v>
      </c>
      <c r="FO16">
        <v>-0.44655340512903602</v>
      </c>
      <c r="FP16">
        <v>-0.30293326700538697</v>
      </c>
      <c r="FQ16">
        <v>-0.225619487152455</v>
      </c>
      <c r="FR16">
        <v>6.8888538426613896E-2</v>
      </c>
      <c r="FS16">
        <v>4.2405589743552199E-2</v>
      </c>
      <c r="FT16">
        <v>0.253406928501474</v>
      </c>
      <c r="FU16">
        <v>0.13766188658199999</v>
      </c>
      <c r="FV16">
        <v>0.38867767531956898</v>
      </c>
      <c r="FW16">
        <v>0.15274733450101699</v>
      </c>
      <c r="FX16">
        <v>0.306465097413188</v>
      </c>
      <c r="FY16">
        <v>8.8284386658535902E-3</v>
      </c>
      <c r="FZ16">
        <v>-0.12835881445552</v>
      </c>
      <c r="GA16">
        <v>3.3765139523951798E-2</v>
      </c>
      <c r="GB16">
        <v>-0.261444449893182</v>
      </c>
      <c r="GC16">
        <v>-0.42148140918188598</v>
      </c>
      <c r="GD16">
        <v>-0.239792833078911</v>
      </c>
      <c r="GE16">
        <v>-8.7774868364406497E-2</v>
      </c>
      <c r="GF16">
        <v>5.9020737434654302E-2</v>
      </c>
      <c r="GG16">
        <v>0.35790945715949501</v>
      </c>
      <c r="GH16">
        <v>3.2287191415433202E-2</v>
      </c>
      <c r="GI16">
        <v>0.20642742890865101</v>
      </c>
      <c r="GJ16">
        <v>0.29850296888883598</v>
      </c>
      <c r="GK16">
        <v>-0.15981923761356201</v>
      </c>
      <c r="GL16">
        <v>0.15921441964786601</v>
      </c>
      <c r="GM16">
        <v>0.32955837498464202</v>
      </c>
      <c r="GN16">
        <v>0.486328935671762</v>
      </c>
      <c r="GO16">
        <v>0.274620781022269</v>
      </c>
      <c r="GP16">
        <v>-9.6230421002825695E-2</v>
      </c>
      <c r="GQ16">
        <v>-0.43539734925611301</v>
      </c>
      <c r="GR16">
        <v>0.81089969825073804</v>
      </c>
      <c r="GS16">
        <v>0.49034534390675999</v>
      </c>
      <c r="GT16">
        <v>-0.239913828103125</v>
      </c>
      <c r="GU16">
        <v>-0.20694476395019001</v>
      </c>
      <c r="GV16">
        <v>-0.17721367707899399</v>
      </c>
      <c r="GW16">
        <v>0.14806726680032301</v>
      </c>
      <c r="GX16">
        <v>0.92345913330568496</v>
      </c>
      <c r="GY16">
        <v>0.29917422562866602</v>
      </c>
      <c r="GZ16">
        <v>7.1026295677053805E-2</v>
      </c>
      <c r="HA16">
        <v>-0.21711116275547401</v>
      </c>
      <c r="HB16">
        <v>-0.20587358876037901</v>
      </c>
      <c r="HC16">
        <v>-0.23317839355433101</v>
      </c>
    </row>
    <row r="17" spans="1:211" x14ac:dyDescent="0.25">
      <c r="A17" t="s">
        <v>266</v>
      </c>
      <c r="B17" t="s">
        <v>390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8.5285581100731297E-2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9.3624798224751296E-2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0.235508538250497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3.2092661190895697E-2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8.3716896368759799E-2</v>
      </c>
      <c r="EA17">
        <v>5.35121333314999E-2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3.6724102236526203E-2</v>
      </c>
      <c r="EI17">
        <v>0</v>
      </c>
      <c r="EJ17">
        <v>0</v>
      </c>
      <c r="EK17">
        <v>0</v>
      </c>
      <c r="EL17">
        <v>0</v>
      </c>
      <c r="EM17">
        <v>0.27437258722637298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0.186959407338471</v>
      </c>
      <c r="FB17">
        <v>0</v>
      </c>
      <c r="FC17">
        <v>0</v>
      </c>
      <c r="FD17">
        <v>6.97536860220003E-2</v>
      </c>
      <c r="FE17">
        <v>9.4706153445149696E-2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0.20576093112302299</v>
      </c>
      <c r="FM17">
        <v>0.17006716600093699</v>
      </c>
      <c r="FN17">
        <v>7.8676926504957806E-2</v>
      </c>
      <c r="FO17">
        <v>0</v>
      </c>
      <c r="FP17">
        <v>0</v>
      </c>
      <c r="FQ17">
        <v>0</v>
      </c>
      <c r="FR17">
        <v>8.6874417916175006E-2</v>
      </c>
      <c r="FS17">
        <v>0</v>
      </c>
      <c r="FT17">
        <v>0</v>
      </c>
      <c r="FU17">
        <v>0</v>
      </c>
      <c r="FV17">
        <v>0</v>
      </c>
      <c r="FW17">
        <v>0.22947179440548901</v>
      </c>
      <c r="FX17">
        <v>0</v>
      </c>
      <c r="FY17">
        <v>0</v>
      </c>
      <c r="FZ17">
        <v>0.358421035060421</v>
      </c>
      <c r="GA17">
        <v>0</v>
      </c>
      <c r="GB17">
        <v>0</v>
      </c>
      <c r="GC17">
        <v>0</v>
      </c>
      <c r="GD17">
        <v>0</v>
      </c>
      <c r="GE17">
        <v>4.9847749555662201E-2</v>
      </c>
      <c r="GF17">
        <v>8.6745487788197795E-2</v>
      </c>
      <c r="GG17">
        <v>7.8772204356036907E-2</v>
      </c>
      <c r="GH17">
        <v>0</v>
      </c>
      <c r="GI17">
        <v>0</v>
      </c>
      <c r="GJ17">
        <v>3.1415355028082903E-2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0.181545218536703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6.0071151206032701E-2</v>
      </c>
      <c r="GZ17">
        <v>0</v>
      </c>
      <c r="HA17">
        <v>0</v>
      </c>
      <c r="HB17">
        <v>0</v>
      </c>
      <c r="HC17">
        <v>0</v>
      </c>
    </row>
    <row r="18" spans="1:211" x14ac:dyDescent="0.25">
      <c r="A18" t="s">
        <v>266</v>
      </c>
      <c r="B18" t="s">
        <v>395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0.14798368292044201</v>
      </c>
      <c r="T18">
        <v>8.5285581100731297E-2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6.7050113158122898E-2</v>
      </c>
      <c r="AK18">
        <v>0.22360317165908999</v>
      </c>
      <c r="AL18">
        <v>0</v>
      </c>
      <c r="AM18">
        <v>0</v>
      </c>
      <c r="AN18">
        <v>0.22850842611265201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0.220527019173337</v>
      </c>
      <c r="BA18">
        <v>3.7997905364583903E-2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0.12930560620143899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8.3086839701319498E-2</v>
      </c>
      <c r="BY18">
        <v>0</v>
      </c>
      <c r="BZ18">
        <v>0.16555943533335599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8.4232271932848296E-2</v>
      </c>
      <c r="CJ18">
        <v>0</v>
      </c>
      <c r="CK18">
        <v>9.8377285681650495E-2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5.1713375164355799E-2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5.4341933552554997E-2</v>
      </c>
      <c r="CY18">
        <v>0</v>
      </c>
      <c r="CZ18">
        <v>0</v>
      </c>
      <c r="DA18">
        <v>0</v>
      </c>
      <c r="DB18">
        <v>0</v>
      </c>
      <c r="DC18">
        <v>0.108451893955146</v>
      </c>
      <c r="DD18">
        <v>0</v>
      </c>
      <c r="DE18">
        <v>0</v>
      </c>
      <c r="DF18">
        <v>0</v>
      </c>
      <c r="DG18">
        <v>8.9123351080214394E-2</v>
      </c>
      <c r="DH18">
        <v>0</v>
      </c>
      <c r="DI18">
        <v>0</v>
      </c>
      <c r="DJ18">
        <v>0</v>
      </c>
      <c r="DK18">
        <v>4.1944004299938498E-2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4.1930747344742197E-2</v>
      </c>
      <c r="DR18">
        <v>7.3470985246821205E-2</v>
      </c>
      <c r="DS18">
        <v>0</v>
      </c>
      <c r="DT18">
        <v>6.9578067748588907E-2</v>
      </c>
      <c r="DU18">
        <v>0</v>
      </c>
      <c r="DV18">
        <v>4.6563252133133497E-2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9.8121800942752593E-2</v>
      </c>
      <c r="EE18">
        <v>0</v>
      </c>
      <c r="EF18">
        <v>6.9151051521479406E-2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0.64899794450230697</v>
      </c>
      <c r="EO18">
        <v>0</v>
      </c>
      <c r="EP18">
        <v>0.163523057494914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9.7188360064785803E-2</v>
      </c>
      <c r="EW18">
        <v>2.5041964735762999E-2</v>
      </c>
      <c r="EX18">
        <v>0</v>
      </c>
      <c r="EY18">
        <v>0</v>
      </c>
      <c r="EZ18">
        <v>0.10743839495667699</v>
      </c>
      <c r="FA18">
        <v>0</v>
      </c>
      <c r="FB18">
        <v>0</v>
      </c>
      <c r="FC18">
        <v>0.11082592708875499</v>
      </c>
      <c r="FD18">
        <v>6.97536860220003E-2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0.17006716600093699</v>
      </c>
      <c r="FN18">
        <v>0</v>
      </c>
      <c r="FO18">
        <v>0.112903955385955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0.11661576680621499</v>
      </c>
      <c r="FV18">
        <v>0</v>
      </c>
      <c r="FW18">
        <v>0</v>
      </c>
      <c r="FX18">
        <v>0.15077243879763899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0.15276136834680901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5.9305902762271302E-2</v>
      </c>
      <c r="GM18">
        <v>0.26273442713990902</v>
      </c>
      <c r="GN18">
        <v>0.101832590055127</v>
      </c>
      <c r="GO18">
        <v>9.4823851206833606E-2</v>
      </c>
      <c r="GP18">
        <v>0</v>
      </c>
      <c r="GQ18">
        <v>9.3442635844618899E-2</v>
      </c>
      <c r="GR18">
        <v>0</v>
      </c>
      <c r="GS18">
        <v>0.24307525694392301</v>
      </c>
      <c r="GT18">
        <v>0</v>
      </c>
      <c r="GU18">
        <v>0.57247135676805105</v>
      </c>
      <c r="GV18">
        <v>0.17704769236714599</v>
      </c>
      <c r="GW18">
        <v>0.28910608939460303</v>
      </c>
      <c r="GX18">
        <v>0</v>
      </c>
      <c r="GY18">
        <v>0</v>
      </c>
      <c r="GZ18">
        <v>0</v>
      </c>
      <c r="HA18">
        <v>7.9999816050019101E-2</v>
      </c>
      <c r="HB18">
        <v>0.157730997665538</v>
      </c>
      <c r="HC18">
        <v>0</v>
      </c>
    </row>
    <row r="19" spans="1:211" x14ac:dyDescent="0.25">
      <c r="A19" t="s">
        <v>266</v>
      </c>
      <c r="B19" t="s">
        <v>397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0.18916132689120699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0.22850842611265201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0.28818510563493799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5.6354139556913901E-2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4.2298849119303303E-2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0.18344421797779401</v>
      </c>
      <c r="CN19">
        <v>0</v>
      </c>
      <c r="CO19">
        <v>0.19996838604177999</v>
      </c>
      <c r="CP19">
        <v>0.27160360811038498</v>
      </c>
      <c r="CQ19">
        <v>0.102080699733219</v>
      </c>
      <c r="CR19">
        <v>0</v>
      </c>
      <c r="CS19">
        <v>0.104674462533679</v>
      </c>
      <c r="CT19">
        <v>0</v>
      </c>
      <c r="CU19">
        <v>4.9395901862327597E-2</v>
      </c>
      <c r="CV19">
        <v>0.103958421688308</v>
      </c>
      <c r="CW19">
        <v>0</v>
      </c>
      <c r="CX19">
        <v>0</v>
      </c>
      <c r="CY19">
        <v>0.17275611160645801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0.103883256250258</v>
      </c>
      <c r="DG19">
        <v>0</v>
      </c>
      <c r="DH19">
        <v>0</v>
      </c>
      <c r="DI19">
        <v>0</v>
      </c>
      <c r="DJ19">
        <v>3.7377654249904697E-2</v>
      </c>
      <c r="DK19">
        <v>4.1944004299938498E-2</v>
      </c>
      <c r="DL19">
        <v>0</v>
      </c>
      <c r="DM19">
        <v>0</v>
      </c>
      <c r="DN19">
        <v>6.3683224139960706E-2</v>
      </c>
      <c r="DO19">
        <v>0</v>
      </c>
      <c r="DP19">
        <v>0</v>
      </c>
      <c r="DQ19">
        <v>0</v>
      </c>
      <c r="DR19">
        <v>0</v>
      </c>
      <c r="DS19">
        <v>0.118582260441223</v>
      </c>
      <c r="DT19">
        <v>6.9578067748588907E-2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0.15589190168742001</v>
      </c>
      <c r="EB19">
        <v>9.8535586662648306E-2</v>
      </c>
      <c r="EC19">
        <v>0.195673231591379</v>
      </c>
      <c r="ED19">
        <v>4.9752096899832503E-2</v>
      </c>
      <c r="EE19">
        <v>0</v>
      </c>
      <c r="EF19">
        <v>0.13549438447199599</v>
      </c>
      <c r="EG19">
        <v>3.5714029006097298E-2</v>
      </c>
      <c r="EH19">
        <v>3.6724102236526203E-2</v>
      </c>
      <c r="EI19">
        <v>0</v>
      </c>
      <c r="EJ19">
        <v>0</v>
      </c>
      <c r="EK19">
        <v>0.16474749641019101</v>
      </c>
      <c r="EL19">
        <v>0</v>
      </c>
      <c r="EM19">
        <v>0</v>
      </c>
      <c r="EN19">
        <v>0</v>
      </c>
      <c r="EO19">
        <v>0</v>
      </c>
      <c r="EP19">
        <v>0.163523057494914</v>
      </c>
      <c r="EQ19">
        <v>0</v>
      </c>
      <c r="ER19">
        <v>0.122137096568708</v>
      </c>
      <c r="ES19">
        <v>0</v>
      </c>
      <c r="ET19">
        <v>0</v>
      </c>
      <c r="EU19">
        <v>0</v>
      </c>
      <c r="EV19">
        <v>0</v>
      </c>
      <c r="EW19">
        <v>9.8179739346313799E-2</v>
      </c>
      <c r="EX19">
        <v>3.4241005244577898E-2</v>
      </c>
      <c r="EY19">
        <v>0</v>
      </c>
      <c r="EZ19">
        <v>0</v>
      </c>
      <c r="FA19">
        <v>0</v>
      </c>
      <c r="FB19">
        <v>0.13362573695591901</v>
      </c>
      <c r="FC19">
        <v>0.32780487442232098</v>
      </c>
      <c r="FD19">
        <v>6.97536860220003E-2</v>
      </c>
      <c r="FE19">
        <v>0</v>
      </c>
      <c r="FF19">
        <v>0</v>
      </c>
      <c r="FG19">
        <v>0</v>
      </c>
      <c r="FH19">
        <v>0</v>
      </c>
      <c r="FI19">
        <v>0.130233005349917</v>
      </c>
      <c r="FJ19">
        <v>7.1082033171792E-2</v>
      </c>
      <c r="FK19">
        <v>0.28936663924970402</v>
      </c>
      <c r="FL19">
        <v>0.32309704573010201</v>
      </c>
      <c r="FM19">
        <v>8.7290722087359301E-2</v>
      </c>
      <c r="FN19">
        <v>0</v>
      </c>
      <c r="FO19">
        <v>0.141236496180422</v>
      </c>
      <c r="FP19">
        <v>6.2685072413836002E-2</v>
      </c>
      <c r="FQ19">
        <v>0.27481346769704801</v>
      </c>
      <c r="FR19">
        <v>0.21554479908274601</v>
      </c>
      <c r="FS19">
        <v>8.3378178075488807E-2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0.19352593885386399</v>
      </c>
      <c r="GB19">
        <v>0</v>
      </c>
      <c r="GC19">
        <v>0</v>
      </c>
      <c r="GD19">
        <v>0</v>
      </c>
      <c r="GE19">
        <v>9.8289851092727795E-2</v>
      </c>
      <c r="GF19">
        <v>5.52609206594806E-2</v>
      </c>
      <c r="GG19">
        <v>5.01233857037678E-2</v>
      </c>
      <c r="GH19">
        <v>0</v>
      </c>
      <c r="GI19">
        <v>0.18442116522854801</v>
      </c>
      <c r="GJ19">
        <v>3.1415355028082903E-2</v>
      </c>
      <c r="GK19">
        <v>7.2780585861602798E-2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0.23696612637136899</v>
      </c>
      <c r="GS19">
        <v>0</v>
      </c>
      <c r="GT19">
        <v>0</v>
      </c>
      <c r="GU19">
        <v>0.11842548944938899</v>
      </c>
      <c r="GV19">
        <v>0</v>
      </c>
      <c r="GW19">
        <v>0.167542411652674</v>
      </c>
      <c r="GX19">
        <v>0</v>
      </c>
      <c r="GY19">
        <v>0</v>
      </c>
      <c r="GZ19">
        <v>0</v>
      </c>
      <c r="HA19">
        <v>0</v>
      </c>
      <c r="HB19">
        <v>0.101312015738348</v>
      </c>
      <c r="HC19">
        <v>0.20359248930535301</v>
      </c>
    </row>
    <row r="20" spans="1:211" x14ac:dyDescent="0.25">
      <c r="A20" t="s">
        <v>266</v>
      </c>
      <c r="B20" t="s">
        <v>398</v>
      </c>
      <c r="C20">
        <v>0</v>
      </c>
      <c r="D20">
        <v>0</v>
      </c>
      <c r="E20">
        <v>4.7243588110225998E-2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6.7050113158122898E-2</v>
      </c>
      <c r="AK20">
        <v>0.14486861271495299</v>
      </c>
      <c r="AL20">
        <v>0.47378502636234698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0.18476667832174901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3.7997905364583903E-2</v>
      </c>
      <c r="BB20">
        <v>0</v>
      </c>
      <c r="BC20">
        <v>0.15809622465752701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5.6354139556913901E-2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8.1446686594565498E-2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0.16192455190079499</v>
      </c>
      <c r="BY20">
        <v>0.204730490326366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9.4311880793141706E-2</v>
      </c>
      <c r="CN20">
        <v>0</v>
      </c>
      <c r="CO20">
        <v>0.19996838604177999</v>
      </c>
      <c r="CP20">
        <v>0.141749371317023</v>
      </c>
      <c r="CQ20">
        <v>5.1713375164355799E-2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3.64427874243268E-2</v>
      </c>
      <c r="CX20">
        <v>0</v>
      </c>
      <c r="CY20">
        <v>3.90800731030038E-2</v>
      </c>
      <c r="CZ20">
        <v>0</v>
      </c>
      <c r="DA20">
        <v>0</v>
      </c>
      <c r="DB20">
        <v>0</v>
      </c>
      <c r="DC20">
        <v>0.108451893955146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5.4594621343458397E-2</v>
      </c>
      <c r="DJ20">
        <v>0</v>
      </c>
      <c r="DK20">
        <v>0</v>
      </c>
      <c r="DL20">
        <v>5.8568474621738399E-2</v>
      </c>
      <c r="DM20">
        <v>0</v>
      </c>
      <c r="DN20">
        <v>3.2092661190895697E-2</v>
      </c>
      <c r="DO20">
        <v>0</v>
      </c>
      <c r="DP20">
        <v>3.1896445430524202E-2</v>
      </c>
      <c r="DQ20">
        <v>4.1930747344742197E-2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4.9564029656789299E-2</v>
      </c>
      <c r="DX20">
        <v>0</v>
      </c>
      <c r="DY20">
        <v>0</v>
      </c>
      <c r="DZ20">
        <v>0</v>
      </c>
      <c r="EA20">
        <v>5.35121333314999E-2</v>
      </c>
      <c r="EB20">
        <v>0</v>
      </c>
      <c r="EC20">
        <v>0</v>
      </c>
      <c r="ED20">
        <v>0</v>
      </c>
      <c r="EE20">
        <v>8.2855797592275598E-2</v>
      </c>
      <c r="EF20">
        <v>0.17309535779576299</v>
      </c>
      <c r="EG20">
        <v>0</v>
      </c>
      <c r="EH20">
        <v>7.2698203460989805E-2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0.162818904675573</v>
      </c>
      <c r="ER20">
        <v>0</v>
      </c>
      <c r="ES20">
        <v>0</v>
      </c>
      <c r="ET20">
        <v>0</v>
      </c>
      <c r="EU20">
        <v>0</v>
      </c>
      <c r="EV20">
        <v>9.7188360064785803E-2</v>
      </c>
      <c r="EW20">
        <v>0</v>
      </c>
      <c r="EX20">
        <v>3.4241005244577898E-2</v>
      </c>
      <c r="EY20">
        <v>0</v>
      </c>
      <c r="EZ20">
        <v>0</v>
      </c>
      <c r="FA20">
        <v>0</v>
      </c>
      <c r="FB20">
        <v>8.5578127064297599E-2</v>
      </c>
      <c r="FC20">
        <v>0.11082592708875499</v>
      </c>
      <c r="FD20">
        <v>6.97536860220003E-2</v>
      </c>
      <c r="FE20">
        <v>9.4706153445149696E-2</v>
      </c>
      <c r="FF20">
        <v>0</v>
      </c>
      <c r="FG20">
        <v>0</v>
      </c>
      <c r="FH20">
        <v>0.101756696168591</v>
      </c>
      <c r="FI20">
        <v>0</v>
      </c>
      <c r="FJ20">
        <v>0</v>
      </c>
      <c r="FK20">
        <v>0</v>
      </c>
      <c r="FL20">
        <v>0.132896003093607</v>
      </c>
      <c r="FM20">
        <v>0</v>
      </c>
      <c r="FN20">
        <v>7.8676926504957806E-2</v>
      </c>
      <c r="FO20">
        <v>0</v>
      </c>
      <c r="FP20">
        <v>0.123164665307613</v>
      </c>
      <c r="FQ20">
        <v>0</v>
      </c>
      <c r="FR20">
        <v>8.6874417916175006E-2</v>
      </c>
      <c r="FS20">
        <v>0</v>
      </c>
      <c r="FT20">
        <v>4.9539386526737901E-2</v>
      </c>
      <c r="FU20">
        <v>0</v>
      </c>
      <c r="FV20">
        <v>0</v>
      </c>
      <c r="FW20">
        <v>0</v>
      </c>
      <c r="FX20">
        <v>0.15077243879763899</v>
      </c>
      <c r="FY20">
        <v>0</v>
      </c>
      <c r="FZ20">
        <v>0.18933155774485599</v>
      </c>
      <c r="GA20">
        <v>0</v>
      </c>
      <c r="GB20">
        <v>0.21994152592156799</v>
      </c>
      <c r="GC20">
        <v>0.24752069514399799</v>
      </c>
      <c r="GD20">
        <v>0</v>
      </c>
      <c r="GE20">
        <v>0</v>
      </c>
      <c r="GF20">
        <v>5.52609206594806E-2</v>
      </c>
      <c r="GG20">
        <v>0</v>
      </c>
      <c r="GH20">
        <v>0.106932887441648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0.11842548944938899</v>
      </c>
      <c r="GV20">
        <v>0.113940837207809</v>
      </c>
      <c r="GW20">
        <v>0</v>
      </c>
      <c r="GX20">
        <v>0</v>
      </c>
      <c r="GY20">
        <v>6.0071151206032701E-2</v>
      </c>
      <c r="GZ20">
        <v>0</v>
      </c>
      <c r="HA20">
        <v>0</v>
      </c>
      <c r="HB20">
        <v>0</v>
      </c>
      <c r="HC20">
        <v>0.20359248930535301</v>
      </c>
    </row>
    <row r="21" spans="1:211" x14ac:dyDescent="0.25">
      <c r="A21" t="s">
        <v>266</v>
      </c>
      <c r="B21" t="s">
        <v>403</v>
      </c>
      <c r="C21">
        <v>-7.2876246362866701E-2</v>
      </c>
      <c r="D21">
        <v>-2.88853657050064E-2</v>
      </c>
      <c r="E21">
        <v>8.3806457669458698E-2</v>
      </c>
      <c r="F21">
        <v>0.13565067268789399</v>
      </c>
      <c r="G21">
        <v>0.129591696587528</v>
      </c>
      <c r="H21">
        <v>0.14434347595916699</v>
      </c>
      <c r="I21">
        <v>-1.52065551264735E-2</v>
      </c>
      <c r="J21">
        <v>-2.8988347514386701E-2</v>
      </c>
      <c r="K21">
        <v>-6.4921335148701895E-2</v>
      </c>
      <c r="L21">
        <v>-0.12574469823495599</v>
      </c>
      <c r="M21">
        <v>3.9806587986392E-2</v>
      </c>
      <c r="N21">
        <v>-7.5136463042902004E-3</v>
      </c>
      <c r="O21">
        <v>-5.8098959693800599E-2</v>
      </c>
      <c r="P21">
        <v>-3.4426164893204499E-2</v>
      </c>
      <c r="Q21">
        <v>-2.3043353127111602E-2</v>
      </c>
      <c r="R21">
        <v>-6.7812933219094E-3</v>
      </c>
      <c r="S21">
        <v>-8.9434518222009804E-2</v>
      </c>
      <c r="T21">
        <v>-0.164962043324652</v>
      </c>
      <c r="U21">
        <v>-0.164962043324652</v>
      </c>
      <c r="V21">
        <v>0.133022508106623</v>
      </c>
      <c r="W21">
        <v>-0.164962043324652</v>
      </c>
      <c r="X21">
        <v>-0.164962043324652</v>
      </c>
      <c r="Y21">
        <v>-0.164962043324652</v>
      </c>
      <c r="Z21">
        <v>0.25335988691720601</v>
      </c>
      <c r="AA21">
        <v>-0.164962043324652</v>
      </c>
      <c r="AB21">
        <v>-0.164962043324652</v>
      </c>
      <c r="AC21">
        <v>-0.164962043324652</v>
      </c>
      <c r="AD21">
        <v>-9.7790158505996899E-2</v>
      </c>
      <c r="AE21">
        <v>8.3265604511411406E-2</v>
      </c>
      <c r="AF21">
        <v>-2.1301093456408501E-2</v>
      </c>
      <c r="AG21">
        <v>9.5466835909625195E-2</v>
      </c>
      <c r="AH21">
        <v>-0.164962043324652</v>
      </c>
      <c r="AI21">
        <v>-0.164962043324652</v>
      </c>
      <c r="AJ21">
        <v>2.82899949853187E-2</v>
      </c>
      <c r="AK21">
        <v>0.11212903908234</v>
      </c>
      <c r="AL21">
        <v>-0.164962043324652</v>
      </c>
      <c r="AM21">
        <v>4.4597762621416598E-2</v>
      </c>
      <c r="AN21">
        <v>-0.164962043324652</v>
      </c>
      <c r="AO21">
        <v>-5.6298065936986802E-2</v>
      </c>
      <c r="AP21">
        <v>-8.8461135752588099E-2</v>
      </c>
      <c r="AQ21">
        <v>-1.0241077816375E-2</v>
      </c>
      <c r="AR21">
        <v>5.9005393320443203E-2</v>
      </c>
      <c r="AS21">
        <v>-0.164962043324652</v>
      </c>
      <c r="AT21">
        <v>0.220809523819196</v>
      </c>
      <c r="AU21">
        <v>1.9804634997097101E-2</v>
      </c>
      <c r="AV21">
        <v>-0.164962043324652</v>
      </c>
      <c r="AW21">
        <v>-0.164962043324652</v>
      </c>
      <c r="AX21">
        <v>-0.164962043324652</v>
      </c>
      <c r="AY21">
        <v>0.26969637697704202</v>
      </c>
      <c r="AZ21">
        <v>-0.164962043324652</v>
      </c>
      <c r="BA21">
        <v>0.103837289532715</v>
      </c>
      <c r="BB21">
        <v>0.34889557006106597</v>
      </c>
      <c r="BC21">
        <v>-0.164962043324652</v>
      </c>
      <c r="BD21">
        <v>3.8330797173539197E-2</v>
      </c>
      <c r="BE21">
        <v>-0.164962043324652</v>
      </c>
      <c r="BF21">
        <v>5.03672308732847E-2</v>
      </c>
      <c r="BG21">
        <v>-0.164962043324652</v>
      </c>
      <c r="BH21">
        <v>-3.0946452589705798E-3</v>
      </c>
      <c r="BI21">
        <v>-0.164962043324652</v>
      </c>
      <c r="BJ21">
        <v>-0.164962043324652</v>
      </c>
      <c r="BK21">
        <v>-3.5656437123212703E-2</v>
      </c>
      <c r="BL21">
        <v>0.22101482246929499</v>
      </c>
      <c r="BM21">
        <v>-0.164962043324652</v>
      </c>
      <c r="BN21">
        <v>1.28185049793164E-2</v>
      </c>
      <c r="BO21">
        <v>-0.164962043324652</v>
      </c>
      <c r="BP21">
        <v>-0.164962043324652</v>
      </c>
      <c r="BQ21">
        <v>-0.164962043324652</v>
      </c>
      <c r="BR21">
        <v>1.8745839153308901E-2</v>
      </c>
      <c r="BS21">
        <v>-0.164962043324652</v>
      </c>
      <c r="BT21">
        <v>-0.164962043324652</v>
      </c>
      <c r="BU21">
        <v>-0.164962043324652</v>
      </c>
      <c r="BV21">
        <v>-0.164962043324652</v>
      </c>
      <c r="BW21">
        <v>-0.164962043324652</v>
      </c>
      <c r="BX21">
        <v>-0.164962043324652</v>
      </c>
      <c r="BY21">
        <v>-0.164962043324652</v>
      </c>
      <c r="BZ21">
        <v>-0.164962043324652</v>
      </c>
      <c r="CA21">
        <v>-0.164962043324652</v>
      </c>
      <c r="CB21">
        <v>0.11071875954424901</v>
      </c>
      <c r="CC21">
        <v>3.2097628248782199E-2</v>
      </c>
      <c r="CD21">
        <v>9.0190766538487208E-3</v>
      </c>
      <c r="CE21">
        <v>8.1681860473169804E-2</v>
      </c>
      <c r="CF21">
        <v>-6.77067384103E-4</v>
      </c>
      <c r="CG21">
        <v>-2.19342806109466E-3</v>
      </c>
      <c r="CH21">
        <v>-0.164962043324652</v>
      </c>
      <c r="CI21">
        <v>0.241055978845368</v>
      </c>
      <c r="CJ21">
        <v>7.1285749500638707E-2</v>
      </c>
      <c r="CK21">
        <v>-0.164962043324652</v>
      </c>
      <c r="CL21">
        <v>-0.164962043324652</v>
      </c>
      <c r="CM21">
        <v>0.103005430207563</v>
      </c>
      <c r="CN21">
        <v>0.17480908034123899</v>
      </c>
      <c r="CO21">
        <v>-0.164962043324652</v>
      </c>
      <c r="CP21">
        <v>-0.164962043324652</v>
      </c>
      <c r="CQ21">
        <v>8.0905779728645405E-2</v>
      </c>
      <c r="CR21">
        <v>-8.4040211123462494E-2</v>
      </c>
      <c r="CS21">
        <v>3.7811608982275202E-2</v>
      </c>
      <c r="CT21">
        <v>0.22135249154869699</v>
      </c>
      <c r="CU21">
        <v>0.18913710746676399</v>
      </c>
      <c r="CV21">
        <v>8.9966846154901303E-2</v>
      </c>
      <c r="CW21">
        <v>-2.2915335721068499E-2</v>
      </c>
      <c r="CX21">
        <v>-0.11062010977209701</v>
      </c>
      <c r="CY21">
        <v>0.217759800876347</v>
      </c>
      <c r="CZ21">
        <v>0.112472014222587</v>
      </c>
      <c r="DA21">
        <v>5.4405131490546002E-2</v>
      </c>
      <c r="DB21">
        <v>0.16034211734689599</v>
      </c>
      <c r="DC21">
        <v>-0.164962043324652</v>
      </c>
      <c r="DD21">
        <v>0.14047673884551501</v>
      </c>
      <c r="DE21">
        <v>-3.2761733153343499E-2</v>
      </c>
      <c r="DF21">
        <v>-6.1078787074393598E-2</v>
      </c>
      <c r="DG21">
        <v>0</v>
      </c>
      <c r="DH21">
        <v>-1.24038053944936E-2</v>
      </c>
      <c r="DI21">
        <v>3.5290574191658097E-2</v>
      </c>
      <c r="DJ21">
        <v>3.5961160704886398E-2</v>
      </c>
      <c r="DK21">
        <v>-1.85284284319179E-2</v>
      </c>
      <c r="DL21">
        <v>-5.5472002337697099E-2</v>
      </c>
      <c r="DM21">
        <v>-4.5052699394205198E-2</v>
      </c>
      <c r="DN21">
        <v>4.9755984470447497E-2</v>
      </c>
      <c r="DO21">
        <v>-3.5878599568437301E-2</v>
      </c>
      <c r="DP21">
        <v>6.6588050414061295E-2</v>
      </c>
      <c r="DQ21">
        <v>7.2464522965426201E-2</v>
      </c>
      <c r="DR21">
        <v>-9.1491058077830603E-2</v>
      </c>
      <c r="DS21">
        <v>6.4226344196853302E-2</v>
      </c>
      <c r="DT21">
        <v>6.9859727279387995E-2</v>
      </c>
      <c r="DU21">
        <v>3.2508946988200602E-2</v>
      </c>
      <c r="DV21">
        <v>5.5956784435607497E-2</v>
      </c>
      <c r="DW21">
        <v>-2.0340654124090099E-2</v>
      </c>
      <c r="DX21">
        <v>3.61558243479757E-2</v>
      </c>
      <c r="DY21">
        <v>-5.72878413347013E-2</v>
      </c>
      <c r="DZ21">
        <v>2.3279933261734099E-2</v>
      </c>
      <c r="EA21">
        <v>0.10284740853445901</v>
      </c>
      <c r="EB21">
        <v>0.196889395587866</v>
      </c>
      <c r="EC21">
        <v>-0.164962043324652</v>
      </c>
      <c r="ED21">
        <v>3.3746793233557497E-2</v>
      </c>
      <c r="EE21">
        <v>-3.05304770418106E-3</v>
      </c>
      <c r="EF21">
        <v>-9.5810991803171999E-2</v>
      </c>
      <c r="EG21">
        <v>-4.0154642535269798E-2</v>
      </c>
      <c r="EH21">
        <v>7.7448103520004502E-2</v>
      </c>
      <c r="EI21">
        <v>-9.6890018196996594E-2</v>
      </c>
      <c r="EJ21">
        <v>-0.164962043324652</v>
      </c>
      <c r="EK21">
        <v>-0.164962043324652</v>
      </c>
      <c r="EL21">
        <v>-0.164962043324652</v>
      </c>
      <c r="EM21">
        <v>-0.164962043324652</v>
      </c>
      <c r="EN21">
        <v>1.64674258417172E-2</v>
      </c>
      <c r="EO21">
        <v>9.5085897484850093E-2</v>
      </c>
      <c r="EP21">
        <v>-0.164962043324652</v>
      </c>
      <c r="EQ21">
        <v>-0.164962043324652</v>
      </c>
      <c r="ER21">
        <v>7.0376538823050602E-2</v>
      </c>
      <c r="ES21">
        <v>0.18475465502736799</v>
      </c>
      <c r="ET21">
        <v>7.4649728432461496E-2</v>
      </c>
      <c r="EU21">
        <v>-0.164962043324652</v>
      </c>
      <c r="EV21">
        <v>2.4209968895971701E-2</v>
      </c>
      <c r="EW21">
        <v>-6.6782303978337607E-2</v>
      </c>
      <c r="EX21">
        <v>-0.164962043324652</v>
      </c>
      <c r="EY21">
        <v>7.3664164932260898E-2</v>
      </c>
      <c r="EZ21">
        <v>0.13807508477800601</v>
      </c>
      <c r="FA21">
        <v>0.31044451545261198</v>
      </c>
      <c r="FB21">
        <v>1.9162080798418399E-3</v>
      </c>
      <c r="FC21">
        <v>0.20121977148159301</v>
      </c>
      <c r="FD21">
        <v>-9.5208357302651203E-2</v>
      </c>
      <c r="FE21">
        <v>0.15288668762326499</v>
      </c>
      <c r="FF21">
        <v>-4.5472045048107902E-2</v>
      </c>
      <c r="FG21">
        <v>-2.0134543994597201E-2</v>
      </c>
      <c r="FH21">
        <v>0.20848489892927199</v>
      </c>
      <c r="FI21">
        <v>0.19788948361919401</v>
      </c>
      <c r="FJ21">
        <v>0.273015381397271</v>
      </c>
      <c r="FK21">
        <v>0.199677085450364</v>
      </c>
      <c r="FL21">
        <v>-0.164962043324652</v>
      </c>
      <c r="FM21">
        <v>0.12817211999650099</v>
      </c>
      <c r="FN21">
        <v>-1.1128047813447801E-2</v>
      </c>
      <c r="FO21">
        <v>-9.2832574852249605E-2</v>
      </c>
      <c r="FP21">
        <v>0.211446508120222</v>
      </c>
      <c r="FQ21">
        <v>-6.8250739029522098E-2</v>
      </c>
      <c r="FR21">
        <v>4.2906289496478399E-3</v>
      </c>
      <c r="FS21">
        <v>0.31685459734969901</v>
      </c>
      <c r="FT21">
        <v>-3.95848894738473E-2</v>
      </c>
      <c r="FU21">
        <v>0.162255677445339</v>
      </c>
      <c r="FV21">
        <v>0.38039370108398401</v>
      </c>
      <c r="FW21">
        <v>0.31273897513266302</v>
      </c>
      <c r="FX21">
        <v>-1.4189604527012E-2</v>
      </c>
      <c r="FY21">
        <v>2.81601732820396E-2</v>
      </c>
      <c r="FZ21">
        <v>2.4369514420204599E-2</v>
      </c>
      <c r="GA21">
        <v>0.44007494824106003</v>
      </c>
      <c r="GB21">
        <v>0.45096708875659502</v>
      </c>
      <c r="GC21">
        <v>0.254131274710234</v>
      </c>
      <c r="GD21">
        <v>0.20357471688758999</v>
      </c>
      <c r="GE21">
        <v>9.6656222451986698E-2</v>
      </c>
      <c r="GF21">
        <v>0.122397300413652</v>
      </c>
      <c r="GG21">
        <v>0.11586379461574201</v>
      </c>
      <c r="GH21">
        <v>9.7777451821692798E-2</v>
      </c>
      <c r="GI21">
        <v>0.18433424530940801</v>
      </c>
      <c r="GJ21">
        <v>0.34233022814686098</v>
      </c>
      <c r="GK21">
        <v>0.33304386959489701</v>
      </c>
      <c r="GL21">
        <v>0.250178332831342</v>
      </c>
      <c r="GM21">
        <v>0.22682565088112699</v>
      </c>
      <c r="GN21">
        <v>4.7819840194450597E-2</v>
      </c>
      <c r="GO21">
        <v>0.30707087397827298</v>
      </c>
      <c r="GP21">
        <v>7.7460701667772303E-2</v>
      </c>
      <c r="GQ21">
        <v>-7.1519407480032798E-2</v>
      </c>
      <c r="GR21">
        <v>0.238487089782289</v>
      </c>
      <c r="GS21">
        <v>7.8113213619271094E-2</v>
      </c>
      <c r="GT21">
        <v>0.75327334661756795</v>
      </c>
      <c r="GU21">
        <v>0.26428071312267298</v>
      </c>
      <c r="GV21">
        <v>0.15533690355125901</v>
      </c>
      <c r="GW21">
        <v>4.84988073943253E-2</v>
      </c>
      <c r="GX21">
        <v>0.41213305789603799</v>
      </c>
      <c r="GY21">
        <v>-0.164962043324652</v>
      </c>
      <c r="GZ21">
        <v>-1.6404652143737299E-2</v>
      </c>
      <c r="HA21">
        <v>-8.6954599720111096E-3</v>
      </c>
      <c r="HB21">
        <v>-6.3650027586303698E-2</v>
      </c>
      <c r="HC21">
        <v>-0.164962043324652</v>
      </c>
    </row>
    <row r="22" spans="1:211" s="11" customFormat="1" ht="15.75" thickBot="1" x14ac:dyDescent="0.3">
      <c r="A22" s="11" t="s">
        <v>266</v>
      </c>
      <c r="B22" s="11" t="s">
        <v>404</v>
      </c>
      <c r="C22" s="11">
        <v>4.65755571291857E-2</v>
      </c>
      <c r="D22" s="11">
        <v>0</v>
      </c>
      <c r="E22" s="11">
        <v>4.7243588110225998E-2</v>
      </c>
      <c r="F22" s="11">
        <v>0</v>
      </c>
      <c r="G22" s="11">
        <v>6.9407525498290601E-2</v>
      </c>
      <c r="H22" s="11">
        <v>0</v>
      </c>
      <c r="I22" s="11">
        <v>0</v>
      </c>
      <c r="J22" s="11">
        <v>0</v>
      </c>
      <c r="K22" s="11">
        <v>5.0673369705079699E-2</v>
      </c>
      <c r="L22" s="11">
        <v>6.1780945466827199E-2</v>
      </c>
      <c r="M22" s="11">
        <v>4.9480426591276799E-2</v>
      </c>
      <c r="N22" s="11">
        <v>0.12856046898955001</v>
      </c>
      <c r="O22" s="11">
        <v>4.2085181631320301E-2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6.7171884818654701E-2</v>
      </c>
      <c r="AE22" s="11">
        <v>0</v>
      </c>
      <c r="AF22" s="11">
        <v>9.2180646851826906E-2</v>
      </c>
      <c r="AG22" s="11">
        <v>0</v>
      </c>
      <c r="AH22" s="11">
        <v>0</v>
      </c>
      <c r="AI22" s="11">
        <v>6.6041050601816198E-2</v>
      </c>
      <c r="AJ22" s="11">
        <v>6.7050113158122898E-2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0.31840813371337801</v>
      </c>
      <c r="AW22" s="11">
        <v>0</v>
      </c>
      <c r="AX22" s="11">
        <v>0</v>
      </c>
      <c r="AY22" s="11">
        <v>0</v>
      </c>
      <c r="AZ22" s="11">
        <v>0</v>
      </c>
      <c r="BA22" s="11">
        <v>0.216055324625681</v>
      </c>
      <c r="BB22" s="11">
        <v>0</v>
      </c>
      <c r="BC22" s="11">
        <v>0</v>
      </c>
      <c r="BD22" s="11">
        <v>9.5445131132126299E-2</v>
      </c>
      <c r="BE22" s="11">
        <v>5.9416994570540602E-2</v>
      </c>
      <c r="BF22" s="11">
        <v>6.2655892196267493E-2</v>
      </c>
      <c r="BG22" s="11">
        <v>0.22137096853153901</v>
      </c>
      <c r="BH22" s="11">
        <v>0.19525329780770501</v>
      </c>
      <c r="BI22" s="11">
        <v>5.6354139556913901E-2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0.15914197520675599</v>
      </c>
      <c r="BQ22" s="11">
        <v>0</v>
      </c>
      <c r="BR22" s="11">
        <v>0</v>
      </c>
      <c r="BS22" s="11">
        <v>0</v>
      </c>
      <c r="BT22" s="11">
        <v>0</v>
      </c>
      <c r="BU22" s="11">
        <v>0.23932496750915599</v>
      </c>
      <c r="BV22" s="11">
        <v>0.12882668011399501</v>
      </c>
      <c r="BW22" s="11">
        <v>0</v>
      </c>
      <c r="BX22" s="11">
        <v>8.3086839701319498E-2</v>
      </c>
      <c r="BY22" s="11">
        <v>0</v>
      </c>
      <c r="BZ22" s="11">
        <v>0.25476451096062003</v>
      </c>
      <c r="CA22" s="11">
        <v>0.167362903112665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7.2247492772386596E-2</v>
      </c>
      <c r="CX22" s="11">
        <v>0</v>
      </c>
      <c r="CY22" s="11">
        <v>0</v>
      </c>
      <c r="CZ22" s="11">
        <v>9.7409044536234002E-2</v>
      </c>
      <c r="DA22" s="11">
        <v>0</v>
      </c>
      <c r="DB22" s="11">
        <v>4.88290144995304E-2</v>
      </c>
      <c r="DC22" s="11">
        <v>0.108451893955146</v>
      </c>
      <c r="DD22" s="11">
        <v>4.5664737093077799E-2</v>
      </c>
      <c r="DE22" s="11">
        <v>0</v>
      </c>
      <c r="DF22" s="11">
        <v>0</v>
      </c>
      <c r="DG22" s="11">
        <v>0</v>
      </c>
      <c r="DH22" s="11">
        <v>0</v>
      </c>
      <c r="DI22" s="11">
        <v>0</v>
      </c>
      <c r="DJ22" s="11">
        <v>3.7377654249904697E-2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7.3470985246821205E-2</v>
      </c>
      <c r="DS22" s="11">
        <v>0</v>
      </c>
      <c r="DT22" s="11">
        <v>0.12964373289516301</v>
      </c>
      <c r="DU22" s="11">
        <v>0</v>
      </c>
      <c r="DV22" s="11">
        <v>4.6563252133133497E-2</v>
      </c>
      <c r="DW22" s="11">
        <v>4.9564029656789299E-2</v>
      </c>
      <c r="DX22" s="11">
        <v>8.2497509234472494E-2</v>
      </c>
      <c r="DY22" s="11">
        <v>0</v>
      </c>
      <c r="DZ22" s="11">
        <v>0.163387540096017</v>
      </c>
      <c r="EA22" s="11">
        <v>5.35121333314999E-2</v>
      </c>
      <c r="EB22" s="11">
        <v>0</v>
      </c>
      <c r="EC22" s="11">
        <v>0.100766706537761</v>
      </c>
      <c r="ED22" s="11">
        <v>9.8121800942752593E-2</v>
      </c>
      <c r="EE22" s="11">
        <v>8.2855797592275598E-2</v>
      </c>
      <c r="EF22" s="11">
        <v>6.9151051521479406E-2</v>
      </c>
      <c r="EG22" s="11">
        <v>3.5714029006097298E-2</v>
      </c>
      <c r="EH22" s="11">
        <v>0.128259978370627</v>
      </c>
      <c r="EI22" s="11">
        <v>0.120272061584071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0.184758924889627</v>
      </c>
      <c r="ET22" s="11">
        <v>0.163579877528923</v>
      </c>
      <c r="EU22" s="11">
        <v>0.18746591597763501</v>
      </c>
      <c r="EV22" s="11">
        <v>0</v>
      </c>
      <c r="EW22" s="11">
        <v>8.8232835126740697E-2</v>
      </c>
      <c r="EX22" s="11">
        <v>0.106502031163846</v>
      </c>
      <c r="EY22" s="11">
        <v>0</v>
      </c>
      <c r="EZ22" s="11">
        <v>0</v>
      </c>
      <c r="FA22" s="11">
        <v>9.6243054216283694E-2</v>
      </c>
      <c r="FB22" s="11">
        <v>0</v>
      </c>
      <c r="FC22" s="11">
        <v>0</v>
      </c>
      <c r="FD22" s="11">
        <v>0.212459217266107</v>
      </c>
      <c r="FE22" s="11">
        <v>0</v>
      </c>
      <c r="FF22" s="11">
        <v>0</v>
      </c>
      <c r="FG22" s="11">
        <v>0</v>
      </c>
      <c r="FH22" s="11">
        <v>0.101756696168591</v>
      </c>
      <c r="FI22" s="11">
        <v>0</v>
      </c>
      <c r="FJ22" s="11">
        <v>0</v>
      </c>
      <c r="FK22" s="11">
        <v>0</v>
      </c>
      <c r="FL22" s="11">
        <v>0</v>
      </c>
      <c r="FM22" s="11">
        <v>0.13622818582744101</v>
      </c>
      <c r="FN22" s="11">
        <v>0</v>
      </c>
      <c r="FO22" s="11">
        <v>7.2129468472401995E-2</v>
      </c>
      <c r="FP22" s="11">
        <v>0.123164665307613</v>
      </c>
      <c r="FQ22" s="11">
        <v>9.6711304295129599E-2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0.148696881887278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4.9847749555662201E-2</v>
      </c>
      <c r="GF22" s="11">
        <v>0</v>
      </c>
      <c r="GG22" s="11">
        <v>0</v>
      </c>
      <c r="GH22" s="11">
        <v>0</v>
      </c>
      <c r="GI22" s="11">
        <v>0</v>
      </c>
      <c r="GJ22" s="11">
        <v>0</v>
      </c>
      <c r="GK22" s="11">
        <v>7.2780585861602798E-2</v>
      </c>
      <c r="GL22" s="11">
        <v>0</v>
      </c>
      <c r="GM22" s="11">
        <v>5.3955289574618398E-2</v>
      </c>
      <c r="GN22" s="11">
        <v>0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1">
        <v>0</v>
      </c>
      <c r="GY22" s="11">
        <v>0.11808545023822201</v>
      </c>
      <c r="GZ22" s="11">
        <v>0.14855739118091399</v>
      </c>
      <c r="HA22" s="11">
        <v>0</v>
      </c>
      <c r="HB22" s="11">
        <v>0</v>
      </c>
      <c r="HC22" s="11">
        <v>0</v>
      </c>
    </row>
    <row r="23" spans="1:211" x14ac:dyDescent="0.25">
      <c r="A23" t="s">
        <v>267</v>
      </c>
      <c r="B23" t="s">
        <v>363</v>
      </c>
      <c r="C23">
        <v>1.13766906589355</v>
      </c>
      <c r="D23">
        <v>1.5229802744569301</v>
      </c>
      <c r="E23">
        <v>1.13600994388161</v>
      </c>
      <c r="F23">
        <v>0.27223903220367002</v>
      </c>
      <c r="G23">
        <v>1.7243493799155001</v>
      </c>
      <c r="H23">
        <v>1.2251753364422</v>
      </c>
      <c r="I23">
        <v>0.48598308124333101</v>
      </c>
      <c r="J23">
        <v>0.50638978755691799</v>
      </c>
      <c r="K23">
        <v>1.53543088400581</v>
      </c>
      <c r="L23">
        <v>1.3648193325135001</v>
      </c>
      <c r="M23">
        <v>1.4058817549329601</v>
      </c>
      <c r="N23">
        <v>1.59539901264295</v>
      </c>
      <c r="O23">
        <v>1.7928637667568701</v>
      </c>
      <c r="P23">
        <v>-1.51766730669888E-2</v>
      </c>
      <c r="Q23">
        <v>0.29707969691993502</v>
      </c>
      <c r="R23">
        <v>0.202508993256482</v>
      </c>
      <c r="S23">
        <v>-4.9467606927714902E-2</v>
      </c>
      <c r="T23">
        <v>-0.33004230991787398</v>
      </c>
      <c r="U23">
        <v>-0.24542857837045101</v>
      </c>
      <c r="V23">
        <v>0.47512804827424399</v>
      </c>
      <c r="W23">
        <v>0.58884115083844502</v>
      </c>
      <c r="X23">
        <v>0.35668378360649</v>
      </c>
      <c r="Y23">
        <v>3.8431935624472897E-2</v>
      </c>
      <c r="Z23">
        <v>0.115802907305083</v>
      </c>
      <c r="AA23">
        <v>1.2792518807810301E-2</v>
      </c>
      <c r="AB23">
        <v>0.33289320670615702</v>
      </c>
      <c r="AC23">
        <v>-0.185428808445607</v>
      </c>
      <c r="AD23">
        <v>0.57125538823496902</v>
      </c>
      <c r="AE23">
        <v>-0.33794321450612602</v>
      </c>
      <c r="AF23">
        <v>-0.17075636229329599</v>
      </c>
      <c r="AG23">
        <v>-0.19740847428807901</v>
      </c>
      <c r="AH23">
        <v>0.20077903780717399</v>
      </c>
      <c r="AI23">
        <v>-0.36046172506183499</v>
      </c>
      <c r="AJ23">
        <v>0.102226661576362</v>
      </c>
      <c r="AK23">
        <v>0.237231129629277</v>
      </c>
      <c r="AL23">
        <v>-0.14783735670703799</v>
      </c>
      <c r="AM23">
        <v>-0.157633674769281</v>
      </c>
      <c r="AN23">
        <v>0.199222590451019</v>
      </c>
      <c r="AO23">
        <v>6.71867322474103E-2</v>
      </c>
      <c r="AP23">
        <v>-0.84904699623381297</v>
      </c>
      <c r="AQ23">
        <v>-0.65802530854270802</v>
      </c>
      <c r="AR23">
        <v>-0.54612354082677395</v>
      </c>
      <c r="AS23">
        <v>0.20496611743556301</v>
      </c>
      <c r="AT23">
        <v>0.83872646596896805</v>
      </c>
      <c r="AU23">
        <v>-0.33974152517550499</v>
      </c>
      <c r="AV23">
        <v>0.30480505664560098</v>
      </c>
      <c r="AW23">
        <v>-0.31848519640105699</v>
      </c>
      <c r="AX23">
        <v>-0.12607559661058201</v>
      </c>
      <c r="AY23">
        <v>0.21243296875642501</v>
      </c>
      <c r="AZ23">
        <v>0.14345949773977701</v>
      </c>
      <c r="BA23">
        <v>1.0811470550347</v>
      </c>
      <c r="BB23">
        <v>0.47361240344135802</v>
      </c>
      <c r="BC23">
        <v>0.42475488084655599</v>
      </c>
      <c r="BD23">
        <v>3.3281021688057501E-2</v>
      </c>
      <c r="BE23">
        <v>1.05073934144515</v>
      </c>
      <c r="BF23">
        <v>4.6883859334232699E-3</v>
      </c>
      <c r="BG23">
        <v>-0.35840767199380702</v>
      </c>
      <c r="BH23">
        <v>0.56719304505995705</v>
      </c>
      <c r="BI23">
        <v>-0.224111380125981</v>
      </c>
      <c r="BJ23">
        <v>0.40772191213741998</v>
      </c>
      <c r="BK23">
        <v>-0.175462199295049</v>
      </c>
      <c r="BL23">
        <v>6.4650672044240895E-2</v>
      </c>
      <c r="BM23">
        <v>-3.9366017283701401E-4</v>
      </c>
      <c r="BN23">
        <v>0.13601364413209899</v>
      </c>
      <c r="BO23">
        <v>-0.22844501477125401</v>
      </c>
      <c r="BP23">
        <v>-0.40800837556210401</v>
      </c>
      <c r="BQ23">
        <v>-0.377100764136022</v>
      </c>
      <c r="BR23">
        <v>-0.81294264613943001</v>
      </c>
      <c r="BS23">
        <v>-0.586310211331598</v>
      </c>
      <c r="BT23">
        <v>-0.117190829755936</v>
      </c>
      <c r="BU23">
        <v>-0.42368742833957102</v>
      </c>
      <c r="BV23">
        <v>-0.133742303364904</v>
      </c>
      <c r="BW23">
        <v>0.31458669808968398</v>
      </c>
      <c r="BX23">
        <v>-0.25808775731426498</v>
      </c>
      <c r="BY23">
        <v>-0.45604057901161998</v>
      </c>
      <c r="BZ23">
        <v>-0.59407411480941397</v>
      </c>
      <c r="CA23">
        <v>0.141458836368726</v>
      </c>
      <c r="CB23">
        <v>0.59213911468437397</v>
      </c>
      <c r="CC23">
        <v>0.25011069771304401</v>
      </c>
      <c r="CD23">
        <v>-7.9167719058133704E-2</v>
      </c>
      <c r="CE23">
        <v>1.48607050892767</v>
      </c>
      <c r="CF23">
        <v>-5.3989268968662003E-3</v>
      </c>
      <c r="CG23">
        <v>8.4515457841511196E-2</v>
      </c>
      <c r="CH23">
        <v>-2.9392011652285801E-2</v>
      </c>
      <c r="CI23">
        <v>0.37581689412814301</v>
      </c>
      <c r="CJ23">
        <v>0.56032883231679997</v>
      </c>
      <c r="CK23">
        <v>1.2876658072489</v>
      </c>
      <c r="CL23">
        <v>1.0997165327129099</v>
      </c>
      <c r="CM23">
        <v>0.585815724014909</v>
      </c>
      <c r="CN23">
        <v>0.34190304357381202</v>
      </c>
      <c r="CO23">
        <v>0.44857740875018398</v>
      </c>
      <c r="CP23">
        <v>-0.18677922658592</v>
      </c>
      <c r="CQ23">
        <v>-0.44341599565647899</v>
      </c>
      <c r="CR23">
        <v>0.35372731770737598</v>
      </c>
      <c r="CS23">
        <v>0</v>
      </c>
      <c r="CT23">
        <v>0.24034818746259701</v>
      </c>
      <c r="CU23">
        <v>0.351149564391247</v>
      </c>
      <c r="CV23">
        <v>0.40306740614192599</v>
      </c>
      <c r="CW23">
        <v>0.314122915878076</v>
      </c>
      <c r="CX23">
        <v>0.52306553931398203</v>
      </c>
      <c r="CY23">
        <v>-0.171451633857226</v>
      </c>
      <c r="CZ23">
        <v>-0.40907137645081798</v>
      </c>
      <c r="DA23">
        <v>-0.109123398751414</v>
      </c>
      <c r="DB23">
        <v>3.72288364120925E-2</v>
      </c>
      <c r="DC23">
        <v>0.42781633498959698</v>
      </c>
      <c r="DD23">
        <v>0.41583644476527398</v>
      </c>
      <c r="DE23">
        <v>2.1498857258389001E-2</v>
      </c>
      <c r="DF23">
        <v>0.385698342261452</v>
      </c>
      <c r="DG23">
        <v>0.460582866262013</v>
      </c>
      <c r="DH23">
        <v>0.657529130407842</v>
      </c>
      <c r="DI23">
        <v>0.81311302639636596</v>
      </c>
      <c r="DJ23">
        <v>5.6171334144052502E-2</v>
      </c>
      <c r="DK23">
        <v>0.48679804343297101</v>
      </c>
      <c r="DL23">
        <v>0.70754690569100198</v>
      </c>
      <c r="DM23">
        <v>1.2358125725954801</v>
      </c>
      <c r="DN23">
        <v>0.952600574801302</v>
      </c>
      <c r="DO23">
        <v>1.1988758152235199</v>
      </c>
      <c r="DP23">
        <v>1.13579564977237</v>
      </c>
      <c r="DQ23">
        <v>0.88023229657786595</v>
      </c>
      <c r="DR23">
        <v>1.19331005987822</v>
      </c>
      <c r="DS23">
        <v>1.06624850676922</v>
      </c>
      <c r="DT23">
        <v>2.02493975242822</v>
      </c>
      <c r="DU23">
        <v>1.3548894656614701</v>
      </c>
      <c r="DV23">
        <v>2.3377952133012401</v>
      </c>
      <c r="DW23">
        <v>2.6660033183540102</v>
      </c>
      <c r="DX23">
        <v>2.64761814858536</v>
      </c>
      <c r="DY23">
        <v>-0.27651031358064299</v>
      </c>
      <c r="DZ23">
        <v>-0.83102402010433496</v>
      </c>
      <c r="EA23">
        <v>-0.71940244055646196</v>
      </c>
      <c r="EB23">
        <v>-0.43239756939641399</v>
      </c>
      <c r="EC23">
        <v>-8.0551005467652204E-2</v>
      </c>
      <c r="ED23">
        <v>-0.54647182917524195</v>
      </c>
      <c r="EE23">
        <v>-4.1709974106049701E-2</v>
      </c>
      <c r="EF23">
        <v>-0.21770551039597799</v>
      </c>
      <c r="EG23">
        <v>-0.30084126176100001</v>
      </c>
      <c r="EH23">
        <v>-0.43627666600811499</v>
      </c>
      <c r="EI23">
        <v>-0.39959561572277502</v>
      </c>
      <c r="EJ23">
        <v>-0.148232277907241</v>
      </c>
      <c r="EK23">
        <v>0.72651470157459996</v>
      </c>
      <c r="EL23">
        <v>0.63398973156366101</v>
      </c>
      <c r="EM23">
        <v>-0.23261842553874601</v>
      </c>
      <c r="EN23">
        <v>-0.64569663851409798</v>
      </c>
      <c r="EO23">
        <v>0.564823099289542</v>
      </c>
      <c r="EP23">
        <v>-5.3722109350254003E-2</v>
      </c>
      <c r="EQ23">
        <v>-0.82379681452911702</v>
      </c>
      <c r="ER23">
        <v>-0.10785384442033399</v>
      </c>
      <c r="ES23">
        <v>0.360548226034897</v>
      </c>
      <c r="ET23">
        <v>0.86793126597007597</v>
      </c>
      <c r="EU23">
        <v>0.39250035151186102</v>
      </c>
      <c r="EV23">
        <v>-0.40779595971073601</v>
      </c>
      <c r="EW23">
        <v>2.00836332656706E-2</v>
      </c>
      <c r="EX23">
        <v>-0.32280724996337001</v>
      </c>
      <c r="EY23">
        <v>0.15480601696835999</v>
      </c>
      <c r="EZ23">
        <v>-0.40340770467625198</v>
      </c>
      <c r="FA23">
        <v>-0.30117673657375399</v>
      </c>
      <c r="FB23">
        <v>-0.674860262326067</v>
      </c>
      <c r="FC23">
        <v>0.26944648025214302</v>
      </c>
      <c r="FD23">
        <v>-8.5172932872885104E-2</v>
      </c>
      <c r="FE23">
        <v>-0.38517655042648402</v>
      </c>
      <c r="FF23">
        <v>-0.26312434032467302</v>
      </c>
      <c r="FG23">
        <v>-0.55549996802118595</v>
      </c>
      <c r="FH23">
        <v>0.12197435433342101</v>
      </c>
      <c r="FI23">
        <v>-0.46389966360826002</v>
      </c>
      <c r="FJ23">
        <v>0.22174542660987101</v>
      </c>
      <c r="FK23">
        <v>-0.29810105954174199</v>
      </c>
      <c r="FL23">
        <v>-0.74585404039444303</v>
      </c>
      <c r="FM23">
        <v>-0.48073545314251398</v>
      </c>
      <c r="FN23">
        <v>-0.425714198897368</v>
      </c>
      <c r="FO23">
        <v>-0.45512809211204502</v>
      </c>
      <c r="FP23">
        <v>-0.767502190171235</v>
      </c>
      <c r="FQ23">
        <v>-0.54565300022813901</v>
      </c>
      <c r="FR23">
        <v>-0.53025863770176196</v>
      </c>
      <c r="FS23">
        <v>-1.68870700184603E-2</v>
      </c>
      <c r="FT23">
        <v>0.98871982648121504</v>
      </c>
      <c r="FU23">
        <v>-0.15986659295189501</v>
      </c>
      <c r="FV23">
        <v>0.38154580603414201</v>
      </c>
      <c r="FW23">
        <v>0.31095657916650898</v>
      </c>
      <c r="FX23">
        <v>-0.239062085725635</v>
      </c>
      <c r="FY23">
        <v>-0.10992458364407399</v>
      </c>
      <c r="FZ23">
        <v>-7.6918007091614199E-2</v>
      </c>
      <c r="GA23">
        <v>-0.55336949328198604</v>
      </c>
      <c r="GB23">
        <v>-0.65783944293200003</v>
      </c>
      <c r="GC23">
        <v>-0.60142610053350398</v>
      </c>
      <c r="GD23">
        <v>1.2447885927285801E-2</v>
      </c>
      <c r="GE23">
        <v>-1.08805008157592</v>
      </c>
      <c r="GF23">
        <v>-0.717186757633961</v>
      </c>
      <c r="GG23">
        <v>-0.68129023642884701</v>
      </c>
      <c r="GH23">
        <v>-0.19629539924838099</v>
      </c>
      <c r="GI23">
        <v>-0.27312642115296099</v>
      </c>
      <c r="GJ23">
        <v>-0.62220955154951296</v>
      </c>
      <c r="GK23">
        <v>-0.810037316244269</v>
      </c>
      <c r="GL23">
        <v>-0.58507363800429302</v>
      </c>
      <c r="GM23">
        <v>-0.47978666937567099</v>
      </c>
      <c r="GN23">
        <v>-0.82071150842527496</v>
      </c>
      <c r="GO23">
        <v>-0.51131851787614002</v>
      </c>
      <c r="GP23" s="10">
        <v>9.1288547873782797E-5</v>
      </c>
      <c r="GQ23">
        <v>3.9982215693296803E-2</v>
      </c>
      <c r="GR23">
        <v>-0.87248101645945997</v>
      </c>
      <c r="GS23">
        <v>-0.86764976393063897</v>
      </c>
      <c r="GT23">
        <v>-0.33613546368332498</v>
      </c>
      <c r="GU23">
        <v>-0.77910561334405404</v>
      </c>
      <c r="GV23">
        <v>-0.79270660868475595</v>
      </c>
      <c r="GW23">
        <v>0.21793685307312999</v>
      </c>
      <c r="GX23">
        <v>-0.346887805298838</v>
      </c>
      <c r="GY23">
        <v>0.322932655196352</v>
      </c>
      <c r="GZ23">
        <v>-0.13884568385165999</v>
      </c>
      <c r="HA23">
        <v>-0.62748881791698996</v>
      </c>
      <c r="HB23">
        <v>-0.49861430120206701</v>
      </c>
      <c r="HC23">
        <v>-0.342725076607864</v>
      </c>
    </row>
    <row r="24" spans="1:211" x14ac:dyDescent="0.25">
      <c r="A24" t="s">
        <v>267</v>
      </c>
      <c r="B24" t="s">
        <v>366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7.5527525102641796E-2</v>
      </c>
      <c r="T24">
        <v>8.5285581100731297E-2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0.15472096550827699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5.9416994570540602E-2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5.1713375164355799E-2</v>
      </c>
      <c r="CR24">
        <v>0</v>
      </c>
      <c r="CS24">
        <v>0</v>
      </c>
      <c r="CT24">
        <v>0</v>
      </c>
      <c r="CU24">
        <v>0</v>
      </c>
      <c r="CV24">
        <v>4.0865218918030501E-2</v>
      </c>
      <c r="CW24">
        <v>5.7462923298550503E-2</v>
      </c>
      <c r="CX24">
        <v>0</v>
      </c>
      <c r="CY24">
        <v>6.1560990689687102E-2</v>
      </c>
      <c r="CZ24">
        <v>0</v>
      </c>
      <c r="DA24">
        <v>0</v>
      </c>
      <c r="DB24">
        <v>4.88290144995304E-2</v>
      </c>
      <c r="DC24">
        <v>0</v>
      </c>
      <c r="DD24">
        <v>4.5664737093077799E-2</v>
      </c>
      <c r="DE24">
        <v>0</v>
      </c>
      <c r="DF24">
        <v>0</v>
      </c>
      <c r="DG24">
        <v>5.6768843891167001E-2</v>
      </c>
      <c r="DH24">
        <v>0</v>
      </c>
      <c r="DI24">
        <v>5.4594621343458397E-2</v>
      </c>
      <c r="DJ24">
        <v>3.7377654249904697E-2</v>
      </c>
      <c r="DK24">
        <v>0</v>
      </c>
      <c r="DL24">
        <v>0</v>
      </c>
      <c r="DM24">
        <v>0</v>
      </c>
      <c r="DN24">
        <v>0</v>
      </c>
      <c r="DO24">
        <v>3.6830609091360302E-2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5.2507044355739302E-2</v>
      </c>
      <c r="DY24">
        <v>0.30337442427697098</v>
      </c>
      <c r="DZ24">
        <v>0</v>
      </c>
      <c r="EA24">
        <v>0</v>
      </c>
      <c r="EB24">
        <v>0</v>
      </c>
      <c r="EC24">
        <v>0</v>
      </c>
      <c r="ED24">
        <v>4.9752096899832503E-2</v>
      </c>
      <c r="EE24">
        <v>0</v>
      </c>
      <c r="EF24">
        <v>0</v>
      </c>
      <c r="EG24">
        <v>3.5714029006097298E-2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0.18917201222062399</v>
      </c>
      <c r="EW24">
        <v>0</v>
      </c>
      <c r="EX24">
        <v>3.4241005244577898E-2</v>
      </c>
      <c r="EY24">
        <v>0</v>
      </c>
      <c r="EZ24">
        <v>0</v>
      </c>
      <c r="FA24">
        <v>9.6243054216283694E-2</v>
      </c>
      <c r="FB24">
        <v>0</v>
      </c>
      <c r="FC24">
        <v>0.11082592708875499</v>
      </c>
      <c r="FD24">
        <v>6.97536860220003E-2</v>
      </c>
      <c r="FE24">
        <v>0</v>
      </c>
      <c r="FF24">
        <v>0.119489998276544</v>
      </c>
      <c r="FG24">
        <v>0</v>
      </c>
      <c r="FH24">
        <v>0.101756696168591</v>
      </c>
      <c r="FI24">
        <v>6.6440024981408496E-2</v>
      </c>
      <c r="FJ24">
        <v>0</v>
      </c>
      <c r="FK24">
        <v>0.15150252098959799</v>
      </c>
      <c r="FL24">
        <v>0.132896003093607</v>
      </c>
      <c r="FM24">
        <v>0</v>
      </c>
      <c r="FN24">
        <v>0.153833995511204</v>
      </c>
      <c r="FO24">
        <v>0</v>
      </c>
      <c r="FP24">
        <v>6.2685072413836002E-2</v>
      </c>
      <c r="FQ24">
        <v>9.6711304295129599E-2</v>
      </c>
      <c r="FR24">
        <v>8.6874417916175006E-2</v>
      </c>
      <c r="FS24">
        <v>8.3378178075488807E-2</v>
      </c>
      <c r="FT24">
        <v>9.7755189238770898E-2</v>
      </c>
      <c r="FU24">
        <v>0</v>
      </c>
      <c r="FV24">
        <v>0</v>
      </c>
      <c r="FW24">
        <v>0.148696881887278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4.9847749555662201E-2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5.9305902762271302E-2</v>
      </c>
      <c r="GM24">
        <v>5.3955289574618398E-2</v>
      </c>
      <c r="GN24">
        <v>0</v>
      </c>
      <c r="GO24">
        <v>9.4823851206833606E-2</v>
      </c>
      <c r="GP24">
        <v>0</v>
      </c>
      <c r="GQ24">
        <v>0</v>
      </c>
      <c r="GR24">
        <v>0.12272198473193199</v>
      </c>
      <c r="GS24">
        <v>0</v>
      </c>
      <c r="GT24">
        <v>0</v>
      </c>
      <c r="GU24">
        <v>0.11842548944938899</v>
      </c>
      <c r="GV24">
        <v>0</v>
      </c>
      <c r="GW24">
        <v>0.13416363553754901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 t="s">
        <v>267</v>
      </c>
      <c r="B25" t="s">
        <v>367</v>
      </c>
      <c r="C25">
        <v>-0.12993668321752599</v>
      </c>
      <c r="D25">
        <v>-6.6301468419541904E-2</v>
      </c>
      <c r="E25">
        <v>-0.12849929246625499</v>
      </c>
      <c r="F25">
        <v>-2.3706106540047799E-2</v>
      </c>
      <c r="G25">
        <v>-0.13735825069666199</v>
      </c>
      <c r="H25">
        <v>4.2781775910530097E-2</v>
      </c>
      <c r="I25">
        <v>2.6738315801551399E-3</v>
      </c>
      <c r="J25">
        <v>-0.13055004756302399</v>
      </c>
      <c r="K25">
        <v>-0.215850373668209</v>
      </c>
      <c r="L25">
        <v>-0.114356702990923</v>
      </c>
      <c r="M25">
        <v>6.1676719297923399E-2</v>
      </c>
      <c r="N25">
        <v>5.8950645449409996E-3</v>
      </c>
      <c r="O25">
        <v>0.102188383520147</v>
      </c>
      <c r="P25">
        <v>-0.13598786494184101</v>
      </c>
      <c r="Q25">
        <v>-7.0713168017230599E-2</v>
      </c>
      <c r="R25">
        <v>0.13185101966281801</v>
      </c>
      <c r="S25">
        <v>8.2905042966037207E-2</v>
      </c>
      <c r="T25">
        <v>-0.18123816227255701</v>
      </c>
      <c r="U25">
        <v>-0.133546051024312</v>
      </c>
      <c r="V25">
        <v>-0.14057873132670501</v>
      </c>
      <c r="W25">
        <v>8.2412689613180698E-2</v>
      </c>
      <c r="X25">
        <v>-0.123387571889474</v>
      </c>
      <c r="Y25">
        <v>-8.88144848356478E-2</v>
      </c>
      <c r="Z25">
        <v>-0.26652374337328799</v>
      </c>
      <c r="AA25">
        <v>0.98837988647821196</v>
      </c>
      <c r="AB25">
        <v>0.368673279654611</v>
      </c>
      <c r="AC25">
        <v>1.5514900404219101E-2</v>
      </c>
      <c r="AD25">
        <v>-0.161210223907848</v>
      </c>
      <c r="AE25">
        <v>-0.26652374337328799</v>
      </c>
      <c r="AF25">
        <v>-4.9627708404829203E-3</v>
      </c>
      <c r="AG25">
        <v>-0.26652374337328799</v>
      </c>
      <c r="AH25">
        <v>8.5162634925919495E-2</v>
      </c>
      <c r="AI25">
        <v>-0.13698934693602399</v>
      </c>
      <c r="AJ25">
        <v>-0.13512974563262001</v>
      </c>
      <c r="AK25">
        <v>0.26326057670477898</v>
      </c>
      <c r="AL25">
        <v>-0.26652374337328799</v>
      </c>
      <c r="AM25">
        <v>0.22538840430971999</v>
      </c>
      <c r="AN25">
        <v>-0.26652374337328799</v>
      </c>
      <c r="AO25">
        <v>-0.15785976598562401</v>
      </c>
      <c r="AP25">
        <v>-0.190022835801225</v>
      </c>
      <c r="AQ25">
        <v>5.0404013301528702E-2</v>
      </c>
      <c r="AR25">
        <v>-0.15054721272060101</v>
      </c>
      <c r="AS25">
        <v>4.0490190042826203E-2</v>
      </c>
      <c r="AT25">
        <v>-0.26652374337328799</v>
      </c>
      <c r="AU25">
        <v>8.2695255127154296E-2</v>
      </c>
      <c r="AV25">
        <v>-0.26652374337328799</v>
      </c>
      <c r="AW25">
        <v>-2.81460537599574E-2</v>
      </c>
      <c r="AX25">
        <v>-0.26652374337328799</v>
      </c>
      <c r="AY25">
        <v>-0.26652374337328799</v>
      </c>
      <c r="AZ25">
        <v>0.41002232208219203</v>
      </c>
      <c r="BA25">
        <v>-1.7001134776976901E-2</v>
      </c>
      <c r="BB25">
        <v>0.24733387001242901</v>
      </c>
      <c r="BC25">
        <v>0.39822619106606899</v>
      </c>
      <c r="BD25">
        <v>0.23338738196363401</v>
      </c>
      <c r="BE25">
        <v>0.261325455984042</v>
      </c>
      <c r="BF25">
        <v>-5.11944691753521E-2</v>
      </c>
      <c r="BG25">
        <v>2.2480743365108202E-2</v>
      </c>
      <c r="BH25">
        <v>6.8329959521763002E-3</v>
      </c>
      <c r="BI25">
        <v>0.18940457899923599</v>
      </c>
      <c r="BJ25">
        <v>-0.26652374337328799</v>
      </c>
      <c r="BK25">
        <v>9.2743053664416195E-2</v>
      </c>
      <c r="BL25">
        <v>-0.26652374337328799</v>
      </c>
      <c r="BM25">
        <v>-3.3987876436332901E-2</v>
      </c>
      <c r="BN25">
        <v>0.29350526252475501</v>
      </c>
      <c r="BO25">
        <v>-0.18507705677872299</v>
      </c>
      <c r="BP25">
        <v>-0.107381768166532</v>
      </c>
      <c r="BQ25">
        <v>1.71492813361942E-2</v>
      </c>
      <c r="BR25">
        <v>-8.2815860895327997E-2</v>
      </c>
      <c r="BS25">
        <v>0.25397128172556899</v>
      </c>
      <c r="BT25">
        <v>0.464878570907648</v>
      </c>
      <c r="BU25">
        <v>0.17979153499825601</v>
      </c>
      <c r="BV25">
        <v>-1.8685136689219499E-2</v>
      </c>
      <c r="BW25">
        <v>4.8918607691558202E-2</v>
      </c>
      <c r="BX25">
        <v>-0.104599191472493</v>
      </c>
      <c r="BY25">
        <v>0.21485091873416401</v>
      </c>
      <c r="BZ25">
        <v>-0.100964308039932</v>
      </c>
      <c r="CA25">
        <v>0.43131038662286703</v>
      </c>
      <c r="CB25">
        <v>0.55240520976539698</v>
      </c>
      <c r="CC25">
        <v>-0.26652374337328799</v>
      </c>
      <c r="CD25">
        <v>0.10190992095207201</v>
      </c>
      <c r="CE25">
        <v>6.0977893378516397E-2</v>
      </c>
      <c r="CF25">
        <v>-5.7201927415461602E-2</v>
      </c>
      <c r="CG25">
        <v>0.123234417863668</v>
      </c>
      <c r="CH25">
        <v>-0.115896246223454</v>
      </c>
      <c r="CI25">
        <v>8.8793423518839801E-2</v>
      </c>
      <c r="CJ25">
        <v>-0.26652374337328799</v>
      </c>
      <c r="CK25">
        <v>1.21721668789953E-2</v>
      </c>
      <c r="CL25">
        <v>-3.0277076733526202E-2</v>
      </c>
      <c r="CM25">
        <v>-0.17221186258014701</v>
      </c>
      <c r="CN25">
        <v>-0.26652374337328799</v>
      </c>
      <c r="CO25">
        <v>0.10994448950393799</v>
      </c>
      <c r="CP25">
        <v>-0.124774372056265</v>
      </c>
      <c r="CQ25">
        <v>0.15634524120377399</v>
      </c>
      <c r="CR25">
        <v>7.74120151249829E-2</v>
      </c>
      <c r="CS25">
        <v>-0.16184928083960901</v>
      </c>
      <c r="CT25">
        <v>0.23095924620205499</v>
      </c>
      <c r="CU25">
        <v>-0.168958598976686</v>
      </c>
      <c r="CV25">
        <v>0.12909133366659301</v>
      </c>
      <c r="CW25">
        <v>1.8878998451202101E-2</v>
      </c>
      <c r="CX25">
        <v>-7.8087811102033999E-2</v>
      </c>
      <c r="CY25">
        <v>0.14277578202927399</v>
      </c>
      <c r="CZ25">
        <v>-2.4981913803080898E-2</v>
      </c>
      <c r="DA25">
        <v>7.4875040676302101E-2</v>
      </c>
      <c r="DB25">
        <v>-0.14279690892251801</v>
      </c>
      <c r="DC25">
        <v>9.3045951242361799E-2</v>
      </c>
      <c r="DD25">
        <v>7.7920453434792994E-2</v>
      </c>
      <c r="DE25">
        <v>-1.8465457700708499E-2</v>
      </c>
      <c r="DF25">
        <v>-0.16264048712303</v>
      </c>
      <c r="DG25">
        <v>0.169235156950091</v>
      </c>
      <c r="DH25">
        <v>0.40185675899771001</v>
      </c>
      <c r="DI25">
        <v>0.10183039801748001</v>
      </c>
      <c r="DJ25">
        <v>-6.56005393437505E-2</v>
      </c>
      <c r="DK25">
        <v>-6.51091683173778E-2</v>
      </c>
      <c r="DL25" s="10">
        <v>-2.4479590955393701E-5</v>
      </c>
      <c r="DM25">
        <v>0.32826037477040299</v>
      </c>
      <c r="DN25">
        <v>-2.9927376228144599E-2</v>
      </c>
      <c r="DO25">
        <v>-0.15795935323712201</v>
      </c>
      <c r="DP25">
        <v>2.72796838472333E-2</v>
      </c>
      <c r="DQ25">
        <v>-0.14370648521985499</v>
      </c>
      <c r="DR25">
        <v>0.165770184414749</v>
      </c>
      <c r="DS25">
        <v>-0.14794148293206599</v>
      </c>
      <c r="DT25">
        <v>7.5332857459744296E-3</v>
      </c>
      <c r="DU25">
        <v>-6.9052753060436206E-2</v>
      </c>
      <c r="DV25">
        <v>-0.13053728843868301</v>
      </c>
      <c r="DW25">
        <v>5.4000597374625703E-2</v>
      </c>
      <c r="DX25">
        <v>-3.7842517406159099E-2</v>
      </c>
      <c r="DY25">
        <v>-5.8009268340384203E-2</v>
      </c>
      <c r="DZ25">
        <v>4.5602004011766097E-2</v>
      </c>
      <c r="EA25">
        <v>0.10407577039871101</v>
      </c>
      <c r="EB25">
        <v>-0.16798815671063999</v>
      </c>
      <c r="EC25">
        <v>0.21026469510316401</v>
      </c>
      <c r="ED25">
        <v>0.117036460239867</v>
      </c>
      <c r="EE25">
        <v>0.34273087438725602</v>
      </c>
      <c r="EF25">
        <v>0.1105307906191</v>
      </c>
      <c r="EG25">
        <v>7.9357125274427301E-2</v>
      </c>
      <c r="EH25">
        <v>4.9575271185120499E-2</v>
      </c>
      <c r="EI25">
        <v>0.113569052771663</v>
      </c>
      <c r="EJ25">
        <v>2.7295647617750701E-2</v>
      </c>
      <c r="EK25">
        <v>4.6816742290812202E-2</v>
      </c>
      <c r="EL25">
        <v>0.58160989621599402</v>
      </c>
      <c r="EM25">
        <v>-0.26652374337328799</v>
      </c>
      <c r="EN25">
        <v>-0.26652374337328799</v>
      </c>
      <c r="EO25">
        <v>-0.13127274851529999</v>
      </c>
      <c r="EP25">
        <v>0.21494267883159501</v>
      </c>
      <c r="EQ25">
        <v>4.4259672717026403E-2</v>
      </c>
      <c r="ER25">
        <v>-3.1185161225586299E-2</v>
      </c>
      <c r="ES25">
        <v>-8.17648184836616E-2</v>
      </c>
      <c r="ET25">
        <v>0.15481410140540799</v>
      </c>
      <c r="EU25">
        <v>-7.9057827395653299E-2</v>
      </c>
      <c r="EV25">
        <v>0.21760123152713801</v>
      </c>
      <c r="EW25">
        <v>8.1259877897363095E-2</v>
      </c>
      <c r="EX25">
        <v>5.6387175832053799E-2</v>
      </c>
      <c r="EY25">
        <v>-0.10358078615321401</v>
      </c>
      <c r="EZ25">
        <v>3.6513384729369401E-2</v>
      </c>
      <c r="FA25">
        <v>-0.17028068915700501</v>
      </c>
      <c r="FB25">
        <v>-2.2191892073676299E-2</v>
      </c>
      <c r="FC25">
        <v>0.13715129470225201</v>
      </c>
      <c r="FD25">
        <v>8.1407453176906008E-3</v>
      </c>
      <c r="FE25">
        <v>-8.2064547959364603E-2</v>
      </c>
      <c r="FF25">
        <v>0.166081361456453</v>
      </c>
      <c r="FG25">
        <v>-0.26652374337328799</v>
      </c>
      <c r="FH25">
        <v>0.234118331789895</v>
      </c>
      <c r="FI25">
        <v>-0.13629073802337099</v>
      </c>
      <c r="FJ25">
        <v>-2.4827115073456599E-2</v>
      </c>
      <c r="FK25">
        <v>-0.26652374337328799</v>
      </c>
      <c r="FL25">
        <v>5.65733023568133E-2</v>
      </c>
      <c r="FM25">
        <v>5.73509457332608E-2</v>
      </c>
      <c r="FN25">
        <v>0</v>
      </c>
      <c r="FO25">
        <v>6.6338972215916406E-2</v>
      </c>
      <c r="FP25">
        <v>0.12637451093184099</v>
      </c>
      <c r="FQ25">
        <v>8.2897243237589797E-3</v>
      </c>
      <c r="FR25">
        <v>-9.7271071098988901E-2</v>
      </c>
      <c r="FS25">
        <v>0.55052981489511599</v>
      </c>
      <c r="FT25">
        <v>-0.121799165378171</v>
      </c>
      <c r="FU25">
        <v>-0.149907976567073</v>
      </c>
      <c r="FV25">
        <v>0.106706907429403</v>
      </c>
      <c r="FW25">
        <v>0.258104778193952</v>
      </c>
      <c r="FX25">
        <v>9.7509789182061504E-2</v>
      </c>
      <c r="FY25">
        <v>9.8095646571840098E-2</v>
      </c>
      <c r="FZ25">
        <v>9.1897291687132204E-2</v>
      </c>
      <c r="GA25">
        <v>0.19174853002247499</v>
      </c>
      <c r="GB25">
        <v>0.14750819456066899</v>
      </c>
      <c r="GC25">
        <v>9.1410968163066098E-2</v>
      </c>
      <c r="GD25">
        <v>-0.26652374337328799</v>
      </c>
      <c r="GE25">
        <v>-0.21667599381762601</v>
      </c>
      <c r="GF25">
        <v>6.7440664606512005E-2</v>
      </c>
      <c r="GG25">
        <v>0.19834134553611199</v>
      </c>
      <c r="GH25">
        <v>-0.26652374337328799</v>
      </c>
      <c r="GI25">
        <v>0.44302306785512202</v>
      </c>
      <c r="GJ25">
        <v>-0.10931335809135</v>
      </c>
      <c r="GK25">
        <v>0.27738400126804402</v>
      </c>
      <c r="GL25">
        <v>-1.04936011353711E-2</v>
      </c>
      <c r="GM25">
        <v>0.26604395130284703</v>
      </c>
      <c r="GN25">
        <v>5.4012213841866198E-2</v>
      </c>
      <c r="GO25">
        <v>-8.1975331159042902E-2</v>
      </c>
      <c r="GP25">
        <v>-0.18154442881791999</v>
      </c>
      <c r="GQ25">
        <v>-1.62025514518784E-3</v>
      </c>
      <c r="GR25">
        <v>-0.143801758641356</v>
      </c>
      <c r="GS25">
        <v>-0.26652374337328799</v>
      </c>
      <c r="GT25">
        <v>-0.143677107487723</v>
      </c>
      <c r="GU25">
        <v>-3.7777203887260399E-2</v>
      </c>
      <c r="GV25">
        <v>1.30427312815287E-2</v>
      </c>
      <c r="GW25">
        <v>0.16424052265325201</v>
      </c>
      <c r="GX25">
        <v>-8.40924451538584E-2</v>
      </c>
      <c r="GY25">
        <v>-7.0018343014130102E-3</v>
      </c>
      <c r="GZ25">
        <v>-0.117966352192374</v>
      </c>
      <c r="HA25">
        <v>-0.186523927323269</v>
      </c>
      <c r="HB25">
        <v>-0.26652374337328799</v>
      </c>
      <c r="HC25">
        <v>0.117502806463482</v>
      </c>
    </row>
    <row r="26" spans="1:211" x14ac:dyDescent="0.25">
      <c r="A26" t="s">
        <v>267</v>
      </c>
      <c r="B26" t="s">
        <v>368</v>
      </c>
      <c r="C26">
        <v>7.3322944063642995E-2</v>
      </c>
      <c r="D26">
        <v>0</v>
      </c>
      <c r="E26">
        <v>0</v>
      </c>
      <c r="F26">
        <v>0</v>
      </c>
      <c r="G26">
        <v>0</v>
      </c>
      <c r="H26">
        <v>5.0588230557474002E-2</v>
      </c>
      <c r="I26">
        <v>0</v>
      </c>
      <c r="J26">
        <v>0</v>
      </c>
      <c r="K26">
        <v>0</v>
      </c>
      <c r="L26">
        <v>0</v>
      </c>
      <c r="M26">
        <v>0</v>
      </c>
      <c r="N26">
        <v>5.24590961475251E-2</v>
      </c>
      <c r="O26">
        <v>0</v>
      </c>
      <c r="P26">
        <v>0</v>
      </c>
      <c r="Q26">
        <v>7.47185363546089E-2</v>
      </c>
      <c r="R26">
        <v>0</v>
      </c>
      <c r="S26">
        <v>0</v>
      </c>
      <c r="T26">
        <v>8.5285581100731297E-2</v>
      </c>
      <c r="U26">
        <v>0</v>
      </c>
      <c r="V26">
        <v>6.4221065596303403E-2</v>
      </c>
      <c r="W26">
        <v>0</v>
      </c>
      <c r="X26">
        <v>0</v>
      </c>
      <c r="Y26">
        <v>0</v>
      </c>
      <c r="Z26">
        <v>0.22339201433115199</v>
      </c>
      <c r="AA26">
        <v>0</v>
      </c>
      <c r="AB26">
        <v>0</v>
      </c>
      <c r="AC26">
        <v>0</v>
      </c>
      <c r="AD26">
        <v>6.7171884818654701E-2</v>
      </c>
      <c r="AE26">
        <v>0</v>
      </c>
      <c r="AF26">
        <v>0</v>
      </c>
      <c r="AG26">
        <v>6.9151741336136496E-2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7.6500907572063501E-2</v>
      </c>
      <c r="AQ26">
        <v>0</v>
      </c>
      <c r="AR26">
        <v>0.115976530652688</v>
      </c>
      <c r="AS26">
        <v>0</v>
      </c>
      <c r="AT26">
        <v>0</v>
      </c>
      <c r="AU26">
        <v>0</v>
      </c>
      <c r="AV26">
        <v>0.31840813371337801</v>
      </c>
      <c r="AW26">
        <v>0</v>
      </c>
      <c r="AX26">
        <v>0</v>
      </c>
      <c r="AY26">
        <v>0</v>
      </c>
      <c r="AZ26">
        <v>0</v>
      </c>
      <c r="BA26">
        <v>3.7997905364583903E-2</v>
      </c>
      <c r="BB26">
        <v>0</v>
      </c>
      <c r="BC26">
        <v>0</v>
      </c>
      <c r="BD26">
        <v>3.2379837841080797E-2</v>
      </c>
      <c r="BE26">
        <v>0.116880502128602</v>
      </c>
      <c r="BF26">
        <v>0.227894412240356</v>
      </c>
      <c r="BG26">
        <v>0</v>
      </c>
      <c r="BH26">
        <v>7.2478582929834598E-2</v>
      </c>
      <c r="BI26">
        <v>5.6354139556913901E-2</v>
      </c>
      <c r="BJ26">
        <v>0</v>
      </c>
      <c r="BK26">
        <v>0.12930560620143899</v>
      </c>
      <c r="BL26">
        <v>0</v>
      </c>
      <c r="BM26">
        <v>0</v>
      </c>
      <c r="BN26">
        <v>0</v>
      </c>
      <c r="BO26">
        <v>0</v>
      </c>
      <c r="BP26">
        <v>0.381200911810051</v>
      </c>
      <c r="BQ26">
        <v>0</v>
      </c>
      <c r="BR26">
        <v>0</v>
      </c>
      <c r="BS26">
        <v>0</v>
      </c>
      <c r="BT26">
        <v>0.21844314920566399</v>
      </c>
      <c r="BU26">
        <v>0.23932496750915599</v>
      </c>
      <c r="BV26">
        <v>0.12882668011399501</v>
      </c>
      <c r="BW26">
        <v>0</v>
      </c>
      <c r="BX26">
        <v>0</v>
      </c>
      <c r="BY26">
        <v>0</v>
      </c>
      <c r="BZ26">
        <v>0.16555943533335599</v>
      </c>
      <c r="CA26">
        <v>0.25735001593423901</v>
      </c>
      <c r="CB26">
        <v>0</v>
      </c>
      <c r="CC26">
        <v>6.8526514950210199E-2</v>
      </c>
      <c r="CD26">
        <v>0</v>
      </c>
      <c r="CE26">
        <v>6.3084376105442999E-2</v>
      </c>
      <c r="CF26">
        <v>8.4248473506903898E-2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0.54871417898320596</v>
      </c>
      <c r="CM26">
        <v>0</v>
      </c>
      <c r="CN26">
        <v>0.178871353763083</v>
      </c>
      <c r="CO26">
        <v>0</v>
      </c>
      <c r="CP26">
        <v>0.141749371317023</v>
      </c>
      <c r="CQ26">
        <v>0.24586782305329699</v>
      </c>
      <c r="CR26">
        <v>0</v>
      </c>
      <c r="CS26">
        <v>0.104674462533679</v>
      </c>
      <c r="CT26">
        <v>0</v>
      </c>
      <c r="CU26">
        <v>4.9395901862327597E-2</v>
      </c>
      <c r="CV26">
        <v>0.120156158466656</v>
      </c>
      <c r="CW26">
        <v>0</v>
      </c>
      <c r="CX26">
        <v>0</v>
      </c>
      <c r="CY26">
        <v>3.90800731030038E-2</v>
      </c>
      <c r="CZ26">
        <v>0</v>
      </c>
      <c r="DA26">
        <v>0</v>
      </c>
      <c r="DB26">
        <v>4.88290144995304E-2</v>
      </c>
      <c r="DC26">
        <v>0</v>
      </c>
      <c r="DD26">
        <v>0.141098214702331</v>
      </c>
      <c r="DE26">
        <v>0</v>
      </c>
      <c r="DF26">
        <v>0</v>
      </c>
      <c r="DG26">
        <v>0</v>
      </c>
      <c r="DH26">
        <v>0.15255823793015799</v>
      </c>
      <c r="DI26">
        <v>0.134018022830691</v>
      </c>
      <c r="DJ26">
        <v>3.7377654249904697E-2</v>
      </c>
      <c r="DK26">
        <v>8.3017111337793104E-2</v>
      </c>
      <c r="DL26">
        <v>0.18524598626970201</v>
      </c>
      <c r="DM26">
        <v>0</v>
      </c>
      <c r="DN26">
        <v>0</v>
      </c>
      <c r="DO26">
        <v>7.3009658173682296E-2</v>
      </c>
      <c r="DP26">
        <v>3.1896445430524202E-2</v>
      </c>
      <c r="DQ26">
        <v>0.122817258153433</v>
      </c>
      <c r="DR26">
        <v>0</v>
      </c>
      <c r="DS26">
        <v>0</v>
      </c>
      <c r="DT26">
        <v>0.12964373289516301</v>
      </c>
      <c r="DU26">
        <v>4.5028333483079303E-2</v>
      </c>
      <c r="DV26">
        <v>0</v>
      </c>
      <c r="DW26">
        <v>0</v>
      </c>
      <c r="DX26">
        <v>0.152973313218395</v>
      </c>
      <c r="DY26">
        <v>0.10767420198994999</v>
      </c>
      <c r="DZ26">
        <v>8.3716896368759799E-2</v>
      </c>
      <c r="EA26">
        <v>0.105442682508571</v>
      </c>
      <c r="EB26">
        <v>0</v>
      </c>
      <c r="EC26">
        <v>0.24875118951276901</v>
      </c>
      <c r="ED26">
        <v>0.23572331252939099</v>
      </c>
      <c r="EE26">
        <v>0</v>
      </c>
      <c r="EF26">
        <v>6.9151051521479406E-2</v>
      </c>
      <c r="EG26">
        <v>5.6273147524334502E-2</v>
      </c>
      <c r="EH26">
        <v>9.3407390312907707E-2</v>
      </c>
      <c r="EI26">
        <v>0.13369978026411999</v>
      </c>
      <c r="EJ26">
        <v>0</v>
      </c>
      <c r="EK26">
        <v>0</v>
      </c>
      <c r="EL26">
        <v>0.28734569023774198</v>
      </c>
      <c r="EM26">
        <v>0</v>
      </c>
      <c r="EN26">
        <v>0.34415520547089801</v>
      </c>
      <c r="EO26">
        <v>0.32884960909771899</v>
      </c>
      <c r="EP26">
        <v>0</v>
      </c>
      <c r="EQ26">
        <v>0.355708067258317</v>
      </c>
      <c r="ER26">
        <v>0</v>
      </c>
      <c r="ES26">
        <v>0</v>
      </c>
      <c r="ET26">
        <v>8.3844927329188093E-2</v>
      </c>
      <c r="EU26">
        <v>0</v>
      </c>
      <c r="EV26">
        <v>0.27652662208766299</v>
      </c>
      <c r="EW26">
        <v>0.15895912996842501</v>
      </c>
      <c r="EX26">
        <v>8.7287460077092094E-2</v>
      </c>
      <c r="EY26">
        <v>0</v>
      </c>
      <c r="EZ26">
        <v>0</v>
      </c>
      <c r="FA26">
        <v>9.6243054216283694E-2</v>
      </c>
      <c r="FB26">
        <v>0</v>
      </c>
      <c r="FC26">
        <v>0.21446195656689199</v>
      </c>
      <c r="FD26">
        <v>0.13691001405282499</v>
      </c>
      <c r="FE26">
        <v>0</v>
      </c>
      <c r="FF26">
        <v>0.119489998276544</v>
      </c>
      <c r="FG26">
        <v>0</v>
      </c>
      <c r="FH26">
        <v>0.55661866308362196</v>
      </c>
      <c r="FI26">
        <v>0.130233005349917</v>
      </c>
      <c r="FJ26">
        <v>0</v>
      </c>
      <c r="FK26">
        <v>0</v>
      </c>
      <c r="FL26">
        <v>0</v>
      </c>
      <c r="FM26">
        <v>0</v>
      </c>
      <c r="FN26">
        <v>7.8676926504957806E-2</v>
      </c>
      <c r="FO26">
        <v>0.18036543070201</v>
      </c>
      <c r="FP26">
        <v>6.2685072413836002E-2</v>
      </c>
      <c r="FQ26">
        <v>0</v>
      </c>
      <c r="FR26">
        <v>0</v>
      </c>
      <c r="FS26">
        <v>0</v>
      </c>
      <c r="FT26">
        <v>0.125377153850804</v>
      </c>
      <c r="FU26">
        <v>0.28570535750460102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0.24752069514399799</v>
      </c>
      <c r="GD26">
        <v>0.29221424332108697</v>
      </c>
      <c r="GE26">
        <v>9.8289851092727795E-2</v>
      </c>
      <c r="GF26">
        <v>0</v>
      </c>
      <c r="GG26">
        <v>0.173246081082991</v>
      </c>
      <c r="GH26">
        <v>0</v>
      </c>
      <c r="GI26">
        <v>0</v>
      </c>
      <c r="GJ26">
        <v>9.2759272053783606E-2</v>
      </c>
      <c r="GK26">
        <v>0</v>
      </c>
      <c r="GL26">
        <v>5.9305902762271302E-2</v>
      </c>
      <c r="GM26">
        <v>0.106303541992433</v>
      </c>
      <c r="GN26">
        <v>0</v>
      </c>
      <c r="GO26">
        <v>0</v>
      </c>
      <c r="GP26">
        <v>0.16564122114452101</v>
      </c>
      <c r="GQ26">
        <v>0.181545218536703</v>
      </c>
      <c r="GR26">
        <v>0.190498883521003</v>
      </c>
      <c r="GS26">
        <v>0</v>
      </c>
      <c r="GT26">
        <v>0.34408415782127</v>
      </c>
      <c r="GU26">
        <v>0</v>
      </c>
      <c r="GV26">
        <v>0.37604818954193198</v>
      </c>
      <c r="GW26">
        <v>8.5928347625819607E-2</v>
      </c>
      <c r="GX26">
        <v>0</v>
      </c>
      <c r="GY26">
        <v>0.17419036467398399</v>
      </c>
      <c r="GZ26">
        <v>0</v>
      </c>
      <c r="HA26">
        <v>0</v>
      </c>
      <c r="HB26">
        <v>0.286553273004793</v>
      </c>
      <c r="HC26">
        <v>0.38402654983677098</v>
      </c>
    </row>
    <row r="27" spans="1:211" x14ac:dyDescent="0.25">
      <c r="A27" t="s">
        <v>267</v>
      </c>
      <c r="B27" t="s">
        <v>369</v>
      </c>
      <c r="C27">
        <v>0.162171842631542</v>
      </c>
      <c r="D27">
        <v>6.9411082601717494E-2</v>
      </c>
      <c r="E27">
        <v>4.7243588110225998E-2</v>
      </c>
      <c r="F27">
        <v>0</v>
      </c>
      <c r="G27">
        <v>8.7143039284198601E-2</v>
      </c>
      <c r="H27">
        <v>0</v>
      </c>
      <c r="I27">
        <v>0</v>
      </c>
      <c r="J27">
        <v>0.135973695810265</v>
      </c>
      <c r="K27">
        <v>0.148177957873316</v>
      </c>
      <c r="L27">
        <v>7.7626556282709799E-2</v>
      </c>
      <c r="M27">
        <v>0</v>
      </c>
      <c r="N27">
        <v>0.10352421755919</v>
      </c>
      <c r="O27">
        <v>4.2085181631320301E-2</v>
      </c>
      <c r="P27">
        <v>6.6480937907045096E-2</v>
      </c>
      <c r="Q27">
        <v>0.222193531678646</v>
      </c>
      <c r="R27">
        <v>8.0780904827724903E-2</v>
      </c>
      <c r="S27">
        <v>0.14798368292044201</v>
      </c>
      <c r="T27">
        <v>8.5285581100731297E-2</v>
      </c>
      <c r="U27">
        <v>0</v>
      </c>
      <c r="V27">
        <v>6.4221065596303403E-2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0.18916132689120699</v>
      </c>
      <c r="AC27">
        <v>0.28203864377750698</v>
      </c>
      <c r="AD27">
        <v>0</v>
      </c>
      <c r="AE27">
        <v>0</v>
      </c>
      <c r="AF27">
        <v>9.2180646851826906E-2</v>
      </c>
      <c r="AG27">
        <v>0</v>
      </c>
      <c r="AH27">
        <v>0</v>
      </c>
      <c r="AI27">
        <v>0</v>
      </c>
      <c r="AJ27">
        <v>0.47135782251038</v>
      </c>
      <c r="AK27">
        <v>0.14486861271495299</v>
      </c>
      <c r="AL27">
        <v>0</v>
      </c>
      <c r="AM27">
        <v>0</v>
      </c>
      <c r="AN27">
        <v>0</v>
      </c>
      <c r="AO27">
        <v>0.39472601204183599</v>
      </c>
      <c r="AP27">
        <v>0.50429829675823101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0.55229177752206005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0.15809622465752701</v>
      </c>
      <c r="BD27">
        <v>0</v>
      </c>
      <c r="BE27">
        <v>0.116880502128602</v>
      </c>
      <c r="BF27">
        <v>0</v>
      </c>
      <c r="BG27">
        <v>0</v>
      </c>
      <c r="BH27">
        <v>7.2478582929834598E-2</v>
      </c>
      <c r="BI27">
        <v>5.6354139556913901E-2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8.1446686594565498E-2</v>
      </c>
      <c r="BP27">
        <v>0</v>
      </c>
      <c r="BQ27">
        <v>0.28367302470948302</v>
      </c>
      <c r="BR27">
        <v>0</v>
      </c>
      <c r="BS27">
        <v>0</v>
      </c>
      <c r="BT27">
        <v>0</v>
      </c>
      <c r="BU27">
        <v>0</v>
      </c>
      <c r="BV27">
        <v>0.12882668011399501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0.57807736793712505</v>
      </c>
      <c r="CD27">
        <v>6.0099293578207598E-2</v>
      </c>
      <c r="CE27">
        <v>0.14394099230032301</v>
      </c>
      <c r="CF27">
        <v>8.4248473506903898E-2</v>
      </c>
      <c r="CG27">
        <v>0.389758161236956</v>
      </c>
      <c r="CH27">
        <v>0.120425231054152</v>
      </c>
      <c r="CI27">
        <v>0.240840063648149</v>
      </c>
      <c r="CJ27">
        <v>0.23624779282528999</v>
      </c>
      <c r="CK27">
        <v>0</v>
      </c>
      <c r="CL27">
        <v>0.23624666663976199</v>
      </c>
      <c r="CM27">
        <v>0</v>
      </c>
      <c r="CN27">
        <v>0</v>
      </c>
      <c r="CO27">
        <v>0.19996838604177999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4.0865218918030501E-2</v>
      </c>
      <c r="CW27">
        <v>0</v>
      </c>
      <c r="CX27">
        <v>0.17518345496423901</v>
      </c>
      <c r="CY27">
        <v>0</v>
      </c>
      <c r="CZ27">
        <v>0</v>
      </c>
      <c r="DA27">
        <v>0</v>
      </c>
      <c r="DB27">
        <v>0</v>
      </c>
      <c r="DC27">
        <v>0.108451893955146</v>
      </c>
      <c r="DD27">
        <v>4.5664737093077799E-2</v>
      </c>
      <c r="DE27">
        <v>0</v>
      </c>
      <c r="DF27">
        <v>0</v>
      </c>
      <c r="DG27">
        <v>5.6768843891167001E-2</v>
      </c>
      <c r="DH27">
        <v>0</v>
      </c>
      <c r="DI27">
        <v>0</v>
      </c>
      <c r="DJ27">
        <v>3.7377654249904697E-2</v>
      </c>
      <c r="DK27">
        <v>4.1944004299938498E-2</v>
      </c>
      <c r="DL27">
        <v>3.71465045752499E-2</v>
      </c>
      <c r="DM27">
        <v>0</v>
      </c>
      <c r="DN27">
        <v>3.2092661190895697E-2</v>
      </c>
      <c r="DO27">
        <v>0</v>
      </c>
      <c r="DP27">
        <v>0</v>
      </c>
      <c r="DQ27">
        <v>0</v>
      </c>
      <c r="DR27">
        <v>7.3470985246821205E-2</v>
      </c>
      <c r="DS27">
        <v>0</v>
      </c>
      <c r="DT27">
        <v>0.15394253387564399</v>
      </c>
      <c r="DU27">
        <v>0</v>
      </c>
      <c r="DV27">
        <v>9.1868283475370294E-2</v>
      </c>
      <c r="DW27">
        <v>9.7743733561867399E-2</v>
      </c>
      <c r="DX27">
        <v>8.2497509234472494E-2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6.8072025127654895E-2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8.3844927329188093E-2</v>
      </c>
      <c r="EU27">
        <v>0</v>
      </c>
      <c r="EV27">
        <v>0</v>
      </c>
      <c r="EW27">
        <v>2.5041964735762999E-2</v>
      </c>
      <c r="EX27">
        <v>0</v>
      </c>
      <c r="EY27">
        <v>8.3537549760195007E-2</v>
      </c>
      <c r="EZ27">
        <v>0.10743839495667699</v>
      </c>
      <c r="FA27">
        <v>0</v>
      </c>
      <c r="FB27">
        <v>0</v>
      </c>
      <c r="FC27">
        <v>0</v>
      </c>
      <c r="FD27">
        <v>0</v>
      </c>
      <c r="FE27">
        <v>0.14777316697668</v>
      </c>
      <c r="FF27">
        <v>0.23070543000045499</v>
      </c>
      <c r="FG27">
        <v>0</v>
      </c>
      <c r="FH27">
        <v>0</v>
      </c>
      <c r="FI27">
        <v>6.6440024981408496E-2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6.2685072413836002E-2</v>
      </c>
      <c r="FQ27">
        <v>0</v>
      </c>
      <c r="FR27">
        <v>0</v>
      </c>
      <c r="FS27">
        <v>0</v>
      </c>
      <c r="FT27">
        <v>4.9539386526737901E-2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0.18442116522854801</v>
      </c>
      <c r="GJ27">
        <v>0</v>
      </c>
      <c r="GK27">
        <v>0</v>
      </c>
      <c r="GL27">
        <v>0</v>
      </c>
      <c r="GM27">
        <v>5.3955289574618398E-2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 t="s">
        <v>267</v>
      </c>
      <c r="B28" t="s">
        <v>370</v>
      </c>
      <c r="C28">
        <v>0</v>
      </c>
      <c r="D28">
        <v>0</v>
      </c>
      <c r="E28">
        <v>0</v>
      </c>
      <c r="F28">
        <v>0</v>
      </c>
      <c r="G28">
        <v>4.4106643934412902E-2</v>
      </c>
      <c r="H28">
        <v>0</v>
      </c>
      <c r="I28">
        <v>0</v>
      </c>
      <c r="J28">
        <v>0.135973695810265</v>
      </c>
      <c r="K28">
        <v>5.0673369705079699E-2</v>
      </c>
      <c r="L28">
        <v>3.9217345089695398E-2</v>
      </c>
      <c r="M28">
        <v>0</v>
      </c>
      <c r="N28">
        <v>0</v>
      </c>
      <c r="O28">
        <v>0</v>
      </c>
      <c r="P28">
        <v>0.13053587843144701</v>
      </c>
      <c r="Q28">
        <v>2.9263455477480198E-2</v>
      </c>
      <c r="R28">
        <v>8.0780904827724903E-2</v>
      </c>
      <c r="S28">
        <v>0.118266585723349</v>
      </c>
      <c r="T28">
        <v>0</v>
      </c>
      <c r="U28">
        <v>0</v>
      </c>
      <c r="V28">
        <v>0</v>
      </c>
      <c r="W28">
        <v>0</v>
      </c>
      <c r="X28">
        <v>0</v>
      </c>
      <c r="Y28">
        <v>0.17770925853764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0.19325203830997001</v>
      </c>
      <c r="AK28">
        <v>0</v>
      </c>
      <c r="AL28">
        <v>0</v>
      </c>
      <c r="AM28">
        <v>0</v>
      </c>
      <c r="AN28">
        <v>0.22850842611265201</v>
      </c>
      <c r="AO28">
        <v>0.39472601204183599</v>
      </c>
      <c r="AP28">
        <v>0.25848288804533898</v>
      </c>
      <c r="AQ28">
        <v>0</v>
      </c>
      <c r="AR28">
        <v>0.115976530652688</v>
      </c>
      <c r="AS28">
        <v>0</v>
      </c>
      <c r="AT28">
        <v>0</v>
      </c>
      <c r="AU28">
        <v>0</v>
      </c>
      <c r="AV28">
        <v>0</v>
      </c>
      <c r="AW28">
        <v>0.44392352784332301</v>
      </c>
      <c r="AX28">
        <v>0</v>
      </c>
      <c r="AY28">
        <v>0</v>
      </c>
      <c r="AZ28">
        <v>0</v>
      </c>
      <c r="BA28">
        <v>3.7997905364583903E-2</v>
      </c>
      <c r="BB28">
        <v>0</v>
      </c>
      <c r="BC28">
        <v>0</v>
      </c>
      <c r="BD28">
        <v>3.2379837841080797E-2</v>
      </c>
      <c r="BE28">
        <v>0</v>
      </c>
      <c r="BF28">
        <v>0</v>
      </c>
      <c r="BG28">
        <v>0</v>
      </c>
      <c r="BH28">
        <v>7.2478582929834598E-2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0.21844314920566399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0.27568080286890001</v>
      </c>
      <c r="CC28">
        <v>0.31573143518646402</v>
      </c>
      <c r="CD28">
        <v>0</v>
      </c>
      <c r="CE28">
        <v>4.2298849119303303E-2</v>
      </c>
      <c r="CF28">
        <v>0</v>
      </c>
      <c r="CG28">
        <v>0</v>
      </c>
      <c r="CH28">
        <v>0</v>
      </c>
      <c r="CI28">
        <v>8.4232271932848296E-2</v>
      </c>
      <c r="CJ28">
        <v>0.23624779282528999</v>
      </c>
      <c r="CK28">
        <v>0</v>
      </c>
      <c r="CL28">
        <v>0</v>
      </c>
      <c r="CM28">
        <v>0</v>
      </c>
      <c r="CN28">
        <v>0</v>
      </c>
      <c r="CO28">
        <v>0.19996838604177999</v>
      </c>
      <c r="CP28">
        <v>0</v>
      </c>
      <c r="CQ28">
        <v>0.102080699733219</v>
      </c>
      <c r="CR28">
        <v>8.0921832201189106E-2</v>
      </c>
      <c r="CS28">
        <v>0.20277365230692701</v>
      </c>
      <c r="CT28">
        <v>0</v>
      </c>
      <c r="CU28">
        <v>0.190495103824706</v>
      </c>
      <c r="CV28">
        <v>0</v>
      </c>
      <c r="CW28">
        <v>0</v>
      </c>
      <c r="CX28">
        <v>5.4341933552554997E-2</v>
      </c>
      <c r="CY28">
        <v>0.151588613689113</v>
      </c>
      <c r="CZ28">
        <v>0</v>
      </c>
      <c r="DA28">
        <v>0</v>
      </c>
      <c r="DB28">
        <v>4.88290144995304E-2</v>
      </c>
      <c r="DC28">
        <v>0</v>
      </c>
      <c r="DD28">
        <v>4.5664737093077799E-2</v>
      </c>
      <c r="DE28">
        <v>0</v>
      </c>
      <c r="DF28">
        <v>0</v>
      </c>
      <c r="DG28">
        <v>5.6768843891167001E-2</v>
      </c>
      <c r="DH28">
        <v>0</v>
      </c>
      <c r="DI28">
        <v>2.7468756420785299E-2</v>
      </c>
      <c r="DJ28">
        <v>0</v>
      </c>
      <c r="DK28">
        <v>8.3017111337793104E-2</v>
      </c>
      <c r="DL28">
        <v>0.16509043624629199</v>
      </c>
      <c r="DM28">
        <v>0</v>
      </c>
      <c r="DN28">
        <v>6.3683224139960706E-2</v>
      </c>
      <c r="DO28">
        <v>0</v>
      </c>
      <c r="DP28">
        <v>3.1896445430524202E-2</v>
      </c>
      <c r="DQ28">
        <v>0</v>
      </c>
      <c r="DR28">
        <v>0</v>
      </c>
      <c r="DS28">
        <v>0.118582260441223</v>
      </c>
      <c r="DT28">
        <v>6.9578067748588907E-2</v>
      </c>
      <c r="DU28">
        <v>0</v>
      </c>
      <c r="DV28">
        <v>0</v>
      </c>
      <c r="DW28">
        <v>7.7909946588473306E-2</v>
      </c>
      <c r="DX28">
        <v>5.2507044355739302E-2</v>
      </c>
      <c r="DY28">
        <v>0.10767420198994999</v>
      </c>
      <c r="DZ28">
        <v>8.3716896368759799E-2</v>
      </c>
      <c r="EA28">
        <v>5.35121333314999E-2</v>
      </c>
      <c r="EB28">
        <v>0</v>
      </c>
      <c r="EC28">
        <v>0</v>
      </c>
      <c r="ED28">
        <v>0</v>
      </c>
      <c r="EE28">
        <v>8.2855797592275598E-2</v>
      </c>
      <c r="EF28">
        <v>0</v>
      </c>
      <c r="EG28">
        <v>3.5714029006097298E-2</v>
      </c>
      <c r="EH28">
        <v>0</v>
      </c>
      <c r="EI28">
        <v>0</v>
      </c>
      <c r="EJ28">
        <v>1.6919052687274401</v>
      </c>
      <c r="EK28">
        <v>0.16474749641019101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9.6451335253110101E-2</v>
      </c>
      <c r="EV28">
        <v>0.21777417725082901</v>
      </c>
      <c r="EW28">
        <v>2.5041964735762999E-2</v>
      </c>
      <c r="EX28">
        <v>3.4241005244577898E-2</v>
      </c>
      <c r="EY28">
        <v>8.3537549760195007E-2</v>
      </c>
      <c r="EZ28">
        <v>0</v>
      </c>
      <c r="FA28">
        <v>0</v>
      </c>
      <c r="FB28">
        <v>0</v>
      </c>
      <c r="FC28">
        <v>0.21446195656689199</v>
      </c>
      <c r="FD28">
        <v>0</v>
      </c>
      <c r="FE28">
        <v>9.4706153445149696E-2</v>
      </c>
      <c r="FF28">
        <v>0.119489998276544</v>
      </c>
      <c r="FG28">
        <v>0</v>
      </c>
      <c r="FH28">
        <v>0.197459467334726</v>
      </c>
      <c r="FI28">
        <v>0.19159230229466601</v>
      </c>
      <c r="FJ28">
        <v>7.1082033171792E-2</v>
      </c>
      <c r="FK28">
        <v>0</v>
      </c>
      <c r="FL28">
        <v>0.132896003093607</v>
      </c>
      <c r="FM28">
        <v>8.7290722087359301E-2</v>
      </c>
      <c r="FN28">
        <v>0</v>
      </c>
      <c r="FO28">
        <v>7.2129468472401995E-2</v>
      </c>
      <c r="FP28">
        <v>0</v>
      </c>
      <c r="FQ28">
        <v>9.6711304295129599E-2</v>
      </c>
      <c r="FR28">
        <v>0</v>
      </c>
      <c r="FS28">
        <v>0.16252866354718901</v>
      </c>
      <c r="FT28">
        <v>4.9539386526737901E-2</v>
      </c>
      <c r="FU28">
        <v>0</v>
      </c>
      <c r="FV28">
        <v>0.15512970346695101</v>
      </c>
      <c r="FW28">
        <v>0.148696881887278</v>
      </c>
      <c r="FX28">
        <v>0</v>
      </c>
      <c r="FY28">
        <v>0.19312221660669099</v>
      </c>
      <c r="FZ28">
        <v>0</v>
      </c>
      <c r="GA28">
        <v>0</v>
      </c>
      <c r="GB28">
        <v>0</v>
      </c>
      <c r="GC28">
        <v>0</v>
      </c>
      <c r="GD28">
        <v>0.23579425207591301</v>
      </c>
      <c r="GE28">
        <v>0</v>
      </c>
      <c r="GF28">
        <v>5.52609206594806E-2</v>
      </c>
      <c r="GG28">
        <v>9.8810679508334207E-2</v>
      </c>
      <c r="GH28">
        <v>0</v>
      </c>
      <c r="GI28">
        <v>0</v>
      </c>
      <c r="GJ28">
        <v>6.2328979340955798E-2</v>
      </c>
      <c r="GK28">
        <v>7.2780585861602798E-2</v>
      </c>
      <c r="GL28">
        <v>5.9305902762271302E-2</v>
      </c>
      <c r="GM28">
        <v>0</v>
      </c>
      <c r="GN28">
        <v>0</v>
      </c>
      <c r="GO28">
        <v>0</v>
      </c>
      <c r="GP28">
        <v>0</v>
      </c>
      <c r="GQ28">
        <v>9.3442635844618899E-2</v>
      </c>
      <c r="GR28">
        <v>0</v>
      </c>
      <c r="GS28">
        <v>0</v>
      </c>
      <c r="GT28">
        <v>0</v>
      </c>
      <c r="GU28">
        <v>0.18386747791331901</v>
      </c>
      <c r="GV28">
        <v>0.22038130496702699</v>
      </c>
      <c r="GW28">
        <v>0</v>
      </c>
      <c r="GX28">
        <v>0</v>
      </c>
      <c r="GY28">
        <v>0</v>
      </c>
      <c r="GZ28">
        <v>0.14855739118091399</v>
      </c>
      <c r="HA28">
        <v>7.9999816050019101E-2</v>
      </c>
      <c r="HB28">
        <v>0.101312015738348</v>
      </c>
      <c r="HC28">
        <v>0.20359248930535301</v>
      </c>
    </row>
    <row r="29" spans="1:211" x14ac:dyDescent="0.25">
      <c r="A29" t="s">
        <v>267</v>
      </c>
      <c r="B29" t="s">
        <v>371</v>
      </c>
      <c r="C29">
        <v>-6.2150560003615699E-2</v>
      </c>
      <c r="D29">
        <v>0</v>
      </c>
      <c r="E29">
        <v>-1.54982228844161E-2</v>
      </c>
      <c r="F29">
        <v>-0.108726117132802</v>
      </c>
      <c r="G29">
        <v>6.1499878644918703E-2</v>
      </c>
      <c r="H29">
        <v>-5.8137886575327598E-2</v>
      </c>
      <c r="I29">
        <v>-7.4611557965208802E-3</v>
      </c>
      <c r="J29">
        <v>2.7247578677463399E-2</v>
      </c>
      <c r="K29">
        <v>3.9451840740514402E-2</v>
      </c>
      <c r="L29">
        <v>-3.1099560850091499E-2</v>
      </c>
      <c r="M29">
        <v>-1.1088487841535301E-2</v>
      </c>
      <c r="N29">
        <v>1.7516802239188001E-2</v>
      </c>
      <c r="O29">
        <v>-0.108726117132802</v>
      </c>
      <c r="P29">
        <v>8.3627024697060903E-2</v>
      </c>
      <c r="Q29">
        <v>-6.2556757117268894E-2</v>
      </c>
      <c r="R29">
        <v>-4.9719227129076098E-3</v>
      </c>
      <c r="S29">
        <v>3.9257565787640399E-2</v>
      </c>
      <c r="T29">
        <v>-0.108726117132802</v>
      </c>
      <c r="U29">
        <v>-4.0899208483740297E-2</v>
      </c>
      <c r="V29">
        <v>-0.108726117132802</v>
      </c>
      <c r="W29">
        <v>-0.108726117132802</v>
      </c>
      <c r="X29">
        <v>-0.108726117132802</v>
      </c>
      <c r="Y29">
        <v>0.22803004801299701</v>
      </c>
      <c r="Z29">
        <v>0.11466589719835101</v>
      </c>
      <c r="AA29">
        <v>-0.108726117132802</v>
      </c>
      <c r="AB29">
        <v>0.24878843443196599</v>
      </c>
      <c r="AC29">
        <v>-0.108726117132802</v>
      </c>
      <c r="AD29">
        <v>-4.1554232314146802E-2</v>
      </c>
      <c r="AE29">
        <v>-0.108726117132802</v>
      </c>
      <c r="AF29">
        <v>-0.108726117132802</v>
      </c>
      <c r="AG29">
        <v>-3.9574375796665097E-2</v>
      </c>
      <c r="AH29">
        <v>-0.108726117132802</v>
      </c>
      <c r="AI29">
        <v>8.1955775550668797E-2</v>
      </c>
      <c r="AJ29">
        <v>-4.1676003974678501E-2</v>
      </c>
      <c r="AK29">
        <v>-0.108726117132802</v>
      </c>
      <c r="AL29">
        <v>-0.108726117132802</v>
      </c>
      <c r="AM29">
        <v>-0.108726117132802</v>
      </c>
      <c r="AN29">
        <v>0.11978230897985</v>
      </c>
      <c r="AO29" s="10">
        <v>-6.21397451367302E-5</v>
      </c>
      <c r="AP29">
        <v>4.0700558278703697E-2</v>
      </c>
      <c r="AQ29">
        <v>-2.94334906189203E-2</v>
      </c>
      <c r="AR29">
        <v>0.11524131951229299</v>
      </c>
      <c r="AS29">
        <v>-0.108726117132802</v>
      </c>
      <c r="AT29">
        <v>0.27704545001104702</v>
      </c>
      <c r="AU29">
        <v>7.6040561188947003E-2</v>
      </c>
      <c r="AV29">
        <v>-0.108726117132802</v>
      </c>
      <c r="AW29">
        <v>0.335197410710521</v>
      </c>
      <c r="AX29">
        <v>-0.108726117132802</v>
      </c>
      <c r="AY29">
        <v>-0.108726117132802</v>
      </c>
      <c r="AZ29">
        <v>-0.108726117132802</v>
      </c>
      <c r="BA29">
        <v>1.4305668691771E-2</v>
      </c>
      <c r="BB29">
        <v>-0.108726117132802</v>
      </c>
      <c r="BC29">
        <v>0.19256493129771801</v>
      </c>
      <c r="BD29">
        <v>9.4566723365389196E-2</v>
      </c>
      <c r="BE29">
        <v>-4.9309122562260797E-2</v>
      </c>
      <c r="BF29">
        <v>1.4502314628936201E-2</v>
      </c>
      <c r="BG29">
        <v>-3.1558963278796801E-2</v>
      </c>
      <c r="BH29">
        <v>-1.1191719464967501E-3</v>
      </c>
      <c r="BI29">
        <v>-5.2371977575887602E-2</v>
      </c>
      <c r="BJ29">
        <v>-0.108726117132802</v>
      </c>
      <c r="BK29">
        <v>-0.108726117132802</v>
      </c>
      <c r="BL29">
        <v>-0.108726117132802</v>
      </c>
      <c r="BM29">
        <v>0.123809749804154</v>
      </c>
      <c r="BN29">
        <v>-0.108726117132802</v>
      </c>
      <c r="BO29">
        <v>-0.108726117132802</v>
      </c>
      <c r="BP29">
        <v>5.0415858073954503E-2</v>
      </c>
      <c r="BQ29">
        <v>-0.108726117132802</v>
      </c>
      <c r="BR29">
        <v>-0.108726117132802</v>
      </c>
      <c r="BS29">
        <v>-0.108726117132802</v>
      </c>
      <c r="BT29">
        <v>0.109717032072862</v>
      </c>
      <c r="BU29">
        <v>-0.108726117132802</v>
      </c>
      <c r="BV29">
        <v>-0.108726117132802</v>
      </c>
      <c r="BW29">
        <v>0.206716233932045</v>
      </c>
      <c r="BX29">
        <v>-2.5639277431482001E-2</v>
      </c>
      <c r="BY29">
        <v>-0.108726117132802</v>
      </c>
      <c r="BZ29">
        <v>-0.108726117132802</v>
      </c>
      <c r="CA29">
        <v>-0.108726117132802</v>
      </c>
      <c r="CB29">
        <v>-0.108726117132802</v>
      </c>
      <c r="CC29">
        <v>-0.108726117132802</v>
      </c>
      <c r="CD29">
        <v>9.3142024255539208E-3</v>
      </c>
      <c r="CE29">
        <v>0.134735254646563</v>
      </c>
      <c r="CF29">
        <v>2.28234603666457E-2</v>
      </c>
      <c r="CG29">
        <v>0.33532074984342403</v>
      </c>
      <c r="CH29">
        <v>0.40506446233679799</v>
      </c>
      <c r="CI29">
        <v>5.5651586832143198E-2</v>
      </c>
      <c r="CJ29">
        <v>-0.108726117132802</v>
      </c>
      <c r="CK29">
        <v>-1.03488314511511E-2</v>
      </c>
      <c r="CL29">
        <v>0.12752054950696101</v>
      </c>
      <c r="CM29">
        <v>-1.44142363396599E-2</v>
      </c>
      <c r="CN29">
        <v>7.0145236630281396E-2</v>
      </c>
      <c r="CO29">
        <v>0.26774211574442502</v>
      </c>
      <c r="CP29">
        <v>-0.108726117132802</v>
      </c>
      <c r="CQ29">
        <v>-5.7012741968445801E-2</v>
      </c>
      <c r="CR29">
        <v>-0.108726117132802</v>
      </c>
      <c r="CS29">
        <v>-4.05165459912229E-3</v>
      </c>
      <c r="CT29">
        <v>3.0336351184123599E-2</v>
      </c>
      <c r="CU29">
        <v>6.2840164976519799E-2</v>
      </c>
      <c r="CV29">
        <v>-6.7860898214770995E-2</v>
      </c>
      <c r="CW29">
        <v>-1.28559078158454E-3</v>
      </c>
      <c r="CX29">
        <v>0.100450520230683</v>
      </c>
      <c r="CY29">
        <v>8.4961501969767497E-2</v>
      </c>
      <c r="CZ29">
        <v>0.16870794041443701</v>
      </c>
      <c r="DA29">
        <v>-2.0531575397369901E-2</v>
      </c>
      <c r="DB29">
        <v>-1.2299386173523301E-2</v>
      </c>
      <c r="DC29">
        <v>-2.7422317765524401E-4</v>
      </c>
      <c r="DD29">
        <v>2.5069821115963401E-2</v>
      </c>
      <c r="DE29">
        <v>0.166398924323894</v>
      </c>
      <c r="DF29">
        <v>-0.108726117132802</v>
      </c>
      <c r="DG29">
        <v>-0.108726117132802</v>
      </c>
      <c r="DH29">
        <v>0.31146848022928603</v>
      </c>
      <c r="DI29">
        <v>7.6707696532298905E-2</v>
      </c>
      <c r="DJ29">
        <v>-4.9783445622852897E-2</v>
      </c>
      <c r="DK29">
        <v>-6.6782112832863005E-2</v>
      </c>
      <c r="DL29">
        <v>0.14402635206258399</v>
      </c>
      <c r="DM29">
        <v>-0.108726117132802</v>
      </c>
      <c r="DN29">
        <v>0.12787025001234201</v>
      </c>
      <c r="DO29">
        <v>0.18804250862125499</v>
      </c>
      <c r="DP29">
        <v>-1.4350415612666799E-2</v>
      </c>
      <c r="DQ29">
        <v>0.103452395139398</v>
      </c>
      <c r="DR29">
        <v>0.16713502056631399</v>
      </c>
      <c r="DS29">
        <v>-0.108726117132802</v>
      </c>
      <c r="DT29">
        <v>2.09176157623614E-2</v>
      </c>
      <c r="DU29">
        <v>-6.3697783649722006E-2</v>
      </c>
      <c r="DV29">
        <v>-1.6857833657431098E-2</v>
      </c>
      <c r="DW29">
        <v>6.2743646423997407E-2</v>
      </c>
      <c r="DX29">
        <v>4.42471960855935E-2</v>
      </c>
      <c r="DY29">
        <v>9.9788357900102695E-2</v>
      </c>
      <c r="DZ29">
        <v>-0.108726117132802</v>
      </c>
      <c r="EA29">
        <v>0.190496243384879</v>
      </c>
      <c r="EB29">
        <v>-1.0190530470153201E-2</v>
      </c>
      <c r="EC29">
        <v>-0.108726117132802</v>
      </c>
      <c r="ED29">
        <v>0.108586292272896</v>
      </c>
      <c r="EE29">
        <v>9.7810792661149504E-2</v>
      </c>
      <c r="EF29">
        <v>0.40773327199500597</v>
      </c>
      <c r="EG29">
        <v>8.2066999665796198E-2</v>
      </c>
      <c r="EH29">
        <v>8.7261763930323602E-2</v>
      </c>
      <c r="EI29">
        <v>-7.4371710699668206E-2</v>
      </c>
      <c r="EJ29">
        <v>0.18509327385823801</v>
      </c>
      <c r="EK29">
        <v>5.6021379277390003E-2</v>
      </c>
      <c r="EL29">
        <v>0.545842401075598</v>
      </c>
      <c r="EM29">
        <v>-0.108726117132802</v>
      </c>
      <c r="EN29">
        <v>-0.108726117132802</v>
      </c>
      <c r="EO29">
        <v>-0.108726117132802</v>
      </c>
      <c r="EP29">
        <v>-3.61502137095421E-3</v>
      </c>
      <c r="EQ29">
        <v>5.4092787542771102E-2</v>
      </c>
      <c r="ER29">
        <v>0.126612465014901</v>
      </c>
      <c r="ES29">
        <v>0.24099058121921799</v>
      </c>
      <c r="ET29">
        <v>5.4853760396121498E-2</v>
      </c>
      <c r="EU29">
        <v>0.164929775220202</v>
      </c>
      <c r="EV29">
        <v>-1.1537757068015599E-2</v>
      </c>
      <c r="EW29">
        <v>3.3828265949457799E-3</v>
      </c>
      <c r="EX29">
        <v>0.32810207040743999</v>
      </c>
      <c r="EY29">
        <v>5.42168400872724E-2</v>
      </c>
      <c r="EZ29">
        <v>5.8395542624346701E-2</v>
      </c>
      <c r="FA29">
        <v>-1.2483062916517801E-2</v>
      </c>
      <c r="FB29">
        <v>5.8152134271692003E-2</v>
      </c>
      <c r="FC29">
        <v>-0.108726117132802</v>
      </c>
      <c r="FD29">
        <v>0.15551440015829099</v>
      </c>
      <c r="FE29">
        <v>7.5733078281122496E-2</v>
      </c>
      <c r="FF29">
        <v>-0.108726117132802</v>
      </c>
      <c r="FG29">
        <v>0.29316450089213397</v>
      </c>
      <c r="FH29">
        <v>-0.108726117132802</v>
      </c>
      <c r="FI29">
        <v>-4.2286092151393097E-2</v>
      </c>
      <c r="FJ29">
        <v>0.14685707019661501</v>
      </c>
      <c r="FK29">
        <v>4.2776403856796402E-2</v>
      </c>
      <c r="FL29">
        <v>2.4169885960805E-2</v>
      </c>
      <c r="FM29">
        <v>-0.108726117132802</v>
      </c>
      <c r="FN29">
        <v>1.4320271108364599E-2</v>
      </c>
      <c r="FO29">
        <v>7.1639313569208996E-2</v>
      </c>
      <c r="FP29">
        <v>1.4438548174811E-2</v>
      </c>
      <c r="FQ29">
        <v>-0.108726117132802</v>
      </c>
      <c r="FR29">
        <v>0.213581390343412</v>
      </c>
      <c r="FS29">
        <v>5.3802546414387697E-2</v>
      </c>
      <c r="FT29">
        <v>0.140632900678824</v>
      </c>
      <c r="FU29">
        <v>7.2373431046181103E-2</v>
      </c>
      <c r="FV29">
        <v>4.6403586334149399E-2</v>
      </c>
      <c r="FW29">
        <v>-0.108726117132802</v>
      </c>
      <c r="FX29">
        <v>-0.108726117132802</v>
      </c>
      <c r="FY29">
        <v>-0.108726117132802</v>
      </c>
      <c r="FZ29">
        <v>-0.108726117132802</v>
      </c>
      <c r="GA29">
        <v>-0.108726117132802</v>
      </c>
      <c r="GB29">
        <v>0.111215408788766</v>
      </c>
      <c r="GC29">
        <v>1.9967168904269899E-2</v>
      </c>
      <c r="GD29">
        <v>-0.108726117132802</v>
      </c>
      <c r="GE29">
        <v>0.12726180381166</v>
      </c>
      <c r="GF29">
        <v>0.198132952014653</v>
      </c>
      <c r="GG29">
        <v>3.7422573364430098E-2</v>
      </c>
      <c r="GH29">
        <v>-0.108726117132802</v>
      </c>
      <c r="GI29">
        <v>0.24057017150125801</v>
      </c>
      <c r="GJ29">
        <v>0.178163363823994</v>
      </c>
      <c r="GK29">
        <v>0.46684976794132799</v>
      </c>
      <c r="GL29">
        <v>4.0428138292264201E-2</v>
      </c>
      <c r="GM29">
        <v>0.20066035106829599</v>
      </c>
      <c r="GN29">
        <v>0.28643863276515902</v>
      </c>
      <c r="GO29">
        <v>3.9164264999955303E-2</v>
      </c>
      <c r="GP29">
        <v>-0.108726117132802</v>
      </c>
      <c r="GQ29">
        <v>-1.52834812881827E-2</v>
      </c>
      <c r="GR29">
        <v>0.36689423635324803</v>
      </c>
      <c r="GS29">
        <v>-0.108726117132802</v>
      </c>
      <c r="GT29">
        <v>8.1937884101713293E-2</v>
      </c>
      <c r="GU29">
        <v>9.6993723165873704E-3</v>
      </c>
      <c r="GV29">
        <v>5.2147200750076103E-3</v>
      </c>
      <c r="GW29">
        <v>0.13655290758310901</v>
      </c>
      <c r="GX29">
        <v>-0.108726117132802</v>
      </c>
      <c r="GY29">
        <v>0.119791964809387</v>
      </c>
      <c r="GZ29">
        <v>-0.108726117132802</v>
      </c>
      <c r="HA29">
        <v>-2.8726301082782499E-2</v>
      </c>
      <c r="HB29">
        <v>8.7866342612568496E-2</v>
      </c>
      <c r="HC29">
        <v>9.48663721725512E-2</v>
      </c>
    </row>
    <row r="30" spans="1:211" x14ac:dyDescent="0.25">
      <c r="A30" t="s">
        <v>267</v>
      </c>
      <c r="B30" t="s">
        <v>373</v>
      </c>
      <c r="C30">
        <v>-0.163387540096017</v>
      </c>
      <c r="D30">
        <v>1.0504504577340401E-2</v>
      </c>
      <c r="E30">
        <v>-8.9096721425059297E-2</v>
      </c>
      <c r="F30">
        <v>-0.163387540096017</v>
      </c>
      <c r="G30">
        <v>-7.6244500811818106E-2</v>
      </c>
      <c r="H30">
        <v>-6.3626730531524803E-2</v>
      </c>
      <c r="I30">
        <v>3.35444924262569E-2</v>
      </c>
      <c r="J30">
        <v>-0.163387540096017</v>
      </c>
      <c r="K30">
        <v>8.5338586320355597E-2</v>
      </c>
      <c r="L30">
        <v>-0.124170195006321</v>
      </c>
      <c r="M30">
        <v>7.1521731938239005E-2</v>
      </c>
      <c r="N30">
        <v>0.13590743095208299</v>
      </c>
      <c r="O30">
        <v>-1.6797673596056901E-2</v>
      </c>
      <c r="P30">
        <v>-3.2851661664569702E-2</v>
      </c>
      <c r="Q30">
        <v>9.3132526436558699E-2</v>
      </c>
      <c r="R30">
        <v>9.0317134689562706E-2</v>
      </c>
      <c r="S30">
        <v>-8.7860014993374896E-2</v>
      </c>
      <c r="T30">
        <v>-0.163387540096017</v>
      </c>
      <c r="U30">
        <v>-9.5560631446955493E-2</v>
      </c>
      <c r="V30">
        <v>2.19800913530779E-2</v>
      </c>
      <c r="W30">
        <v>-0.163387540096017</v>
      </c>
      <c r="X30">
        <v>-0.163387540096017</v>
      </c>
      <c r="Y30">
        <v>0.17336862504978201</v>
      </c>
      <c r="Z30">
        <v>-0.163387540096017</v>
      </c>
      <c r="AA30">
        <v>-0.163387540096017</v>
      </c>
      <c r="AB30">
        <v>2.57737867951899E-2</v>
      </c>
      <c r="AC30">
        <v>-0.163387540096017</v>
      </c>
      <c r="AD30">
        <v>-3.1499848063589499E-2</v>
      </c>
      <c r="AE30">
        <v>-0.163387540096017</v>
      </c>
      <c r="AF30">
        <v>1.57899221232684E-2</v>
      </c>
      <c r="AG30">
        <v>-2.7934226581597499E-2</v>
      </c>
      <c r="AH30">
        <v>-1.7882891265233802E-2</v>
      </c>
      <c r="AI30">
        <v>-0.163387540096017</v>
      </c>
      <c r="AJ30">
        <v>-9.6337426937893794E-2</v>
      </c>
      <c r="AK30">
        <v>-0.163387540096017</v>
      </c>
      <c r="AL30">
        <v>9.2302053225346195E-2</v>
      </c>
      <c r="AM30">
        <v>4.6172265850051401E-2</v>
      </c>
      <c r="AN30">
        <v>6.5120886016634794E-2</v>
      </c>
      <c r="AO30">
        <v>-0.163387540096017</v>
      </c>
      <c r="AP30">
        <v>-1.3960864684511499E-2</v>
      </c>
      <c r="AQ30">
        <v>0.19790022286787401</v>
      </c>
      <c r="AR30">
        <v>-0.163387540096017</v>
      </c>
      <c r="AS30">
        <v>-0.163387540096017</v>
      </c>
      <c r="AT30">
        <v>-0.163387540096017</v>
      </c>
      <c r="AU30">
        <v>-0.163387540096017</v>
      </c>
      <c r="AV30">
        <v>-0.163387540096017</v>
      </c>
      <c r="AW30">
        <v>0.38890423742604302</v>
      </c>
      <c r="AX30">
        <v>-0.163387540096017</v>
      </c>
      <c r="AY30">
        <v>-0.163387540096017</v>
      </c>
      <c r="AZ30">
        <v>0.17277007167213801</v>
      </c>
      <c r="BA30">
        <v>4.1542775239876003E-3</v>
      </c>
      <c r="BB30">
        <v>0.35047007328970098</v>
      </c>
      <c r="BC30">
        <v>-0.163387540096017</v>
      </c>
      <c r="BD30">
        <v>6.8893131067607596E-2</v>
      </c>
      <c r="BE30">
        <v>-4.6507037967414698E-2</v>
      </c>
      <c r="BF30">
        <v>0.20102852421196199</v>
      </c>
      <c r="BG30">
        <v>-1.25365335286435E-2</v>
      </c>
      <c r="BH30">
        <v>-2.1349644252194901E-2</v>
      </c>
      <c r="BI30">
        <v>0.14434122309967901</v>
      </c>
      <c r="BJ30">
        <v>0.358502041560044</v>
      </c>
      <c r="BK30">
        <v>-3.40819338945779E-2</v>
      </c>
      <c r="BL30">
        <v>0.30936841078429</v>
      </c>
      <c r="BM30">
        <v>-0.163387540096017</v>
      </c>
      <c r="BN30">
        <v>-0.163387540096017</v>
      </c>
      <c r="BO30">
        <v>-4.54442551043765E-3</v>
      </c>
      <c r="BP30">
        <v>-4.2455648892608198E-3</v>
      </c>
      <c r="BQ30">
        <v>0.120285484613466</v>
      </c>
      <c r="BR30">
        <v>-0.163387540096017</v>
      </c>
      <c r="BS30">
        <v>3.6788674304268E-2</v>
      </c>
      <c r="BT30">
        <v>5.50556091096467E-2</v>
      </c>
      <c r="BU30">
        <v>-0.163387540096017</v>
      </c>
      <c r="BV30">
        <v>-3.4560859982021401E-2</v>
      </c>
      <c r="BW30">
        <v>0.15205481096883</v>
      </c>
      <c r="BX30">
        <v>-1.46298819522131E-3</v>
      </c>
      <c r="BY30">
        <v>-0.163387540096017</v>
      </c>
      <c r="BZ30">
        <v>2.1718952373394299E-3</v>
      </c>
      <c r="CA30">
        <v>-0.163387540096017</v>
      </c>
      <c r="CB30">
        <v>0.112293262772883</v>
      </c>
      <c r="CC30">
        <v>-9.4861025145806604E-2</v>
      </c>
      <c r="CD30">
        <v>-1.23905548740279E-2</v>
      </c>
      <c r="CE30">
        <v>-2.7672580503313698E-2</v>
      </c>
      <c r="CF30">
        <v>-7.9139066589113002E-2</v>
      </c>
      <c r="CG30">
        <v>0.14645255607048899</v>
      </c>
      <c r="CH30">
        <v>-1.2760042946182701E-2</v>
      </c>
      <c r="CI30">
        <v>0.150578631051319</v>
      </c>
      <c r="CJ30">
        <v>7.2860252729273697E-2</v>
      </c>
      <c r="CK30">
        <v>2.7669992018874E-2</v>
      </c>
      <c r="CL30">
        <v>-0.163387540096017</v>
      </c>
      <c r="CM30">
        <v>0.10457993343619799</v>
      </c>
      <c r="CN30">
        <v>1.5483813667066E-2</v>
      </c>
      <c r="CO30">
        <v>0.21308069278121</v>
      </c>
      <c r="CP30">
        <v>0.33942560203778499</v>
      </c>
      <c r="CQ30">
        <v>0.109346671202458</v>
      </c>
      <c r="CR30">
        <v>-0.163387540096017</v>
      </c>
      <c r="CS30">
        <v>0.18332384551826</v>
      </c>
      <c r="CT30">
        <v>-2.4325071779091701E-2</v>
      </c>
      <c r="CU30">
        <v>-0.113991638233689</v>
      </c>
      <c r="CV30">
        <v>-5.94291184077088E-2</v>
      </c>
      <c r="CW30">
        <v>-5.5947013744799802E-2</v>
      </c>
      <c r="CX30">
        <v>-0.109045606543462</v>
      </c>
      <c r="CY30">
        <v>-8.60406246790371E-2</v>
      </c>
      <c r="CZ30">
        <v>7.8154289474190605E-2</v>
      </c>
      <c r="DA30">
        <v>-0.163387540096017</v>
      </c>
      <c r="DB30">
        <v>-0.11455852559648599</v>
      </c>
      <c r="DC30">
        <v>0.14259039055461301</v>
      </c>
      <c r="DD30">
        <v>0.118870044345998</v>
      </c>
      <c r="DE30">
        <v>-8.1254974103469199E-2</v>
      </c>
      <c r="DF30">
        <v>-5.9504283845758697E-2</v>
      </c>
      <c r="DG30">
        <v>-0.10661869620485</v>
      </c>
      <c r="DH30">
        <v>-0.163387540096017</v>
      </c>
      <c r="DI30">
        <v>0.12932690203597</v>
      </c>
      <c r="DJ30">
        <v>-3.2301189927177398E-2</v>
      </c>
      <c r="DK30">
        <v>3.8027034959893902E-2</v>
      </c>
      <c r="DL30">
        <v>1.70289615027513E-3</v>
      </c>
      <c r="DM30">
        <v>-0.163387540096017</v>
      </c>
      <c r="DN30">
        <v>-0.13129487890512101</v>
      </c>
      <c r="DO30">
        <v>-6.9505587590609694E-2</v>
      </c>
      <c r="DP30">
        <v>0.113791469927615</v>
      </c>
      <c r="DQ30">
        <v>8.5898804925925706E-2</v>
      </c>
      <c r="DR30">
        <v>-8.9916554849195807E-2</v>
      </c>
      <c r="DS30">
        <v>-0.163387540096017</v>
      </c>
      <c r="DT30">
        <v>-7.5998144932987094E-2</v>
      </c>
      <c r="DU30">
        <v>5.09032560084147E-2</v>
      </c>
      <c r="DV30">
        <v>4.0251601922761497E-2</v>
      </c>
      <c r="DW30">
        <v>-6.5643806534149599E-2</v>
      </c>
      <c r="DX30">
        <v>0.24311762682725099</v>
      </c>
      <c r="DY30">
        <v>0.27976403554912899</v>
      </c>
      <c r="DZ30">
        <v>0</v>
      </c>
      <c r="EA30">
        <v>2.13652741780977E-2</v>
      </c>
      <c r="EB30">
        <v>0.18280502906232199</v>
      </c>
      <c r="EC30">
        <v>0.122015079081881</v>
      </c>
      <c r="ED30">
        <v>-1.8196286479269901E-2</v>
      </c>
      <c r="EE30">
        <v>-8.0531742503741205E-2</v>
      </c>
      <c r="EF30">
        <v>-0.163387540096017</v>
      </c>
      <c r="EG30">
        <v>0.122042363099842</v>
      </c>
      <c r="EH30">
        <v>0.20930831727361901</v>
      </c>
      <c r="EI30">
        <v>9.2167453362574106E-2</v>
      </c>
      <c r="EJ30">
        <v>7.3691030575140995E-2</v>
      </c>
      <c r="EK30">
        <v>0.62230610918595097</v>
      </c>
      <c r="EL30">
        <v>-0.163387540096017</v>
      </c>
      <c r="EM30">
        <v>-2.0239802649574801E-2</v>
      </c>
      <c r="EN30">
        <v>0.18076766537488201</v>
      </c>
      <c r="EO30">
        <v>-0.163387540096017</v>
      </c>
      <c r="EP30">
        <v>0.185149669825807</v>
      </c>
      <c r="EQ30">
        <v>0.47788453115715201</v>
      </c>
      <c r="ER30">
        <v>-4.1250443527308799E-2</v>
      </c>
      <c r="ES30">
        <v>0.18632915825600299</v>
      </c>
      <c r="ET30">
        <v>0.32326657527119601</v>
      </c>
      <c r="EU30">
        <v>0.427810457397166</v>
      </c>
      <c r="EV30">
        <v>-6.6199180031230903E-2</v>
      </c>
      <c r="EW30">
        <v>5.1480746263408801E-3</v>
      </c>
      <c r="EX30">
        <v>-7.6100080018924599E-2</v>
      </c>
      <c r="EY30">
        <v>4.4255365113497001E-2</v>
      </c>
      <c r="EZ30">
        <v>0.19269725659515</v>
      </c>
      <c r="FA30">
        <v>0.190830174443612</v>
      </c>
      <c r="FB30">
        <v>0.105122669432684</v>
      </c>
      <c r="FC30">
        <v>5.10744164708756E-2</v>
      </c>
      <c r="FD30">
        <v>0.36367401798286603</v>
      </c>
      <c r="FE30">
        <v>-6.8681386650867093E-2</v>
      </c>
      <c r="FF30">
        <v>-4.3897541819473002E-2</v>
      </c>
      <c r="FG30">
        <v>-1.8560040765962401E-2</v>
      </c>
      <c r="FH30">
        <v>3.40719272387097E-2</v>
      </c>
      <c r="FI30">
        <v>0.46608643469927302</v>
      </c>
      <c r="FJ30">
        <v>0.13985817051034399</v>
      </c>
      <c r="FK30">
        <v>-1.18850191064189E-2</v>
      </c>
      <c r="FL30">
        <v>9.2121576323093604E-2</v>
      </c>
      <c r="FM30">
        <v>-7.6096818008657405E-2</v>
      </c>
      <c r="FN30">
        <v>-9.5535445848129105E-3</v>
      </c>
      <c r="FO30">
        <v>8.1812995538012107E-2</v>
      </c>
      <c r="FP30">
        <v>-4.0222874788404098E-2</v>
      </c>
      <c r="FQ30">
        <v>-6.6676235800887301E-2</v>
      </c>
      <c r="FR30">
        <v>0.12833147097214301</v>
      </c>
      <c r="FS30">
        <v>0.40529923941249302</v>
      </c>
      <c r="FT30">
        <v>3.4799999845235401E-2</v>
      </c>
      <c r="FU30">
        <v>0.122317817408584</v>
      </c>
      <c r="FV30">
        <v>-0.163387540096017</v>
      </c>
      <c r="FW30">
        <v>0.31431347836129803</v>
      </c>
      <c r="FX30">
        <v>0.20064599245933301</v>
      </c>
      <c r="FY30">
        <v>0.20123184984911199</v>
      </c>
      <c r="FZ30">
        <v>2.5944017648839399E-2</v>
      </c>
      <c r="GA30">
        <v>0.38237021764270901</v>
      </c>
      <c r="GB30">
        <v>0.25064439783794001</v>
      </c>
      <c r="GC30">
        <v>0.25570577793886901</v>
      </c>
      <c r="GD30">
        <v>-1.0626171749207399E-2</v>
      </c>
      <c r="GE30">
        <v>-6.5097689003288897E-2</v>
      </c>
      <c r="GF30">
        <v>0.541075502080681</v>
      </c>
      <c r="GG30">
        <v>0.327671644575182</v>
      </c>
      <c r="GH30">
        <v>0.22653329365311201</v>
      </c>
      <c r="GI30">
        <v>-0.163387540096017</v>
      </c>
      <c r="GJ30">
        <v>0.134839066111096</v>
      </c>
      <c r="GK30">
        <v>0.24360402624909</v>
      </c>
      <c r="GL30">
        <v>0.21326496815021501</v>
      </c>
      <c r="GM30">
        <v>0.57896592179622597</v>
      </c>
      <c r="GN30">
        <v>0.11872986993373701</v>
      </c>
      <c r="GO30">
        <v>0.23318246927747699</v>
      </c>
      <c r="GP30">
        <v>0.19367851070786299</v>
      </c>
      <c r="GQ30">
        <v>-6.9944904251398002E-2</v>
      </c>
      <c r="GR30">
        <v>-0.163387540096017</v>
      </c>
      <c r="GS30">
        <v>-0.163387540096017</v>
      </c>
      <c r="GT30">
        <v>7.3759926992442507E-2</v>
      </c>
      <c r="GU30">
        <v>0.168669283191029</v>
      </c>
      <c r="GV30">
        <v>0.15691140677989401</v>
      </c>
      <c r="GW30">
        <v>-7.7459192470197197E-2</v>
      </c>
      <c r="GX30">
        <v>1.90437581234131E-2</v>
      </c>
      <c r="GY30">
        <v>-0.163387540096017</v>
      </c>
      <c r="GZ30">
        <v>-0.163387540096017</v>
      </c>
      <c r="HA30">
        <v>-8.3387724045997896E-2</v>
      </c>
      <c r="HB30">
        <v>-6.2075524357668901E-2</v>
      </c>
      <c r="HC30">
        <v>0.22063900974075401</v>
      </c>
    </row>
    <row r="31" spans="1:211" x14ac:dyDescent="0.25">
      <c r="A31" t="s">
        <v>267</v>
      </c>
      <c r="B31" t="s">
        <v>375</v>
      </c>
      <c r="C31">
        <v>-6.6480937907045207E-2</v>
      </c>
      <c r="D31">
        <v>4.2245179225756303E-2</v>
      </c>
      <c r="E31">
        <v>-1.9237349796819299E-2</v>
      </c>
      <c r="F31">
        <v>0.23413177810550001</v>
      </c>
      <c r="G31">
        <v>-2.2374293972632402E-2</v>
      </c>
      <c r="H31">
        <v>-6.6480937907045207E-2</v>
      </c>
      <c r="I31">
        <v>3.4784023429235401E-2</v>
      </c>
      <c r="J31">
        <v>6.9492757903219807E-2</v>
      </c>
      <c r="K31">
        <v>-6.6480937907045207E-2</v>
      </c>
      <c r="L31">
        <v>-6.6480937907045207E-2</v>
      </c>
      <c r="M31">
        <v>-6.6480937907045207E-2</v>
      </c>
      <c r="N31">
        <v>-1.40218417595201E-2</v>
      </c>
      <c r="O31">
        <v>-2.4395756275724802E-2</v>
      </c>
      <c r="P31">
        <v>0</v>
      </c>
      <c r="Q31">
        <v>-6.6480937907045207E-2</v>
      </c>
      <c r="R31">
        <v>1.42999669206794E-2</v>
      </c>
      <c r="S31">
        <v>9.0465871955966795E-3</v>
      </c>
      <c r="T31">
        <v>1.8804643193686101E-2</v>
      </c>
      <c r="U31">
        <v>1.3459707420159701E-3</v>
      </c>
      <c r="V31">
        <v>5.9464074139538602E-2</v>
      </c>
      <c r="W31">
        <v>5.8495153609020099E-2</v>
      </c>
      <c r="X31">
        <v>7.6655233576769094E-2</v>
      </c>
      <c r="Y31">
        <v>-6.6480937907045207E-2</v>
      </c>
      <c r="Z31">
        <v>0.15691107642410701</v>
      </c>
      <c r="AA31">
        <v>-6.6480937907045207E-2</v>
      </c>
      <c r="AB31">
        <v>-6.6480937907045207E-2</v>
      </c>
      <c r="AC31">
        <v>-6.6480937907045207E-2</v>
      </c>
      <c r="AD31">
        <v>-6.6480937907045207E-2</v>
      </c>
      <c r="AE31">
        <v>-6.6480937907045207E-2</v>
      </c>
      <c r="AF31">
        <v>2.5699708944781598E-2</v>
      </c>
      <c r="AG31">
        <v>-6.6480937907045207E-2</v>
      </c>
      <c r="AH31">
        <v>-6.6480937907045207E-2</v>
      </c>
      <c r="AI31">
        <v>-6.6480937907045207E-2</v>
      </c>
      <c r="AJ31">
        <v>5.6917525107779701E-4</v>
      </c>
      <c r="AK31">
        <v>-6.6480937907045207E-2</v>
      </c>
      <c r="AL31">
        <v>-6.6480937907045207E-2</v>
      </c>
      <c r="AM31">
        <v>-6.6480937907045207E-2</v>
      </c>
      <c r="AN31">
        <v>0.28140080050288602</v>
      </c>
      <c r="AO31">
        <v>4.2183039480619397E-2</v>
      </c>
      <c r="AP31">
        <v>-6.6480937907045207E-2</v>
      </c>
      <c r="AQ31">
        <v>1.2811688606836E-2</v>
      </c>
      <c r="AR31">
        <v>4.9495592745642698E-2</v>
      </c>
      <c r="AS31">
        <v>-6.6480937907045207E-2</v>
      </c>
      <c r="AT31">
        <v>-6.6480937907045207E-2</v>
      </c>
      <c r="AU31">
        <v>0.11828574041470299</v>
      </c>
      <c r="AV31">
        <v>-6.6480937907045207E-2</v>
      </c>
      <c r="AW31">
        <v>-6.6480937907045207E-2</v>
      </c>
      <c r="AX31">
        <v>-6.6480937907045207E-2</v>
      </c>
      <c r="AY31">
        <v>-6.6480937907045207E-2</v>
      </c>
      <c r="AZ31">
        <v>-6.6480937907045207E-2</v>
      </c>
      <c r="BA31">
        <v>8.6691947126944398E-3</v>
      </c>
      <c r="BB31">
        <v>-6.6480937907045207E-2</v>
      </c>
      <c r="BC31">
        <v>-6.6480937907045207E-2</v>
      </c>
      <c r="BD31">
        <v>-3.4101100065964597E-2</v>
      </c>
      <c r="BE31">
        <v>-6.6480937907045207E-2</v>
      </c>
      <c r="BF31">
        <v>-6.6480937907045207E-2</v>
      </c>
      <c r="BG31">
        <v>-6.6480937907045207E-2</v>
      </c>
      <c r="BH31">
        <v>-6.6480937907045207E-2</v>
      </c>
      <c r="BI31">
        <v>-6.6480937907045207E-2</v>
      </c>
      <c r="BJ31">
        <v>-6.6480937907045207E-2</v>
      </c>
      <c r="BK31">
        <v>6.2824668294393607E-2</v>
      </c>
      <c r="BL31">
        <v>-6.6480937907045207E-2</v>
      </c>
      <c r="BM31">
        <v>0.28736067793085301</v>
      </c>
      <c r="BN31">
        <v>0.111299610396923</v>
      </c>
      <c r="BO31">
        <v>1.49657486875203E-2</v>
      </c>
      <c r="BP31">
        <v>-6.6480937907045207E-2</v>
      </c>
      <c r="BQ31">
        <v>-6.6480937907045207E-2</v>
      </c>
      <c r="BR31">
        <v>-6.6480937907045207E-2</v>
      </c>
      <c r="BS31">
        <v>-6.6480937907045207E-2</v>
      </c>
      <c r="BT31">
        <v>-6.6480937907045207E-2</v>
      </c>
      <c r="BU31">
        <v>0.17284402960211001</v>
      </c>
      <c r="BV31">
        <v>-6.6480937907045207E-2</v>
      </c>
      <c r="BW31">
        <v>-6.6480937907045207E-2</v>
      </c>
      <c r="BX31">
        <v>-6.6480937907045207E-2</v>
      </c>
      <c r="BY31">
        <v>-6.6480937907045207E-2</v>
      </c>
      <c r="BZ31">
        <v>-6.6480937907045207E-2</v>
      </c>
      <c r="CA31">
        <v>-6.6480937907045207E-2</v>
      </c>
      <c r="CB31">
        <v>-6.6480937907045207E-2</v>
      </c>
      <c r="CC31">
        <v>2.045577043165E-3</v>
      </c>
      <c r="CD31">
        <v>2.7763133694341802E-2</v>
      </c>
      <c r="CE31">
        <v>-6.6480937907045207E-2</v>
      </c>
      <c r="CF31">
        <v>-6.6480937907045207E-2</v>
      </c>
      <c r="CG31">
        <v>-6.6480937907045207E-2</v>
      </c>
      <c r="CH31">
        <v>1.0467601725478001E-2</v>
      </c>
      <c r="CI31">
        <v>-6.6480937907045207E-2</v>
      </c>
      <c r="CJ31">
        <v>0.37438428563647902</v>
      </c>
      <c r="CK31">
        <v>3.1896347774605101E-2</v>
      </c>
      <c r="CL31">
        <v>-6.6480937907045207E-2</v>
      </c>
      <c r="CM31">
        <v>-6.6480937907045207E-2</v>
      </c>
      <c r="CN31">
        <v>-6.6480937907045207E-2</v>
      </c>
      <c r="CO31">
        <v>-6.6480937907045207E-2</v>
      </c>
      <c r="CP31">
        <v>7.5268433409977797E-2</v>
      </c>
      <c r="CQ31">
        <v>-1.47675627426895E-2</v>
      </c>
      <c r="CR31">
        <v>-6.6480937907045207E-2</v>
      </c>
      <c r="CS31">
        <v>0.136292714399882</v>
      </c>
      <c r="CT31">
        <v>-6.6480937907045207E-2</v>
      </c>
      <c r="CU31">
        <v>-1.7085036044717498E-2</v>
      </c>
      <c r="CV31">
        <v>-6.6480937907045207E-2</v>
      </c>
      <c r="CW31">
        <v>-3.0038150482718299E-2</v>
      </c>
      <c r="CX31">
        <v>-6.6480937907045207E-2</v>
      </c>
      <c r="CY31">
        <v>1.08659775099346E-2</v>
      </c>
      <c r="CZ31">
        <v>-6.6480937907045207E-2</v>
      </c>
      <c r="DA31">
        <v>2.17136038283865E-2</v>
      </c>
      <c r="DB31">
        <v>-1.76519234075148E-2</v>
      </c>
      <c r="DC31">
        <v>-6.6480937907045207E-2</v>
      </c>
      <c r="DD31">
        <v>2.3763222152161201E-2</v>
      </c>
      <c r="DE31">
        <v>0.114526965531433</v>
      </c>
      <c r="DF31">
        <v>-6.6480937907045207E-2</v>
      </c>
      <c r="DG31">
        <v>2.2642413173169298E-2</v>
      </c>
      <c r="DH31">
        <v>8.6077300023112702E-2</v>
      </c>
      <c r="DI31">
        <v>4.1378462977432598E-2</v>
      </c>
      <c r="DJ31">
        <v>7.6320682657875002E-3</v>
      </c>
      <c r="DK31">
        <v>5.6780165946533602E-2</v>
      </c>
      <c r="DL31">
        <v>-6.6480937907045207E-2</v>
      </c>
      <c r="DM31">
        <v>-6.6480937907045207E-2</v>
      </c>
      <c r="DN31">
        <v>-3.4388276716149503E-2</v>
      </c>
      <c r="DO31">
        <v>6.5287202666371898E-3</v>
      </c>
      <c r="DP31">
        <v>-3.4584492476520998E-2</v>
      </c>
      <c r="DQ31">
        <v>-2.4550190562302999E-2</v>
      </c>
      <c r="DR31">
        <v>7.7276451841966701E-2</v>
      </c>
      <c r="DS31">
        <v>5.2101322534177701E-2</v>
      </c>
      <c r="DT31">
        <v>2.0908457255984499E-2</v>
      </c>
      <c r="DU31">
        <v>4.3524785919107096E-3</v>
      </c>
      <c r="DV31">
        <v>8.3466786600691706E-2</v>
      </c>
      <c r="DW31">
        <v>-6.6480937907045207E-2</v>
      </c>
      <c r="DX31">
        <v>-6.6480937907045207E-2</v>
      </c>
      <c r="DY31">
        <v>-6.6480937907045207E-2</v>
      </c>
      <c r="DZ31">
        <v>9.69066021889715E-2</v>
      </c>
      <c r="EA31">
        <v>8.9410963780374594E-2</v>
      </c>
      <c r="EB31">
        <v>-6.6480937907045207E-2</v>
      </c>
      <c r="EC31">
        <v>-6.6480937907045207E-2</v>
      </c>
      <c r="ED31">
        <v>4.6932013811638203E-2</v>
      </c>
      <c r="EE31">
        <v>9.5428057713425496E-2</v>
      </c>
      <c r="EF31">
        <v>0.19418035276418</v>
      </c>
      <c r="EG31">
        <v>-3.0766908900947802E-2</v>
      </c>
      <c r="EH31">
        <v>4.1474598558608702E-2</v>
      </c>
      <c r="EI31">
        <v>-3.2126531473911903E-2</v>
      </c>
      <c r="EJ31">
        <v>-6.6480937907045207E-2</v>
      </c>
      <c r="EK31">
        <v>9.8266558503146195E-2</v>
      </c>
      <c r="EL31">
        <v>0.220864752330697</v>
      </c>
      <c r="EM31">
        <v>-6.6480937907045207E-2</v>
      </c>
      <c r="EN31">
        <v>-6.6480937907045207E-2</v>
      </c>
      <c r="EO31">
        <v>0.14293051148831301</v>
      </c>
      <c r="EP31">
        <v>3.8630157854802102E-2</v>
      </c>
      <c r="EQ31">
        <v>9.63379667685276E-2</v>
      </c>
      <c r="ER31">
        <v>5.5656158661662701E-2</v>
      </c>
      <c r="ES31">
        <v>0.37217695423316399</v>
      </c>
      <c r="ET31">
        <v>1.7363989422143001E-2</v>
      </c>
      <c r="EU31">
        <v>0.12098497807059</v>
      </c>
      <c r="EV31">
        <v>3.07074221577406E-2</v>
      </c>
      <c r="EW31">
        <v>-6.6480937907045207E-2</v>
      </c>
      <c r="EX31">
        <v>-3.2239932662467399E-2</v>
      </c>
      <c r="EY31">
        <v>9.6462019313028793E-2</v>
      </c>
      <c r="EZ31">
        <v>0.236556190195613</v>
      </c>
      <c r="FA31">
        <v>0.120478469431426</v>
      </c>
      <c r="FB31">
        <v>-6.6480937907045207E-2</v>
      </c>
      <c r="FC31">
        <v>-6.6480937907045207E-2</v>
      </c>
      <c r="FD31">
        <v>7.0429076145779604E-2</v>
      </c>
      <c r="FE31">
        <v>2.8225215538104399E-2</v>
      </c>
      <c r="FF31">
        <v>5.3009060369498498E-2</v>
      </c>
      <c r="FG31">
        <v>-6.6480937907045207E-2</v>
      </c>
      <c r="FH31">
        <v>3.5275758261546102E-2</v>
      </c>
      <c r="FI31" s="10">
        <v>-4.0912925636736101E-5</v>
      </c>
      <c r="FJ31">
        <v>7.2718673332695397E-2</v>
      </c>
      <c r="FK31">
        <v>8.5021583082552699E-2</v>
      </c>
      <c r="FL31">
        <v>0.139279993215978</v>
      </c>
      <c r="FM31">
        <v>-6.6480937907045207E-2</v>
      </c>
      <c r="FN31">
        <v>0.29474452054314099</v>
      </c>
      <c r="FO31">
        <v>5.6485305653567897E-3</v>
      </c>
      <c r="FP31">
        <v>0.27956938993306402</v>
      </c>
      <c r="FQ31">
        <v>-6.6480937907045207E-2</v>
      </c>
      <c r="FR31">
        <v>0.18111757754853799</v>
      </c>
      <c r="FS31">
        <v>9.6047725640143994E-2</v>
      </c>
      <c r="FT31">
        <v>7.82436400880724E-2</v>
      </c>
      <c r="FU31">
        <v>-6.6480937907045207E-2</v>
      </c>
      <c r="FV31">
        <v>8.8648765559905807E-2</v>
      </c>
      <c r="FW31">
        <v>0.34260534896789302</v>
      </c>
      <c r="FX31">
        <v>8.4291500890594395E-2</v>
      </c>
      <c r="FY31">
        <v>0.126641278699646</v>
      </c>
      <c r="FZ31">
        <v>-6.6480937907045207E-2</v>
      </c>
      <c r="GA31">
        <v>-6.6480937907045207E-2</v>
      </c>
      <c r="GB31">
        <v>-6.6480937907045207E-2</v>
      </c>
      <c r="GC31">
        <v>6.2212348130026303E-2</v>
      </c>
      <c r="GD31">
        <v>-6.6480937907045207E-2</v>
      </c>
      <c r="GE31">
        <v>0.23810773063565999</v>
      </c>
      <c r="GF31">
        <v>4.2244043412372097E-2</v>
      </c>
      <c r="GG31">
        <v>0.196324871286504</v>
      </c>
      <c r="GH31">
        <v>-6.6480937907045207E-2</v>
      </c>
      <c r="GI31">
        <v>0.43202039232180001</v>
      </c>
      <c r="GJ31">
        <v>0.23174566830006699</v>
      </c>
      <c r="GK31">
        <v>6.2996479545574602E-3</v>
      </c>
      <c r="GL31">
        <v>0.290042875495163</v>
      </c>
      <c r="GM31">
        <v>0.35088397442520303</v>
      </c>
      <c r="GN31">
        <v>0.44671022848865399</v>
      </c>
      <c r="GO31">
        <v>2.8342913299788299E-2</v>
      </c>
      <c r="GP31">
        <v>6.6177054157288806E-2</v>
      </c>
      <c r="GQ31">
        <v>2.6961697937573699E-2</v>
      </c>
      <c r="GR31">
        <v>5.6241046824887397E-2</v>
      </c>
      <c r="GS31">
        <v>-6.6480937907045207E-2</v>
      </c>
      <c r="GT31">
        <v>5.6365697978520403E-2</v>
      </c>
      <c r="GU31">
        <v>5.1944551542343599E-2</v>
      </c>
      <c r="GV31">
        <v>4.7459899300763803E-2</v>
      </c>
      <c r="GW31">
        <v>0.101061473745628</v>
      </c>
      <c r="GX31">
        <v>0.36885730574617398</v>
      </c>
      <c r="GY31">
        <v>0.204683872855595</v>
      </c>
      <c r="GZ31">
        <v>-6.6480937907045207E-2</v>
      </c>
      <c r="HA31">
        <v>1.35188781429737E-2</v>
      </c>
      <c r="HB31">
        <v>-6.6480937907045207E-2</v>
      </c>
      <c r="HC31">
        <v>-6.6480937907045207E-2</v>
      </c>
    </row>
    <row r="32" spans="1:211" x14ac:dyDescent="0.25">
      <c r="A32" t="s">
        <v>267</v>
      </c>
      <c r="B32" t="s">
        <v>376</v>
      </c>
      <c r="C32">
        <v>-0.10457877501511501</v>
      </c>
      <c r="D32">
        <v>-0.10849063647704001</v>
      </c>
      <c r="E32">
        <v>-0.13065813096853199</v>
      </c>
      <c r="F32">
        <v>-2.0350183547060099E-2</v>
      </c>
      <c r="G32">
        <v>-0.108494193580467</v>
      </c>
      <c r="H32">
        <v>-4.9998733904784501E-2</v>
      </c>
      <c r="I32">
        <v>-0.17790171907875801</v>
      </c>
      <c r="J32">
        <v>-4.1928023268492702E-2</v>
      </c>
      <c r="K32">
        <v>-7.7861010902807906E-2</v>
      </c>
      <c r="L32">
        <v>-6.2636843859217098E-2</v>
      </c>
      <c r="M32">
        <v>-8.0264089787491305E-2</v>
      </c>
      <c r="N32">
        <v>-0.110366676398316</v>
      </c>
      <c r="O32">
        <v>-0.13581653744743699</v>
      </c>
      <c r="P32">
        <v>-0.17790171907875801</v>
      </c>
      <c r="Q32">
        <v>-9.1461487344193695E-2</v>
      </c>
      <c r="R32">
        <v>-0.17790171907875801</v>
      </c>
      <c r="S32">
        <v>-0.102374193976116</v>
      </c>
      <c r="T32">
        <v>-0.17790171907875801</v>
      </c>
      <c r="U32">
        <v>-4.4924026729780998E-2</v>
      </c>
      <c r="V32">
        <v>-0.113680653482454</v>
      </c>
      <c r="W32">
        <v>-5.2925627562692402E-2</v>
      </c>
      <c r="X32">
        <v>-3.4765547594943103E-2</v>
      </c>
      <c r="Y32">
        <v>-1.92460541116975E-4</v>
      </c>
      <c r="Z32">
        <v>-0.17790171907875801</v>
      </c>
      <c r="AA32">
        <v>-0.17790171907875801</v>
      </c>
      <c r="AB32">
        <v>-0.17790171907875801</v>
      </c>
      <c r="AC32">
        <v>-0.17790171907875801</v>
      </c>
      <c r="AD32">
        <v>-0.11072983426010299</v>
      </c>
      <c r="AE32">
        <v>-0.17790171907875801</v>
      </c>
      <c r="AF32">
        <v>-8.5721072226930706E-2</v>
      </c>
      <c r="AG32">
        <v>-4.2448405564338099E-2</v>
      </c>
      <c r="AH32">
        <v>-0.17790171907875801</v>
      </c>
      <c r="AI32">
        <v>-0.17790171907875801</v>
      </c>
      <c r="AJ32">
        <v>-0.110851605920635</v>
      </c>
      <c r="AK32">
        <v>4.5701452580332702E-2</v>
      </c>
      <c r="AL32">
        <v>7.7787874242605498E-2</v>
      </c>
      <c r="AM32">
        <v>3.1658086867310503E-2</v>
      </c>
      <c r="AN32">
        <v>5.0606707033893902E-2</v>
      </c>
      <c r="AO32">
        <v>-0.17790171907875801</v>
      </c>
      <c r="AP32">
        <v>-0.17790171907875801</v>
      </c>
      <c r="AQ32">
        <v>0.220673288113062</v>
      </c>
      <c r="AR32">
        <v>0.105970745139072</v>
      </c>
      <c r="AS32">
        <v>0.12911221433735701</v>
      </c>
      <c r="AT32">
        <v>-0.17790171907875801</v>
      </c>
      <c r="AU32">
        <v>0.17131727942168501</v>
      </c>
      <c r="AV32">
        <v>-0.17790171907875801</v>
      </c>
      <c r="AW32">
        <v>6.0475970534573403E-2</v>
      </c>
      <c r="AX32">
        <v>-0.17790171907875801</v>
      </c>
      <c r="AY32">
        <v>-0.17790171907875801</v>
      </c>
      <c r="AZ32">
        <v>-0.17790171907875801</v>
      </c>
      <c r="BA32">
        <v>3.8153605546923798E-2</v>
      </c>
      <c r="BB32">
        <v>0.100577772723473</v>
      </c>
      <c r="BC32">
        <v>6.5581225359285594E-2</v>
      </c>
      <c r="BD32">
        <v>-2.1508291112519801E-2</v>
      </c>
      <c r="BE32">
        <v>4.8578930243534699E-2</v>
      </c>
      <c r="BF32">
        <v>3.9667004235859303E-3</v>
      </c>
      <c r="BG32">
        <v>-2.7050712511384301E-2</v>
      </c>
      <c r="BH32">
        <v>-0.105423136148923</v>
      </c>
      <c r="BI32">
        <v>-8.9468900720442598E-2</v>
      </c>
      <c r="BJ32">
        <v>-0.17790171907875801</v>
      </c>
      <c r="BK32">
        <v>0.18136507795894699</v>
      </c>
      <c r="BL32">
        <v>0.29485423180154902</v>
      </c>
      <c r="BM32">
        <v>-0.17790171907875801</v>
      </c>
      <c r="BN32">
        <v>-0.17790171907875801</v>
      </c>
      <c r="BO32">
        <v>5.4685445023448999E-2</v>
      </c>
      <c r="BP32">
        <v>-0.17790171907875801</v>
      </c>
      <c r="BQ32">
        <v>0.34493143842066498</v>
      </c>
      <c r="BR32">
        <v>-0.17790171907875801</v>
      </c>
      <c r="BS32">
        <v>7.0690119333909104E-2</v>
      </c>
      <c r="BT32">
        <v>0.40088884395665297</v>
      </c>
      <c r="BU32">
        <v>0.26841355929278699</v>
      </c>
      <c r="BV32">
        <v>0.13559376605107001</v>
      </c>
      <c r="BW32">
        <v>0.39869566007847501</v>
      </c>
      <c r="BX32">
        <v>-1.59771671779621E-2</v>
      </c>
      <c r="BY32">
        <v>0.36832216213034003</v>
      </c>
      <c r="BZ32">
        <v>-0.17790171907875801</v>
      </c>
      <c r="CA32">
        <v>-0.17790171907875801</v>
      </c>
      <c r="CB32">
        <v>-0.17790171907875801</v>
      </c>
      <c r="CC32">
        <v>1.91579524946765E-2</v>
      </c>
      <c r="CD32">
        <v>-0.11780242550055001</v>
      </c>
      <c r="CE32">
        <v>3.5611131574524599E-2</v>
      </c>
      <c r="CF32">
        <v>-9.3653245571853797E-2</v>
      </c>
      <c r="CG32">
        <v>-0.17790171907875801</v>
      </c>
      <c r="CH32">
        <v>-0.100953179446234</v>
      </c>
      <c r="CI32">
        <v>6.2938344569391097E-2</v>
      </c>
      <c r="CJ32">
        <v>-0.17790171907875801</v>
      </c>
      <c r="CK32">
        <v>-0.17790171907875801</v>
      </c>
      <c r="CL32">
        <v>0.26277355357363003</v>
      </c>
      <c r="CM32">
        <v>5.5512277214908298E-2</v>
      </c>
      <c r="CN32">
        <v>9.6963468432534903E-4</v>
      </c>
      <c r="CO32">
        <v>2.2066666963022199E-2</v>
      </c>
      <c r="CP32">
        <v>-3.6152347761734503E-2</v>
      </c>
      <c r="CQ32">
        <v>0.28693988010851901</v>
      </c>
      <c r="CR32">
        <v>0.166034039419514</v>
      </c>
      <c r="CS32">
        <v>-0.17790171907875801</v>
      </c>
      <c r="CT32">
        <v>-0.17790171907875801</v>
      </c>
      <c r="CU32">
        <v>-3.3324711261440897E-2</v>
      </c>
      <c r="CV32">
        <v>0.18341393709020201</v>
      </c>
      <c r="CW32">
        <v>-3.5855011475174399E-2</v>
      </c>
      <c r="CX32">
        <v>-5.3890857018932502E-2</v>
      </c>
      <c r="CY32">
        <v>4.5094785361813203E-2</v>
      </c>
      <c r="CZ32">
        <v>1.17978877513743E-2</v>
      </c>
      <c r="DA32">
        <v>-8.9707177343326006E-2</v>
      </c>
      <c r="DB32">
        <v>0.24582617569355</v>
      </c>
      <c r="DC32">
        <v>-6.9449825123611406E-2</v>
      </c>
      <c r="DD32">
        <v>0.104355865363257</v>
      </c>
      <c r="DE32">
        <v>0.14265977836045601</v>
      </c>
      <c r="DF32">
        <v>-0.17790171907875801</v>
      </c>
      <c r="DG32">
        <v>-6.61866774432599E-2</v>
      </c>
      <c r="DH32">
        <v>-0.17790171907875801</v>
      </c>
      <c r="DI32">
        <v>-3.0412968000161698E-3</v>
      </c>
      <c r="DJ32">
        <v>2.8233326181277799E-3</v>
      </c>
      <c r="DK32">
        <v>-9.48846077409643E-2</v>
      </c>
      <c r="DL32">
        <v>1.5090386467682599E-3</v>
      </c>
      <c r="DM32">
        <v>-5.79923751483113E-2</v>
      </c>
      <c r="DN32">
        <v>-2.2279494385894601E-2</v>
      </c>
      <c r="DO32">
        <v>0</v>
      </c>
      <c r="DP32">
        <v>9.4426597252991198E-2</v>
      </c>
      <c r="DQ32">
        <v>-5.5084460925324499E-2</v>
      </c>
      <c r="DR32">
        <v>-0.104430733831936</v>
      </c>
      <c r="DS32">
        <v>-0.17790171907875801</v>
      </c>
      <c r="DT32">
        <v>-0.13370999589254101</v>
      </c>
      <c r="DU32">
        <v>-0.13287338559567799</v>
      </c>
      <c r="DV32">
        <v>-4.1915264144152503E-2</v>
      </c>
      <c r="DW32">
        <v>-0.12833768942196799</v>
      </c>
      <c r="DX32">
        <v>-9.5404209844285104E-2</v>
      </c>
      <c r="DY32">
        <v>0.38064137584403701</v>
      </c>
      <c r="DZ32">
        <v>0.20392974964431301</v>
      </c>
      <c r="EA32">
        <v>0.236341830616798</v>
      </c>
      <c r="EB32">
        <v>0.40994432881859499</v>
      </c>
      <c r="EC32">
        <v>7.0849470434011394E-2</v>
      </c>
      <c r="ED32">
        <v>3.94106903269398E-2</v>
      </c>
      <c r="EE32">
        <v>-0.17790171907875801</v>
      </c>
      <c r="EF32">
        <v>-4.24073346067615E-2</v>
      </c>
      <c r="EG32">
        <v>7.6531158687756701E-2</v>
      </c>
      <c r="EH32">
        <v>3.1826298524989097E-2</v>
      </c>
      <c r="EI32">
        <v>-9.0390851657441304E-2</v>
      </c>
      <c r="EJ32">
        <v>-2.43180236995711E-2</v>
      </c>
      <c r="EK32">
        <v>-0.17790171907875801</v>
      </c>
      <c r="EL32">
        <v>-0.17790171907875801</v>
      </c>
      <c r="EM32">
        <v>0.16848721086026899</v>
      </c>
      <c r="EN32">
        <v>-0.17790171907875801</v>
      </c>
      <c r="EO32">
        <v>8.2146221730744207E-2</v>
      </c>
      <c r="EP32">
        <v>-7.2790623316910205E-2</v>
      </c>
      <c r="EQ32">
        <v>-1.50828144031848E-2</v>
      </c>
      <c r="ER32">
        <v>5.7436863068944501E-2</v>
      </c>
      <c r="ES32">
        <v>6.8572058108692796E-3</v>
      </c>
      <c r="ET32">
        <v>-0.17790171907875801</v>
      </c>
      <c r="EU32">
        <v>-8.1450383825647593E-2</v>
      </c>
      <c r="EV32">
        <v>1.1270293141866001E-2</v>
      </c>
      <c r="EW32">
        <v>9.3301916908620997E-2</v>
      </c>
      <c r="EX32">
        <v>-1.24860155463247E-2</v>
      </c>
      <c r="EY32">
        <v>0.13303747816302999</v>
      </c>
      <c r="EZ32">
        <v>3.02723058389485E-2</v>
      </c>
      <c r="FA32">
        <v>9.4873969758362195E-2</v>
      </c>
      <c r="FB32">
        <v>0.279161008244874</v>
      </c>
      <c r="FC32">
        <v>0.27719749252395198</v>
      </c>
      <c r="FD32">
        <v>0.43224266087554197</v>
      </c>
      <c r="FE32">
        <v>0.397202283599079</v>
      </c>
      <c r="FF32">
        <v>0.62697942120035099</v>
      </c>
      <c r="FG32">
        <v>4.6202316916224798E-2</v>
      </c>
      <c r="FH32">
        <v>-7.6145022910166504E-2</v>
      </c>
      <c r="FI32">
        <v>0.171612940001378</v>
      </c>
      <c r="FJ32">
        <v>-1.7361499929679499E-2</v>
      </c>
      <c r="FK32">
        <v>0.23800596946670499</v>
      </c>
      <c r="FL32">
        <v>7.7607397340352796E-2</v>
      </c>
      <c r="FM32">
        <v>0.32543256176861002</v>
      </c>
      <c r="FN32">
        <v>0.18332373937142801</v>
      </c>
      <c r="FO32">
        <v>2.9678834853014001E-2</v>
      </c>
      <c r="FP32">
        <v>3.7005822063455201E-3</v>
      </c>
      <c r="FQ32">
        <v>0.30249628522664102</v>
      </c>
      <c r="FR32">
        <v>0.21581804428793999</v>
      </c>
      <c r="FS32">
        <v>-9.4523541003268693E-2</v>
      </c>
      <c r="FT32">
        <v>5.7299131900315201E-2</v>
      </c>
      <c r="FU32">
        <v>-6.1285952272542001E-2</v>
      </c>
      <c r="FV32">
        <v>0.36745402532987698</v>
      </c>
      <c r="FW32">
        <v>0.106431971199257</v>
      </c>
      <c r="FX32">
        <v>0.110662014221728</v>
      </c>
      <c r="FY32">
        <v>0.117843183640818</v>
      </c>
      <c r="FZ32">
        <v>0.473155587183963</v>
      </c>
      <c r="GA32">
        <v>0.56155205975560496</v>
      </c>
      <c r="GB32">
        <v>0.340069951746301</v>
      </c>
      <c r="GC32">
        <v>6.9618976065240104E-2</v>
      </c>
      <c r="GD32">
        <v>0.31336282794917403</v>
      </c>
      <c r="GE32">
        <v>5.8086201865704401E-2</v>
      </c>
      <c r="GF32">
        <v>1.16028591255691</v>
      </c>
      <c r="GG32">
        <v>1.72844411693088</v>
      </c>
      <c r="GH32">
        <v>2.9116962647527399E-2</v>
      </c>
      <c r="GI32">
        <v>-0.17790171907875801</v>
      </c>
      <c r="GJ32">
        <v>0.25803880697668202</v>
      </c>
      <c r="GK32">
        <v>-0.10512113321715499</v>
      </c>
      <c r="GL32">
        <v>-0.17790171907875801</v>
      </c>
      <c r="GM32">
        <v>1.90032977933397</v>
      </c>
      <c r="GN32">
        <v>0.26839933257168103</v>
      </c>
      <c r="GO32">
        <v>0.26320992760120598</v>
      </c>
      <c r="GP32">
        <v>6.4521025913666194E-2</v>
      </c>
      <c r="GQ32">
        <v>0.13376746501162601</v>
      </c>
      <c r="GR32">
        <v>0.16599902792812599</v>
      </c>
      <c r="GS32">
        <v>0.46649041448937201</v>
      </c>
      <c r="GT32">
        <v>5.9245748009701803E-2</v>
      </c>
      <c r="GU32">
        <v>0.251341037368567</v>
      </c>
      <c r="GV32">
        <v>-6.3960881870948394E-2</v>
      </c>
      <c r="GW32">
        <v>0.39411522516052699</v>
      </c>
      <c r="GX32">
        <v>0.69940740055695505</v>
      </c>
      <c r="GY32">
        <v>2.82761506994566E-2</v>
      </c>
      <c r="GZ32">
        <v>0.413433439490136</v>
      </c>
      <c r="HA32">
        <v>5.1252111385750899E-2</v>
      </c>
      <c r="HB32">
        <v>0.19388572092474601</v>
      </c>
      <c r="HC32">
        <v>-0.17790171907875801</v>
      </c>
    </row>
    <row r="33" spans="1:211" x14ac:dyDescent="0.25">
      <c r="A33" t="s">
        <v>267</v>
      </c>
      <c r="B33" t="s">
        <v>377</v>
      </c>
      <c r="C33">
        <v>-0.30304093332738402</v>
      </c>
      <c r="D33">
        <v>-0.202970740984043</v>
      </c>
      <c r="E33">
        <v>-0.27592340694363499</v>
      </c>
      <c r="F33">
        <v>-0.139015277470601</v>
      </c>
      <c r="G33">
        <v>-0.35248495419894699</v>
      </c>
      <c r="H33">
        <v>-0.105257553389841</v>
      </c>
      <c r="I33">
        <v>-0.388250985263419</v>
      </c>
      <c r="J33">
        <v>0.10660963812299799</v>
      </c>
      <c r="K33">
        <v>-0.109892892676777</v>
      </c>
      <c r="L33">
        <v>-0.180857096803798</v>
      </c>
      <c r="M33">
        <v>0</v>
      </c>
      <c r="N33">
        <v>-0.117641824592147</v>
      </c>
      <c r="O33">
        <v>-3.6293705950826802E-2</v>
      </c>
      <c r="P33">
        <v>-1.9292846249663199E-2</v>
      </c>
      <c r="Q33">
        <v>-0.24381741812708799</v>
      </c>
      <c r="R33">
        <v>-0.22230600763688499</v>
      </c>
      <c r="S33">
        <v>-0.36410046838050403</v>
      </c>
      <c r="T33">
        <v>-0.109927371935114</v>
      </c>
      <c r="U33">
        <v>-0.30665030113416902</v>
      </c>
      <c r="V33">
        <v>-0.164373860222811</v>
      </c>
      <c r="W33">
        <v>1.06196408516198E-2</v>
      </c>
      <c r="X33">
        <v>2.22838355409395E-2</v>
      </c>
      <c r="Y33">
        <v>0.33116384131464299</v>
      </c>
      <c r="Z33">
        <v>-0.216235979151994</v>
      </c>
      <c r="AA33">
        <v>-0.105817450634915</v>
      </c>
      <c r="AB33">
        <v>-0.43962799348314602</v>
      </c>
      <c r="AC33">
        <v>-0.15758934970563801</v>
      </c>
      <c r="AD33">
        <v>-3.7579911855376499E-2</v>
      </c>
      <c r="AE33">
        <v>-0.43962799348314602</v>
      </c>
      <c r="AF33">
        <v>-0.17806702095033999</v>
      </c>
      <c r="AG33">
        <v>1.17786308898039E-3</v>
      </c>
      <c r="AH33">
        <v>-0.29412334465236301</v>
      </c>
      <c r="AI33">
        <v>-0.156404572484941</v>
      </c>
      <c r="AJ33">
        <v>-0.30823399574247701</v>
      </c>
      <c r="AK33">
        <v>-0.29475938076819203</v>
      </c>
      <c r="AL33">
        <v>-0.43962799348314602</v>
      </c>
      <c r="AM33">
        <v>5.2284154199863001E-2</v>
      </c>
      <c r="AN33">
        <v>9.30664238106782E-2</v>
      </c>
      <c r="AO33">
        <v>-0.33096401609548098</v>
      </c>
      <c r="AP33">
        <v>-0.43962799348314602</v>
      </c>
      <c r="AQ33">
        <v>-0.10534308939034701</v>
      </c>
      <c r="AR33">
        <v>-0.114585459789825</v>
      </c>
      <c r="AS33">
        <v>0.12198842351226</v>
      </c>
      <c r="AT33">
        <v>-5.38564263392977E-2</v>
      </c>
      <c r="AU33">
        <v>-0.25486131516139698</v>
      </c>
      <c r="AV33">
        <v>0.14107256479631999</v>
      </c>
      <c r="AW33">
        <v>-0.43962799348314602</v>
      </c>
      <c r="AX33">
        <v>-0.43962799348314602</v>
      </c>
      <c r="AY33">
        <v>-0.151442887848208</v>
      </c>
      <c r="AZ33">
        <v>7.6056658998673796E-2</v>
      </c>
      <c r="BA33">
        <v>-0.13291516329242101</v>
      </c>
      <c r="BB33">
        <v>-0.16114850168091599</v>
      </c>
      <c r="BC33">
        <v>0.113224323061091</v>
      </c>
      <c r="BD33">
        <v>-7.1297229307445795E-2</v>
      </c>
      <c r="BE33">
        <v>-0.322747491354544</v>
      </c>
      <c r="BF33">
        <v>-1.0165789999478999E-2</v>
      </c>
      <c r="BG33">
        <v>-0.17835984013879</v>
      </c>
      <c r="BH33">
        <v>-0.104103049454038</v>
      </c>
      <c r="BI33">
        <v>-5.4041037777851499E-2</v>
      </c>
      <c r="BJ33">
        <v>-0.43962799348314602</v>
      </c>
      <c r="BK33">
        <v>0.21113977269718301</v>
      </c>
      <c r="BL33">
        <v>-0.43962799348314602</v>
      </c>
      <c r="BM33">
        <v>-5.1513783311278403E-3</v>
      </c>
      <c r="BN33">
        <v>4.1790748309492698E-2</v>
      </c>
      <c r="BO33">
        <v>-0.28078487889756698</v>
      </c>
      <c r="BP33">
        <v>-0.28048601827639003</v>
      </c>
      <c r="BQ33">
        <v>-0.15595496877366299</v>
      </c>
      <c r="BR33">
        <v>-9.2045402590649805E-2</v>
      </c>
      <c r="BS33">
        <v>2.3319174370630701E-2</v>
      </c>
      <c r="BT33">
        <v>0.139162569552265</v>
      </c>
      <c r="BU33">
        <v>-7.5877582955352796E-2</v>
      </c>
      <c r="BV33">
        <v>7.9780655662449407E-2</v>
      </c>
      <c r="BW33">
        <v>-0.43962799348314602</v>
      </c>
      <c r="BX33">
        <v>0.16061403399017599</v>
      </c>
      <c r="BY33">
        <v>0.10659588772595199</v>
      </c>
      <c r="BZ33">
        <v>1.18628856700091E-2</v>
      </c>
      <c r="CA33">
        <v>-0.121503714701604</v>
      </c>
      <c r="CB33">
        <v>0.272007075567609</v>
      </c>
      <c r="CC33">
        <v>0.11826472913173799</v>
      </c>
      <c r="CD33">
        <v>-0.16401944202906399</v>
      </c>
      <c r="CE33">
        <v>4.9933028318819997E-3</v>
      </c>
      <c r="CF33">
        <v>0.19053772801202001</v>
      </c>
      <c r="CG33">
        <v>-0.276859378219589</v>
      </c>
      <c r="CH33">
        <v>0.165242889091155</v>
      </c>
      <c r="CI33">
        <v>1.17433609209823E-2</v>
      </c>
      <c r="CJ33">
        <v>-0.203380200657855</v>
      </c>
      <c r="CK33">
        <v>-0.34125070780149502</v>
      </c>
      <c r="CL33">
        <v>0.18138691732293599</v>
      </c>
      <c r="CM33">
        <v>-1.4587943890296801E-2</v>
      </c>
      <c r="CN33">
        <v>0.12643766849544599</v>
      </c>
      <c r="CO33">
        <v>-0.239659607441366</v>
      </c>
      <c r="CP33">
        <v>0.19927660927990501</v>
      </c>
      <c r="CQ33">
        <v>4.9381917324874E-2</v>
      </c>
      <c r="CR33">
        <v>-0.25715170070429499</v>
      </c>
      <c r="CS33">
        <v>-0.33495353094946601</v>
      </c>
      <c r="CT33">
        <v>0.26058790591422298</v>
      </c>
      <c r="CU33">
        <v>0.13610428111602399</v>
      </c>
      <c r="CV33">
        <v>9.2456774267641404E-3</v>
      </c>
      <c r="CW33">
        <v>-6.9966426221858197E-2</v>
      </c>
      <c r="CX33">
        <v>7.3221885911170403E-2</v>
      </c>
      <c r="CY33">
        <v>1.4162974233826901E-2</v>
      </c>
      <c r="CZ33">
        <v>-0.19808616391293801</v>
      </c>
      <c r="DA33">
        <v>-3.7516597760685298E-2</v>
      </c>
      <c r="DB33">
        <v>7.2318715066610802E-3</v>
      </c>
      <c r="DC33">
        <v>0.202815681426575</v>
      </c>
      <c r="DD33">
        <v>3.8675347449212499E-2</v>
      </c>
      <c r="DE33">
        <v>0.13412760726241399</v>
      </c>
      <c r="DF33">
        <v>0.101568453828683</v>
      </c>
      <c r="DG33">
        <v>-6.8653466545953307E-2</v>
      </c>
      <c r="DH33">
        <v>-0.28706975555298803</v>
      </c>
      <c r="DI33">
        <v>6.3424753801070793E-2</v>
      </c>
      <c r="DJ33">
        <v>-4.7660817558882098E-3</v>
      </c>
      <c r="DK33">
        <v>-0.120149958663091</v>
      </c>
      <c r="DL33">
        <v>-0.126904731963008</v>
      </c>
      <c r="DM33">
        <v>4.7283274603002398E-2</v>
      </c>
      <c r="DN33">
        <v>3.12180710895761E-2</v>
      </c>
      <c r="DO33">
        <v>5.3763335658162797E-3</v>
      </c>
      <c r="DP33">
        <v>7.49366627339903E-2</v>
      </c>
      <c r="DQ33">
        <v>-0.31681073532971199</v>
      </c>
      <c r="DR33">
        <v>-0.29587060373413399</v>
      </c>
      <c r="DS33">
        <v>-9.0799243539478706E-3</v>
      </c>
      <c r="DT33">
        <v>-0.14951019620427</v>
      </c>
      <c r="DU33">
        <v>-0.266139918552458</v>
      </c>
      <c r="DV33">
        <v>-0.347759710007775</v>
      </c>
      <c r="DW33">
        <v>-3.0496478647917401E-2</v>
      </c>
      <c r="DX33">
        <v>-0.28665468026475099</v>
      </c>
      <c r="DY33">
        <v>0.195831582627012</v>
      </c>
      <c r="DZ33">
        <v>0.22977628375185399</v>
      </c>
      <c r="EA33">
        <v>-4.3372921887427002E-2</v>
      </c>
      <c r="EB33">
        <v>0.320518116799275</v>
      </c>
      <c r="EC33">
        <v>0.20489216853040401</v>
      </c>
      <c r="ED33">
        <v>2.7096848423666098E-2</v>
      </c>
      <c r="EE33">
        <v>-4.8408310642600101E-2</v>
      </c>
      <c r="EF33">
        <v>-0.17896670281192001</v>
      </c>
      <c r="EG33">
        <v>-0.11122143430704701</v>
      </c>
      <c r="EH33">
        <v>-0.14659598425637799</v>
      </c>
      <c r="EI33">
        <v>6.5969697508883499E-2</v>
      </c>
      <c r="EJ33">
        <v>-0.28604429810395898</v>
      </c>
      <c r="EK33">
        <v>-4.5642274803193598E-2</v>
      </c>
      <c r="EL33">
        <v>-0.15228230324540401</v>
      </c>
      <c r="EM33">
        <v>0.36620212157301602</v>
      </c>
      <c r="EN33">
        <v>-0.43962799348314602</v>
      </c>
      <c r="EO33">
        <v>0.16299402967693</v>
      </c>
      <c r="EP33">
        <v>-9.1090783561321401E-2</v>
      </c>
      <c r="EQ33">
        <v>0.31389541800411902</v>
      </c>
      <c r="ER33">
        <v>0.41877423016647303</v>
      </c>
      <c r="ES33">
        <v>-0.25486906859351899</v>
      </c>
      <c r="ET33">
        <v>-7.0899974871000498E-2</v>
      </c>
      <c r="EU33">
        <v>-0.16597210113014199</v>
      </c>
      <c r="EV33">
        <v>-4.1019188086982198E-4</v>
      </c>
      <c r="EW33">
        <v>0.15538953853541401</v>
      </c>
      <c r="EX33">
        <v>0.173586399863565</v>
      </c>
      <c r="EY33">
        <v>7.0041425464062697E-3</v>
      </c>
      <c r="EZ33">
        <v>0.420135976408819</v>
      </c>
      <c r="FA33">
        <v>0.26974748544565602</v>
      </c>
      <c r="FB33">
        <v>-0.15162206503873801</v>
      </c>
      <c r="FC33">
        <v>0.225265047256203</v>
      </c>
      <c r="FD33">
        <v>-0.16496350479216701</v>
      </c>
      <c r="FE33">
        <v>0.10610337634811701</v>
      </c>
      <c r="FF33">
        <v>0.13704637618264701</v>
      </c>
      <c r="FG33">
        <v>0.38483487666107802</v>
      </c>
      <c r="FH33">
        <v>9.2769359552110006E-2</v>
      </c>
      <c r="FI33">
        <v>0.38913540988794398</v>
      </c>
      <c r="FJ33">
        <v>0.65195375723793303</v>
      </c>
      <c r="FK33">
        <v>4.5777513574664301E-2</v>
      </c>
      <c r="FL33">
        <v>0.75591239363569795</v>
      </c>
      <c r="FM33">
        <v>0.28423151427422599</v>
      </c>
      <c r="FN33">
        <v>0.54167004797331797</v>
      </c>
      <c r="FO33">
        <v>-0.106765277893941</v>
      </c>
      <c r="FP33">
        <v>0.14650255609538501</v>
      </c>
      <c r="FQ33">
        <v>0.44145625174234099</v>
      </c>
      <c r="FR33">
        <v>2.2501860955789901E-2</v>
      </c>
      <c r="FS33">
        <v>0.39086005627896497</v>
      </c>
      <c r="FT33">
        <v>0.54992043753712905</v>
      </c>
      <c r="FU33">
        <v>-0.214290539192867</v>
      </c>
      <c r="FV33">
        <v>-1.39484977041789E-2</v>
      </c>
      <c r="FW33">
        <v>0.10381744409182</v>
      </c>
      <c r="FX33">
        <v>0.22164718912242301</v>
      </c>
      <c r="FY33">
        <v>0.533527075159547</v>
      </c>
      <c r="FZ33">
        <v>7.1715897669805295E-2</v>
      </c>
      <c r="GA33">
        <v>0.49232707542999299</v>
      </c>
      <c r="GB33">
        <v>0.91036131177921298</v>
      </c>
      <c r="GC33">
        <v>2.1461064268757501E-2</v>
      </c>
      <c r="GD33">
        <v>0.31510264832079299</v>
      </c>
      <c r="GE33">
        <v>0.43985386599448001</v>
      </c>
      <c r="GF33">
        <v>0.30151611476499401</v>
      </c>
      <c r="GG33">
        <v>0.36934773829050299</v>
      </c>
      <c r="GH33">
        <v>0.26312089927648402</v>
      </c>
      <c r="GI33">
        <v>-9.0331704849085995E-2</v>
      </c>
      <c r="GJ33">
        <v>0.17418541802166199</v>
      </c>
      <c r="GK33">
        <v>0.188852354284851</v>
      </c>
      <c r="GL33">
        <v>0.218403416895529</v>
      </c>
      <c r="GM33">
        <v>7.9752044176800596E-2</v>
      </c>
      <c r="GN33">
        <v>0.228848094566969</v>
      </c>
      <c r="GO33">
        <v>0.104724678226591</v>
      </c>
      <c r="GP33">
        <v>0.42839531883464199</v>
      </c>
      <c r="GQ33">
        <v>0.18608819759780401</v>
      </c>
      <c r="GR33">
        <v>0.91256926480307499</v>
      </c>
      <c r="GS33">
        <v>7.8894136337073303E-2</v>
      </c>
      <c r="GT33">
        <v>0.551448309689336</v>
      </c>
      <c r="GU33">
        <v>0.91015926941249703</v>
      </c>
      <c r="GV33">
        <v>0.34955250132113003</v>
      </c>
      <c r="GW33">
        <v>0.105132398109648</v>
      </c>
      <c r="GX33">
        <v>0.31967506625898801</v>
      </c>
      <c r="GY33">
        <v>-5.76566611032195E-2</v>
      </c>
      <c r="GZ33">
        <v>0.298420430227474</v>
      </c>
      <c r="HA33">
        <v>-0.101139886053003</v>
      </c>
      <c r="HB33">
        <v>0.43048524012984901</v>
      </c>
      <c r="HC33">
        <v>-5.5601443646375003E-2</v>
      </c>
    </row>
    <row r="34" spans="1:211" x14ac:dyDescent="0.25">
      <c r="A34" t="s">
        <v>267</v>
      </c>
      <c r="B34" t="s">
        <v>378</v>
      </c>
      <c r="C34">
        <v>-0.147763707024892</v>
      </c>
      <c r="D34">
        <v>-8.5613147021275801E-2</v>
      </c>
      <c r="E34">
        <v>-0.101111369905692</v>
      </c>
      <c r="F34">
        <v>0.106273451858468</v>
      </c>
      <c r="G34">
        <v>-8.2495009318272694E-2</v>
      </c>
      <c r="H34">
        <v>-0.14375103359660299</v>
      </c>
      <c r="I34">
        <v>-0.142962255934351</v>
      </c>
      <c r="J34">
        <v>0.13592941119066601</v>
      </c>
      <c r="K34">
        <v>-0.14366589444899799</v>
      </c>
      <c r="L34">
        <v>1.4886983483527899E-2</v>
      </c>
      <c r="M34">
        <v>6.6183027255085694E-2</v>
      </c>
      <c r="N34">
        <v>-7.6130661997934404E-2</v>
      </c>
      <c r="O34">
        <v>-4.7749397654117502E-2</v>
      </c>
      <c r="P34">
        <v>-9.0106686540398107E-2</v>
      </c>
      <c r="Q34">
        <v>-0.148169904138545</v>
      </c>
      <c r="R34">
        <v>-3.61585141513351E-2</v>
      </c>
      <c r="S34">
        <v>-0.11881173905143499</v>
      </c>
      <c r="T34">
        <v>-0.19433926415407701</v>
      </c>
      <c r="U34">
        <v>-0.12651235550501599</v>
      </c>
      <c r="V34">
        <v>-0.13011819855777401</v>
      </c>
      <c r="W34">
        <v>-0.19433926415407701</v>
      </c>
      <c r="X34">
        <v>-0.19433926415407701</v>
      </c>
      <c r="Y34">
        <v>-1.6630005616436801E-2</v>
      </c>
      <c r="Z34">
        <v>0.281834410133389</v>
      </c>
      <c r="AA34">
        <v>0.13947127869415299</v>
      </c>
      <c r="AB34">
        <v>-0.19433926415407701</v>
      </c>
      <c r="AC34">
        <v>-0.19433926415407701</v>
      </c>
      <c r="AD34">
        <v>0</v>
      </c>
      <c r="AE34">
        <v>0.26700778847246298</v>
      </c>
      <c r="AF34">
        <v>-0.102158617302251</v>
      </c>
      <c r="AG34">
        <v>-0.12518752281794099</v>
      </c>
      <c r="AH34">
        <v>-0.19433926415407701</v>
      </c>
      <c r="AI34">
        <v>-6.4804867716812598E-2</v>
      </c>
      <c r="AJ34">
        <v>-0.19433926415407701</v>
      </c>
      <c r="AK34">
        <v>0.20440497097086299</v>
      </c>
      <c r="AL34">
        <v>6.1350329167285701E-2</v>
      </c>
      <c r="AM34">
        <v>-0.19433926415407701</v>
      </c>
      <c r="AN34">
        <v>3.4169161958574099E-2</v>
      </c>
      <c r="AO34">
        <v>-8.5675286766412603E-2</v>
      </c>
      <c r="AP34">
        <v>-0.117838356582014</v>
      </c>
      <c r="AQ34">
        <v>-3.9618298645800701E-2</v>
      </c>
      <c r="AR34">
        <v>0.13070326953924299</v>
      </c>
      <c r="AS34">
        <v>-0.19433926415407701</v>
      </c>
      <c r="AT34">
        <v>0.49859065512940698</v>
      </c>
      <c r="AU34">
        <v>-0.19433926415407701</v>
      </c>
      <c r="AV34">
        <v>0.12406886955930101</v>
      </c>
      <c r="AW34">
        <v>-0.19433926415407701</v>
      </c>
      <c r="AX34">
        <v>-0.19433926415407701</v>
      </c>
      <c r="AY34">
        <v>-0.19433926415407701</v>
      </c>
      <c r="AZ34">
        <v>0.32134538832774201</v>
      </c>
      <c r="BA34">
        <v>-0.11918913153433799</v>
      </c>
      <c r="BB34">
        <v>-0.19433926415407701</v>
      </c>
      <c r="BC34">
        <v>0.237874030552927</v>
      </c>
      <c r="BD34">
        <v>-6.8165417129600198E-2</v>
      </c>
      <c r="BE34">
        <v>-0.13492226958353701</v>
      </c>
      <c r="BF34">
        <v>-0.13168337195780999</v>
      </c>
      <c r="BG34">
        <v>-0.117172110300073</v>
      </c>
      <c r="BH34">
        <v>-6.6508800806561505E-2</v>
      </c>
      <c r="BI34">
        <v>-0.137985124597163</v>
      </c>
      <c r="BJ34">
        <v>0.140438736970495</v>
      </c>
      <c r="BK34">
        <v>-6.5033657952638504E-2</v>
      </c>
      <c r="BL34">
        <v>0.27841668672622999</v>
      </c>
      <c r="BM34">
        <v>-0.19433926415407701</v>
      </c>
      <c r="BN34">
        <v>-0.19433926415407701</v>
      </c>
      <c r="BO34">
        <v>-3.5496149568498198E-2</v>
      </c>
      <c r="BP34">
        <v>-3.5197288947321298E-2</v>
      </c>
      <c r="BQ34">
        <v>-0.19433926415407701</v>
      </c>
      <c r="BR34">
        <v>-0.19433926415407701</v>
      </c>
      <c r="BS34">
        <v>-0.19433926415407701</v>
      </c>
      <c r="BT34">
        <v>-0.19433926415407701</v>
      </c>
      <c r="BU34">
        <v>0.25197601421746701</v>
      </c>
      <c r="BV34">
        <v>-0.19433926415407701</v>
      </c>
      <c r="BW34">
        <v>0.121103086910769</v>
      </c>
      <c r="BX34">
        <v>-3.2414712253281901E-2</v>
      </c>
      <c r="BY34">
        <v>0.19069257674602899</v>
      </c>
      <c r="BZ34">
        <v>0.49887368426018802</v>
      </c>
      <c r="CA34">
        <v>0.123785014627465</v>
      </c>
      <c r="CB34">
        <v>-0.19433926415407701</v>
      </c>
      <c r="CC34">
        <v>-0.19433926415407701</v>
      </c>
      <c r="CD34">
        <v>-7.6298944595721702E-2</v>
      </c>
      <c r="CE34">
        <v>0.12570690852503599</v>
      </c>
      <c r="CF34">
        <v>0.29344794419092501</v>
      </c>
      <c r="CG34">
        <v>-0.19433926415407701</v>
      </c>
      <c r="CH34">
        <v>0.37743597959636899</v>
      </c>
      <c r="CI34">
        <v>-0.11010699222122899</v>
      </c>
      <c r="CJ34">
        <v>4.1908528671213002E-2</v>
      </c>
      <c r="CK34">
        <v>-3.28173203918661E-3</v>
      </c>
      <c r="CL34">
        <v>4.1907402485684801E-2</v>
      </c>
      <c r="CM34">
        <v>-0.100027383360936</v>
      </c>
      <c r="CN34">
        <v>-0.19433926415407701</v>
      </c>
      <c r="CO34">
        <v>-0.19433926415407701</v>
      </c>
      <c r="CP34">
        <v>-5.2589892837054397E-2</v>
      </c>
      <c r="CQ34">
        <v>4.7490019718438104E-3</v>
      </c>
      <c r="CR34">
        <v>0.17770356778829299</v>
      </c>
      <c r="CS34">
        <v>8.4343881528495708E-3</v>
      </c>
      <c r="CT34">
        <v>7.2938755136333397E-2</v>
      </c>
      <c r="CU34">
        <v>-6.9137648292910303E-2</v>
      </c>
      <c r="CV34">
        <v>0.15257610227356699</v>
      </c>
      <c r="CW34">
        <v>3.4605564196291398E-2</v>
      </c>
      <c r="CX34">
        <v>-5.9033318828229401E-3</v>
      </c>
      <c r="CY34">
        <v>-6.5164505150850901E-4</v>
      </c>
      <c r="CZ34">
        <v>-9.6930219617843399E-2</v>
      </c>
      <c r="DA34">
        <v>-2.2240364120491601E-2</v>
      </c>
      <c r="DB34">
        <v>0.268774454326556</v>
      </c>
      <c r="DC34">
        <v>0.16523043046157301</v>
      </c>
      <c r="DD34">
        <v>3.0675256200916799E-2</v>
      </c>
      <c r="DE34">
        <v>6.5728377394975801E-3</v>
      </c>
      <c r="DF34">
        <v>-0.19433926415407701</v>
      </c>
      <c r="DG34">
        <v>5.1805166395833199E-2</v>
      </c>
      <c r="DH34">
        <v>-0.19433926415407701</v>
      </c>
      <c r="DI34">
        <v>0.233954111931402</v>
      </c>
      <c r="DJ34">
        <v>0.29664126436757698</v>
      </c>
      <c r="DK34">
        <v>-0.11132215281628401</v>
      </c>
      <c r="DL34">
        <v>7.7763090857500994E-2</v>
      </c>
      <c r="DM34">
        <v>3.6880476627558202E-2</v>
      </c>
      <c r="DN34">
        <v>5.8543029467500403E-2</v>
      </c>
      <c r="DO34">
        <v>0.12309808840087701</v>
      </c>
      <c r="DP34">
        <v>5.4152262528559099E-2</v>
      </c>
      <c r="DQ34">
        <v>-0.111486594108994</v>
      </c>
      <c r="DR34">
        <v>-5.0581874405065397E-2</v>
      </c>
      <c r="DS34">
        <v>3.4849123367427397E-2</v>
      </c>
      <c r="DT34">
        <v>-4.0396730278433601E-2</v>
      </c>
      <c r="DU34">
        <v>1.9951531950354099E-2</v>
      </c>
      <c r="DV34">
        <v>-0.102470980678707</v>
      </c>
      <c r="DW34">
        <v>-2.2869500597278498E-2</v>
      </c>
      <c r="DX34">
        <v>-0.19433926415407701</v>
      </c>
      <c r="DY34">
        <v>0.10903516012289401</v>
      </c>
      <c r="DZ34">
        <v>4.5070553985127999E-2</v>
      </c>
      <c r="EA34">
        <v>0.24496383019016901</v>
      </c>
      <c r="EB34">
        <v>8.4503092050654802E-2</v>
      </c>
      <c r="EC34">
        <v>1.3339674373012401E-3</v>
      </c>
      <c r="ED34">
        <v>-2.21866578540009E-2</v>
      </c>
      <c r="EE34">
        <v>0.246202697631172</v>
      </c>
      <c r="EF34">
        <v>-2.1243906358314499E-2</v>
      </c>
      <c r="EG34">
        <v>3.5617054020923702E-2</v>
      </c>
      <c r="EH34">
        <v>-6.6079285783450403E-2</v>
      </c>
      <c r="EI34">
        <v>3.88302299642879E-2</v>
      </c>
      <c r="EJ34">
        <v>9.9480126836961905E-2</v>
      </c>
      <c r="EK34">
        <v>0.378786778290302</v>
      </c>
      <c r="EL34">
        <v>-0.19433926415407701</v>
      </c>
      <c r="EM34">
        <v>-5.1191526707635299E-2</v>
      </c>
      <c r="EN34">
        <v>-1.2909794987708501E-2</v>
      </c>
      <c r="EO34">
        <v>-5.9088269296089201E-2</v>
      </c>
      <c r="EP34">
        <v>-0.19433926415407701</v>
      </c>
      <c r="EQ34">
        <v>0.197187488432501</v>
      </c>
      <c r="ER34">
        <v>0.20510476820397799</v>
      </c>
      <c r="ES34">
        <v>0.155377434197943</v>
      </c>
      <c r="ET34">
        <v>-3.07593866251543E-2</v>
      </c>
      <c r="EU34">
        <v>-9.7887928900967397E-2</v>
      </c>
      <c r="EV34">
        <v>0.25803963570372201</v>
      </c>
      <c r="EW34">
        <v>2.3483330791660401E-2</v>
      </c>
      <c r="EX34">
        <v>-7.4319027554012096E-2</v>
      </c>
      <c r="EY34">
        <v>0.15746122034969501</v>
      </c>
      <c r="EZ34">
        <v>0.10869786394858</v>
      </c>
      <c r="FA34">
        <v>0.12657775685053399</v>
      </c>
      <c r="FB34">
        <v>0.16575973059148899</v>
      </c>
      <c r="FC34">
        <v>0.61650475338713695</v>
      </c>
      <c r="FD34">
        <v>0.13042384357719899</v>
      </c>
      <c r="FE34">
        <v>-9.9633110708927594E-2</v>
      </c>
      <c r="FF34">
        <v>0.238265840675664</v>
      </c>
      <c r="FG34">
        <v>0.20755135387085799</v>
      </c>
      <c r="FH34">
        <v>0.17910767809984601</v>
      </c>
      <c r="FI34">
        <v>0.22182643504639499</v>
      </c>
      <c r="FJ34">
        <v>0.10890644645228401</v>
      </c>
      <c r="FK34">
        <v>-0.19433926415407701</v>
      </c>
      <c r="FL34">
        <v>0.23810029113595799</v>
      </c>
      <c r="FM34">
        <v>5.4456616950122598E-2</v>
      </c>
      <c r="FN34">
        <v>0.16688619429610899</v>
      </c>
      <c r="FO34">
        <v>7.7049852203731103E-2</v>
      </c>
      <c r="FP34">
        <v>0.18206928729079599</v>
      </c>
      <c r="FQ34">
        <v>-9.7627959858947802E-2</v>
      </c>
      <c r="FR34">
        <v>-0.19433926415407701</v>
      </c>
      <c r="FS34">
        <v>8.5994429107325507E-2</v>
      </c>
      <c r="FT34">
        <v>-3.82107331052814E-3</v>
      </c>
      <c r="FU34">
        <v>0.55785379515633404</v>
      </c>
      <c r="FV34">
        <v>0.101878628642248</v>
      </c>
      <c r="FW34">
        <v>-4.5642382266799703E-2</v>
      </c>
      <c r="FX34">
        <v>-4.3566825356437799E-2</v>
      </c>
      <c r="FY34">
        <v>-1.2170475473861401E-3</v>
      </c>
      <c r="FZ34">
        <v>0.317004626998873</v>
      </c>
      <c r="GA34">
        <v>-8.1332530021352802E-4</v>
      </c>
      <c r="GB34">
        <v>2.5602261767490302E-2</v>
      </c>
      <c r="GC34">
        <v>-6.5645978117005996E-2</v>
      </c>
      <c r="GD34">
        <v>-4.1577895807267902E-2</v>
      </c>
      <c r="GE34">
        <v>0.39969354329511902</v>
      </c>
      <c r="GF34">
        <v>0.192564689713764</v>
      </c>
      <c r="GG34">
        <v>0.21832571657200101</v>
      </c>
      <c r="GH34">
        <v>0.32691271911372999</v>
      </c>
      <c r="GI34">
        <v>8.8623019360243194E-2</v>
      </c>
      <c r="GJ34">
        <v>0.22076061220278501</v>
      </c>
      <c r="GK34">
        <v>0.27925650655190998</v>
      </c>
      <c r="GL34">
        <v>0.30261480278511099</v>
      </c>
      <c r="GM34">
        <v>0.27314325737337503</v>
      </c>
      <c r="GN34">
        <v>0.24255596717317299</v>
      </c>
      <c r="GO34">
        <v>0.15650607935713301</v>
      </c>
      <c r="GP34">
        <v>-6.1681272089743201E-2</v>
      </c>
      <c r="GQ34">
        <v>0.22497767031737401</v>
      </c>
      <c r="GR34">
        <v>1.6811083139309799</v>
      </c>
      <c r="GS34">
        <v>0.71345274754890697</v>
      </c>
      <c r="GT34">
        <v>4.2808202934381902E-2</v>
      </c>
      <c r="GU34">
        <v>0.195261292256522</v>
      </c>
      <c r="GV34">
        <v>0.18170892538785499</v>
      </c>
      <c r="GW34">
        <v>0.19622410970576501</v>
      </c>
      <c r="GX34">
        <v>0.24099897949914201</v>
      </c>
      <c r="GY34">
        <v>-7.62538139158557E-2</v>
      </c>
      <c r="GZ34">
        <v>0.47499668812046802</v>
      </c>
      <c r="HA34">
        <v>-0.11433944810405799</v>
      </c>
      <c r="HB34">
        <v>2.2531955912924698E-3</v>
      </c>
      <c r="HC34">
        <v>-0.19433926415407701</v>
      </c>
    </row>
    <row r="35" spans="1:211" x14ac:dyDescent="0.25">
      <c r="A35" t="s">
        <v>267</v>
      </c>
      <c r="B35" t="s">
        <v>383</v>
      </c>
      <c r="C35">
        <v>4.65755571291857E-2</v>
      </c>
      <c r="D35">
        <v>0.13607667761964501</v>
      </c>
      <c r="E35">
        <v>9.3227894248385498E-2</v>
      </c>
      <c r="F35">
        <v>0.15755153553169801</v>
      </c>
      <c r="G35">
        <v>0.19381828241997001</v>
      </c>
      <c r="H35">
        <v>0.20198938613339701</v>
      </c>
      <c r="I35">
        <v>0.101264961336281</v>
      </c>
      <c r="J35">
        <v>0</v>
      </c>
      <c r="K35">
        <v>0.17579423260688801</v>
      </c>
      <c r="L35">
        <v>0.152167040382365</v>
      </c>
      <c r="M35">
        <v>4.9480426591276799E-2</v>
      </c>
      <c r="N35">
        <v>0.205867695922241</v>
      </c>
      <c r="O35">
        <v>0.20138890377200799</v>
      </c>
      <c r="P35">
        <v>0</v>
      </c>
      <c r="Q35">
        <v>2.9263455477480198E-2</v>
      </c>
      <c r="R35">
        <v>0</v>
      </c>
      <c r="S35">
        <v>7.5527525102641796E-2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0.33381054284823097</v>
      </c>
      <c r="AB35">
        <v>0</v>
      </c>
      <c r="AC35">
        <v>0</v>
      </c>
      <c r="AD35">
        <v>0</v>
      </c>
      <c r="AE35">
        <v>0</v>
      </c>
      <c r="AF35">
        <v>9.2180646851826906E-2</v>
      </c>
      <c r="AG35">
        <v>6.9151741336136496E-2</v>
      </c>
      <c r="AH35">
        <v>0.14550464883078301</v>
      </c>
      <c r="AI35">
        <v>0</v>
      </c>
      <c r="AJ35">
        <v>0</v>
      </c>
      <c r="AK35">
        <v>0.14486861271495299</v>
      </c>
      <c r="AL35">
        <v>0</v>
      </c>
      <c r="AM35">
        <v>0</v>
      </c>
      <c r="AN35">
        <v>0.22850842611265201</v>
      </c>
      <c r="AO35">
        <v>0</v>
      </c>
      <c r="AP35">
        <v>0</v>
      </c>
      <c r="AQ35">
        <v>0</v>
      </c>
      <c r="AR35">
        <v>0.115976530652688</v>
      </c>
      <c r="AS35">
        <v>0</v>
      </c>
      <c r="AT35">
        <v>0.38577156714384803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0.41322017237263697</v>
      </c>
      <c r="BA35">
        <v>0</v>
      </c>
      <c r="BB35">
        <v>0</v>
      </c>
      <c r="BC35">
        <v>0</v>
      </c>
      <c r="BD35">
        <v>0.113483191124104</v>
      </c>
      <c r="BE35">
        <v>0.149644182830593</v>
      </c>
      <c r="BF35">
        <v>0.181868419502344</v>
      </c>
      <c r="BG35">
        <v>0.28900448673839702</v>
      </c>
      <c r="BH35">
        <v>0.41279707839157798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8.1446686594565498E-2</v>
      </c>
      <c r="BP35">
        <v>0</v>
      </c>
      <c r="BQ35">
        <v>0</v>
      </c>
      <c r="BR35">
        <v>0.18370788247795999</v>
      </c>
      <c r="BS35">
        <v>0</v>
      </c>
      <c r="BT35">
        <v>0.40926309362733698</v>
      </c>
      <c r="BU35">
        <v>0</v>
      </c>
      <c r="BV35">
        <v>0.24783860668406901</v>
      </c>
      <c r="BW35">
        <v>0</v>
      </c>
      <c r="BX35">
        <v>0.12969085441383599</v>
      </c>
      <c r="BY35">
        <v>0</v>
      </c>
      <c r="BZ35">
        <v>0.451490879153155</v>
      </c>
      <c r="CA35">
        <v>0</v>
      </c>
      <c r="CB35">
        <v>0.27568080286890001</v>
      </c>
      <c r="CC35">
        <v>6.8526514950210199E-2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0.44086522354352498</v>
      </c>
      <c r="CK35">
        <v>0</v>
      </c>
      <c r="CL35">
        <v>0</v>
      </c>
      <c r="CM35">
        <v>0</v>
      </c>
      <c r="CN35">
        <v>0.178871353763083</v>
      </c>
      <c r="CO35">
        <v>0</v>
      </c>
      <c r="CP35">
        <v>0</v>
      </c>
      <c r="CQ35">
        <v>5.1713375164355799E-2</v>
      </c>
      <c r="CR35">
        <v>0</v>
      </c>
      <c r="CS35">
        <v>0</v>
      </c>
      <c r="CT35">
        <v>0</v>
      </c>
      <c r="CU35">
        <v>0</v>
      </c>
      <c r="CV35">
        <v>4.0865218918030501E-2</v>
      </c>
      <c r="CW35">
        <v>0</v>
      </c>
      <c r="CX35">
        <v>5.4341933552554997E-2</v>
      </c>
      <c r="CY35">
        <v>0.114838086277727</v>
      </c>
      <c r="CZ35">
        <v>0</v>
      </c>
      <c r="DA35">
        <v>0.137766821717239</v>
      </c>
      <c r="DB35">
        <v>0</v>
      </c>
      <c r="DC35">
        <v>0</v>
      </c>
      <c r="DD35">
        <v>7.1869970034514605E-2</v>
      </c>
      <c r="DE35">
        <v>0.10307042038471199</v>
      </c>
      <c r="DF35">
        <v>0.201383832920911</v>
      </c>
      <c r="DG35">
        <v>0</v>
      </c>
      <c r="DH35">
        <v>0.15255823793015799</v>
      </c>
      <c r="DI35">
        <v>2.7468756420785299E-2</v>
      </c>
      <c r="DJ35">
        <v>9.5314820999259794E-2</v>
      </c>
      <c r="DK35">
        <v>0</v>
      </c>
      <c r="DL35">
        <v>3.71465045752499E-2</v>
      </c>
      <c r="DM35">
        <v>0</v>
      </c>
      <c r="DN35">
        <v>3.2092661190895697E-2</v>
      </c>
      <c r="DO35">
        <v>0.16370045480932599</v>
      </c>
      <c r="DP35">
        <v>0.112332385200121</v>
      </c>
      <c r="DQ35">
        <v>0</v>
      </c>
      <c r="DR35">
        <v>0</v>
      </c>
      <c r="DS35">
        <v>0.118582260441223</v>
      </c>
      <c r="DT35">
        <v>0</v>
      </c>
      <c r="DU35">
        <v>4.5028333483079303E-2</v>
      </c>
      <c r="DV35">
        <v>0</v>
      </c>
      <c r="DW35">
        <v>0</v>
      </c>
      <c r="DX35">
        <v>0.24797991080238799</v>
      </c>
      <c r="DY35">
        <v>0</v>
      </c>
      <c r="DZ35">
        <v>0.375461124409326</v>
      </c>
      <c r="EA35">
        <v>0.13512736939540601</v>
      </c>
      <c r="EB35">
        <v>9.8535586662648306E-2</v>
      </c>
      <c r="EC35">
        <v>0.156948170157589</v>
      </c>
      <c r="ED35">
        <v>0.16008010431938499</v>
      </c>
      <c r="EE35">
        <v>0.16190899562047101</v>
      </c>
      <c r="EF35">
        <v>0.19926278991137</v>
      </c>
      <c r="EG35">
        <v>0.10503579656559101</v>
      </c>
      <c r="EH35">
        <v>0.37781366339559103</v>
      </c>
      <c r="EI35">
        <v>0.293311759389496</v>
      </c>
      <c r="EJ35">
        <v>0</v>
      </c>
      <c r="EK35">
        <v>0</v>
      </c>
      <c r="EL35">
        <v>0</v>
      </c>
      <c r="EM35">
        <v>0.14314773744644199</v>
      </c>
      <c r="EN35">
        <v>0</v>
      </c>
      <c r="EO35">
        <v>0.260047940809502</v>
      </c>
      <c r="EP35">
        <v>0.163523057494914</v>
      </c>
      <c r="EQ35">
        <v>0</v>
      </c>
      <c r="ER35">
        <v>0</v>
      </c>
      <c r="ES35">
        <v>0</v>
      </c>
      <c r="ET35">
        <v>8.3844927329188093E-2</v>
      </c>
      <c r="EU35">
        <v>0</v>
      </c>
      <c r="EV35">
        <v>0</v>
      </c>
      <c r="EW35">
        <v>6.4044079357139697E-2</v>
      </c>
      <c r="EX35">
        <v>0.133444946429325</v>
      </c>
      <c r="EY35">
        <v>0</v>
      </c>
      <c r="EZ35">
        <v>0.10743839495667699</v>
      </c>
      <c r="FA35">
        <v>9.6243054216283694E-2</v>
      </c>
      <c r="FB35">
        <v>0.166878251404494</v>
      </c>
      <c r="FC35">
        <v>0.11082592708875499</v>
      </c>
      <c r="FD35">
        <v>0</v>
      </c>
      <c r="FE35">
        <v>0</v>
      </c>
      <c r="FF35">
        <v>0</v>
      </c>
      <c r="FG35">
        <v>0.14482749933005401</v>
      </c>
      <c r="FH35">
        <v>0</v>
      </c>
      <c r="FI35">
        <v>0</v>
      </c>
      <c r="FJ35">
        <v>7.1082033171792E-2</v>
      </c>
      <c r="FK35">
        <v>0</v>
      </c>
      <c r="FL35">
        <v>0.32309704573010201</v>
      </c>
      <c r="FM35">
        <v>0</v>
      </c>
      <c r="FN35">
        <v>0</v>
      </c>
      <c r="FO35">
        <v>0</v>
      </c>
      <c r="FP35">
        <v>6.2685072413836002E-2</v>
      </c>
      <c r="FQ35">
        <v>0</v>
      </c>
      <c r="FR35">
        <v>8.6874417916175006E-2</v>
      </c>
      <c r="FS35">
        <v>0.16252866354718901</v>
      </c>
      <c r="FT35">
        <v>0</v>
      </c>
      <c r="FU35">
        <v>0.11661576680621499</v>
      </c>
      <c r="FV35">
        <v>0</v>
      </c>
      <c r="FW35">
        <v>0</v>
      </c>
      <c r="FX35">
        <v>0</v>
      </c>
      <c r="FY35">
        <v>0.19312221660669099</v>
      </c>
      <c r="FZ35">
        <v>0</v>
      </c>
      <c r="GA35">
        <v>0</v>
      </c>
      <c r="GB35">
        <v>0</v>
      </c>
      <c r="GC35">
        <v>0.128693286037071</v>
      </c>
      <c r="GD35">
        <v>0</v>
      </c>
      <c r="GE35">
        <v>4.9847749555662201E-2</v>
      </c>
      <c r="GF35">
        <v>5.52609206594806E-2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8.8042982664772201E-2</v>
      </c>
      <c r="GO35">
        <v>0.14789038213275699</v>
      </c>
      <c r="GP35">
        <v>0</v>
      </c>
      <c r="GQ35">
        <v>9.3442635844618899E-2</v>
      </c>
      <c r="GR35">
        <v>0</v>
      </c>
      <c r="GS35">
        <v>0.24307525694392301</v>
      </c>
      <c r="GT35">
        <v>0.12284663588556601</v>
      </c>
      <c r="GU35">
        <v>0</v>
      </c>
      <c r="GV35">
        <v>0.87292158728900204</v>
      </c>
      <c r="GW35">
        <v>8.5928347625819607E-2</v>
      </c>
      <c r="GX35">
        <v>0.34645644489439997</v>
      </c>
      <c r="GY35">
        <v>0.237581798893508</v>
      </c>
      <c r="GZ35">
        <v>0</v>
      </c>
      <c r="HA35">
        <v>7.9999816050019101E-2</v>
      </c>
      <c r="HB35">
        <v>0</v>
      </c>
      <c r="HC35">
        <v>0.38402654983677098</v>
      </c>
    </row>
    <row r="36" spans="1:211" x14ac:dyDescent="0.25">
      <c r="A36" t="s">
        <v>267</v>
      </c>
      <c r="B36" t="s">
        <v>384</v>
      </c>
      <c r="C36">
        <v>-6.9823198658685595E-2</v>
      </c>
      <c r="D36">
        <v>-0.16190899562047101</v>
      </c>
      <c r="E36">
        <v>-2.3884544713437199E-2</v>
      </c>
      <c r="F36">
        <v>-0.16190899562047101</v>
      </c>
      <c r="G36">
        <v>-0.117802351686058</v>
      </c>
      <c r="H36">
        <v>-6.2148186055978598E-2</v>
      </c>
      <c r="I36">
        <v>-1.21535074222924E-2</v>
      </c>
      <c r="J36">
        <v>-0.16190899562047101</v>
      </c>
      <c r="K36">
        <v>-1.37310377471546E-2</v>
      </c>
      <c r="L36">
        <v>-0.12269165053077501</v>
      </c>
      <c r="M36">
        <v>-3.6683529853433802E-2</v>
      </c>
      <c r="N36">
        <v>-0.16190899562047101</v>
      </c>
      <c r="O36">
        <v>-7.8687865399035203E-2</v>
      </c>
      <c r="P36">
        <v>-3.1373117189023601E-2</v>
      </c>
      <c r="Q36">
        <v>-4.0684775516623703E-3</v>
      </c>
      <c r="R36">
        <v>-1.9527897469991298E-2</v>
      </c>
      <c r="S36">
        <v>-8.6381470517828698E-2</v>
      </c>
      <c r="T36">
        <v>-7.66234145197391E-2</v>
      </c>
      <c r="U36">
        <v>3.37603661197498E-2</v>
      </c>
      <c r="V36">
        <v>-9.7687930024167105E-2</v>
      </c>
      <c r="W36">
        <v>-0.16190899562047101</v>
      </c>
      <c r="X36">
        <v>-1.8772824136656201E-2</v>
      </c>
      <c r="Y36">
        <v>-0.16190899562047101</v>
      </c>
      <c r="Z36">
        <v>-0.16190899562047101</v>
      </c>
      <c r="AA36">
        <v>-0.16190899562047101</v>
      </c>
      <c r="AB36">
        <v>0.19560555594429599</v>
      </c>
      <c r="AC36">
        <v>-0.16190899562047101</v>
      </c>
      <c r="AD36">
        <v>-0.16190899562047101</v>
      </c>
      <c r="AE36">
        <v>-0.16190899562047101</v>
      </c>
      <c r="AF36">
        <v>-0.16190899562047101</v>
      </c>
      <c r="AG36">
        <v>-0.16190899562047101</v>
      </c>
      <c r="AH36">
        <v>-0.16190899562047101</v>
      </c>
      <c r="AI36">
        <v>-9.5867945018654394E-2</v>
      </c>
      <c r="AJ36">
        <v>3.1343042689499702E-2</v>
      </c>
      <c r="AK36">
        <v>-0.16190899562047101</v>
      </c>
      <c r="AL36">
        <v>-0.16190899562047101</v>
      </c>
      <c r="AM36">
        <v>0.330003152062538</v>
      </c>
      <c r="AN36">
        <v>0.26537845170921598</v>
      </c>
      <c r="AO36">
        <v>-0.16190899562047101</v>
      </c>
      <c r="AP36">
        <v>0.18794600634404399</v>
      </c>
      <c r="AQ36">
        <v>6.4747413812135099E-2</v>
      </c>
      <c r="AR36">
        <v>6.2058441024624197E-2</v>
      </c>
      <c r="AS36">
        <v>-0.16190899562047101</v>
      </c>
      <c r="AT36">
        <v>-0.16190899562047101</v>
      </c>
      <c r="AU36">
        <v>2.2857682701278099E-2</v>
      </c>
      <c r="AV36">
        <v>-0.16190899562047101</v>
      </c>
      <c r="AW36">
        <v>7.6468693992860298E-2</v>
      </c>
      <c r="AX36">
        <v>-0.16190899562047101</v>
      </c>
      <c r="AY36">
        <v>0.12627611001446801</v>
      </c>
      <c r="AZ36">
        <v>5.8618023552866702E-2</v>
      </c>
      <c r="BA36">
        <v>-0.16190899562047101</v>
      </c>
      <c r="BB36">
        <v>0.351948617765247</v>
      </c>
      <c r="BC36">
        <v>-3.8127709629437899E-3</v>
      </c>
      <c r="BD36">
        <v>0.115407838295206</v>
      </c>
      <c r="BE36">
        <v>-0.16190899562047101</v>
      </c>
      <c r="BF36">
        <v>-0.16190899562047101</v>
      </c>
      <c r="BG36">
        <v>-8.4741841766465806E-2</v>
      </c>
      <c r="BH36">
        <v>-5.4302050434165798E-2</v>
      </c>
      <c r="BI36">
        <v>5.2655739229017902E-2</v>
      </c>
      <c r="BJ36">
        <v>-0.16190899562047101</v>
      </c>
      <c r="BK36">
        <v>-0.16190899562047101</v>
      </c>
      <c r="BL36">
        <v>0.22406787017347601</v>
      </c>
      <c r="BM36">
        <v>0.27256761953154701</v>
      </c>
      <c r="BN36">
        <v>1.5871552683497301E-2</v>
      </c>
      <c r="BO36">
        <v>-3.0658810348914199E-3</v>
      </c>
      <c r="BP36">
        <v>-0.16190899562047101</v>
      </c>
      <c r="BQ36">
        <v>-0.16190899562047101</v>
      </c>
      <c r="BR36">
        <v>2.1798886857489898E-2</v>
      </c>
      <c r="BS36">
        <v>-0.16190899562047101</v>
      </c>
      <c r="BT36">
        <v>-0.16190899562047101</v>
      </c>
      <c r="BU36">
        <v>-0.16190899562047101</v>
      </c>
      <c r="BV36">
        <v>-0.16190899562047101</v>
      </c>
      <c r="BW36">
        <v>-0.16190899562047101</v>
      </c>
      <c r="BX36">
        <v>7.5030848528083394E-2</v>
      </c>
      <c r="BY36">
        <v>0.223122845279635</v>
      </c>
      <c r="BZ36">
        <v>0.15317375113555901</v>
      </c>
      <c r="CA36">
        <v>5.4539074921944198E-3</v>
      </c>
      <c r="CB36">
        <v>0.11377180724843</v>
      </c>
      <c r="CC36">
        <v>9.5620414887219299E-2</v>
      </c>
      <c r="CD36">
        <v>-0.101809702042263</v>
      </c>
      <c r="CE36">
        <v>-3.7850704052585303E-2</v>
      </c>
      <c r="CF36">
        <v>-7.7660522113566804E-2</v>
      </c>
      <c r="CG36">
        <v>8.5961964308623601E-4</v>
      </c>
      <c r="CH36">
        <v>5.9419630386875498E-2</v>
      </c>
      <c r="CI36">
        <v>7.8931068027678103E-2</v>
      </c>
      <c r="CJ36">
        <v>0.27895622792305402</v>
      </c>
      <c r="CK36">
        <v>-6.3531709938820097E-2</v>
      </c>
      <c r="CL36">
        <v>7.4337671019291507E-2</v>
      </c>
      <c r="CM36">
        <v>-6.75971148273289E-2</v>
      </c>
      <c r="CN36">
        <v>1.69623581426122E-2</v>
      </c>
      <c r="CO36">
        <v>3.8059390421309201E-2</v>
      </c>
      <c r="CP36">
        <v>0.10969461248991499</v>
      </c>
      <c r="CQ36">
        <v>0.21812279107856899</v>
      </c>
      <c r="CR36">
        <v>-3.6323287128301701E-3</v>
      </c>
      <c r="CS36">
        <v>-0.16190899562047101</v>
      </c>
      <c r="CT36">
        <v>0.10536902366994</v>
      </c>
      <c r="CU36">
        <v>7.3468981965941801E-2</v>
      </c>
      <c r="CV36">
        <v>-0.12104377670244</v>
      </c>
      <c r="CW36">
        <v>-5.4468469269253597E-2</v>
      </c>
      <c r="CX36">
        <v>-3.0613856976044302E-3</v>
      </c>
      <c r="CY36">
        <v>8.1472421189251396E-2</v>
      </c>
      <c r="CZ36">
        <v>-6.4499951084236506E-2</v>
      </c>
      <c r="DA36">
        <v>-7.3714453885039E-2</v>
      </c>
      <c r="DB36">
        <v>8.4639565319482996E-2</v>
      </c>
      <c r="DC36">
        <v>4.8256553091024397E-2</v>
      </c>
      <c r="DD36">
        <v>2.1605984604213702E-2</v>
      </c>
      <c r="DE36">
        <v>-2.9708685449162501E-2</v>
      </c>
      <c r="DF36">
        <v>-2.6969921422291603E-4</v>
      </c>
      <c r="DG36">
        <v>8.4235434929440106E-2</v>
      </c>
      <c r="DH36">
        <v>7.3599542630026299E-2</v>
      </c>
      <c r="DI36">
        <v>0.15128078652441199</v>
      </c>
      <c r="DJ36">
        <v>-3.08226454516312E-2</v>
      </c>
      <c r="DK36">
        <v>-3.8647891766891901E-2</v>
      </c>
      <c r="DL36">
        <v>1.7501762105055399E-2</v>
      </c>
      <c r="DM36">
        <v>0.32500227246567798</v>
      </c>
      <c r="DN36">
        <v>1.11718746545759E-2</v>
      </c>
      <c r="DO36">
        <v>-8.8899337446788296E-2</v>
      </c>
      <c r="DP36">
        <v>-8.0359252098158696E-2</v>
      </c>
      <c r="DQ36">
        <v>-0.11997824827572801</v>
      </c>
      <c r="DR36">
        <v>-8.8438010373649498E-2</v>
      </c>
      <c r="DS36">
        <v>-0.16190899562047101</v>
      </c>
      <c r="DT36">
        <v>-7.4519600457440896E-2</v>
      </c>
      <c r="DU36">
        <v>7.5818629452170702E-2</v>
      </c>
      <c r="DV36">
        <v>-7.0040712145100006E-2</v>
      </c>
      <c r="DW36">
        <v>-6.4165262058603303E-2</v>
      </c>
      <c r="DX36">
        <v>-5.8443206932519302E-2</v>
      </c>
      <c r="DY36">
        <v>0.102772880591273</v>
      </c>
      <c r="DZ36">
        <v>1.47854447554616E-3</v>
      </c>
      <c r="EA36">
        <v>0.21618015258509801</v>
      </c>
      <c r="EB36">
        <v>0.199942443292047</v>
      </c>
      <c r="EC36">
        <v>0.37968220477458797</v>
      </c>
      <c r="ED36">
        <v>0.208517073764244</v>
      </c>
      <c r="EE36">
        <v>0</v>
      </c>
      <c r="EF36">
        <v>-0.16190899562047101</v>
      </c>
      <c r="EG36">
        <v>4.2277208893374801E-2</v>
      </c>
      <c r="EH36">
        <v>0.27014440623481101</v>
      </c>
      <c r="EI36">
        <v>3.7485668590632E-3</v>
      </c>
      <c r="EJ36">
        <v>-8.3253002412841497E-3</v>
      </c>
      <c r="EK36">
        <v>2.8385007897209799E-3</v>
      </c>
      <c r="EL36">
        <v>-0.16190899562047101</v>
      </c>
      <c r="EM36">
        <v>-0.16190899562047101</v>
      </c>
      <c r="EN36">
        <v>-0.16190899562047101</v>
      </c>
      <c r="EO36">
        <v>-0.16190899562047101</v>
      </c>
      <c r="EP36">
        <v>0.271751398654832</v>
      </c>
      <c r="EQ36">
        <v>9.0990905510228003E-4</v>
      </c>
      <c r="ER36">
        <v>0.42280341283902201</v>
      </c>
      <c r="ES36">
        <v>2.2849929269156199E-2</v>
      </c>
      <c r="ET36">
        <v>7.7702776136642601E-2</v>
      </c>
      <c r="EU36">
        <v>-6.5457660367360601E-2</v>
      </c>
      <c r="EV36">
        <v>7.8891167609560095E-2</v>
      </c>
      <c r="EW36">
        <v>0.100227137315322</v>
      </c>
      <c r="EX36">
        <v>-4.18887590204053E-2</v>
      </c>
      <c r="EY36">
        <v>1.0339615996034E-3</v>
      </c>
      <c r="EZ36">
        <v>-5.4470600663793098E-2</v>
      </c>
      <c r="FA36">
        <v>0.15900802538414099</v>
      </c>
      <c r="FB36">
        <v>0.22721733673591901</v>
      </c>
      <c r="FC36">
        <v>-5.10830685317155E-2</v>
      </c>
      <c r="FD36">
        <v>0.162854112110805</v>
      </c>
      <c r="FE36">
        <v>0.107885628005792</v>
      </c>
      <c r="FF36">
        <v>-4.2418997343926901E-2</v>
      </c>
      <c r="FG36">
        <v>0.23998162240446499</v>
      </c>
      <c r="FH36">
        <v>0.25962946822042399</v>
      </c>
      <c r="FI36">
        <v>0.35597226750989303</v>
      </c>
      <c r="FJ36">
        <v>-2.2709384380729999E-2</v>
      </c>
      <c r="FK36">
        <v>0.47981285545564201</v>
      </c>
      <c r="FL36">
        <v>0.20747300320386899</v>
      </c>
      <c r="FM36">
        <v>0.36850083096594</v>
      </c>
      <c r="FN36">
        <v>6.3886860147639099E-2</v>
      </c>
      <c r="FO36">
        <v>-2.0672499440048401E-2</v>
      </c>
      <c r="FP36">
        <v>1.96933056646325E-2</v>
      </c>
      <c r="FQ36">
        <v>0.29865690183343002</v>
      </c>
      <c r="FR36">
        <v>0.17275711523028101</v>
      </c>
      <c r="FS36">
        <v>7.5966118134838195E-2</v>
      </c>
      <c r="FT36">
        <v>-6.4153806381699693E-2</v>
      </c>
      <c r="FU36">
        <v>-4.5293228814255099E-2</v>
      </c>
      <c r="FV36">
        <v>0.38344674878816498</v>
      </c>
      <c r="FW36">
        <v>0.12242469465754401</v>
      </c>
      <c r="FX36">
        <v>7.0890317499457803E-2</v>
      </c>
      <c r="FY36">
        <v>0.35705732521348899</v>
      </c>
      <c r="FZ36">
        <v>0.688760027084937</v>
      </c>
      <c r="GA36">
        <v>0.35892780424586601</v>
      </c>
      <c r="GB36">
        <v>0.25212294231348698</v>
      </c>
      <c r="GC36">
        <v>0.196025715915884</v>
      </c>
      <c r="GD36">
        <v>-0.16190899562047101</v>
      </c>
      <c r="GE36">
        <v>-1.6498549132296099E-2</v>
      </c>
      <c r="GF36">
        <v>-1.3961093918350999E-3</v>
      </c>
      <c r="GG36">
        <v>3.0307607835130999E-2</v>
      </c>
      <c r="GH36">
        <v>-0.16190899562047101</v>
      </c>
      <c r="GI36">
        <v>0.41776867046037702</v>
      </c>
      <c r="GJ36">
        <v>-9.9580016279514794E-2</v>
      </c>
      <c r="GK36">
        <v>4.78193429018492E-2</v>
      </c>
      <c r="GL36">
        <v>-0.102603092858199</v>
      </c>
      <c r="GM36">
        <v>9.2777177419924098E-2</v>
      </c>
      <c r="GN36">
        <v>-6.9355417020656703E-3</v>
      </c>
      <c r="GO36">
        <v>0.107822793819168</v>
      </c>
      <c r="GP36">
        <v>0.22387972257201</v>
      </c>
      <c r="GQ36">
        <v>0.32925381124661002</v>
      </c>
      <c r="GR36">
        <v>0.51812532370369702</v>
      </c>
      <c r="GS36">
        <v>8.1166261323452005E-2</v>
      </c>
      <c r="GT36">
        <v>0.28270035892144801</v>
      </c>
      <c r="GU36">
        <v>0.32164119421666598</v>
      </c>
      <c r="GV36">
        <v>0.34171181440440201</v>
      </c>
      <c r="GW36">
        <v>5.6334160322027496E-3</v>
      </c>
      <c r="GX36">
        <v>0.41518610560021901</v>
      </c>
      <c r="GY36">
        <v>0.248476459005324</v>
      </c>
      <c r="GZ36">
        <v>-0.16190899562047101</v>
      </c>
      <c r="HA36">
        <v>-8.1909179570451698E-2</v>
      </c>
      <c r="HB36">
        <v>0.44185160127381001</v>
      </c>
      <c r="HC36">
        <v>-0.16190899562047101</v>
      </c>
    </row>
    <row r="37" spans="1:211" x14ac:dyDescent="0.25">
      <c r="A37" t="s">
        <v>267</v>
      </c>
      <c r="B37" t="s">
        <v>385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0.17917746221928499</v>
      </c>
      <c r="AG37">
        <v>0</v>
      </c>
      <c r="AH37">
        <v>0</v>
      </c>
      <c r="AI37">
        <v>0</v>
      </c>
      <c r="AJ37">
        <v>6.7050113158122898E-2</v>
      </c>
      <c r="AK37">
        <v>0</v>
      </c>
      <c r="AL37">
        <v>0</v>
      </c>
      <c r="AM37">
        <v>0.20955980594606799</v>
      </c>
      <c r="AN37">
        <v>0</v>
      </c>
      <c r="AO37">
        <v>0</v>
      </c>
      <c r="AP37">
        <v>0</v>
      </c>
      <c r="AQ37">
        <v>7.9292626513880998E-2</v>
      </c>
      <c r="AR37">
        <v>0.115976530652688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0.220527019173337</v>
      </c>
      <c r="BA37">
        <v>3.7997905364583903E-2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7.7167153854004703E-2</v>
      </c>
      <c r="BH37">
        <v>3.66209597691678E-2</v>
      </c>
      <c r="BI37">
        <v>0</v>
      </c>
      <c r="BJ37">
        <v>0</v>
      </c>
      <c r="BK37">
        <v>0</v>
      </c>
      <c r="BL37">
        <v>0</v>
      </c>
      <c r="BM37">
        <v>0.23253586693695599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0.13413090172213299</v>
      </c>
      <c r="CD37">
        <v>0</v>
      </c>
      <c r="CE37">
        <v>2.1272848573621599E-2</v>
      </c>
      <c r="CF37">
        <v>0</v>
      </c>
      <c r="CG37">
        <v>0.16276861526355699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9.4311880793141706E-2</v>
      </c>
      <c r="CN37">
        <v>0</v>
      </c>
      <c r="CO37">
        <v>0</v>
      </c>
      <c r="CP37">
        <v>0.141749371317023</v>
      </c>
      <c r="CQ37">
        <v>0.15118143809244899</v>
      </c>
      <c r="CR37">
        <v>0</v>
      </c>
      <c r="CS37">
        <v>0</v>
      </c>
      <c r="CT37">
        <v>0</v>
      </c>
      <c r="CU37">
        <v>9.7565144396602202E-2</v>
      </c>
      <c r="CV37">
        <v>0</v>
      </c>
      <c r="CW37">
        <v>0</v>
      </c>
      <c r="CX37">
        <v>0</v>
      </c>
      <c r="CY37">
        <v>3.90800731030038E-2</v>
      </c>
      <c r="CZ37">
        <v>0</v>
      </c>
      <c r="DA37">
        <v>0</v>
      </c>
      <c r="DB37">
        <v>4.88290144995304E-2</v>
      </c>
      <c r="DC37">
        <v>0</v>
      </c>
      <c r="DD37">
        <v>0</v>
      </c>
      <c r="DE37">
        <v>0</v>
      </c>
      <c r="DF37">
        <v>0</v>
      </c>
      <c r="DG37">
        <v>5.6768843891167001E-2</v>
      </c>
      <c r="DH37">
        <v>0</v>
      </c>
      <c r="DI37">
        <v>5.4594621343458397E-2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3.1896445430524202E-2</v>
      </c>
      <c r="DQ37">
        <v>0</v>
      </c>
      <c r="DR37">
        <v>7.3470985246821205E-2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0.167432963000893</v>
      </c>
      <c r="DZ37">
        <v>8.3716896368759799E-2</v>
      </c>
      <c r="EA37">
        <v>0.22046231813952599</v>
      </c>
      <c r="EB37">
        <v>0</v>
      </c>
      <c r="EC37">
        <v>0</v>
      </c>
      <c r="ED37">
        <v>9.8121800942752593E-2</v>
      </c>
      <c r="EE37">
        <v>0</v>
      </c>
      <c r="EF37">
        <v>0</v>
      </c>
      <c r="EG37">
        <v>0.10503579656559101</v>
      </c>
      <c r="EH37">
        <v>3.6724102236526203E-2</v>
      </c>
      <c r="EI37">
        <v>6.8072025127654895E-2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2.5041964735762999E-2</v>
      </c>
      <c r="EX37">
        <v>3.4241005244577898E-2</v>
      </c>
      <c r="EY37">
        <v>8.3537549760195007E-2</v>
      </c>
      <c r="EZ37">
        <v>0</v>
      </c>
      <c r="FA37">
        <v>0.186959407338471</v>
      </c>
      <c r="FB37">
        <v>8.5578127064297599E-2</v>
      </c>
      <c r="FC37">
        <v>0</v>
      </c>
      <c r="FD37">
        <v>6.97536860220003E-2</v>
      </c>
      <c r="FE37">
        <v>9.4706153445149696E-2</v>
      </c>
      <c r="FF37">
        <v>0</v>
      </c>
      <c r="FG37">
        <v>0.14482749933005401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0.123046388241166</v>
      </c>
      <c r="FO37">
        <v>0.24520053563402899</v>
      </c>
      <c r="FP37">
        <v>0.214898512819198</v>
      </c>
      <c r="FQ37">
        <v>0</v>
      </c>
      <c r="FR37">
        <v>8.6874417916175006E-2</v>
      </c>
      <c r="FS37">
        <v>0</v>
      </c>
      <c r="FT37">
        <v>9.7755189238770898E-2</v>
      </c>
      <c r="FU37">
        <v>0.22533745429027799</v>
      </c>
      <c r="FV37">
        <v>0.15512970346695101</v>
      </c>
      <c r="FW37">
        <v>0.148696881887278</v>
      </c>
      <c r="FX37">
        <v>0</v>
      </c>
      <c r="FY37">
        <v>0</v>
      </c>
      <c r="FZ37">
        <v>0.18933155774485599</v>
      </c>
      <c r="GA37">
        <v>0.19352593885386399</v>
      </c>
      <c r="GB37">
        <v>0</v>
      </c>
      <c r="GC37">
        <v>0</v>
      </c>
      <c r="GD37">
        <v>0</v>
      </c>
      <c r="GE37">
        <v>0.217573388802215</v>
      </c>
      <c r="GF37">
        <v>0</v>
      </c>
      <c r="GG37">
        <v>0.146148690497231</v>
      </c>
      <c r="GH37">
        <v>0.20701868172628499</v>
      </c>
      <c r="GI37">
        <v>0</v>
      </c>
      <c r="GJ37">
        <v>0.110342787158072</v>
      </c>
      <c r="GK37">
        <v>0.71197403225241196</v>
      </c>
      <c r="GL37">
        <v>0.61656367312901394</v>
      </c>
      <c r="GM37">
        <v>8.4765321328910001E-2</v>
      </c>
      <c r="GN37">
        <v>0.35185725402884099</v>
      </c>
      <c r="GO37">
        <v>0.544352671709737</v>
      </c>
      <c r="GP37">
        <v>0</v>
      </c>
      <c r="GQ37">
        <v>9.3442635844618899E-2</v>
      </c>
      <c r="GR37">
        <v>0</v>
      </c>
      <c r="GS37">
        <v>0</v>
      </c>
      <c r="GT37">
        <v>0</v>
      </c>
      <c r="GU37">
        <v>0.57247135676805105</v>
      </c>
      <c r="GV37">
        <v>0.113940837207809</v>
      </c>
      <c r="GW37">
        <v>0</v>
      </c>
      <c r="GX37">
        <v>0.51970963196012399</v>
      </c>
      <c r="GY37">
        <v>0</v>
      </c>
      <c r="GZ37">
        <v>0</v>
      </c>
      <c r="HA37">
        <v>7.9999816050019101E-2</v>
      </c>
      <c r="HB37">
        <v>0</v>
      </c>
      <c r="HC37">
        <v>0</v>
      </c>
    </row>
    <row r="38" spans="1:211" x14ac:dyDescent="0.25">
      <c r="A38" t="s">
        <v>267</v>
      </c>
      <c r="B38" t="s">
        <v>386</v>
      </c>
      <c r="C38">
        <v>-9.6451335253110101E-2</v>
      </c>
      <c r="D38">
        <v>-2.7040252651392802E-2</v>
      </c>
      <c r="E38">
        <v>-3.2234410047245498E-3</v>
      </c>
      <c r="F38">
        <v>6.1100200278587501E-2</v>
      </c>
      <c r="G38">
        <v>1.53929195826945E-2</v>
      </c>
      <c r="H38">
        <v>-9.6451335253110101E-2</v>
      </c>
      <c r="I38">
        <v>-4.5074327033383398E-2</v>
      </c>
      <c r="J38">
        <v>3.9522360557154801E-2</v>
      </c>
      <c r="K38">
        <v>-9.6451335253110101E-2</v>
      </c>
      <c r="L38">
        <v>5.5715705129255097E-2</v>
      </c>
      <c r="M38">
        <v>1.18629403815615E-3</v>
      </c>
      <c r="N38">
        <v>-4.3992239105585002E-2</v>
      </c>
      <c r="O38">
        <v>-5.4366153621789703E-2</v>
      </c>
      <c r="P38">
        <v>-2.9970397346064801E-2</v>
      </c>
      <c r="Q38">
        <v>-9.6451335253110101E-2</v>
      </c>
      <c r="R38">
        <v>-5.5617257470945099E-2</v>
      </c>
      <c r="S38">
        <v>-9.6451335253110101E-2</v>
      </c>
      <c r="T38">
        <v>-9.6451335253110101E-2</v>
      </c>
      <c r="U38">
        <v>-9.6451335253110101E-2</v>
      </c>
      <c r="V38">
        <v>-3.2230269656806698E-2</v>
      </c>
      <c r="W38">
        <v>-9.6451335253110101E-2</v>
      </c>
      <c r="X38">
        <v>-9.6451335253110101E-2</v>
      </c>
      <c r="Y38">
        <v>-9.6451335253110101E-2</v>
      </c>
      <c r="Z38">
        <v>0.12694067907804199</v>
      </c>
      <c r="AA38">
        <v>-9.6451335253110101E-2</v>
      </c>
      <c r="AB38">
        <v>-9.6451335253110101E-2</v>
      </c>
      <c r="AC38">
        <v>-9.6451335253110101E-2</v>
      </c>
      <c r="AD38">
        <v>3.5436356779317002E-2</v>
      </c>
      <c r="AE38">
        <v>-9.6451335253110101E-2</v>
      </c>
      <c r="AF38">
        <v>-9.6451335253110101E-2</v>
      </c>
      <c r="AG38">
        <v>-9.6451335253110101E-2</v>
      </c>
      <c r="AH38">
        <v>4.9053313577672897E-2</v>
      </c>
      <c r="AI38">
        <v>-9.6451335253110101E-2</v>
      </c>
      <c r="AJ38">
        <v>-2.9401222094987099E-2</v>
      </c>
      <c r="AK38">
        <v>0.18063974715388201</v>
      </c>
      <c r="AL38">
        <v>0.15923825806825301</v>
      </c>
      <c r="AM38">
        <v>0.395460812429899</v>
      </c>
      <c r="AN38">
        <v>0.13205709085954101</v>
      </c>
      <c r="AO38">
        <v>-9.6451335253110101E-2</v>
      </c>
      <c r="AP38">
        <v>-9.6451335253110101E-2</v>
      </c>
      <c r="AQ38">
        <v>0.13020507417949601</v>
      </c>
      <c r="AR38">
        <v>-9.6451335253110101E-2</v>
      </c>
      <c r="AS38">
        <v>-9.6451335253110101E-2</v>
      </c>
      <c r="AT38">
        <v>-9.6451335253110101E-2</v>
      </c>
      <c r="AU38">
        <v>8.8315343068638502E-2</v>
      </c>
      <c r="AV38">
        <v>-9.6451335253110101E-2</v>
      </c>
      <c r="AW38">
        <v>-9.6451335253110101E-2</v>
      </c>
      <c r="AX38">
        <v>-9.6451335253110101E-2</v>
      </c>
      <c r="AY38">
        <v>-9.6451335253110101E-2</v>
      </c>
      <c r="AZ38">
        <v>0.37399768459795402</v>
      </c>
      <c r="BA38">
        <v>-2.1301202633370601E-2</v>
      </c>
      <c r="BB38">
        <v>-9.6451335253110101E-2</v>
      </c>
      <c r="BC38">
        <v>0.20483971317741001</v>
      </c>
      <c r="BD38">
        <v>-6.4071497412029402E-2</v>
      </c>
      <c r="BE38">
        <v>2.0429166875492101E-2</v>
      </c>
      <c r="BF38">
        <v>0.118877938944826</v>
      </c>
      <c r="BG38">
        <v>-9.6451335253110101E-2</v>
      </c>
      <c r="BH38">
        <v>-9.6451335253110101E-2</v>
      </c>
      <c r="BI38">
        <v>1.43635881790739E-2</v>
      </c>
      <c r="BJ38">
        <v>-9.6451335253110101E-2</v>
      </c>
      <c r="BK38">
        <v>-9.6451335253110101E-2</v>
      </c>
      <c r="BL38">
        <v>0.49084636121089797</v>
      </c>
      <c r="BM38">
        <v>-9.6451335253110101E-2</v>
      </c>
      <c r="BN38">
        <v>-9.6451335253110101E-2</v>
      </c>
      <c r="BO38">
        <v>-1.50046486585446E-2</v>
      </c>
      <c r="BP38">
        <v>6.2690639953646099E-2</v>
      </c>
      <c r="BQ38">
        <v>-9.6451335253110101E-2</v>
      </c>
      <c r="BR38">
        <v>-9.6451335253110101E-2</v>
      </c>
      <c r="BS38">
        <v>-9.6451335253110101E-2</v>
      </c>
      <c r="BT38">
        <v>-9.6451335253110101E-2</v>
      </c>
      <c r="BU38">
        <v>-9.6451335253110101E-2</v>
      </c>
      <c r="BV38">
        <v>3.2375344860885301E-2</v>
      </c>
      <c r="BW38">
        <v>-9.6451335253110101E-2</v>
      </c>
      <c r="BX38">
        <v>6.5473216647685406E-2</v>
      </c>
      <c r="BY38">
        <v>-9.6451335253110101E-2</v>
      </c>
      <c r="BZ38">
        <v>-9.6451335253110101E-2</v>
      </c>
      <c r="CA38">
        <v>-9.6451335253110101E-2</v>
      </c>
      <c r="CB38">
        <v>-9.6451335253110101E-2</v>
      </c>
      <c r="CC38">
        <v>-2.7924820302899899E-2</v>
      </c>
      <c r="CD38">
        <v>0.21382739424781799</v>
      </c>
      <c r="CE38">
        <v>-1.2815773992013099E-2</v>
      </c>
      <c r="CF38">
        <v>-1.22028617462063E-2</v>
      </c>
      <c r="CG38">
        <v>0.15405344550629299</v>
      </c>
      <c r="CH38">
        <v>-9.6451335253110101E-2</v>
      </c>
      <c r="CI38">
        <v>-1.2219063320262E-2</v>
      </c>
      <c r="CJ38">
        <v>0.34441388829041403</v>
      </c>
      <c r="CK38">
        <v>0.146446094157796</v>
      </c>
      <c r="CL38">
        <v>-9.6451335253110101E-2</v>
      </c>
      <c r="CM38">
        <v>8.6992882724684001E-2</v>
      </c>
      <c r="CN38">
        <v>8.2420018509972895E-2</v>
      </c>
      <c r="CO38">
        <v>0.10351705078867</v>
      </c>
      <c r="CP38">
        <v>0.175152272857275</v>
      </c>
      <c r="CQ38">
        <v>-4.4737960088754497E-2</v>
      </c>
      <c r="CR38">
        <v>-1.5529503051921099E-2</v>
      </c>
      <c r="CS38">
        <v>0.10632231705381701</v>
      </c>
      <c r="CT38">
        <v>4.26111330638149E-2</v>
      </c>
      <c r="CU38">
        <v>1.1138091434922E-3</v>
      </c>
      <c r="CV38">
        <v>-9.6451335253110101E-2</v>
      </c>
      <c r="CW38">
        <v>3.1302218203899501E-2</v>
      </c>
      <c r="CX38">
        <v>-4.2109401700555001E-2</v>
      </c>
      <c r="CY38">
        <v>1.8386751024616801E-2</v>
      </c>
      <c r="CZ38">
        <v>0.26463582405515601</v>
      </c>
      <c r="DA38">
        <v>7.5647564780475698E-2</v>
      </c>
      <c r="DB38">
        <v>0.117785133643817</v>
      </c>
      <c r="DC38">
        <v>0.11371421345838501</v>
      </c>
      <c r="DD38">
        <v>0.11773369325001901</v>
      </c>
      <c r="DE38">
        <v>-9.6451335253110101E-2</v>
      </c>
      <c r="DF38">
        <v>-9.6451335253110101E-2</v>
      </c>
      <c r="DG38">
        <v>6.8510708071541498E-2</v>
      </c>
      <c r="DH38">
        <v>0.19543201520022499</v>
      </c>
      <c r="DI38">
        <v>3.7566687577581401E-2</v>
      </c>
      <c r="DJ38">
        <v>4.9310958267467002E-2</v>
      </c>
      <c r="DK38">
        <v>3.9595496696051599E-2</v>
      </c>
      <c r="DL38">
        <v>0.122814170369364</v>
      </c>
      <c r="DM38">
        <v>-9.6451335253110101E-2</v>
      </c>
      <c r="DN38">
        <v>2.8979645279717501E-2</v>
      </c>
      <c r="DO38">
        <v>1.2113054883055901E-2</v>
      </c>
      <c r="DP38">
        <v>0.105855392503667</v>
      </c>
      <c r="DQ38">
        <v>-1.35986652080268E-2</v>
      </c>
      <c r="DR38">
        <v>-9.6451335253110101E-2</v>
      </c>
      <c r="DS38">
        <v>2.2130925188112799E-2</v>
      </c>
      <c r="DT38">
        <v>-9.0619400900804701E-3</v>
      </c>
      <c r="DU38">
        <v>-9.6451335253110101E-2</v>
      </c>
      <c r="DV38">
        <v>2.1364173329217001E-2</v>
      </c>
      <c r="DW38">
        <v>1.2923983087572801E-3</v>
      </c>
      <c r="DX38">
        <v>-9.6451335253110101E-2</v>
      </c>
      <c r="DY38">
        <v>0.25992632875025301</v>
      </c>
      <c r="DZ38">
        <v>-9.6451335253110101E-2</v>
      </c>
      <c r="EA38">
        <v>0.40210857925506399</v>
      </c>
      <c r="EB38">
        <v>9.4806905218051699E-2</v>
      </c>
      <c r="EC38">
        <v>-9.6451335253110101E-2</v>
      </c>
      <c r="ED38">
        <v>4.8739918363636697E-2</v>
      </c>
      <c r="EE38">
        <v>0.141072176554806</v>
      </c>
      <c r="EF38">
        <v>-9.6451335253110101E-2</v>
      </c>
      <c r="EG38">
        <v>6.1654242010651603E-2</v>
      </c>
      <c r="EH38">
        <v>-2.37531317921202E-2</v>
      </c>
      <c r="EI38">
        <v>2.3820726330960801E-2</v>
      </c>
      <c r="EJ38">
        <v>0.19736805573792901</v>
      </c>
      <c r="EK38">
        <v>-9.6451335253110101E-2</v>
      </c>
      <c r="EL38">
        <v>-9.6451335253110101E-2</v>
      </c>
      <c r="EM38">
        <v>0.124771666820215</v>
      </c>
      <c r="EN38">
        <v>0.18217705497536699</v>
      </c>
      <c r="EO38">
        <v>0.11296011414224801</v>
      </c>
      <c r="EP38">
        <v>-9.6451335253110101E-2</v>
      </c>
      <c r="EQ38">
        <v>-9.6451335253110101E-2</v>
      </c>
      <c r="ER38">
        <v>2.56857613155979E-2</v>
      </c>
      <c r="ES38">
        <v>-9.6451335253110101E-2</v>
      </c>
      <c r="ET38">
        <v>-9.6451335253110101E-2</v>
      </c>
      <c r="EU38">
        <v>0</v>
      </c>
      <c r="EV38">
        <v>7.3702481167577398E-4</v>
      </c>
      <c r="EW38">
        <v>-4.67054764469974E-2</v>
      </c>
      <c r="EX38">
        <v>6.8964368279322799E-2</v>
      </c>
      <c r="EY38">
        <v>0.14217487300380299</v>
      </c>
      <c r="EZ38">
        <v>0.111722689664596</v>
      </c>
      <c r="FA38">
        <v>-9.6451335253110101E-2</v>
      </c>
      <c r="FB38">
        <v>0.41993398116768099</v>
      </c>
      <c r="FC38">
        <v>1.4374591835645E-2</v>
      </c>
      <c r="FD38">
        <v>0.10522613966911</v>
      </c>
      <c r="FE38">
        <v>0.115938602434348</v>
      </c>
      <c r="FF38">
        <v>-9.6451335253110101E-2</v>
      </c>
      <c r="FG38">
        <v>0.18173686363197999</v>
      </c>
      <c r="FH38">
        <v>0.24200052230931399</v>
      </c>
      <c r="FI38">
        <v>9.5140967041555599E-2</v>
      </c>
      <c r="FJ38">
        <v>4.2748275986630599E-2</v>
      </c>
      <c r="FK38">
        <v>0.319456353292353</v>
      </c>
      <c r="FL38">
        <v>3.6444667840496402E-2</v>
      </c>
      <c r="FM38">
        <v>-9.16061316575063E-3</v>
      </c>
      <c r="FN38">
        <v>0.44995447668996003</v>
      </c>
      <c r="FO38">
        <v>0.111129218678662</v>
      </c>
      <c r="FP38">
        <v>8.5150966031993E-2</v>
      </c>
      <c r="FQ38">
        <v>0.30730652713569601</v>
      </c>
      <c r="FR38">
        <v>-9.6451335253110101E-2</v>
      </c>
      <c r="FS38">
        <v>6.6077328294079196E-2</v>
      </c>
      <c r="FT38">
        <v>0.29067263745142102</v>
      </c>
      <c r="FU38">
        <v>0.23076638551688</v>
      </c>
      <c r="FV38">
        <v>0.19976655754321501</v>
      </c>
      <c r="FW38">
        <v>-9.6451335253110101E-2</v>
      </c>
      <c r="FX38">
        <v>-9.6451335253110101E-2</v>
      </c>
      <c r="FY38">
        <v>-9.6451335253110101E-2</v>
      </c>
      <c r="FZ38">
        <v>-9.6451335253110101E-2</v>
      </c>
      <c r="GA38">
        <v>-9.6451335253110101E-2</v>
      </c>
      <c r="GB38">
        <v>0.31758060268084698</v>
      </c>
      <c r="GC38">
        <v>0.364637722498793</v>
      </c>
      <c r="GD38">
        <v>-9.6451335253110101E-2</v>
      </c>
      <c r="GE38">
        <v>0.20813733328959499</v>
      </c>
      <c r="GF38">
        <v>0.36612670942314601</v>
      </c>
      <c r="GG38">
        <v>0.20946034961244001</v>
      </c>
      <c r="GH38">
        <v>0.233798111634475</v>
      </c>
      <c r="GI38">
        <v>-9.6451335253110101E-2</v>
      </c>
      <c r="GJ38">
        <v>0.19459758754776399</v>
      </c>
      <c r="GK38">
        <v>0.11327700326921</v>
      </c>
      <c r="GL38">
        <v>7.5449996455403998E-2</v>
      </c>
      <c r="GM38">
        <v>-9.6451335253110101E-2</v>
      </c>
      <c r="GN38">
        <v>-8.4083525883377093E-3</v>
      </c>
      <c r="GO38">
        <v>0.39919239305257198</v>
      </c>
      <c r="GP38">
        <v>-1.14720206977416E-2</v>
      </c>
      <c r="GQ38">
        <v>-9.6451335253110101E-2</v>
      </c>
      <c r="GR38">
        <v>2.6270649478822398E-2</v>
      </c>
      <c r="GS38">
        <v>-9.6451335253110101E-2</v>
      </c>
      <c r="GT38">
        <v>2.6395300632455598E-2</v>
      </c>
      <c r="GU38">
        <v>-9.6451335253110101E-2</v>
      </c>
      <c r="GV38">
        <v>0.31804068188468598</v>
      </c>
      <c r="GW38">
        <v>0.192654754141493</v>
      </c>
      <c r="GX38">
        <v>-9.6451335253110101E-2</v>
      </c>
      <c r="GY38">
        <v>-3.6380184047077498E-2</v>
      </c>
      <c r="GZ38">
        <v>0.13304796312578401</v>
      </c>
      <c r="HA38">
        <v>-9.6451335253110101E-2</v>
      </c>
      <c r="HB38">
        <v>0.10014112449225999</v>
      </c>
      <c r="HC38">
        <v>0.38442445818666499</v>
      </c>
    </row>
    <row r="39" spans="1:211" x14ac:dyDescent="0.25">
      <c r="A39" t="s">
        <v>267</v>
      </c>
      <c r="B39" t="s">
        <v>391</v>
      </c>
      <c r="C39">
        <v>-0.33395021176720902</v>
      </c>
      <c r="D39">
        <v>6.2358201248518701E-2</v>
      </c>
      <c r="E39">
        <v>-0.35809760349171799</v>
      </c>
      <c r="F39">
        <v>-0.11750442734965</v>
      </c>
      <c r="G39">
        <v>-0.223882457133913</v>
      </c>
      <c r="H39">
        <v>-0.39636124483426</v>
      </c>
      <c r="I39">
        <v>-9.06760664162478E-2</v>
      </c>
      <c r="J39">
        <v>0.18740064793493799</v>
      </c>
      <c r="K39">
        <v>-5.7228496570986401E-2</v>
      </c>
      <c r="L39">
        <v>0.22299318752299199</v>
      </c>
      <c r="M39">
        <v>0.146585644838792</v>
      </c>
      <c r="N39">
        <v>-0.138684811850592</v>
      </c>
      <c r="O39">
        <v>-1.0727474728497799E-3</v>
      </c>
      <c r="P39">
        <v>-0.429641116491707</v>
      </c>
      <c r="Q39">
        <v>-4.7447584203336203E-2</v>
      </c>
      <c r="R39">
        <v>-8.3922712769680302E-2</v>
      </c>
      <c r="S39">
        <v>1.0860116804894E-2</v>
      </c>
      <c r="T39">
        <v>-6.7893857312551306E-2</v>
      </c>
      <c r="U39">
        <v>-0.24002846111954801</v>
      </c>
      <c r="V39">
        <v>-0.31075442294965699</v>
      </c>
      <c r="W39">
        <v>-8.7158617071142905E-2</v>
      </c>
      <c r="X39">
        <v>-0.35298588291493699</v>
      </c>
      <c r="Y39">
        <v>-0.49612205439875201</v>
      </c>
      <c r="Z39">
        <v>-7.7800124156894093E-2</v>
      </c>
      <c r="AA39">
        <v>-0.16231151155052101</v>
      </c>
      <c r="AB39">
        <v>-0.30696072750754499</v>
      </c>
      <c r="AC39">
        <v>-0.214083410621244</v>
      </c>
      <c r="AD39">
        <v>-0.39080853493331102</v>
      </c>
      <c r="AE39">
        <v>-0.24789440656268899</v>
      </c>
      <c r="AF39">
        <v>-0.31694459217946602</v>
      </c>
      <c r="AG39">
        <v>-8.7150323101615898E-2</v>
      </c>
      <c r="AH39">
        <v>-0.49612205439875201</v>
      </c>
      <c r="AI39">
        <v>-0.36658765796148701</v>
      </c>
      <c r="AJ39">
        <v>-0.42907194124062897</v>
      </c>
      <c r="AK39">
        <v>0.21859725417286799</v>
      </c>
      <c r="AL39">
        <v>0.48860062904267998</v>
      </c>
      <c r="AM39">
        <v>-0.10244597936648001</v>
      </c>
      <c r="AN39">
        <v>-6.8834607069065495E-2</v>
      </c>
      <c r="AO39">
        <v>-0.49612205439875201</v>
      </c>
      <c r="AP39">
        <v>-0.49612205439875201</v>
      </c>
      <c r="AQ39">
        <v>-1.08372275814389E-2</v>
      </c>
      <c r="AR39">
        <v>-0.27215461775365701</v>
      </c>
      <c r="AS39">
        <v>-0.18910812098263699</v>
      </c>
      <c r="AT39">
        <v>-0.110350487254904</v>
      </c>
      <c r="AU39">
        <v>-0.31135537607700298</v>
      </c>
      <c r="AV39">
        <v>8.4578503880714098E-2</v>
      </c>
      <c r="AW39">
        <v>-0.25774436478542101</v>
      </c>
      <c r="AX39">
        <v>-0.49612205439875201</v>
      </c>
      <c r="AY39">
        <v>0.160737385002512</v>
      </c>
      <c r="AZ39">
        <v>-0.27559503522541401</v>
      </c>
      <c r="BA39">
        <v>-0.14464410947985501</v>
      </c>
      <c r="BB39">
        <v>1.7735558986965601E-2</v>
      </c>
      <c r="BC39">
        <v>-0.33802582974122503</v>
      </c>
      <c r="BD39">
        <v>-0.16812091703571599</v>
      </c>
      <c r="BE39">
        <v>0.16223428485991001</v>
      </c>
      <c r="BF39">
        <v>0.29150988933359501</v>
      </c>
      <c r="BG39">
        <v>-0.27475108586721297</v>
      </c>
      <c r="BH39">
        <v>-0.26810696573137699</v>
      </c>
      <c r="BI39">
        <v>-0.38530713096656799</v>
      </c>
      <c r="BJ39">
        <v>-0.161344053274179</v>
      </c>
      <c r="BK39">
        <v>-3.3526808837828499E-2</v>
      </c>
      <c r="BL39">
        <v>0.70685034738160302</v>
      </c>
      <c r="BM39">
        <v>-6.1645439246733998E-2</v>
      </c>
      <c r="BN39">
        <v>0.13874364750273299</v>
      </c>
      <c r="BO39">
        <v>-0.26353489029654498</v>
      </c>
      <c r="BP39">
        <v>-0.33698007919199602</v>
      </c>
      <c r="BQ39">
        <v>-0.49612205439875201</v>
      </c>
      <c r="BR39">
        <v>-0.21442932061099401</v>
      </c>
      <c r="BS39">
        <v>-0.49612205439875201</v>
      </c>
      <c r="BT39">
        <v>-0.49612205439875201</v>
      </c>
      <c r="BU39">
        <v>-0.49612205439875201</v>
      </c>
      <c r="BV39">
        <v>-0.248283447714683</v>
      </c>
      <c r="BW39">
        <v>0.30365353913844401</v>
      </c>
      <c r="BX39">
        <v>-0.216924857537826</v>
      </c>
      <c r="BY39">
        <v>0.53844900469245005</v>
      </c>
      <c r="BZ39">
        <v>2.99800982303156E-2</v>
      </c>
      <c r="CA39">
        <v>-4.0769180072441902E-2</v>
      </c>
      <c r="CB39">
        <v>1.29271854514911E-2</v>
      </c>
      <c r="CC39">
        <v>-0.238592643891062</v>
      </c>
      <c r="CD39">
        <v>5.0905943536099004E-3</v>
      </c>
      <c r="CE39">
        <v>1.6338424179246101E-2</v>
      </c>
      <c r="CF39">
        <v>2.8700408405094299E-2</v>
      </c>
      <c r="CG39">
        <v>2.1339560896994701E-2</v>
      </c>
      <c r="CH39">
        <v>0.23951264653013701</v>
      </c>
      <c r="CI39">
        <v>-3.3571065423903299E-2</v>
      </c>
      <c r="CJ39">
        <v>0.222100496650636</v>
      </c>
      <c r="CK39">
        <v>-0.21742614414646799</v>
      </c>
      <c r="CL39">
        <v>0.12489285640733</v>
      </c>
      <c r="CM39">
        <v>-0.31267783642095798</v>
      </c>
      <c r="CN39">
        <v>6.9943607579839404E-2</v>
      </c>
      <c r="CO39">
        <v>-0.119653821521525</v>
      </c>
      <c r="CP39">
        <v>-0.35437268308172898</v>
      </c>
      <c r="CQ39">
        <v>-2.1793491339873901E-2</v>
      </c>
      <c r="CR39">
        <v>7.7513355382533705E-2</v>
      </c>
      <c r="CS39">
        <v>0.46281288202450399</v>
      </c>
      <c r="CT39">
        <v>-0.10980751952540301</v>
      </c>
      <c r="CU39">
        <v>-3.7248260923490997E-2</v>
      </c>
      <c r="CV39">
        <v>-7.8652053910623001E-4</v>
      </c>
      <c r="CW39">
        <v>-0.17057494058223299</v>
      </c>
      <c r="CX39">
        <v>-1.1768925036887701E-2</v>
      </c>
      <c r="CY39">
        <v>4.65735363929023E-2</v>
      </c>
      <c r="CZ39">
        <v>6.5001737158772402E-2</v>
      </c>
      <c r="DA39">
        <v>-0.24397477755823799</v>
      </c>
      <c r="DB39">
        <v>-0.153554205741711</v>
      </c>
      <c r="DC39">
        <v>0.29264504225538501</v>
      </c>
      <c r="DD39">
        <v>0.21768998566334699</v>
      </c>
      <c r="DE39">
        <v>-4.5078893885205001E-2</v>
      </c>
      <c r="DF39">
        <v>-4.9005476840646302E-2</v>
      </c>
      <c r="DG39">
        <v>0.35387689531699901</v>
      </c>
      <c r="DH39">
        <v>-0.161820308882062</v>
      </c>
      <c r="DI39">
        <v>8.9429927728146799E-2</v>
      </c>
      <c r="DJ39">
        <v>-0.17524097446474499</v>
      </c>
      <c r="DK39">
        <v>1.0868236867504299E-2</v>
      </c>
      <c r="DL39">
        <v>1.26077570803087E-2</v>
      </c>
      <c r="DM39">
        <v>0.28854358872371699</v>
      </c>
      <c r="DN39">
        <v>8.8035296643829794E-2</v>
      </c>
      <c r="DO39">
        <v>-0.19935342864469599</v>
      </c>
      <c r="DP39">
        <v>-2.2521596187616299E-2</v>
      </c>
      <c r="DQ39">
        <v>-4.42780104120543E-2</v>
      </c>
      <c r="DR39">
        <v>4.7889740013899E-2</v>
      </c>
      <c r="DS39">
        <v>0.197744202888576</v>
      </c>
      <c r="DT39">
        <v>-0.12405421134906899</v>
      </c>
      <c r="DU39">
        <v>-0.16478813579576401</v>
      </c>
      <c r="DV39">
        <v>0.15399585062444601</v>
      </c>
      <c r="DW39">
        <v>0.12836549227684099</v>
      </c>
      <c r="DX39">
        <v>0.110603847578488</v>
      </c>
      <c r="DY39">
        <v>0.58285101320058896</v>
      </c>
      <c r="DZ39">
        <v>0.19710562833563899</v>
      </c>
      <c r="EA39">
        <v>-0.125522540626752</v>
      </c>
      <c r="EB39">
        <v>0.26402405588366901</v>
      </c>
      <c r="EC39">
        <v>-6.1480086442528802E-3</v>
      </c>
      <c r="ED39">
        <v>1.5497774373917601E-2</v>
      </c>
      <c r="EE39">
        <v>-2.72217001035042E-2</v>
      </c>
      <c r="EF39">
        <v>0.120867516959056</v>
      </c>
      <c r="EG39">
        <v>0.18462056857180301</v>
      </c>
      <c r="EH39">
        <v>0.108025070998322</v>
      </c>
      <c r="EI39">
        <v>1.7991721947680499E-2</v>
      </c>
      <c r="EJ39">
        <v>-0.34253835901956498</v>
      </c>
      <c r="EK39">
        <v>0.41589211474455501</v>
      </c>
      <c r="EL39">
        <v>-0.20877636416101</v>
      </c>
      <c r="EM39">
        <v>-3.3669303435025701E-2</v>
      </c>
      <c r="EN39">
        <v>-4.3038416662417103E-3</v>
      </c>
      <c r="EO39">
        <v>8.9820475831374397E-2</v>
      </c>
      <c r="EP39">
        <v>0.31862702438115598</v>
      </c>
      <c r="EQ39">
        <v>2.4930317546710299E-2</v>
      </c>
      <c r="ER39">
        <v>-5.64011539255697E-2</v>
      </c>
      <c r="ES39">
        <v>0.13882310471901901</v>
      </c>
      <c r="ET39">
        <v>0.84641103266893403</v>
      </c>
      <c r="EU39">
        <v>0.32709180906662</v>
      </c>
      <c r="EV39">
        <v>0.45448606523528001</v>
      </c>
      <c r="EW39">
        <v>0.222948165419252</v>
      </c>
      <c r="EX39">
        <v>-8.71833829408869E-2</v>
      </c>
      <c r="EY39">
        <v>0.55525220045431101</v>
      </c>
      <c r="EZ39">
        <v>-1.8349144000645402E-2</v>
      </c>
      <c r="FA39">
        <v>-0.14190433985912301</v>
      </c>
      <c r="FB39">
        <v>5.7451318948991401E-2</v>
      </c>
      <c r="FC39">
        <v>-5.4909649230190398E-3</v>
      </c>
      <c r="FD39">
        <v>5.3039800584436803E-2</v>
      </c>
      <c r="FE39">
        <v>-0.17827332345083499</v>
      </c>
      <c r="FF39">
        <v>0.67495778348267199</v>
      </c>
      <c r="FG39">
        <v>0.288845639362933</v>
      </c>
      <c r="FH39">
        <v>4.9103948248886101E-2</v>
      </c>
      <c r="FI39">
        <v>0.29428307935387799</v>
      </c>
      <c r="FJ39">
        <v>0.33832822190133099</v>
      </c>
      <c r="FK39">
        <v>-8.0214365853288894E-2</v>
      </c>
      <c r="FL39">
        <v>3.87383411232681E-2</v>
      </c>
      <c r="FM39">
        <v>9.7765574009933201E-2</v>
      </c>
      <c r="FN39">
        <v>0.30921531059772001</v>
      </c>
      <c r="FO39">
        <v>0.173729459041287</v>
      </c>
      <c r="FP39">
        <v>-0.31451975311364899</v>
      </c>
      <c r="FQ39">
        <v>8.7255345766119694E-2</v>
      </c>
      <c r="FR39">
        <v>-3.3992199959815998E-2</v>
      </c>
      <c r="FS39">
        <v>-1.43054137244012E-2</v>
      </c>
      <c r="FT39">
        <v>0</v>
      </c>
      <c r="FU39">
        <v>0.19873910024790301</v>
      </c>
      <c r="FV39">
        <v>0.19481792462580499</v>
      </c>
      <c r="FW39">
        <v>9.2361838139718405E-2</v>
      </c>
      <c r="FX39">
        <v>0.267230063771281</v>
      </c>
      <c r="FY39">
        <v>0.23991241504875899</v>
      </c>
      <c r="FZ39">
        <v>0.532768455543431</v>
      </c>
      <c r="GA39">
        <v>0.16607469786335999</v>
      </c>
      <c r="GB39">
        <v>0.18607205254490899</v>
      </c>
      <c r="GC39">
        <v>-0.13818734286239701</v>
      </c>
      <c r="GD39">
        <v>-0.20390781107766501</v>
      </c>
      <c r="GE39">
        <v>0.63264962822000403</v>
      </c>
      <c r="GF39">
        <v>0.47964700213823902</v>
      </c>
      <c r="GG39">
        <v>0.62943790572952996</v>
      </c>
      <c r="GH39">
        <v>0.247690314093822</v>
      </c>
      <c r="GI39">
        <v>0.138741051963194</v>
      </c>
      <c r="GJ39">
        <v>1.15901329532561</v>
      </c>
      <c r="GK39">
        <v>0.92092373269450001</v>
      </c>
      <c r="GL39">
        <v>1.06275853162765</v>
      </c>
      <c r="GM39">
        <v>0.747676404456175</v>
      </c>
      <c r="GN39">
        <v>0.48842122693998902</v>
      </c>
      <c r="GO39">
        <v>0.28555068616179302</v>
      </c>
      <c r="GP39">
        <v>0.52625100257773705</v>
      </c>
      <c r="GQ39">
        <v>0.40088413794703298</v>
      </c>
      <c r="GR39">
        <v>1.00288941778146</v>
      </c>
      <c r="GS39">
        <v>0.14827007916937801</v>
      </c>
      <c r="GT39">
        <v>0.60472618139633105</v>
      </c>
      <c r="GU39">
        <v>0.13898539448494601</v>
      </c>
      <c r="GV39">
        <v>-0.21655557974393499</v>
      </c>
      <c r="GW39">
        <v>0.21064600409874901</v>
      </c>
      <c r="GX39">
        <v>1.3008746735401699</v>
      </c>
      <c r="GY39">
        <v>0.223253241953318</v>
      </c>
      <c r="GZ39">
        <v>0.139585469404474</v>
      </c>
      <c r="HA39">
        <v>0.33638311832558199</v>
      </c>
      <c r="HB39">
        <v>-0.20956878139395901</v>
      </c>
      <c r="HC39">
        <v>0.52732834202308099</v>
      </c>
    </row>
    <row r="40" spans="1:211" x14ac:dyDescent="0.25">
      <c r="A40" t="s">
        <v>267</v>
      </c>
      <c r="B40" t="s">
        <v>392</v>
      </c>
      <c r="C40">
        <v>4.65755571291857E-2</v>
      </c>
      <c r="D40">
        <v>0</v>
      </c>
      <c r="E40">
        <v>0</v>
      </c>
      <c r="F40">
        <v>0</v>
      </c>
      <c r="G40">
        <v>0</v>
      </c>
      <c r="H40">
        <v>0</v>
      </c>
      <c r="I40">
        <v>0.101264961336281</v>
      </c>
      <c r="J40">
        <v>0.135973695810265</v>
      </c>
      <c r="K40">
        <v>0</v>
      </c>
      <c r="L40">
        <v>7.7626556282709799E-2</v>
      </c>
      <c r="M40">
        <v>0.144548737940904</v>
      </c>
      <c r="N40">
        <v>0.10352421755919</v>
      </c>
      <c r="O40">
        <v>0.162830751182378</v>
      </c>
      <c r="P40">
        <v>0.104232577613679</v>
      </c>
      <c r="Q40">
        <v>0</v>
      </c>
      <c r="R40">
        <v>4.0834077782164899E-2</v>
      </c>
      <c r="S40">
        <v>0</v>
      </c>
      <c r="T40">
        <v>0</v>
      </c>
      <c r="U40">
        <v>0</v>
      </c>
      <c r="V40">
        <v>0.12594501204658401</v>
      </c>
      <c r="W40">
        <v>0.12497609151606499</v>
      </c>
      <c r="X40">
        <v>0</v>
      </c>
      <c r="Y40">
        <v>0.17770925853764</v>
      </c>
      <c r="Z40">
        <v>0</v>
      </c>
      <c r="AA40">
        <v>0</v>
      </c>
      <c r="AB40">
        <v>0</v>
      </c>
      <c r="AC40">
        <v>0</v>
      </c>
      <c r="AD40">
        <v>6.7171884818654701E-2</v>
      </c>
      <c r="AE40">
        <v>0</v>
      </c>
      <c r="AF40">
        <v>9.2180646851826906E-2</v>
      </c>
      <c r="AG40">
        <v>0</v>
      </c>
      <c r="AH40">
        <v>0</v>
      </c>
      <c r="AI40">
        <v>6.6041050601816198E-2</v>
      </c>
      <c r="AJ40">
        <v>0.13139399774066901</v>
      </c>
      <c r="AK40">
        <v>0.14486861271495299</v>
      </c>
      <c r="AL40">
        <v>0</v>
      </c>
      <c r="AM40">
        <v>0</v>
      </c>
      <c r="AN40">
        <v>0</v>
      </c>
      <c r="AO40">
        <v>0</v>
      </c>
      <c r="AP40">
        <v>0.14942667541150501</v>
      </c>
      <c r="AQ40">
        <v>0</v>
      </c>
      <c r="AR40">
        <v>0.115976530652688</v>
      </c>
      <c r="AS40">
        <v>0.30701393341611499</v>
      </c>
      <c r="AT40">
        <v>0</v>
      </c>
      <c r="AU40">
        <v>0</v>
      </c>
      <c r="AV40">
        <v>0</v>
      </c>
      <c r="AW40">
        <v>0</v>
      </c>
      <c r="AX40">
        <v>0.39537772102174501</v>
      </c>
      <c r="AY40">
        <v>0</v>
      </c>
      <c r="AZ40">
        <v>0</v>
      </c>
      <c r="BA40">
        <v>0</v>
      </c>
      <c r="BB40">
        <v>0.27847949180222997</v>
      </c>
      <c r="BC40">
        <v>0</v>
      </c>
      <c r="BD40">
        <v>0</v>
      </c>
      <c r="BE40">
        <v>0</v>
      </c>
      <c r="BF40">
        <v>6.2655892196267493E-2</v>
      </c>
      <c r="BG40">
        <v>0</v>
      </c>
      <c r="BH40">
        <v>0.10760694518630499</v>
      </c>
      <c r="BI40">
        <v>0</v>
      </c>
      <c r="BJ40">
        <v>0</v>
      </c>
      <c r="BK40">
        <v>0.12930560620143899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0.12927319877054499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6.0099293578207598E-2</v>
      </c>
      <c r="CE40">
        <v>2.1272848573621599E-2</v>
      </c>
      <c r="CF40">
        <v>8.4248473506903898E-2</v>
      </c>
      <c r="CG40">
        <v>0</v>
      </c>
      <c r="CH40">
        <v>0</v>
      </c>
      <c r="CI40">
        <v>0</v>
      </c>
      <c r="CJ40">
        <v>0</v>
      </c>
      <c r="CK40">
        <v>9.8377285681650495E-2</v>
      </c>
      <c r="CL40">
        <v>0</v>
      </c>
      <c r="CM40">
        <v>0</v>
      </c>
      <c r="CN40">
        <v>0.178871353763083</v>
      </c>
      <c r="CO40">
        <v>0</v>
      </c>
      <c r="CP40">
        <v>0</v>
      </c>
      <c r="CQ40">
        <v>5.1713375164355799E-2</v>
      </c>
      <c r="CR40">
        <v>8.0921832201189106E-2</v>
      </c>
      <c r="CS40">
        <v>0</v>
      </c>
      <c r="CT40">
        <v>0.13906246831692501</v>
      </c>
      <c r="CU40">
        <v>4.9395901862327597E-2</v>
      </c>
      <c r="CV40">
        <v>4.0865218918030501E-2</v>
      </c>
      <c r="CW40">
        <v>3.64427874243268E-2</v>
      </c>
      <c r="CX40">
        <v>5.4341933552554997E-2</v>
      </c>
      <c r="CY40">
        <v>0.151588613689113</v>
      </c>
      <c r="CZ40">
        <v>0</v>
      </c>
      <c r="DA40">
        <v>0</v>
      </c>
      <c r="DB40">
        <v>0.14286268629975901</v>
      </c>
      <c r="DC40">
        <v>0</v>
      </c>
      <c r="DD40">
        <v>4.5664737093077799E-2</v>
      </c>
      <c r="DE40">
        <v>0.152605990565188</v>
      </c>
      <c r="DF40">
        <v>0</v>
      </c>
      <c r="DG40">
        <v>0</v>
      </c>
      <c r="DH40">
        <v>0</v>
      </c>
      <c r="DI40">
        <v>0.138432619191172</v>
      </c>
      <c r="DJ40">
        <v>7.4113006172832702E-2</v>
      </c>
      <c r="DK40">
        <v>0.123261103853579</v>
      </c>
      <c r="DL40">
        <v>0.14474082338462799</v>
      </c>
      <c r="DM40">
        <v>0</v>
      </c>
      <c r="DN40">
        <v>0</v>
      </c>
      <c r="DO40">
        <v>7.3009658173682296E-2</v>
      </c>
      <c r="DP40">
        <v>3.1896445430524202E-2</v>
      </c>
      <c r="DQ40">
        <v>0.122817258153433</v>
      </c>
      <c r="DR40">
        <v>7.3470985246821205E-2</v>
      </c>
      <c r="DS40">
        <v>0.118582260441223</v>
      </c>
      <c r="DT40">
        <v>0.12964373289516301</v>
      </c>
      <c r="DU40">
        <v>4.5028333483079303E-2</v>
      </c>
      <c r="DV40">
        <v>9.1868283475370294E-2</v>
      </c>
      <c r="DW40">
        <v>0.144621389200561</v>
      </c>
      <c r="DX40">
        <v>5.2507044355739302E-2</v>
      </c>
      <c r="DY40">
        <v>0</v>
      </c>
      <c r="DZ40">
        <v>8.3716896368759799E-2</v>
      </c>
      <c r="EA40">
        <v>5.35121333314999E-2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3.6724102236526203E-2</v>
      </c>
      <c r="EI40">
        <v>0.101178968088564</v>
      </c>
      <c r="EJ40">
        <v>0</v>
      </c>
      <c r="EK40">
        <v>0.16474749641019101</v>
      </c>
      <c r="EL40">
        <v>0</v>
      </c>
      <c r="EM40">
        <v>0</v>
      </c>
      <c r="EN40">
        <v>0.18142946916636901</v>
      </c>
      <c r="EO40">
        <v>0.135250994857988</v>
      </c>
      <c r="EP40">
        <v>0</v>
      </c>
      <c r="EQ40">
        <v>0</v>
      </c>
      <c r="ER40">
        <v>0</v>
      </c>
      <c r="ES40">
        <v>0</v>
      </c>
      <c r="ET40">
        <v>8.3844927329188093E-2</v>
      </c>
      <c r="EU40">
        <v>0</v>
      </c>
      <c r="EV40">
        <v>9.7188360064785803E-2</v>
      </c>
      <c r="EW40">
        <v>0</v>
      </c>
      <c r="EX40">
        <v>0.106502031163846</v>
      </c>
      <c r="EY40">
        <v>0</v>
      </c>
      <c r="EZ40">
        <v>0</v>
      </c>
      <c r="FA40">
        <v>9.6243054216283694E-2</v>
      </c>
      <c r="FB40">
        <v>0</v>
      </c>
      <c r="FC40">
        <v>0</v>
      </c>
      <c r="FD40">
        <v>0.20167747492221999</v>
      </c>
      <c r="FE40">
        <v>9.4706153445149696E-2</v>
      </c>
      <c r="FF40">
        <v>0.119489998276544</v>
      </c>
      <c r="FG40">
        <v>0</v>
      </c>
      <c r="FH40">
        <v>0</v>
      </c>
      <c r="FI40">
        <v>0</v>
      </c>
      <c r="FJ40">
        <v>7.1082033171792E-2</v>
      </c>
      <c r="FK40">
        <v>0</v>
      </c>
      <c r="FL40">
        <v>0.132896003093607</v>
      </c>
      <c r="FM40">
        <v>8.7290722087359301E-2</v>
      </c>
      <c r="FN40">
        <v>0.153833995511204</v>
      </c>
      <c r="FO40">
        <v>7.2129468472401995E-2</v>
      </c>
      <c r="FP40">
        <v>6.2685072413836002E-2</v>
      </c>
      <c r="FQ40">
        <v>0.150784821700504</v>
      </c>
      <c r="FR40">
        <v>8.6874417916175006E-2</v>
      </c>
      <c r="FS40">
        <v>0</v>
      </c>
      <c r="FT40">
        <v>4.9539386526737901E-2</v>
      </c>
      <c r="FU40">
        <v>0.11661576680621499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0.19352593885386399</v>
      </c>
      <c r="GB40">
        <v>0.41403193793395698</v>
      </c>
      <c r="GC40">
        <v>0</v>
      </c>
      <c r="GD40">
        <v>0</v>
      </c>
      <c r="GE40">
        <v>4.9847749555662201E-2</v>
      </c>
      <c r="GF40">
        <v>5.52609206594806E-2</v>
      </c>
      <c r="GG40">
        <v>7.8772204356036907E-2</v>
      </c>
      <c r="GH40">
        <v>0</v>
      </c>
      <c r="GI40">
        <v>0.18442116522854801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9.4823851206833606E-2</v>
      </c>
      <c r="GP40">
        <v>8.4979314555368599E-2</v>
      </c>
      <c r="GQ40">
        <v>9.3442635844618899E-2</v>
      </c>
      <c r="GR40">
        <v>0.12272198473193199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6.0071151206032701E-2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 t="s">
        <v>267</v>
      </c>
      <c r="B41" t="s">
        <v>393</v>
      </c>
      <c r="C41">
        <v>-0.13993956193190199</v>
      </c>
      <c r="D41">
        <v>0.102891304521711</v>
      </c>
      <c r="E41">
        <v>-2.7758121093553099E-2</v>
      </c>
      <c r="F41">
        <v>-0.118975086555966</v>
      </c>
      <c r="G41">
        <v>7.0911805285240603E-2</v>
      </c>
      <c r="H41">
        <v>-0.12892376907317801</v>
      </c>
      <c r="I41">
        <v>-2.5967606183200698E-2</v>
      </c>
      <c r="J41">
        <v>-1.52625042739927E-2</v>
      </c>
      <c r="K41">
        <v>3.5121739398528397E-2</v>
      </c>
      <c r="L41">
        <v>-3.2155807947723797E-2</v>
      </c>
      <c r="M41">
        <v>0.11010043477560599</v>
      </c>
      <c r="N41">
        <v>0.12478158690923501</v>
      </c>
      <c r="O41">
        <v>0.163408621287531</v>
      </c>
      <c r="P41">
        <v>-0.145990743656216</v>
      </c>
      <c r="Q41">
        <v>3.7372314387025402E-2</v>
      </c>
      <c r="R41">
        <v>0.135672719541408</v>
      </c>
      <c r="S41">
        <v>-0.27652662208766399</v>
      </c>
      <c r="T41">
        <v>-0.27652662208766399</v>
      </c>
      <c r="U41">
        <v>-0.14354892973868699</v>
      </c>
      <c r="V41">
        <v>-0.131209385972893</v>
      </c>
      <c r="W41">
        <v>-0.27652662208766399</v>
      </c>
      <c r="X41">
        <v>-2.2989698510851998E-3</v>
      </c>
      <c r="Y41">
        <v>0.20424111371730999</v>
      </c>
      <c r="Z41">
        <v>-0.27652662208766399</v>
      </c>
      <c r="AA41">
        <v>5.7283920760567097E-2</v>
      </c>
      <c r="AB41">
        <v>0.171568588126426</v>
      </c>
      <c r="AC41">
        <v>0.55797936302390405</v>
      </c>
      <c r="AD41">
        <v>-8.21873579335861E-2</v>
      </c>
      <c r="AE41">
        <v>-0.27652662208766399</v>
      </c>
      <c r="AF41">
        <v>-0.18434597523583601</v>
      </c>
      <c r="AG41">
        <v>-0.20737488075152699</v>
      </c>
      <c r="AH41">
        <v>-0.27652662208766399</v>
      </c>
      <c r="AI41">
        <v>-8.5844729404193104E-2</v>
      </c>
      <c r="AJ41">
        <v>-8.3274583777693201E-2</v>
      </c>
      <c r="AK41">
        <v>5.6446031932827696E-4</v>
      </c>
      <c r="AL41">
        <v>-2.0837028766300499E-2</v>
      </c>
      <c r="AM41">
        <v>4.3414157706510199E-2</v>
      </c>
      <c r="AN41">
        <v>0.32683459167035001</v>
      </c>
      <c r="AO41">
        <v>-0.16786264469999901</v>
      </c>
      <c r="AP41">
        <v>-0.27652662208766399</v>
      </c>
      <c r="AQ41">
        <v>0.122048385104156</v>
      </c>
      <c r="AR41">
        <v>-0.16055009143497601</v>
      </c>
      <c r="AS41">
        <v>3.04873113284512E-2</v>
      </c>
      <c r="AT41">
        <v>0.41640329719582098</v>
      </c>
      <c r="AU41">
        <v>-0.27652662208766399</v>
      </c>
      <c r="AV41">
        <v>-0.27652662208766399</v>
      </c>
      <c r="AW41">
        <v>0.444707406246445</v>
      </c>
      <c r="AX41">
        <v>0.11885109893408199</v>
      </c>
      <c r="AY41">
        <v>1.16584835472746E-2</v>
      </c>
      <c r="AZ41">
        <v>-0.27652662208766399</v>
      </c>
      <c r="BA41">
        <v>0.26454474605551898</v>
      </c>
      <c r="BB41">
        <v>0.30602552434660202</v>
      </c>
      <c r="BC41">
        <v>2.4764426342856301E-2</v>
      </c>
      <c r="BD41">
        <v>0.31495864472670598</v>
      </c>
      <c r="BE41">
        <v>-1.9225676780153401E-2</v>
      </c>
      <c r="BF41">
        <v>-0.27652662208766399</v>
      </c>
      <c r="BG41">
        <v>-0.19935946823365899</v>
      </c>
      <c r="BH41">
        <v>9.4383808702623903E-2</v>
      </c>
      <c r="BI41">
        <v>0.30498708874223801</v>
      </c>
      <c r="BJ41">
        <v>-5.4813978130268401E-3</v>
      </c>
      <c r="BK41">
        <v>0.31293902795294998</v>
      </c>
      <c r="BL41">
        <v>-2.1872805295007399E-2</v>
      </c>
      <c r="BM41">
        <v>-0.27652662208766399</v>
      </c>
      <c r="BN41">
        <v>-9.8746073783695695E-2</v>
      </c>
      <c r="BO41">
        <v>-4.3939457985456898E-2</v>
      </c>
      <c r="BP41">
        <v>-0.27652662208766399</v>
      </c>
      <c r="BQ41">
        <v>7.1464026218192103E-3</v>
      </c>
      <c r="BR41">
        <v>-9.2818739609702994E-2</v>
      </c>
      <c r="BS41">
        <v>0.186420545766113</v>
      </c>
      <c r="BT41">
        <v>-5.8083472881999901E-2</v>
      </c>
      <c r="BU41">
        <v>0.87366896899720203</v>
      </c>
      <c r="BV41">
        <v>8.1950985362620396E-2</v>
      </c>
      <c r="BW41">
        <v>-0.27652662208766399</v>
      </c>
      <c r="BX41">
        <v>4.3810892190483501E-2</v>
      </c>
      <c r="BY41">
        <v>-0.27652662208766399</v>
      </c>
      <c r="BZ41">
        <v>0.11978794793167</v>
      </c>
      <c r="CA41">
        <v>4.1597656693878403E-2</v>
      </c>
      <c r="CB41">
        <v>-0.27652662208766399</v>
      </c>
      <c r="CC41">
        <v>-7.9466950514229598E-2</v>
      </c>
      <c r="CD41">
        <v>-7.0692411920720705E-2</v>
      </c>
      <c r="CE41">
        <v>0.15950509776472899</v>
      </c>
      <c r="CF41">
        <v>7.7953672378465594E-2</v>
      </c>
      <c r="CG41">
        <v>0.16752024488856199</v>
      </c>
      <c r="CH41">
        <v>8.9149743743481905E-2</v>
      </c>
      <c r="CI41">
        <v>0.119157058677247</v>
      </c>
      <c r="CJ41">
        <v>0.16433860145586099</v>
      </c>
      <c r="CK41">
        <v>5.1319952083962603E-2</v>
      </c>
      <c r="CL41">
        <v>0.27218755689554303</v>
      </c>
      <c r="CM41">
        <v>-9.3082404109869399E-2</v>
      </c>
      <c r="CN41">
        <v>-0.27652662208766399</v>
      </c>
      <c r="CO41">
        <v>-7.6558236045883604E-2</v>
      </c>
      <c r="CP41">
        <v>-0.27652662208766399</v>
      </c>
      <c r="CQ41">
        <v>-0.12534518399521499</v>
      </c>
      <c r="CR41">
        <v>0.17249770238693701</v>
      </c>
      <c r="CS41">
        <v>-7.3752969780736699E-2</v>
      </c>
      <c r="CT41">
        <v>-9.2486027972526301E-3</v>
      </c>
      <c r="CU41">
        <v>0.135979219270739</v>
      </c>
      <c r="CV41">
        <v>0.115918128040959</v>
      </c>
      <c r="CW41">
        <v>-6.6936046117293299E-2</v>
      </c>
      <c r="CX41">
        <v>-0.13893198807799201</v>
      </c>
      <c r="CY41">
        <v>1.20459250494794E-3</v>
      </c>
      <c r="CZ41">
        <v>-0.17911757755142901</v>
      </c>
      <c r="DA41">
        <v>9.54863217314013E-2</v>
      </c>
      <c r="DB41">
        <v>-1.857377082627E-2</v>
      </c>
      <c r="DC41">
        <v>0.120052704171111</v>
      </c>
      <c r="DD41">
        <v>-1.0884769089135601E-2</v>
      </c>
      <c r="DE41">
        <v>-9.5518718649185194E-2</v>
      </c>
      <c r="DF41">
        <v>-0.172643365837406</v>
      </c>
      <c r="DG41">
        <v>0.17779718884746101</v>
      </c>
      <c r="DH41">
        <v>9.1632013447538699E-2</v>
      </c>
      <c r="DI41">
        <v>0.24747827497442301</v>
      </c>
      <c r="DJ41">
        <v>1.15284606819728E-2</v>
      </c>
      <c r="DK41">
        <v>3.6790228122439601E-2</v>
      </c>
      <c r="DL41">
        <v>2.2740392586075998E-2</v>
      </c>
      <c r="DM41">
        <v>0.416913395362492</v>
      </c>
      <c r="DN41">
        <v>0.10097589028083299</v>
      </c>
      <c r="DO41">
        <v>6.81334915751258E-3</v>
      </c>
      <c r="DP41">
        <v>6.5238793596845296E-4</v>
      </c>
      <c r="DQ41">
        <v>0.10284218837086501</v>
      </c>
      <c r="DR41">
        <v>0.23557000250846699</v>
      </c>
      <c r="DS41">
        <v>0.333963076754559</v>
      </c>
      <c r="DT41">
        <v>0.18304310855896699</v>
      </c>
      <c r="DU41">
        <v>0.20575231941404401</v>
      </c>
      <c r="DV41">
        <v>0.16765395559098401</v>
      </c>
      <c r="DW41">
        <v>0.31555042013117202</v>
      </c>
      <c r="DX41">
        <v>0.129978544835604</v>
      </c>
      <c r="DY41">
        <v>2.6847802189307698E-2</v>
      </c>
      <c r="DZ41">
        <v>0.45922166196515601</v>
      </c>
      <c r="EA41">
        <v>0.26280502206220002</v>
      </c>
      <c r="EB41">
        <v>-0.27652662208766399</v>
      </c>
      <c r="EC41">
        <v>-0.175759915549902</v>
      </c>
      <c r="ED41">
        <v>0.12757408799723099</v>
      </c>
      <c r="EE41">
        <v>-6.9989712293712494E-2</v>
      </c>
      <c r="EF41">
        <v>-7.7263832176293804E-2</v>
      </c>
      <c r="EG41">
        <v>0.156448101261348</v>
      </c>
      <c r="EH41">
        <v>2.9531859422204699E-2</v>
      </c>
      <c r="EI41">
        <v>-4.85567461959601E-2</v>
      </c>
      <c r="EJ41">
        <v>-0.27652662208766399</v>
      </c>
      <c r="EK41">
        <v>0.11745909659228899</v>
      </c>
      <c r="EL41">
        <v>1.08190681500786E-2</v>
      </c>
      <c r="EM41">
        <v>-2.1540348612902201E-3</v>
      </c>
      <c r="EN41">
        <v>-0.27652662208766399</v>
      </c>
      <c r="EO41">
        <v>-0.27652662208766399</v>
      </c>
      <c r="EP41">
        <v>0.107883018206301</v>
      </c>
      <c r="EQ41">
        <v>0.41223480636022902</v>
      </c>
      <c r="ER41">
        <v>-0.15438952551895499</v>
      </c>
      <c r="ES41">
        <v>0.16213127005254599</v>
      </c>
      <c r="ET41">
        <v>0.42554627978368498</v>
      </c>
      <c r="EU41">
        <v>0.15701478517579201</v>
      </c>
      <c r="EV41">
        <v>0</v>
      </c>
      <c r="EW41">
        <v>-7.1863908898548601E-2</v>
      </c>
      <c r="EX41">
        <v>-6.1483594138567903E-2</v>
      </c>
      <c r="EY41">
        <v>-0.19298907232746901</v>
      </c>
      <c r="EZ41">
        <v>-0.27652662208766399</v>
      </c>
      <c r="FA41">
        <v>-8.9567214749192395E-2</v>
      </c>
      <c r="FB41">
        <v>-3.2194770788051497E-2</v>
      </c>
      <c r="FC41">
        <v>8.96551927185813E-2</v>
      </c>
      <c r="FD41">
        <v>2.3355275392869301E-2</v>
      </c>
      <c r="FE41">
        <v>-4.1643871850448801E-2</v>
      </c>
      <c r="FF41">
        <v>1.5859588866942002E-2</v>
      </c>
      <c r="FG41">
        <v>1.66157679742674E-3</v>
      </c>
      <c r="FH41">
        <v>1.12975707826025E-2</v>
      </c>
      <c r="FI41">
        <v>4.07128886356957E-2</v>
      </c>
      <c r="FJ41">
        <v>5.1610923777335303E-2</v>
      </c>
      <c r="FK41">
        <v>-0.27652662208766399</v>
      </c>
      <c r="FL41">
        <v>0.15591293320237201</v>
      </c>
      <c r="FM41">
        <v>-2.7730740983463401E-2</v>
      </c>
      <c r="FN41">
        <v>-5.0730766319553797E-2</v>
      </c>
      <c r="FO41">
        <v>-6.8946068155891799E-2</v>
      </c>
      <c r="FP41">
        <v>-0.21384154967382801</v>
      </c>
      <c r="FQ41">
        <v>-0.17981531779253401</v>
      </c>
      <c r="FR41">
        <v>-0.10727394981336399</v>
      </c>
      <c r="FS41">
        <v>-3.8651508332354603E-2</v>
      </c>
      <c r="FT41">
        <v>0.25126474735395998</v>
      </c>
      <c r="FU41">
        <v>-9.5427073908681007E-2</v>
      </c>
      <c r="FV41">
        <v>1.96912707086619E-2</v>
      </c>
      <c r="FW41">
        <v>7.8070681903504198E-3</v>
      </c>
      <c r="FX41">
        <v>1.2037111212822501E-2</v>
      </c>
      <c r="FY41">
        <v>-0.27652662208766399</v>
      </c>
      <c r="FZ41">
        <v>-8.7195064342807299E-2</v>
      </c>
      <c r="GA41">
        <v>-0.27652662208766399</v>
      </c>
      <c r="GB41">
        <v>-5.6585096166095701E-2</v>
      </c>
      <c r="GC41">
        <v>-2.90059269436659E-2</v>
      </c>
      <c r="GD41">
        <v>-0.12376525374085399</v>
      </c>
      <c r="GE41">
        <v>-4.0538701143201503E-2</v>
      </c>
      <c r="GF41">
        <v>7.6408585142553095E-2</v>
      </c>
      <c r="GG41">
        <v>-5.7921611102203403E-2</v>
      </c>
      <c r="GH41">
        <v>-0.16959373464601599</v>
      </c>
      <c r="GI41">
        <v>-0.27652662208766399</v>
      </c>
      <c r="GJ41">
        <v>3.0450461919440099E-2</v>
      </c>
      <c r="GK41">
        <v>-2.1590070942238298E-3</v>
      </c>
      <c r="GL41">
        <v>-5.1056823165016502E-2</v>
      </c>
      <c r="GM41">
        <v>-0.14030488364631999</v>
      </c>
      <c r="GN41">
        <v>0.27916632982820999</v>
      </c>
      <c r="GO41">
        <v>9.9633306632387397E-2</v>
      </c>
      <c r="GP41">
        <v>8.0539428716216305E-2</v>
      </c>
      <c r="GQ41">
        <v>-9.49814035509602E-2</v>
      </c>
      <c r="GR41">
        <v>0.40350769723650398</v>
      </c>
      <c r="GS41">
        <v>9.3948436490867093E-2</v>
      </c>
      <c r="GT41">
        <v>0.22423119456884399</v>
      </c>
      <c r="GU41">
        <v>0.152716134359661</v>
      </c>
      <c r="GV41">
        <v>3.0398525671535498E-3</v>
      </c>
      <c r="GW41">
        <v>8.4915122089327805E-2</v>
      </c>
      <c r="GX41">
        <v>0.37827147561045099</v>
      </c>
      <c r="GY41">
        <v>-1.7004713015788101E-2</v>
      </c>
      <c r="GZ41">
        <v>-0.127969230906749</v>
      </c>
      <c r="HA41">
        <v>-0.120260038735023</v>
      </c>
      <c r="HB41">
        <v>-7.9934162342293502E-2</v>
      </c>
      <c r="HC41">
        <v>-0.27652662208766399</v>
      </c>
    </row>
    <row r="42" spans="1:211" x14ac:dyDescent="0.25">
      <c r="A42" t="s">
        <v>267</v>
      </c>
      <c r="B42" t="s">
        <v>394</v>
      </c>
      <c r="C42">
        <v>9.2085796961784802E-2</v>
      </c>
      <c r="D42">
        <v>0.200222274953746</v>
      </c>
      <c r="E42">
        <v>0</v>
      </c>
      <c r="F42">
        <v>0</v>
      </c>
      <c r="G42">
        <v>0</v>
      </c>
      <c r="H42">
        <v>9.9760809564492098E-2</v>
      </c>
      <c r="I42">
        <v>5.1377008219726697E-2</v>
      </c>
      <c r="J42">
        <v>0</v>
      </c>
      <c r="K42">
        <v>5.0673369705079699E-2</v>
      </c>
      <c r="L42">
        <v>0</v>
      </c>
      <c r="M42">
        <v>0.144548737940904</v>
      </c>
      <c r="N42">
        <v>0.12245353193025001</v>
      </c>
      <c r="O42">
        <v>0.10686308363085099</v>
      </c>
      <c r="P42">
        <v>0</v>
      </c>
      <c r="Q42">
        <v>0</v>
      </c>
      <c r="R42">
        <v>0.119883217194488</v>
      </c>
      <c r="S42">
        <v>0</v>
      </c>
      <c r="T42">
        <v>0</v>
      </c>
      <c r="U42">
        <v>0</v>
      </c>
      <c r="V42">
        <v>0</v>
      </c>
      <c r="W42">
        <v>0.193776884942575</v>
      </c>
      <c r="X42">
        <v>0.143136171483814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9.2180646851826906E-2</v>
      </c>
      <c r="AG42">
        <v>0.135453313514419</v>
      </c>
      <c r="AH42">
        <v>0</v>
      </c>
      <c r="AI42">
        <v>0.129534396437265</v>
      </c>
      <c r="AJ42">
        <v>0</v>
      </c>
      <c r="AK42">
        <v>0</v>
      </c>
      <c r="AL42">
        <v>0</v>
      </c>
      <c r="AM42">
        <v>0.20955980594606799</v>
      </c>
      <c r="AN42">
        <v>0.22850842611265201</v>
      </c>
      <c r="AO42">
        <v>0.10866397738766501</v>
      </c>
      <c r="AP42">
        <v>0</v>
      </c>
      <c r="AQ42">
        <v>0</v>
      </c>
      <c r="AR42">
        <v>0.223967436645095</v>
      </c>
      <c r="AS42">
        <v>0</v>
      </c>
      <c r="AT42">
        <v>0</v>
      </c>
      <c r="AU42">
        <v>0</v>
      </c>
      <c r="AV42">
        <v>0</v>
      </c>
      <c r="AW42">
        <v>0.238377689613331</v>
      </c>
      <c r="AX42">
        <v>0</v>
      </c>
      <c r="AY42">
        <v>0</v>
      </c>
      <c r="AZ42">
        <v>0.220527019173337</v>
      </c>
      <c r="BA42">
        <v>0</v>
      </c>
      <c r="BB42">
        <v>0</v>
      </c>
      <c r="BC42">
        <v>0.37922598631024101</v>
      </c>
      <c r="BD42">
        <v>0</v>
      </c>
      <c r="BE42">
        <v>0</v>
      </c>
      <c r="BF42">
        <v>6.2655892196267493E-2</v>
      </c>
      <c r="BG42">
        <v>0</v>
      </c>
      <c r="BH42">
        <v>3.66209597691678E-2</v>
      </c>
      <c r="BI42">
        <v>0.11081492343218401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0.12882668011399501</v>
      </c>
      <c r="BW42">
        <v>0</v>
      </c>
      <c r="BX42">
        <v>0</v>
      </c>
      <c r="BY42">
        <v>0</v>
      </c>
      <c r="BZ42">
        <v>0.16555943533335599</v>
      </c>
      <c r="CA42">
        <v>0</v>
      </c>
      <c r="CB42">
        <v>0</v>
      </c>
      <c r="CC42">
        <v>6.8526514950210199E-2</v>
      </c>
      <c r="CD42">
        <v>0</v>
      </c>
      <c r="CE42">
        <v>0.103958305746097</v>
      </c>
      <c r="CF42">
        <v>8.4248473506903898E-2</v>
      </c>
      <c r="CG42">
        <v>0.16276861526355699</v>
      </c>
      <c r="CH42">
        <v>0</v>
      </c>
      <c r="CI42">
        <v>8.4232271932848296E-2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0.30452568398074797</v>
      </c>
      <c r="CV42">
        <v>0</v>
      </c>
      <c r="CW42">
        <v>0.14204670760358301</v>
      </c>
      <c r="CX42">
        <v>0.10726232581774001</v>
      </c>
      <c r="CY42">
        <v>7.7346915416979606E-2</v>
      </c>
      <c r="CZ42">
        <v>0.27743405754723799</v>
      </c>
      <c r="DA42">
        <v>0.40211139572246102</v>
      </c>
      <c r="DB42">
        <v>9.6426730959278298E-2</v>
      </c>
      <c r="DC42">
        <v>0.108451893955146</v>
      </c>
      <c r="DD42">
        <v>0.13379593824876501</v>
      </c>
      <c r="DE42">
        <v>0.58049618476339504</v>
      </c>
      <c r="DF42">
        <v>0.103883256250258</v>
      </c>
      <c r="DG42">
        <v>0.41699968421938799</v>
      </c>
      <c r="DH42">
        <v>0</v>
      </c>
      <c r="DI42">
        <v>0.159873221636745</v>
      </c>
      <c r="DJ42">
        <v>5.8942671509948599E-2</v>
      </c>
      <c r="DK42">
        <v>4.1944004299938498E-2</v>
      </c>
      <c r="DL42">
        <v>0</v>
      </c>
      <c r="DM42">
        <v>0.119909343930446</v>
      </c>
      <c r="DN42">
        <v>6.3683224139960706E-2</v>
      </c>
      <c r="DO42">
        <v>3.6830609091360302E-2</v>
      </c>
      <c r="DP42">
        <v>8.1549743522311896E-2</v>
      </c>
      <c r="DQ42">
        <v>0.168421374886875</v>
      </c>
      <c r="DR42">
        <v>0</v>
      </c>
      <c r="DS42">
        <v>0.33288766599128</v>
      </c>
      <c r="DT42">
        <v>0.21830785510856901</v>
      </c>
      <c r="DU42">
        <v>8.8911856917295404E-2</v>
      </c>
      <c r="DV42">
        <v>0.13598645493460501</v>
      </c>
      <c r="DW42">
        <v>9.7743733561867399E-2</v>
      </c>
      <c r="DX42">
        <v>0.103465788687951</v>
      </c>
      <c r="DY42">
        <v>0.10767420198994999</v>
      </c>
      <c r="DZ42">
        <v>0.163387540096017</v>
      </c>
      <c r="EA42">
        <v>5.35121333314999E-2</v>
      </c>
      <c r="EB42">
        <v>9.8535586662648306E-2</v>
      </c>
      <c r="EC42">
        <v>0</v>
      </c>
      <c r="ED42">
        <v>7.8208931249331801E-2</v>
      </c>
      <c r="EE42">
        <v>8.2855797592275598E-2</v>
      </c>
      <c r="EF42">
        <v>0</v>
      </c>
      <c r="EG42">
        <v>7.0715700295647999E-2</v>
      </c>
      <c r="EH42">
        <v>7.2698203460989805E-2</v>
      </c>
      <c r="EI42">
        <v>3.4354406433133498E-2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0.105111095761847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9.7188360064785803E-2</v>
      </c>
      <c r="EW42">
        <v>2.5041964735762999E-2</v>
      </c>
      <c r="EX42">
        <v>0</v>
      </c>
      <c r="EY42">
        <v>8.3537549760195007E-2</v>
      </c>
      <c r="EZ42">
        <v>0</v>
      </c>
      <c r="FA42">
        <v>0.186959407338471</v>
      </c>
      <c r="FB42">
        <v>0.318308319713342</v>
      </c>
      <c r="FC42">
        <v>0.11082592708875499</v>
      </c>
      <c r="FD42">
        <v>0.20167747492221999</v>
      </c>
      <c r="FE42">
        <v>0</v>
      </c>
      <c r="FF42">
        <v>0.119489998276544</v>
      </c>
      <c r="FG42">
        <v>0</v>
      </c>
      <c r="FH42">
        <v>0</v>
      </c>
      <c r="FI42">
        <v>0</v>
      </c>
      <c r="FJ42">
        <v>7.1082033171792E-2</v>
      </c>
      <c r="FK42">
        <v>0</v>
      </c>
      <c r="FL42">
        <v>0</v>
      </c>
      <c r="FM42">
        <v>0.24879588110420001</v>
      </c>
      <c r="FN42">
        <v>0</v>
      </c>
      <c r="FO42">
        <v>0.141236496180422</v>
      </c>
      <c r="FP42">
        <v>0.123164665307613</v>
      </c>
      <c r="FQ42">
        <v>9.6711304295129599E-2</v>
      </c>
      <c r="FR42">
        <v>0</v>
      </c>
      <c r="FS42">
        <v>0</v>
      </c>
      <c r="FT42">
        <v>0.19051819084354901</v>
      </c>
      <c r="FU42">
        <v>0.22533745429027799</v>
      </c>
      <c r="FV42">
        <v>0</v>
      </c>
      <c r="FW42">
        <v>0.148696881887278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0.15276136834680901</v>
      </c>
      <c r="GE42">
        <v>4.9847749555662201E-2</v>
      </c>
      <c r="GF42">
        <v>0</v>
      </c>
      <c r="GG42">
        <v>5.01233857037678E-2</v>
      </c>
      <c r="GH42">
        <v>0.106932887441648</v>
      </c>
      <c r="GI42">
        <v>0</v>
      </c>
      <c r="GJ42">
        <v>3.1415355028082903E-2</v>
      </c>
      <c r="GK42">
        <v>7.2780585861602798E-2</v>
      </c>
      <c r="GL42">
        <v>5.9305902762271302E-2</v>
      </c>
      <c r="GM42">
        <v>0.136221738441343</v>
      </c>
      <c r="GN42">
        <v>4.4544924966086703E-2</v>
      </c>
      <c r="GO42">
        <v>9.4823851206833606E-2</v>
      </c>
      <c r="GP42">
        <v>0.16564122114452101</v>
      </c>
      <c r="GQ42">
        <v>9.3442635844618899E-2</v>
      </c>
      <c r="GR42">
        <v>0</v>
      </c>
      <c r="GS42">
        <v>0</v>
      </c>
      <c r="GT42">
        <v>0</v>
      </c>
      <c r="GU42">
        <v>0.11842548944938899</v>
      </c>
      <c r="GV42">
        <v>0.113940837207809</v>
      </c>
      <c r="GW42">
        <v>8.5928347625819607E-2</v>
      </c>
      <c r="GX42">
        <v>0.34645644489439997</v>
      </c>
      <c r="GY42">
        <v>6.0071151206032701E-2</v>
      </c>
      <c r="GZ42">
        <v>0</v>
      </c>
      <c r="HA42">
        <v>0.12504230927355001</v>
      </c>
      <c r="HB42">
        <v>0</v>
      </c>
      <c r="HC42">
        <v>0</v>
      </c>
    </row>
    <row r="43" spans="1:211" s="11" customFormat="1" ht="15.75" thickBot="1" x14ac:dyDescent="0.3">
      <c r="A43" s="11" t="s">
        <v>267</v>
      </c>
      <c r="B43" s="11" t="s">
        <v>399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4.9480426591276799E-2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7.5527525102641796E-2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6.7171884818654701E-2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6.7050113158122898E-2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7.9292626513880998E-2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3.66209597691678E-2</v>
      </c>
      <c r="BI43" s="11">
        <v>0</v>
      </c>
      <c r="BJ43" s="11">
        <v>0</v>
      </c>
      <c r="BK43" s="11">
        <v>0.12930560620143899</v>
      </c>
      <c r="BL43" s="11">
        <v>0.25465381679265597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8.3086839701319498E-2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6.0099293578207598E-2</v>
      </c>
      <c r="CE43" s="11">
        <v>2.1272848573621599E-2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9.7409044536234002E-2</v>
      </c>
      <c r="DA43" s="11">
        <v>0</v>
      </c>
      <c r="DB43" s="11">
        <v>0</v>
      </c>
      <c r="DC43" s="11">
        <v>0</v>
      </c>
      <c r="DD43" s="11">
        <v>4.5664737093077799E-2</v>
      </c>
      <c r="DE43" s="11">
        <v>5.2229466150651299E-2</v>
      </c>
      <c r="DF43" s="11">
        <v>0.103883256250258</v>
      </c>
      <c r="DG43" s="11">
        <v>0</v>
      </c>
      <c r="DH43" s="11">
        <v>0</v>
      </c>
      <c r="DI43" s="11">
        <v>0</v>
      </c>
      <c r="DJ43" s="11">
        <v>0</v>
      </c>
      <c r="DK43" s="11">
        <v>4.1944004299938498E-2</v>
      </c>
      <c r="DL43" s="11">
        <v>7.3633943797144399E-2</v>
      </c>
      <c r="DM43" s="11">
        <v>0</v>
      </c>
      <c r="DN43" s="11">
        <v>0</v>
      </c>
      <c r="DO43" s="11">
        <v>9.3881952505407096E-2</v>
      </c>
      <c r="DP43" s="11">
        <v>0</v>
      </c>
      <c r="DQ43" s="11">
        <v>0</v>
      </c>
      <c r="DR43" s="11">
        <v>0</v>
      </c>
      <c r="DS43" s="11">
        <v>0</v>
      </c>
      <c r="DT43" s="11">
        <v>0</v>
      </c>
      <c r="DU43" s="11">
        <v>0</v>
      </c>
      <c r="DV43" s="11">
        <v>0</v>
      </c>
      <c r="DW43" s="11">
        <v>0</v>
      </c>
      <c r="DX43" s="11">
        <v>0</v>
      </c>
      <c r="DY43" s="11">
        <v>0.10767420198994999</v>
      </c>
      <c r="DZ43" s="11">
        <v>8.3716896368759799E-2</v>
      </c>
      <c r="EA43" s="11">
        <v>0</v>
      </c>
      <c r="EB43" s="11">
        <v>9.8535586662648306E-2</v>
      </c>
      <c r="EC43" s="11">
        <v>0</v>
      </c>
      <c r="ED43" s="11">
        <v>7.8208931249331801E-2</v>
      </c>
      <c r="EE43" s="11">
        <v>0</v>
      </c>
      <c r="EF43" s="11">
        <v>6.9151051521479406E-2</v>
      </c>
      <c r="EG43" s="11">
        <v>0</v>
      </c>
      <c r="EH43" s="11">
        <v>3.6724102236526203E-2</v>
      </c>
      <c r="EI43" s="11">
        <v>3.4354406433133498E-2</v>
      </c>
      <c r="EJ43" s="11">
        <v>0</v>
      </c>
      <c r="EK43" s="11">
        <v>0</v>
      </c>
      <c r="EL43" s="11">
        <v>0</v>
      </c>
      <c r="EM43" s="11">
        <v>0</v>
      </c>
      <c r="EN43" s="11">
        <v>0</v>
      </c>
      <c r="EO43" s="11">
        <v>0</v>
      </c>
      <c r="EP43" s="11">
        <v>0</v>
      </c>
      <c r="EQ43" s="11">
        <v>0.162818904675573</v>
      </c>
      <c r="ER43" s="11">
        <v>0</v>
      </c>
      <c r="ES43" s="11">
        <v>0.184758924889627</v>
      </c>
      <c r="ET43" s="11">
        <v>0</v>
      </c>
      <c r="EU43" s="11">
        <v>0</v>
      </c>
      <c r="EV43" s="11">
        <v>0</v>
      </c>
      <c r="EW43" s="11">
        <v>2.5041964735762999E-2</v>
      </c>
      <c r="EX43" s="11">
        <v>0</v>
      </c>
      <c r="EY43" s="11">
        <v>0</v>
      </c>
      <c r="EZ43" s="11">
        <v>0</v>
      </c>
      <c r="FA43" s="11">
        <v>0</v>
      </c>
      <c r="FB43" s="11">
        <v>0</v>
      </c>
      <c r="FC43" s="11">
        <v>0.11082592708875499</v>
      </c>
      <c r="FD43" s="11">
        <v>0</v>
      </c>
      <c r="FE43" s="11">
        <v>0</v>
      </c>
      <c r="FF43" s="11">
        <v>0.119489998276544</v>
      </c>
      <c r="FG43" s="11">
        <v>0.14482749933005401</v>
      </c>
      <c r="FH43" s="11">
        <v>0</v>
      </c>
      <c r="FI43" s="11">
        <v>0.104063561882346</v>
      </c>
      <c r="FJ43" s="11">
        <v>0</v>
      </c>
      <c r="FK43" s="11">
        <v>0</v>
      </c>
      <c r="FL43" s="11">
        <v>0</v>
      </c>
      <c r="FM43" s="11">
        <v>8.7290722087359301E-2</v>
      </c>
      <c r="FN43" s="11">
        <v>7.8676926504957806E-2</v>
      </c>
      <c r="FO43" s="11">
        <v>0.18036543070201</v>
      </c>
      <c r="FP43" s="11">
        <v>6.2685072413836002E-2</v>
      </c>
      <c r="FQ43" s="11">
        <v>0</v>
      </c>
      <c r="FR43" s="11">
        <v>0</v>
      </c>
      <c r="FS43" s="11">
        <v>0</v>
      </c>
      <c r="FT43" s="11">
        <v>4.9539386526737901E-2</v>
      </c>
      <c r="FU43" s="11">
        <v>0.11661576680621499</v>
      </c>
      <c r="FV43" s="11">
        <v>0.23919528918831201</v>
      </c>
      <c r="FW43" s="11">
        <v>0</v>
      </c>
      <c r="FX43" s="11">
        <v>0</v>
      </c>
      <c r="FY43" s="11">
        <v>0</v>
      </c>
      <c r="FZ43" s="11">
        <v>0</v>
      </c>
      <c r="GA43" s="11">
        <v>0</v>
      </c>
      <c r="GB43" s="11">
        <v>0.21994152592156799</v>
      </c>
      <c r="GC43" s="11">
        <v>0</v>
      </c>
      <c r="GD43" s="11">
        <v>0.15276136834680901</v>
      </c>
      <c r="GE43" s="11">
        <v>0</v>
      </c>
      <c r="GF43" s="11">
        <v>0</v>
      </c>
      <c r="GG43" s="11">
        <v>0</v>
      </c>
      <c r="GH43" s="11">
        <v>0.106932887441648</v>
      </c>
      <c r="GI43" s="11">
        <v>0</v>
      </c>
      <c r="GJ43" s="11">
        <v>0</v>
      </c>
      <c r="GK43" s="11">
        <v>0</v>
      </c>
      <c r="GL43" s="11">
        <v>0</v>
      </c>
      <c r="GM43" s="11">
        <v>0</v>
      </c>
      <c r="GN43" s="11">
        <v>0</v>
      </c>
      <c r="GO43" s="11">
        <v>0</v>
      </c>
      <c r="GP43" s="11">
        <v>0</v>
      </c>
      <c r="GQ43" s="11">
        <v>0</v>
      </c>
      <c r="GR43" s="11">
        <v>0</v>
      </c>
      <c r="GS43" s="11">
        <v>0</v>
      </c>
      <c r="GT43" s="11">
        <v>0</v>
      </c>
      <c r="GU43" s="11">
        <v>0</v>
      </c>
      <c r="GV43" s="11">
        <v>0</v>
      </c>
      <c r="GW43" s="11">
        <v>0</v>
      </c>
      <c r="GX43" s="11">
        <v>0</v>
      </c>
      <c r="GY43" s="11">
        <v>0</v>
      </c>
      <c r="GZ43" s="11">
        <v>0</v>
      </c>
      <c r="HA43" s="11">
        <v>7.9999816050019101E-2</v>
      </c>
      <c r="HB43" s="11">
        <v>0</v>
      </c>
      <c r="HC43" s="11">
        <v>0</v>
      </c>
    </row>
    <row r="45" spans="1:211" x14ac:dyDescent="0.25">
      <c r="A45" s="220" t="s">
        <v>81</v>
      </c>
      <c r="B45" s="220"/>
      <c r="C45">
        <f>AVERAGE(C2:C43)</f>
        <v>1.6133070177753631E-2</v>
      </c>
      <c r="D45">
        <f t="shared" ref="D45:BO45" si="0">AVERAGE(D2:D43)</f>
        <v>4.5845221089457606E-2</v>
      </c>
      <c r="E45">
        <f t="shared" si="0"/>
        <v>6.7277261405785044E-4</v>
      </c>
      <c r="F45">
        <f t="shared" si="0"/>
        <v>-1.3480781005405732E-2</v>
      </c>
      <c r="G45">
        <f t="shared" si="0"/>
        <v>3.701692612430988E-2</v>
      </c>
      <c r="H45">
        <f t="shared" si="0"/>
        <v>1.7736562158574009E-2</v>
      </c>
      <c r="I45">
        <f t="shared" si="0"/>
        <v>-2.0618124016818697E-2</v>
      </c>
      <c r="J45">
        <f t="shared" si="0"/>
        <v>1.0343370794649117E-2</v>
      </c>
      <c r="K45">
        <f t="shared" si="0"/>
        <v>2.7255681437946433E-2</v>
      </c>
      <c r="L45">
        <f t="shared" si="0"/>
        <v>2.798618187412755E-2</v>
      </c>
      <c r="M45">
        <f t="shared" si="0"/>
        <v>6.2182487256692183E-2</v>
      </c>
      <c r="N45">
        <f t="shared" si="0"/>
        <v>5.9754747827096395E-2</v>
      </c>
      <c r="O45">
        <f t="shared" si="0"/>
        <v>7.6817380325955836E-2</v>
      </c>
      <c r="P45">
        <f t="shared" si="0"/>
        <v>-7.4577591851467291E-3</v>
      </c>
      <c r="Q45">
        <f t="shared" si="0"/>
        <v>1.0510631482239463E-2</v>
      </c>
      <c r="R45">
        <f t="shared" si="0"/>
        <v>2.3566333362409691E-2</v>
      </c>
      <c r="S45">
        <f t="shared" si="0"/>
        <v>-2.0568005538545302E-2</v>
      </c>
      <c r="T45">
        <f t="shared" si="0"/>
        <v>-5.0237816561359873E-2</v>
      </c>
      <c r="U45">
        <f t="shared" si="0"/>
        <v>-6.0001123001876919E-2</v>
      </c>
      <c r="V45">
        <f t="shared" si="0"/>
        <v>3.2358475250067928E-3</v>
      </c>
      <c r="W45">
        <f t="shared" si="0"/>
        <v>-5.578278937504331E-3</v>
      </c>
      <c r="X45">
        <f t="shared" si="0"/>
        <v>-1.2388396501501562E-2</v>
      </c>
      <c r="Y45">
        <f t="shared" si="0"/>
        <v>4.9960110825979856E-3</v>
      </c>
      <c r="Z45">
        <f t="shared" si="0"/>
        <v>-9.1921839735916722E-3</v>
      </c>
      <c r="AA45">
        <f t="shared" si="0"/>
        <v>-4.2199046452572997E-2</v>
      </c>
      <c r="AB45">
        <f t="shared" si="0"/>
        <v>1.6915541910613465E-3</v>
      </c>
      <c r="AC45">
        <f t="shared" si="0"/>
        <v>-1.608558170162197E-2</v>
      </c>
      <c r="AD45">
        <f t="shared" si="0"/>
        <v>1.8680671645098134E-2</v>
      </c>
      <c r="AE45">
        <f t="shared" si="0"/>
        <v>-4.5024685953561669E-2</v>
      </c>
      <c r="AF45">
        <f t="shared" si="0"/>
        <v>-2.8665363110087726E-2</v>
      </c>
      <c r="AG45">
        <f t="shared" si="0"/>
        <v>-4.1659063210919466E-2</v>
      </c>
      <c r="AH45">
        <f t="shared" si="0"/>
        <v>-3.9911525566972923E-2</v>
      </c>
      <c r="AI45">
        <f t="shared" si="0"/>
        <v>-6.154742375051106E-2</v>
      </c>
      <c r="AJ45">
        <f t="shared" si="0"/>
        <v>-2.6282170044667222E-2</v>
      </c>
      <c r="AK45">
        <f t="shared" si="0"/>
        <v>3.1063013098515425E-2</v>
      </c>
      <c r="AL45">
        <f t="shared" si="0"/>
        <v>2.3288412968880561E-2</v>
      </c>
      <c r="AM45">
        <f t="shared" si="0"/>
        <v>3.8739458065491041E-2</v>
      </c>
      <c r="AN45">
        <f t="shared" si="0"/>
        <v>3.2750348443422436E-2</v>
      </c>
      <c r="AO45">
        <f t="shared" si="0"/>
        <v>-4.4949588060261406E-2</v>
      </c>
      <c r="AP45">
        <f t="shared" si="0"/>
        <v>-7.926506596587278E-2</v>
      </c>
      <c r="AQ45">
        <f t="shared" si="0"/>
        <v>-1.5736189432079738E-2</v>
      </c>
      <c r="AR45">
        <f t="shared" si="0"/>
        <v>-3.7686634078400276E-3</v>
      </c>
      <c r="AS45">
        <f t="shared" si="0"/>
        <v>-2.0280011648028749E-2</v>
      </c>
      <c r="AT45">
        <f t="shared" si="0"/>
        <v>2.4368080490813841E-2</v>
      </c>
      <c r="AU45">
        <f t="shared" si="0"/>
        <v>-1.4429444269291488E-2</v>
      </c>
      <c r="AV45">
        <f t="shared" si="0"/>
        <v>7.5887759377767901E-3</v>
      </c>
      <c r="AW45">
        <f t="shared" si="0"/>
        <v>2.3134995792129916E-2</v>
      </c>
      <c r="AX45">
        <f t="shared" si="0"/>
        <v>-5.9636629528438748E-2</v>
      </c>
      <c r="AY45">
        <f t="shared" si="0"/>
        <v>-3.8469759681288997E-2</v>
      </c>
      <c r="AZ45">
        <f t="shared" si="0"/>
        <v>5.6351896897343261E-2</v>
      </c>
      <c r="BA45">
        <f t="shared" si="0"/>
        <v>6.2655702018887857E-2</v>
      </c>
      <c r="BB45">
        <f t="shared" si="0"/>
        <v>3.7785018764019372E-2</v>
      </c>
      <c r="BC45">
        <f t="shared" si="0"/>
        <v>3.5353379266701714E-2</v>
      </c>
      <c r="BD45">
        <f t="shared" si="0"/>
        <v>2.8680992257584189E-2</v>
      </c>
      <c r="BE45">
        <f t="shared" si="0"/>
        <v>4.0139366523561565E-2</v>
      </c>
      <c r="BF45">
        <f t="shared" si="0"/>
        <v>1.5257212371759523E-2</v>
      </c>
      <c r="BG45">
        <f t="shared" si="0"/>
        <v>-4.2720380264286983E-2</v>
      </c>
      <c r="BH45">
        <f t="shared" si="0"/>
        <v>3.0972018720912049E-2</v>
      </c>
      <c r="BI45">
        <f t="shared" si="0"/>
        <v>7.4977237606509107E-3</v>
      </c>
      <c r="BJ45">
        <f t="shared" si="0"/>
        <v>-4.4623101284871257E-2</v>
      </c>
      <c r="BK45">
        <f t="shared" si="0"/>
        <v>1.8323371680083841E-2</v>
      </c>
      <c r="BL45">
        <f t="shared" si="0"/>
        <v>3.9379937640151311E-2</v>
      </c>
      <c r="BM45">
        <f t="shared" si="0"/>
        <v>-2.6151492711937164E-2</v>
      </c>
      <c r="BN45">
        <f t="shared" si="0"/>
        <v>4.5711590339630485E-3</v>
      </c>
      <c r="BO45">
        <f t="shared" si="0"/>
        <v>-4.7193377450690473E-2</v>
      </c>
      <c r="BP45">
        <f t="shared" ref="BP45:EA45" si="1">AVERAGE(BP2:BP43)</f>
        <v>-4.5911392758840007E-2</v>
      </c>
      <c r="BQ45">
        <f t="shared" si="1"/>
        <v>-5.1590824251265668E-2</v>
      </c>
      <c r="BR45">
        <f t="shared" si="1"/>
        <v>-6.2309339254731609E-2</v>
      </c>
      <c r="BS45">
        <f t="shared" si="1"/>
        <v>-3.9074412030076361E-2</v>
      </c>
      <c r="BT45">
        <f t="shared" si="1"/>
        <v>-4.5156467829673376E-5</v>
      </c>
      <c r="BU45">
        <f t="shared" si="1"/>
        <v>1.358185300058991E-2</v>
      </c>
      <c r="BV45">
        <f t="shared" si="1"/>
        <v>-9.1468221532592323E-3</v>
      </c>
      <c r="BW45">
        <f t="shared" si="1"/>
        <v>-1.3353083393990476E-2</v>
      </c>
      <c r="BX45">
        <f t="shared" si="1"/>
        <v>1.1604836611856021E-2</v>
      </c>
      <c r="BY45">
        <f t="shared" si="1"/>
        <v>4.4527178306980426E-3</v>
      </c>
      <c r="BZ45">
        <f t="shared" si="1"/>
        <v>2.15924384289423E-2</v>
      </c>
      <c r="CA45">
        <f t="shared" si="1"/>
        <v>8.3968987674422554E-3</v>
      </c>
      <c r="CB45">
        <f t="shared" si="1"/>
        <v>2.6040549418578082E-2</v>
      </c>
      <c r="CC45">
        <f t="shared" si="1"/>
        <v>1.775968887179739E-2</v>
      </c>
      <c r="CD45">
        <f t="shared" si="1"/>
        <v>1.3214307893660893E-2</v>
      </c>
      <c r="CE45">
        <f t="shared" si="1"/>
        <v>0.10929614481799042</v>
      </c>
      <c r="CF45">
        <f t="shared" si="1"/>
        <v>2.4643084056993277E-2</v>
      </c>
      <c r="CG45">
        <f t="shared" si="1"/>
        <v>3.5071484075416923E-2</v>
      </c>
      <c r="CH45">
        <f t="shared" si="1"/>
        <v>4.9680920382437779E-2</v>
      </c>
      <c r="CI45">
        <f t="shared" si="1"/>
        <v>7.6174174184835922E-2</v>
      </c>
      <c r="CJ45">
        <f t="shared" si="1"/>
        <v>5.5503796111572606E-2</v>
      </c>
      <c r="CK45">
        <f t="shared" si="1"/>
        <v>5.2263920878926187E-2</v>
      </c>
      <c r="CL45">
        <f t="shared" si="1"/>
        <v>8.2583977932864844E-2</v>
      </c>
      <c r="CM45">
        <f t="shared" si="1"/>
        <v>2.1186490749955256E-2</v>
      </c>
      <c r="CN45">
        <f t="shared" si="1"/>
        <v>-9.5622959351258884E-3</v>
      </c>
      <c r="CO45">
        <f t="shared" si="1"/>
        <v>2.7640914886372939E-2</v>
      </c>
      <c r="CP45">
        <f t="shared" si="1"/>
        <v>-2.637117523781699E-3</v>
      </c>
      <c r="CQ45">
        <f t="shared" si="1"/>
        <v>2.9583726738210296E-2</v>
      </c>
      <c r="CR45">
        <f t="shared" si="1"/>
        <v>2.1670769097768855E-2</v>
      </c>
      <c r="CS45">
        <f t="shared" si="1"/>
        <v>4.2817178053782224E-3</v>
      </c>
      <c r="CT45">
        <f t="shared" si="1"/>
        <v>1.56693839715134E-2</v>
      </c>
      <c r="CU45">
        <f t="shared" si="1"/>
        <v>3.6075114901247055E-2</v>
      </c>
      <c r="CV45">
        <f t="shared" si="1"/>
        <v>2.9024037527825824E-2</v>
      </c>
      <c r="CW45">
        <f t="shared" si="1"/>
        <v>3.190636030375556E-3</v>
      </c>
      <c r="CX45">
        <f t="shared" si="1"/>
        <v>1.7777272363016801E-2</v>
      </c>
      <c r="CY45">
        <f t="shared" si="1"/>
        <v>3.1406011826087918E-2</v>
      </c>
      <c r="CZ45">
        <f t="shared" si="1"/>
        <v>-7.1946244098655254E-3</v>
      </c>
      <c r="DA45">
        <f t="shared" si="1"/>
        <v>-9.9206075772044523E-3</v>
      </c>
      <c r="DB45">
        <f t="shared" si="1"/>
        <v>3.3998491708165546E-2</v>
      </c>
      <c r="DC45">
        <f t="shared" si="1"/>
        <v>4.7755545242881947E-2</v>
      </c>
      <c r="DD45">
        <f t="shared" si="1"/>
        <v>4.9972369868842709E-2</v>
      </c>
      <c r="DE45">
        <f t="shared" si="1"/>
        <v>2.8083387585415127E-2</v>
      </c>
      <c r="DF45">
        <f t="shared" si="1"/>
        <v>-5.7699814073862762E-3</v>
      </c>
      <c r="DG45">
        <f t="shared" si="1"/>
        <v>4.3943473647518702E-2</v>
      </c>
      <c r="DH45">
        <f t="shared" si="1"/>
        <v>7.8607141409836268E-2</v>
      </c>
      <c r="DI45">
        <f t="shared" si="1"/>
        <v>7.3915262115404085E-2</v>
      </c>
      <c r="DJ45">
        <f t="shared" si="1"/>
        <v>1.1221831383795702E-2</v>
      </c>
      <c r="DK45">
        <f t="shared" si="1"/>
        <v>2.0600779000807461E-2</v>
      </c>
      <c r="DL45">
        <f t="shared" si="1"/>
        <v>4.8412676070758706E-2</v>
      </c>
      <c r="DM45">
        <f t="shared" si="1"/>
        <v>7.4161873203063E-2</v>
      </c>
      <c r="DN45">
        <f t="shared" si="1"/>
        <v>5.1108182770722613E-2</v>
      </c>
      <c r="DO45">
        <f t="shared" si="1"/>
        <v>4.2317646864920309E-2</v>
      </c>
      <c r="DP45">
        <f t="shared" si="1"/>
        <v>5.8416609152635794E-2</v>
      </c>
      <c r="DQ45">
        <f t="shared" si="1"/>
        <v>6.2458919332828676E-2</v>
      </c>
      <c r="DR45">
        <f t="shared" si="1"/>
        <v>7.9504051556249983E-2</v>
      </c>
      <c r="DS45">
        <f t="shared" si="1"/>
        <v>7.7181231866403813E-2</v>
      </c>
      <c r="DT45">
        <f t="shared" si="1"/>
        <v>0.11207589005759697</v>
      </c>
      <c r="DU45">
        <f t="shared" si="1"/>
        <v>6.3031223940356082E-2</v>
      </c>
      <c r="DV45">
        <f t="shared" si="1"/>
        <v>0.11536083271932787</v>
      </c>
      <c r="DW45">
        <f t="shared" si="1"/>
        <v>0.11784241857714195</v>
      </c>
      <c r="DX45">
        <f t="shared" si="1"/>
        <v>0.12392007783789785</v>
      </c>
      <c r="DY45">
        <f t="shared" si="1"/>
        <v>7.9650470056938261E-2</v>
      </c>
      <c r="DZ45">
        <f t="shared" si="1"/>
        <v>4.38871767503837E-2</v>
      </c>
      <c r="EA45">
        <f t="shared" si="1"/>
        <v>6.2046339814814493E-2</v>
      </c>
      <c r="EB45">
        <f t="shared" ref="EB45:GM45" si="2">AVERAGE(EB2:EB43)</f>
        <v>2.3261535233113702E-2</v>
      </c>
      <c r="EC45">
        <f t="shared" si="2"/>
        <v>1.6549881766434894E-2</v>
      </c>
      <c r="ED45">
        <f t="shared" si="2"/>
        <v>4.6896596569299995E-2</v>
      </c>
      <c r="EE45">
        <f t="shared" si="2"/>
        <v>5.426405041431346E-2</v>
      </c>
      <c r="EF45">
        <f t="shared" si="2"/>
        <v>3.6117556959039412E-2</v>
      </c>
      <c r="EG45">
        <f t="shared" si="2"/>
        <v>2.909582530700933E-2</v>
      </c>
      <c r="EH45">
        <f t="shared" si="2"/>
        <v>4.0493960684896836E-2</v>
      </c>
      <c r="EI45">
        <f t="shared" si="2"/>
        <v>1.6301385804100069E-2</v>
      </c>
      <c r="EJ45">
        <f t="shared" si="2"/>
        <v>5.962078360581477E-2</v>
      </c>
      <c r="EK45">
        <f t="shared" si="2"/>
        <v>8.1123210562390649E-2</v>
      </c>
      <c r="EL45">
        <f t="shared" si="2"/>
        <v>3.6759173141678307E-2</v>
      </c>
      <c r="EM45">
        <f t="shared" si="2"/>
        <v>4.1323236370622251E-4</v>
      </c>
      <c r="EN45">
        <f t="shared" si="2"/>
        <v>-8.4509794066612662E-3</v>
      </c>
      <c r="EO45">
        <f t="shared" si="2"/>
        <v>5.199694567959981E-2</v>
      </c>
      <c r="EP45">
        <f t="shared" si="2"/>
        <v>5.8048484256903156E-2</v>
      </c>
      <c r="EQ45">
        <f t="shared" si="2"/>
        <v>4.0952885361063417E-2</v>
      </c>
      <c r="ER45">
        <f t="shared" si="2"/>
        <v>4.2077339670120242E-2</v>
      </c>
      <c r="ES45">
        <f t="shared" si="2"/>
        <v>5.8964377992036153E-2</v>
      </c>
      <c r="ET45">
        <f t="shared" si="2"/>
        <v>0.1216081979987215</v>
      </c>
      <c r="EU45">
        <f t="shared" si="2"/>
        <v>7.8114657376160593E-2</v>
      </c>
      <c r="EV45">
        <f t="shared" si="2"/>
        <v>4.6142619995357105E-2</v>
      </c>
      <c r="EW45">
        <f t="shared" si="2"/>
        <v>4.2644687464365838E-2</v>
      </c>
      <c r="EX45">
        <f t="shared" si="2"/>
        <v>2.8349072694227522E-2</v>
      </c>
      <c r="EY45">
        <f t="shared" si="2"/>
        <v>5.2159179329575624E-2</v>
      </c>
      <c r="EZ45">
        <f t="shared" si="2"/>
        <v>9.423792063023937E-3</v>
      </c>
      <c r="FA45">
        <f t="shared" si="2"/>
        <v>4.7091373343027654E-2</v>
      </c>
      <c r="FB45">
        <f t="shared" si="2"/>
        <v>5.8072411344872794E-2</v>
      </c>
      <c r="FC45">
        <f t="shared" si="2"/>
        <v>7.7789196148394454E-2</v>
      </c>
      <c r="FD45">
        <f t="shared" si="2"/>
        <v>6.5856991186023797E-2</v>
      </c>
      <c r="FE45">
        <f t="shared" si="2"/>
        <v>1.520733968757621E-2</v>
      </c>
      <c r="FF45">
        <f t="shared" si="2"/>
        <v>7.1156488090531975E-2</v>
      </c>
      <c r="FG45">
        <f t="shared" si="2"/>
        <v>5.0414744144724973E-2</v>
      </c>
      <c r="FH45">
        <f t="shared" si="2"/>
        <v>8.1179883812988574E-2</v>
      </c>
      <c r="FI45">
        <f t="shared" si="2"/>
        <v>7.435944605764383E-2</v>
      </c>
      <c r="FJ45">
        <f t="shared" si="2"/>
        <v>9.0746602533072734E-2</v>
      </c>
      <c r="FK45">
        <f t="shared" si="2"/>
        <v>2.8562787217988411E-2</v>
      </c>
      <c r="FL45">
        <f t="shared" si="2"/>
        <v>7.6580820612339229E-2</v>
      </c>
      <c r="FM45">
        <f t="shared" si="2"/>
        <v>3.6461676166318936E-2</v>
      </c>
      <c r="FN45">
        <f t="shared" si="2"/>
        <v>7.1375086541138111E-2</v>
      </c>
      <c r="FO45">
        <f t="shared" si="2"/>
        <v>2.2066271061171296E-2</v>
      </c>
      <c r="FP45">
        <f t="shared" si="2"/>
        <v>1.7161283063755865E-2</v>
      </c>
      <c r="FQ45">
        <f t="shared" si="2"/>
        <v>1.7880154267414357E-2</v>
      </c>
      <c r="FR45">
        <f t="shared" si="2"/>
        <v>1.9528703045783628E-2</v>
      </c>
      <c r="FS45">
        <f t="shared" si="2"/>
        <v>7.2202552832529354E-2</v>
      </c>
      <c r="FT45">
        <f t="shared" si="2"/>
        <v>9.6926984094161714E-2</v>
      </c>
      <c r="FU45">
        <f t="shared" si="2"/>
        <v>5.5211178572915305E-2</v>
      </c>
      <c r="FV45">
        <f t="shared" si="2"/>
        <v>8.9917629209544464E-2</v>
      </c>
      <c r="FW45">
        <f t="shared" si="2"/>
        <v>8.8831098402327571E-2</v>
      </c>
      <c r="FX45">
        <f t="shared" si="2"/>
        <v>2.2915614445797639E-2</v>
      </c>
      <c r="FY45">
        <f t="shared" si="2"/>
        <v>5.9471403669379308E-2</v>
      </c>
      <c r="FZ45">
        <f t="shared" si="2"/>
        <v>8.3150223860858588E-2</v>
      </c>
      <c r="GA45">
        <f t="shared" si="2"/>
        <v>8.0205354203872106E-2</v>
      </c>
      <c r="GB45">
        <f t="shared" si="2"/>
        <v>9.2482305104856596E-2</v>
      </c>
      <c r="GC45">
        <f t="shared" si="2"/>
        <v>1.2280354335893216E-2</v>
      </c>
      <c r="GD45">
        <f t="shared" si="2"/>
        <v>1.3532452949465418E-2</v>
      </c>
      <c r="GE45">
        <f t="shared" si="2"/>
        <v>4.9815181408609334E-2</v>
      </c>
      <c r="GF45">
        <f t="shared" si="2"/>
        <v>0.11110787856052089</v>
      </c>
      <c r="GG45">
        <f t="shared" si="2"/>
        <v>0.14255551118167337</v>
      </c>
      <c r="GH45">
        <f t="shared" si="2"/>
        <v>3.5489781969259851E-2</v>
      </c>
      <c r="GI45">
        <f t="shared" si="2"/>
        <v>5.3263013581749341E-2</v>
      </c>
      <c r="GJ45">
        <f t="shared" si="2"/>
        <v>0.10648142939980158</v>
      </c>
      <c r="GK45">
        <f t="shared" si="2"/>
        <v>9.6364447237681006E-2</v>
      </c>
      <c r="GL45">
        <f t="shared" si="2"/>
        <v>8.3667381223121159E-2</v>
      </c>
      <c r="GM45">
        <f t="shared" si="2"/>
        <v>0.1624103252604186</v>
      </c>
      <c r="GN45">
        <f t="shared" ref="GN45:HC45" si="3">AVERAGE(GN2:GN43)</f>
        <v>0.1162833540797205</v>
      </c>
      <c r="GO45">
        <f t="shared" si="3"/>
        <v>0.12826633958002701</v>
      </c>
      <c r="GP45">
        <f t="shared" si="3"/>
        <v>8.7920335422686777E-2</v>
      </c>
      <c r="GQ45">
        <f t="shared" si="3"/>
        <v>3.1618244745366064E-2</v>
      </c>
      <c r="GR45">
        <f t="shared" si="3"/>
        <v>0.17311255237365394</v>
      </c>
      <c r="GS45">
        <f t="shared" si="3"/>
        <v>7.3492515968148917E-2</v>
      </c>
      <c r="GT45">
        <f t="shared" si="3"/>
        <v>0.13507712275409053</v>
      </c>
      <c r="GU45">
        <f t="shared" si="3"/>
        <v>0.1131235712520146</v>
      </c>
      <c r="GV45">
        <f t="shared" si="3"/>
        <v>6.6343534614164951E-2</v>
      </c>
      <c r="GW45">
        <f t="shared" si="3"/>
        <v>8.327719290210582E-2</v>
      </c>
      <c r="GX45">
        <f t="shared" si="3"/>
        <v>0.17457961990969395</v>
      </c>
      <c r="GY45">
        <f t="shared" si="3"/>
        <v>5.7072128999473601E-2</v>
      </c>
      <c r="GZ45">
        <f t="shared" si="3"/>
        <v>4.2667620089479275E-2</v>
      </c>
      <c r="HA45">
        <f t="shared" si="3"/>
        <v>-7.9417443215285561E-3</v>
      </c>
      <c r="HB45">
        <f t="shared" si="3"/>
        <v>5.7903977090623726E-2</v>
      </c>
      <c r="HC45">
        <f t="shared" si="3"/>
        <v>3.546551751461393E-2</v>
      </c>
    </row>
    <row r="46" spans="1:211" x14ac:dyDescent="0.25">
      <c r="A46" s="220" t="s">
        <v>262</v>
      </c>
      <c r="B46" s="220"/>
      <c r="C46">
        <f>AVERAGE(C12:C22)</f>
        <v>3.48532356946019E-2</v>
      </c>
      <c r="D46">
        <f t="shared" ref="D46:BO46" si="4">AVERAGE(D12:D22)</f>
        <v>1.0027943584912387E-2</v>
      </c>
      <c r="E46">
        <f t="shared" si="4"/>
        <v>2.0802212507077297E-2</v>
      </c>
      <c r="F46">
        <f t="shared" si="4"/>
        <v>-4.2900456183300489E-2</v>
      </c>
      <c r="G46">
        <f t="shared" si="4"/>
        <v>3.553834808434507E-2</v>
      </c>
      <c r="H46">
        <f t="shared" si="4"/>
        <v>1.8465512421154179E-3</v>
      </c>
      <c r="I46">
        <f t="shared" si="4"/>
        <v>-4.9338116913996428E-2</v>
      </c>
      <c r="J46">
        <f t="shared" si="4"/>
        <v>-1.8131675928600245E-2</v>
      </c>
      <c r="K46">
        <f t="shared" si="4"/>
        <v>-4.0491029900315473E-2</v>
      </c>
      <c r="L46">
        <f t="shared" si="4"/>
        <v>-1.3992778995681836E-2</v>
      </c>
      <c r="M46">
        <f t="shared" si="4"/>
        <v>4.6920415819583887E-2</v>
      </c>
      <c r="N46">
        <f t="shared" si="4"/>
        <v>5.4001862971364979E-2</v>
      </c>
      <c r="O46">
        <f t="shared" si="4"/>
        <v>7.6864171502355208E-2</v>
      </c>
      <c r="P46">
        <f t="shared" si="4"/>
        <v>-6.5600145312784078E-3</v>
      </c>
      <c r="Q46">
        <f t="shared" si="4"/>
        <v>1.7200234133445833E-2</v>
      </c>
      <c r="R46">
        <f t="shared" si="4"/>
        <v>7.6802732549493538E-3</v>
      </c>
      <c r="S46">
        <f t="shared" si="4"/>
        <v>-5.7964679068003448E-2</v>
      </c>
      <c r="T46">
        <f t="shared" si="4"/>
        <v>-1.7237418307605473E-2</v>
      </c>
      <c r="U46">
        <f t="shared" si="4"/>
        <v>-8.2488489656803998E-2</v>
      </c>
      <c r="V46">
        <f t="shared" si="4"/>
        <v>2.9177078119831359E-2</v>
      </c>
      <c r="W46">
        <f t="shared" si="4"/>
        <v>-1.6694417957063626E-2</v>
      </c>
      <c r="X46">
        <f t="shared" si="4"/>
        <v>3.4168196453662494E-2</v>
      </c>
      <c r="Y46">
        <f t="shared" si="4"/>
        <v>5.3620034475181247E-3</v>
      </c>
      <c r="Z46">
        <f t="shared" si="4"/>
        <v>-6.2957217963198156E-2</v>
      </c>
      <c r="AA46">
        <f t="shared" si="4"/>
        <v>-0.13856325037685172</v>
      </c>
      <c r="AB46">
        <f t="shared" si="4"/>
        <v>-2.2478537723988355E-2</v>
      </c>
      <c r="AC46">
        <f t="shared" si="4"/>
        <v>-2.0351562016291538E-2</v>
      </c>
      <c r="AD46">
        <f t="shared" si="4"/>
        <v>7.273159062972194E-2</v>
      </c>
      <c r="AE46">
        <f t="shared" si="4"/>
        <v>-2.2906358871895131E-2</v>
      </c>
      <c r="AF46">
        <f t="shared" si="4"/>
        <v>-3.3431807389494715E-2</v>
      </c>
      <c r="AG46">
        <f t="shared" si="4"/>
        <v>-1.1271513345469879E-2</v>
      </c>
      <c r="AH46">
        <f t="shared" si="4"/>
        <v>-7.7732579030374546E-2</v>
      </c>
      <c r="AI46">
        <f t="shared" si="4"/>
        <v>-7.3636101245382515E-2</v>
      </c>
      <c r="AJ46">
        <f t="shared" si="4"/>
        <v>-3.6269501163691924E-2</v>
      </c>
      <c r="AK46">
        <f t="shared" si="4"/>
        <v>4.2153186664257554E-2</v>
      </c>
      <c r="AL46">
        <f t="shared" si="4"/>
        <v>8.9167961024260944E-2</v>
      </c>
      <c r="AM46">
        <f t="shared" si="4"/>
        <v>1.8455479665688786E-2</v>
      </c>
      <c r="AN46">
        <f t="shared" si="4"/>
        <v>-6.5042196948212908E-2</v>
      </c>
      <c r="AO46">
        <f t="shared" si="4"/>
        <v>-7.2833255233199487E-2</v>
      </c>
      <c r="AP46">
        <f t="shared" si="4"/>
        <v>-0.12149718587675928</v>
      </c>
      <c r="AQ46">
        <f t="shared" si="4"/>
        <v>-4.5697828173913366E-2</v>
      </c>
      <c r="AR46">
        <f t="shared" si="4"/>
        <v>1.9261139894494281E-2</v>
      </c>
      <c r="AS46">
        <f t="shared" si="4"/>
        <v>-8.994326787109809E-2</v>
      </c>
      <c r="AT46">
        <f t="shared" si="4"/>
        <v>7.4164082573416838E-3</v>
      </c>
      <c r="AU46">
        <f t="shared" si="4"/>
        <v>-1.3123149893348703E-2</v>
      </c>
      <c r="AV46">
        <f t="shared" si="4"/>
        <v>-1.4830779434132595E-2</v>
      </c>
      <c r="AW46">
        <f t="shared" si="4"/>
        <v>3.6576070181642247E-3</v>
      </c>
      <c r="AX46">
        <f t="shared" si="4"/>
        <v>-3.2633888089366091E-2</v>
      </c>
      <c r="AY46">
        <f t="shared" si="4"/>
        <v>-3.2874190074030377E-2</v>
      </c>
      <c r="AZ46">
        <f t="shared" si="4"/>
        <v>5.0454811937135737E-4</v>
      </c>
      <c r="BA46">
        <f t="shared" si="4"/>
        <v>0.13125599646421959</v>
      </c>
      <c r="BB46">
        <f t="shared" si="4"/>
        <v>8.0016492733890054E-2</v>
      </c>
      <c r="BC46">
        <f t="shared" si="4"/>
        <v>-7.0848549809120184E-2</v>
      </c>
      <c r="BD46">
        <f t="shared" si="4"/>
        <v>2.2336501792090905E-2</v>
      </c>
      <c r="BE46">
        <f t="shared" si="4"/>
        <v>1.5332126570025272E-2</v>
      </c>
      <c r="BF46">
        <f t="shared" si="4"/>
        <v>-7.9185227614139413E-3</v>
      </c>
      <c r="BG46">
        <f t="shared" si="4"/>
        <v>-2.1235455857908467E-2</v>
      </c>
      <c r="BH46">
        <f t="shared" si="4"/>
        <v>3.884908675718813E-2</v>
      </c>
      <c r="BI46">
        <f t="shared" si="4"/>
        <v>4.6228192259123446E-3</v>
      </c>
      <c r="BJ46">
        <f t="shared" si="4"/>
        <v>-7.595103091200929E-2</v>
      </c>
      <c r="BK46">
        <f t="shared" si="4"/>
        <v>2.7411434660792679E-2</v>
      </c>
      <c r="BL46">
        <f t="shared" si="4"/>
        <v>4.831381002805963E-2</v>
      </c>
      <c r="BM46">
        <f t="shared" si="4"/>
        <v>-7.0890678330845294E-2</v>
      </c>
      <c r="BN46">
        <f t="shared" si="4"/>
        <v>-1.5032020345272575E-3</v>
      </c>
      <c r="BO46">
        <f t="shared" si="4"/>
        <v>-5.9042245878741136E-2</v>
      </c>
      <c r="BP46">
        <f t="shared" ref="BP46:EA46" si="5">AVERAGE(BP12:BP22)</f>
        <v>-5.4159972451274137E-2</v>
      </c>
      <c r="BQ46">
        <f t="shared" si="5"/>
        <v>-4.5078323414733085E-2</v>
      </c>
      <c r="BR46">
        <f t="shared" si="5"/>
        <v>-3.3130110035310648E-2</v>
      </c>
      <c r="BS46">
        <f t="shared" si="5"/>
        <v>-3.4626760679903973E-2</v>
      </c>
      <c r="BT46">
        <f t="shared" si="5"/>
        <v>-5.4781255575236235E-2</v>
      </c>
      <c r="BU46">
        <f t="shared" si="5"/>
        <v>-1.8928497578535087E-2</v>
      </c>
      <c r="BV46">
        <f t="shared" si="5"/>
        <v>-2.4563971841405515E-2</v>
      </c>
      <c r="BW46">
        <f t="shared" si="5"/>
        <v>-2.8207029640414008E-2</v>
      </c>
      <c r="BX46">
        <f t="shared" si="5"/>
        <v>1.4698130243967917E-2</v>
      </c>
      <c r="BY46">
        <f t="shared" si="5"/>
        <v>-4.9636589839311546E-2</v>
      </c>
      <c r="BZ46">
        <f t="shared" si="5"/>
        <v>3.6243914984565383E-2</v>
      </c>
      <c r="CA46">
        <f t="shared" si="5"/>
        <v>6.7287429862137177E-3</v>
      </c>
      <c r="CB46">
        <f t="shared" si="5"/>
        <v>8.474640661169968E-3</v>
      </c>
      <c r="CC46">
        <f t="shared" si="5"/>
        <v>-2.5692632242156278E-2</v>
      </c>
      <c r="CD46">
        <f t="shared" si="5"/>
        <v>1.1795503000480118E-2</v>
      </c>
      <c r="CE46">
        <f t="shared" si="5"/>
        <v>0.10949768591994777</v>
      </c>
      <c r="CF46">
        <f t="shared" si="5"/>
        <v>3.1807681227582888E-3</v>
      </c>
      <c r="CG46">
        <f t="shared" si="5"/>
        <v>-3.6142354330834535E-4</v>
      </c>
      <c r="CH46">
        <f t="shared" si="5"/>
        <v>-2.0574816566999291E-2</v>
      </c>
      <c r="CI46">
        <f t="shared" si="5"/>
        <v>7.7793428425852115E-2</v>
      </c>
      <c r="CJ46">
        <f t="shared" si="5"/>
        <v>1.5103135507134664E-2</v>
      </c>
      <c r="CK46">
        <f t="shared" si="5"/>
        <v>0.13321038299769725</v>
      </c>
      <c r="CL46">
        <f t="shared" si="5"/>
        <v>4.1775076782005975E-2</v>
      </c>
      <c r="CM46">
        <f t="shared" si="5"/>
        <v>6.5243481609936718E-2</v>
      </c>
      <c r="CN46">
        <f t="shared" si="5"/>
        <v>-5.2056064896566223E-2</v>
      </c>
      <c r="CO46">
        <f t="shared" si="5"/>
        <v>3.3864375771933616E-2</v>
      </c>
      <c r="CP46">
        <f t="shared" si="5"/>
        <v>1.3040996833896916E-2</v>
      </c>
      <c r="CQ46">
        <f t="shared" si="5"/>
        <v>2.8075286177584188E-2</v>
      </c>
      <c r="CR46">
        <f t="shared" si="5"/>
        <v>8.6291803909596745E-3</v>
      </c>
      <c r="CS46">
        <f t="shared" si="5"/>
        <v>-2.0174613403757199E-2</v>
      </c>
      <c r="CT46">
        <f t="shared" si="5"/>
        <v>1.1361646349116029E-2</v>
      </c>
      <c r="CU46">
        <f t="shared" si="5"/>
        <v>1.0176613523790921E-2</v>
      </c>
      <c r="CV46">
        <f t="shared" si="5"/>
        <v>8.9024690540542468E-3</v>
      </c>
      <c r="CW46">
        <f t="shared" si="5"/>
        <v>-9.7512675827118617E-4</v>
      </c>
      <c r="CX46">
        <f t="shared" si="5"/>
        <v>1.975458992446343E-4</v>
      </c>
      <c r="CY46">
        <f t="shared" si="5"/>
        <v>4.7580944217685966E-2</v>
      </c>
      <c r="CZ46">
        <f t="shared" si="5"/>
        <v>-1.3758999978238111E-2</v>
      </c>
      <c r="DA46">
        <f t="shared" si="5"/>
        <v>-2.8278099962496108E-2</v>
      </c>
      <c r="DB46">
        <f t="shared" si="5"/>
        <v>5.8451307203186115E-2</v>
      </c>
      <c r="DC46">
        <f t="shared" si="5"/>
        <v>4.2726127885437171E-2</v>
      </c>
      <c r="DD46">
        <f t="shared" si="5"/>
        <v>4.1322892168566806E-2</v>
      </c>
      <c r="DE46">
        <f t="shared" si="5"/>
        <v>-5.8712167669650621E-3</v>
      </c>
      <c r="DF46">
        <f t="shared" si="5"/>
        <v>-1.8535650686820709E-2</v>
      </c>
      <c r="DG46">
        <f t="shared" si="5"/>
        <v>3.5283760289874254E-2</v>
      </c>
      <c r="DH46">
        <f t="shared" si="5"/>
        <v>6.9064102183134399E-2</v>
      </c>
      <c r="DI46">
        <f t="shared" si="5"/>
        <v>4.3403657806154156E-2</v>
      </c>
      <c r="DJ46">
        <f t="shared" si="5"/>
        <v>2.6764565385260872E-2</v>
      </c>
      <c r="DK46">
        <f t="shared" si="5"/>
        <v>1.9963853235575781E-2</v>
      </c>
      <c r="DL46">
        <f t="shared" si="5"/>
        <v>3.6596385122956238E-2</v>
      </c>
      <c r="DM46">
        <f t="shared" si="5"/>
        <v>6.3311817494023551E-2</v>
      </c>
      <c r="DN46">
        <f t="shared" si="5"/>
        <v>2.6418117266773514E-2</v>
      </c>
      <c r="DO46">
        <f t="shared" si="5"/>
        <v>-5.3824119714549999E-3</v>
      </c>
      <c r="DP46">
        <f t="shared" si="5"/>
        <v>3.683915108674108E-2</v>
      </c>
      <c r="DQ46">
        <f t="shared" si="5"/>
        <v>0.11867737334090878</v>
      </c>
      <c r="DR46">
        <f t="shared" si="5"/>
        <v>0.13139601744989482</v>
      </c>
      <c r="DS46">
        <f t="shared" si="5"/>
        <v>0.10665749387342295</v>
      </c>
      <c r="DT46">
        <f t="shared" si="5"/>
        <v>0.16878409998526911</v>
      </c>
      <c r="DU46">
        <f t="shared" si="5"/>
        <v>9.3904621177348518E-2</v>
      </c>
      <c r="DV46">
        <f t="shared" si="5"/>
        <v>0.16653631266414343</v>
      </c>
      <c r="DW46">
        <f t="shared" si="5"/>
        <v>7.4778425030135917E-2</v>
      </c>
      <c r="DX46">
        <f t="shared" si="5"/>
        <v>0.11518797068143392</v>
      </c>
      <c r="DY46">
        <f t="shared" si="5"/>
        <v>-1.4169509293707788E-2</v>
      </c>
      <c r="DZ46">
        <f t="shared" si="5"/>
        <v>-2.2783705466934349E-3</v>
      </c>
      <c r="EA46">
        <f t="shared" si="5"/>
        <v>6.3176497714848429E-2</v>
      </c>
      <c r="EB46">
        <f t="shared" ref="EB46:GM46" si="6">AVERAGE(EB12:EB22)</f>
        <v>-2.0896805540487562E-2</v>
      </c>
      <c r="EC46">
        <f t="shared" si="6"/>
        <v>2.5178421464346824E-2</v>
      </c>
      <c r="ED46">
        <f t="shared" si="6"/>
        <v>3.2862303100745734E-2</v>
      </c>
      <c r="EE46">
        <f t="shared" si="6"/>
        <v>7.3675112330252049E-2</v>
      </c>
      <c r="EF46">
        <f t="shared" si="6"/>
        <v>3.1717651597444621E-2</v>
      </c>
      <c r="EG46">
        <f t="shared" si="6"/>
        <v>5.0665272323914632E-3</v>
      </c>
      <c r="EH46">
        <f t="shared" si="6"/>
        <v>3.8137572354519762E-2</v>
      </c>
      <c r="EI46">
        <f t="shared" si="6"/>
        <v>9.4634524702252101E-3</v>
      </c>
      <c r="EJ46">
        <f t="shared" si="6"/>
        <v>0.12227241798828112</v>
      </c>
      <c r="EK46">
        <f t="shared" si="6"/>
        <v>4.882265767011764E-2</v>
      </c>
      <c r="EL46">
        <f t="shared" si="6"/>
        <v>2.8506447324961246E-2</v>
      </c>
      <c r="EM46">
        <f t="shared" si="6"/>
        <v>1.7696364571380879E-2</v>
      </c>
      <c r="EN46">
        <f t="shared" si="6"/>
        <v>9.7399813419245751E-2</v>
      </c>
      <c r="EO46">
        <f t="shared" si="6"/>
        <v>1.3306470673336644E-2</v>
      </c>
      <c r="EP46">
        <f t="shared" si="6"/>
        <v>8.93690471594802E-2</v>
      </c>
      <c r="EQ46">
        <f t="shared" si="6"/>
        <v>7.1507220885570391E-2</v>
      </c>
      <c r="ER46">
        <f t="shared" si="6"/>
        <v>3.4865482658907605E-2</v>
      </c>
      <c r="ES46">
        <f t="shared" si="6"/>
        <v>4.0544467482336553E-2</v>
      </c>
      <c r="ET46">
        <f t="shared" si="6"/>
        <v>0.15831777081389797</v>
      </c>
      <c r="EU46">
        <f t="shared" si="6"/>
        <v>0.12127872399023974</v>
      </c>
      <c r="EV46">
        <f t="shared" si="6"/>
        <v>3.5899725874254509E-2</v>
      </c>
      <c r="EW46">
        <f t="shared" si="6"/>
        <v>4.1315305195549205E-2</v>
      </c>
      <c r="EX46">
        <f t="shared" si="6"/>
        <v>2.7512536572060903E-3</v>
      </c>
      <c r="EY46">
        <f t="shared" si="6"/>
        <v>-2.8023408721620281E-2</v>
      </c>
      <c r="EZ46">
        <f t="shared" si="6"/>
        <v>-2.3295019306742416E-2</v>
      </c>
      <c r="FA46">
        <f t="shared" si="6"/>
        <v>7.3194714762880184E-2</v>
      </c>
      <c r="FB46">
        <f t="shared" si="6"/>
        <v>6.6709238343110586E-2</v>
      </c>
      <c r="FC46">
        <f t="shared" si="6"/>
        <v>6.8586382702094148E-2</v>
      </c>
      <c r="FD46">
        <f t="shared" si="6"/>
        <v>6.1348796283737232E-2</v>
      </c>
      <c r="FE46">
        <f t="shared" si="6"/>
        <v>7.9784860845925704E-2</v>
      </c>
      <c r="FF46">
        <f t="shared" si="6"/>
        <v>-2.0841503063988825E-2</v>
      </c>
      <c r="FG46">
        <f t="shared" si="6"/>
        <v>3.491910981317535E-2</v>
      </c>
      <c r="FH46">
        <f t="shared" si="6"/>
        <v>8.8039929796321081E-2</v>
      </c>
      <c r="FI46">
        <f t="shared" si="6"/>
        <v>5.919950127306068E-2</v>
      </c>
      <c r="FJ46">
        <f t="shared" si="6"/>
        <v>3.3421898066466178E-2</v>
      </c>
      <c r="FK46">
        <f t="shared" si="6"/>
        <v>0.10489662700921261</v>
      </c>
      <c r="FL46">
        <f t="shared" si="6"/>
        <v>5.4200310536927039E-2</v>
      </c>
      <c r="FM46">
        <f t="shared" si="6"/>
        <v>2.9507617412972278E-2</v>
      </c>
      <c r="FN46">
        <f t="shared" si="6"/>
        <v>-5.8747164650385106E-3</v>
      </c>
      <c r="FO46">
        <f t="shared" si="6"/>
        <v>5.2727219068939421E-3</v>
      </c>
      <c r="FP46">
        <f t="shared" si="6"/>
        <v>-5.6539620552369515E-3</v>
      </c>
      <c r="FQ46">
        <f t="shared" si="6"/>
        <v>-3.050040185968831E-2</v>
      </c>
      <c r="FR46">
        <f t="shared" si="6"/>
        <v>3.8196040833815795E-2</v>
      </c>
      <c r="FS46">
        <f t="shared" si="6"/>
        <v>7.2862397400350512E-2</v>
      </c>
      <c r="FT46">
        <f t="shared" si="6"/>
        <v>7.2329790318104645E-2</v>
      </c>
      <c r="FU46">
        <f t="shared" si="6"/>
        <v>3.6394409374865204E-2</v>
      </c>
      <c r="FV46">
        <f t="shared" si="6"/>
        <v>0.11616600726397497</v>
      </c>
      <c r="FW46">
        <f t="shared" si="6"/>
        <v>9.0484829164808003E-2</v>
      </c>
      <c r="FX46">
        <f t="shared" si="6"/>
        <v>2.3392700375610843E-2</v>
      </c>
      <c r="FY46">
        <f t="shared" si="6"/>
        <v>2.1772616634274017E-2</v>
      </c>
      <c r="FZ46">
        <f t="shared" si="6"/>
        <v>0.10517813638799081</v>
      </c>
      <c r="GA46">
        <f t="shared" si="6"/>
        <v>9.7066623470900698E-2</v>
      </c>
      <c r="GB46">
        <f t="shared" si="6"/>
        <v>5.1813202326539853E-2</v>
      </c>
      <c r="GC46">
        <f t="shared" si="6"/>
        <v>-2.0727469599819002E-2</v>
      </c>
      <c r="GD46">
        <f t="shared" si="6"/>
        <v>2.4321537259257311E-2</v>
      </c>
      <c r="GE46">
        <f t="shared" si="6"/>
        <v>1.039564447461278E-2</v>
      </c>
      <c r="GF46">
        <f t="shared" si="6"/>
        <v>0.10946405651853582</v>
      </c>
      <c r="GG46">
        <f t="shared" si="6"/>
        <v>0.13305846309946176</v>
      </c>
      <c r="GH46">
        <f t="shared" si="6"/>
        <v>5.6242524980425673E-2</v>
      </c>
      <c r="GI46">
        <f t="shared" si="6"/>
        <v>9.8089111735178175E-2</v>
      </c>
      <c r="GJ46">
        <f t="shared" si="6"/>
        <v>8.7310525167551487E-2</v>
      </c>
      <c r="GK46">
        <f t="shared" si="6"/>
        <v>7.2962035224265046E-2</v>
      </c>
      <c r="GL46">
        <f t="shared" si="6"/>
        <v>4.0980047777429848E-2</v>
      </c>
      <c r="GM46">
        <f t="shared" si="6"/>
        <v>0.18008201175343128</v>
      </c>
      <c r="GN46">
        <f t="shared" ref="GN46:HC46" si="7">AVERAGE(GN12:GN22)</f>
        <v>9.0437160627653959E-2</v>
      </c>
      <c r="GO46">
        <f t="shared" si="7"/>
        <v>0.14814385141873329</v>
      </c>
      <c r="GP46">
        <f t="shared" si="7"/>
        <v>8.63253618407957E-2</v>
      </c>
      <c r="GQ46">
        <f t="shared" si="7"/>
        <v>-1.5753813798514777E-2</v>
      </c>
      <c r="GR46">
        <f t="shared" si="7"/>
        <v>0.21231697452451001</v>
      </c>
      <c r="GS46">
        <f t="shared" si="7"/>
        <v>6.4492117722487127E-2</v>
      </c>
      <c r="GT46">
        <f t="shared" si="7"/>
        <v>7.7759608330341817E-2</v>
      </c>
      <c r="GU46">
        <f t="shared" si="7"/>
        <v>0.12331406552457937</v>
      </c>
      <c r="GV46">
        <f t="shared" si="7"/>
        <v>-2.4504299700732505E-3</v>
      </c>
      <c r="GW46">
        <f t="shared" si="7"/>
        <v>7.4952152361105959E-2</v>
      </c>
      <c r="GX46">
        <f t="shared" si="7"/>
        <v>0.19639225968710161</v>
      </c>
      <c r="GY46">
        <f t="shared" si="7"/>
        <v>6.1543743998164748E-3</v>
      </c>
      <c r="GZ46">
        <f t="shared" si="7"/>
        <v>1.2038144657740042E-2</v>
      </c>
      <c r="HA46">
        <f t="shared" si="7"/>
        <v>4.4533455080190852E-3</v>
      </c>
      <c r="HB46">
        <f t="shared" si="7"/>
        <v>7.5582977289440134E-2</v>
      </c>
      <c r="HC46">
        <f t="shared" si="7"/>
        <v>-1.8996579233968983E-2</v>
      </c>
    </row>
    <row r="47" spans="1:211" x14ac:dyDescent="0.25">
      <c r="A47" s="220" t="s">
        <v>263</v>
      </c>
      <c r="B47" s="220"/>
      <c r="C47">
        <f>AVERAGE(C2:C11)</f>
        <v>3.5330603521864214E-2</v>
      </c>
      <c r="D47">
        <f t="shared" ref="D47:BO47" si="8">AVERAGE(D2:D11)</f>
        <v>3.2082764829158283E-2</v>
      </c>
      <c r="E47">
        <f t="shared" si="8"/>
        <v>-3.0406110933380071E-2</v>
      </c>
      <c r="F47">
        <f t="shared" si="8"/>
        <v>-7.2010047876043979E-3</v>
      </c>
      <c r="G47">
        <f t="shared" si="8"/>
        <v>8.7703130625054106E-3</v>
      </c>
      <c r="H47">
        <f t="shared" si="8"/>
        <v>2.7546541951039838E-2</v>
      </c>
      <c r="I47">
        <f t="shared" si="8"/>
        <v>-2.4368665909551855E-2</v>
      </c>
      <c r="J47">
        <f t="shared" si="8"/>
        <v>-3.3360614996229013E-2</v>
      </c>
      <c r="K47">
        <f t="shared" si="8"/>
        <v>2.50639948116737E-2</v>
      </c>
      <c r="L47">
        <f t="shared" si="8"/>
        <v>5.8736296874996692E-3</v>
      </c>
      <c r="M47">
        <f t="shared" si="8"/>
        <v>3.8863000014029924E-3</v>
      </c>
      <c r="N47">
        <f t="shared" si="8"/>
        <v>1.1109731097080531E-2</v>
      </c>
      <c r="O47">
        <f t="shared" si="8"/>
        <v>3.1310134993377217E-2</v>
      </c>
      <c r="P47">
        <f t="shared" si="8"/>
        <v>4.8235068164389813E-2</v>
      </c>
      <c r="Q47">
        <f t="shared" si="8"/>
        <v>3.0038749971389889E-2</v>
      </c>
      <c r="R47">
        <f t="shared" si="8"/>
        <v>6.0878008800421414E-2</v>
      </c>
      <c r="S47">
        <f t="shared" si="8"/>
        <v>3.208265316109981E-2</v>
      </c>
      <c r="T47">
        <f t="shared" si="8"/>
        <v>-4.1198036692907114E-2</v>
      </c>
      <c r="U47">
        <f t="shared" si="8"/>
        <v>-1.7423023790998221E-2</v>
      </c>
      <c r="V47">
        <f t="shared" si="8"/>
        <v>2.3335794905215902E-2</v>
      </c>
      <c r="W47">
        <f t="shared" si="8"/>
        <v>3.1653389759588799E-3</v>
      </c>
      <c r="X47">
        <f t="shared" si="8"/>
        <v>-3.9980678523826398E-2</v>
      </c>
      <c r="Y47">
        <f t="shared" si="8"/>
        <v>-2.5320337907548895E-2</v>
      </c>
      <c r="Z47">
        <f t="shared" si="8"/>
        <v>6.2719540979929156E-2</v>
      </c>
      <c r="AA47">
        <f t="shared" si="8"/>
        <v>-7.3691673717803094E-2</v>
      </c>
      <c r="AB47">
        <f t="shared" si="8"/>
        <v>6.7606989822276975E-3</v>
      </c>
      <c r="AC47">
        <f t="shared" si="8"/>
        <v>2.1903732152022303E-2</v>
      </c>
      <c r="AD47">
        <f t="shared" si="8"/>
        <v>2.6029318949240737E-2</v>
      </c>
      <c r="AE47">
        <f t="shared" si="8"/>
        <v>4.3729797416990901E-2</v>
      </c>
      <c r="AF47">
        <f t="shared" si="8"/>
        <v>-1.5542190998899656E-3</v>
      </c>
      <c r="AG47">
        <f t="shared" si="8"/>
        <v>-5.8218544627844301E-2</v>
      </c>
      <c r="AH47">
        <f t="shared" si="8"/>
        <v>4.9228660667687399E-2</v>
      </c>
      <c r="AI47">
        <f t="shared" si="8"/>
        <v>-2.813435294931288E-2</v>
      </c>
      <c r="AJ47">
        <f t="shared" si="8"/>
        <v>-3.4081380399392604E-2</v>
      </c>
      <c r="AK47">
        <f t="shared" si="8"/>
        <v>5.1219038679153409E-3</v>
      </c>
      <c r="AL47">
        <f t="shared" si="8"/>
        <v>3.2992880267003297E-2</v>
      </c>
      <c r="AM47">
        <f t="shared" si="8"/>
        <v>5.1017229043970436E-2</v>
      </c>
      <c r="AN47">
        <f t="shared" si="8"/>
        <v>1.7317286016583881E-2</v>
      </c>
      <c r="AO47">
        <f t="shared" si="8"/>
        <v>-2.5600716642539E-2</v>
      </c>
      <c r="AP47">
        <f t="shared" si="8"/>
        <v>-4.8603934282215135E-2</v>
      </c>
      <c r="AQ47">
        <f t="shared" si="8"/>
        <v>-4.2708273597621395E-2</v>
      </c>
      <c r="AR47">
        <f t="shared" si="8"/>
        <v>-1.33676061963168E-2</v>
      </c>
      <c r="AS47">
        <f t="shared" si="8"/>
        <v>2.8395957843845836E-2</v>
      </c>
      <c r="AT47">
        <f t="shared" si="8"/>
        <v>-3.7779736074277703E-2</v>
      </c>
      <c r="AU47">
        <f t="shared" si="8"/>
        <v>5.1901777034585019E-2</v>
      </c>
      <c r="AV47">
        <f t="shared" si="8"/>
        <v>8.2684104511592499E-2</v>
      </c>
      <c r="AW47">
        <f t="shared" si="8"/>
        <v>-2.0763542207569301E-2</v>
      </c>
      <c r="AX47">
        <f t="shared" si="8"/>
        <v>-3.6244919405917897E-2</v>
      </c>
      <c r="AY47">
        <f t="shared" si="8"/>
        <v>-5.3996521827717789E-2</v>
      </c>
      <c r="AZ47">
        <f t="shared" si="8"/>
        <v>8.5591621411636093E-2</v>
      </c>
      <c r="BA47">
        <f t="shared" si="8"/>
        <v>2.5971499736495918E-2</v>
      </c>
      <c r="BB47">
        <f t="shared" si="8"/>
        <v>-7.9224778822403197E-2</v>
      </c>
      <c r="BC47">
        <f t="shared" si="8"/>
        <v>6.3673112313734417E-2</v>
      </c>
      <c r="BD47">
        <f t="shared" si="8"/>
        <v>3.4742699925594575E-2</v>
      </c>
      <c r="BE47">
        <f t="shared" si="8"/>
        <v>3.3217217242826766E-2</v>
      </c>
      <c r="BF47">
        <f t="shared" si="8"/>
        <v>2.5621848712571109E-2</v>
      </c>
      <c r="BG47">
        <f t="shared" si="8"/>
        <v>-5.0244783984158194E-2</v>
      </c>
      <c r="BH47">
        <f t="shared" si="8"/>
        <v>1.4121742249350134E-2</v>
      </c>
      <c r="BI47">
        <f t="shared" si="8"/>
        <v>3.4454445533798485E-2</v>
      </c>
      <c r="BJ47">
        <f t="shared" si="8"/>
        <v>-4.6092531166462405E-2</v>
      </c>
      <c r="BK47">
        <f t="shared" si="8"/>
        <v>-1.0568154189092798E-2</v>
      </c>
      <c r="BL47">
        <f t="shared" si="8"/>
        <v>-5.9797132914595499E-2</v>
      </c>
      <c r="BM47">
        <f t="shared" si="8"/>
        <v>-2.2505431160891497E-2</v>
      </c>
      <c r="BN47">
        <f t="shared" si="8"/>
        <v>3.1085148575520759E-2</v>
      </c>
      <c r="BO47">
        <f t="shared" si="8"/>
        <v>-3.9658319452822798E-2</v>
      </c>
      <c r="BP47">
        <f t="shared" ref="BP47:EA47" si="9">AVERAGE(BP2:BP11)</f>
        <v>2.8291160982626407E-3</v>
      </c>
      <c r="BQ47">
        <f t="shared" si="9"/>
        <v>-7.8705425531677892E-2</v>
      </c>
      <c r="BR47">
        <f t="shared" si="9"/>
        <v>-3.55728924177846E-2</v>
      </c>
      <c r="BS47">
        <f t="shared" si="9"/>
        <v>-2.5035501625744243E-2</v>
      </c>
      <c r="BT47">
        <f t="shared" si="9"/>
        <v>-2.2457788798759603E-2</v>
      </c>
      <c r="BU47">
        <f t="shared" si="9"/>
        <v>3.1879327856776003E-2</v>
      </c>
      <c r="BV47">
        <f t="shared" si="9"/>
        <v>-1.1125517657928307E-2</v>
      </c>
      <c r="BW47">
        <f t="shared" si="9"/>
        <v>-7.5528492896141497E-2</v>
      </c>
      <c r="BX47">
        <f t="shared" si="9"/>
        <v>4.8960390883229857E-2</v>
      </c>
      <c r="BY47">
        <f t="shared" si="9"/>
        <v>2.5859637330143303E-2</v>
      </c>
      <c r="BZ47">
        <f t="shared" si="9"/>
        <v>5.4337869121470804E-3</v>
      </c>
      <c r="CA47">
        <f t="shared" si="9"/>
        <v>5.2918301886632204E-3</v>
      </c>
      <c r="CB47">
        <f t="shared" si="9"/>
        <v>-2.8599723730711801E-2</v>
      </c>
      <c r="CC47">
        <f t="shared" si="9"/>
        <v>3.2024183082717907E-2</v>
      </c>
      <c r="CD47">
        <f t="shared" si="9"/>
        <v>5.0922847214093861E-2</v>
      </c>
      <c r="CE47">
        <f t="shared" si="9"/>
        <v>0.1089743942870931</v>
      </c>
      <c r="CF47">
        <f t="shared" si="9"/>
        <v>4.4130146190272314E-2</v>
      </c>
      <c r="CG47">
        <f t="shared" si="9"/>
        <v>4.4396784518527355E-2</v>
      </c>
      <c r="CH47">
        <f t="shared" si="9"/>
        <v>0.12016562693561987</v>
      </c>
      <c r="CI47">
        <f t="shared" si="9"/>
        <v>0.12130506867115856</v>
      </c>
      <c r="CJ47">
        <f t="shared" si="9"/>
        <v>-5.1095196517564516E-3</v>
      </c>
      <c r="CK47">
        <f t="shared" si="9"/>
        <v>-1.120363374486749E-2</v>
      </c>
      <c r="CL47">
        <f t="shared" si="9"/>
        <v>3.9591423302070203E-2</v>
      </c>
      <c r="CM47">
        <f t="shared" si="9"/>
        <v>8.6021335041216833E-3</v>
      </c>
      <c r="CN47">
        <f t="shared" si="9"/>
        <v>-2.8600859046358885E-2</v>
      </c>
      <c r="CO47">
        <f t="shared" si="9"/>
        <v>-1.1782242823002781E-2</v>
      </c>
      <c r="CP47">
        <f t="shared" si="9"/>
        <v>-2.966049123374323E-2</v>
      </c>
      <c r="CQ47">
        <f t="shared" si="9"/>
        <v>1.6160572158079395E-2</v>
      </c>
      <c r="CR47">
        <f t="shared" si="9"/>
        <v>2.4342778319863131E-2</v>
      </c>
      <c r="CS47">
        <f t="shared" si="9"/>
        <v>1.11536784145459E-2</v>
      </c>
      <c r="CT47">
        <f t="shared" si="9"/>
        <v>-2.013132028991748E-2</v>
      </c>
      <c r="CU47">
        <f t="shared" si="9"/>
        <v>3.9092421403293588E-2</v>
      </c>
      <c r="CV47">
        <f t="shared" si="9"/>
        <v>2.562053848194799E-2</v>
      </c>
      <c r="CW47">
        <f t="shared" si="9"/>
        <v>-5.0573587642578914E-4</v>
      </c>
      <c r="CX47">
        <f t="shared" si="9"/>
        <v>1.1154315242687085E-2</v>
      </c>
      <c r="CY47">
        <f t="shared" si="9"/>
        <v>-2.6775674296043105E-3</v>
      </c>
      <c r="CZ47">
        <f t="shared" si="9"/>
        <v>-7.4797866063744198E-3</v>
      </c>
      <c r="DA47">
        <f t="shared" si="9"/>
        <v>-1.5301128219881466E-2</v>
      </c>
      <c r="DB47">
        <f t="shared" si="9"/>
        <v>4.8315481016610292E-3</v>
      </c>
      <c r="DC47">
        <f t="shared" si="9"/>
        <v>-1.511206098913725E-2</v>
      </c>
      <c r="DD47">
        <f t="shared" si="9"/>
        <v>-1.1211143706986094E-2</v>
      </c>
      <c r="DE47">
        <f t="shared" si="9"/>
        <v>1.3637669572486183E-2</v>
      </c>
      <c r="DF47">
        <f t="shared" si="9"/>
        <v>1.5309848332009851E-2</v>
      </c>
      <c r="DG47">
        <f t="shared" si="9"/>
        <v>-2.2507140239656998E-2</v>
      </c>
      <c r="DH47">
        <f t="shared" si="9"/>
        <v>0.14036016861664891</v>
      </c>
      <c r="DI47">
        <f t="shared" si="9"/>
        <v>4.8100422095612794E-3</v>
      </c>
      <c r="DJ47">
        <f t="shared" si="9"/>
        <v>-2.2918930432914465E-2</v>
      </c>
      <c r="DK47">
        <f t="shared" si="9"/>
        <v>5.8539679125676992E-3</v>
      </c>
      <c r="DL47">
        <f t="shared" si="9"/>
        <v>7.2965743683154893E-3</v>
      </c>
      <c r="DM47">
        <f t="shared" si="9"/>
        <v>1.128016885528953E-2</v>
      </c>
      <c r="DN47">
        <f t="shared" si="9"/>
        <v>4.8288800977976123E-2</v>
      </c>
      <c r="DO47">
        <f t="shared" si="9"/>
        <v>3.341545949683819E-2</v>
      </c>
      <c r="DP47">
        <f t="shared" si="9"/>
        <v>2.7172466188459053E-2</v>
      </c>
      <c r="DQ47">
        <f t="shared" si="9"/>
        <v>5.6083531906301068E-2</v>
      </c>
      <c r="DR47">
        <f t="shared" si="9"/>
        <v>5.1213867089666722E-2</v>
      </c>
      <c r="DS47">
        <f t="shared" si="9"/>
        <v>4.4165348017834748E-2</v>
      </c>
      <c r="DT47">
        <f t="shared" si="9"/>
        <v>4.9935495951129942E-2</v>
      </c>
      <c r="DU47">
        <f t="shared" si="9"/>
        <v>4.7169934600639285E-2</v>
      </c>
      <c r="DV47">
        <f t="shared" si="9"/>
        <v>5.9858672072335681E-2</v>
      </c>
      <c r="DW47">
        <f t="shared" si="9"/>
        <v>8.5883790429325396E-2</v>
      </c>
      <c r="DX47">
        <f t="shared" si="9"/>
        <v>8.531887245351627E-2</v>
      </c>
      <c r="DY47">
        <f t="shared" si="9"/>
        <v>9.6322213243800414E-2</v>
      </c>
      <c r="DZ47">
        <f t="shared" si="9"/>
        <v>6.680007973124745E-2</v>
      </c>
      <c r="EA47">
        <f t="shared" si="9"/>
        <v>4.0998626394012208E-2</v>
      </c>
      <c r="EB47">
        <f t="shared" ref="EB47:GM47" si="10">AVERAGE(EB2:EB11)</f>
        <v>3.0828242619549549E-2</v>
      </c>
      <c r="EC47">
        <f t="shared" si="10"/>
        <v>-4.4248722699449274E-2</v>
      </c>
      <c r="ED47">
        <f t="shared" si="10"/>
        <v>7.5554015854684867E-2</v>
      </c>
      <c r="EE47">
        <f t="shared" si="10"/>
        <v>6.6356185074392657E-2</v>
      </c>
      <c r="EF47">
        <f t="shared" si="10"/>
        <v>9.5650155673495885E-2</v>
      </c>
      <c r="EG47">
        <f t="shared" si="10"/>
        <v>3.6001914785779812E-2</v>
      </c>
      <c r="EH47">
        <f t="shared" si="10"/>
        <v>4.7269897069894797E-2</v>
      </c>
      <c r="EI47">
        <f t="shared" si="10"/>
        <v>1.3646086274061242E-2</v>
      </c>
      <c r="EJ47">
        <f t="shared" si="10"/>
        <v>3.6708729185996993E-3</v>
      </c>
      <c r="EK47">
        <f t="shared" si="10"/>
        <v>3.9572396431502697E-2</v>
      </c>
      <c r="EL47">
        <f t="shared" si="10"/>
        <v>1.0489033341099203E-2</v>
      </c>
      <c r="EM47">
        <f t="shared" si="10"/>
        <v>-3.640010048359202E-3</v>
      </c>
      <c r="EN47">
        <f t="shared" si="10"/>
        <v>-1.5426207382776997E-2</v>
      </c>
      <c r="EO47">
        <f t="shared" si="10"/>
        <v>0.10585878369604711</v>
      </c>
      <c r="EP47">
        <f t="shared" si="10"/>
        <v>5.6136785603102278E-2</v>
      </c>
      <c r="EQ47">
        <f t="shared" si="10"/>
        <v>-2.7148714990922786E-2</v>
      </c>
      <c r="ER47">
        <f t="shared" si="10"/>
        <v>4.6273442624424108E-2</v>
      </c>
      <c r="ES47">
        <f t="shared" si="10"/>
        <v>6.3275716700766454E-2</v>
      </c>
      <c r="ET47">
        <f t="shared" si="10"/>
        <v>6.3879176245049143E-2</v>
      </c>
      <c r="EU47">
        <f t="shared" si="10"/>
        <v>7.4979205583053737E-2</v>
      </c>
      <c r="EV47">
        <f t="shared" si="10"/>
        <v>9.9453772003380899E-3</v>
      </c>
      <c r="EW47">
        <f t="shared" si="10"/>
        <v>4.6822130524594593E-2</v>
      </c>
      <c r="EX47">
        <f t="shared" si="10"/>
        <v>8.1190783698686972E-2</v>
      </c>
      <c r="EY47">
        <f t="shared" si="10"/>
        <v>0.11156585696208961</v>
      </c>
      <c r="EZ47">
        <f t="shared" si="10"/>
        <v>-5.0694494692501144E-4</v>
      </c>
      <c r="FA47">
        <f t="shared" si="10"/>
        <v>2.6415228366837341E-2</v>
      </c>
      <c r="FB47">
        <f t="shared" si="10"/>
        <v>7.6902670526855538E-2</v>
      </c>
      <c r="FC47">
        <f t="shared" si="10"/>
        <v>1.91580226368522E-2</v>
      </c>
      <c r="FD47">
        <f t="shared" si="10"/>
        <v>1.5662090060108647E-2</v>
      </c>
      <c r="FE47">
        <f t="shared" si="10"/>
        <v>-6.464322228987468E-2</v>
      </c>
      <c r="FF47">
        <f t="shared" si="10"/>
        <v>9.1260251348625893E-2</v>
      </c>
      <c r="FG47">
        <f t="shared" si="10"/>
        <v>5.6191248767374004E-2</v>
      </c>
      <c r="FH47">
        <f t="shared" si="10"/>
        <v>5.1080328700526346E-2</v>
      </c>
      <c r="FI47">
        <f t="shared" si="10"/>
        <v>5.20880285460276E-2</v>
      </c>
      <c r="FJ47">
        <f t="shared" si="10"/>
        <v>0.14495593283495861</v>
      </c>
      <c r="FK47">
        <f t="shared" si="10"/>
        <v>-1.8898895954765765E-2</v>
      </c>
      <c r="FL47">
        <f t="shared" si="10"/>
        <v>8.2192624985686497E-2</v>
      </c>
      <c r="FM47">
        <f t="shared" si="10"/>
        <v>2.7733119671456224E-2</v>
      </c>
      <c r="FN47">
        <f t="shared" si="10"/>
        <v>9.3630437264378988E-2</v>
      </c>
      <c r="FO47">
        <f t="shared" si="10"/>
        <v>1.1841374366823975E-3</v>
      </c>
      <c r="FP47">
        <f t="shared" si="10"/>
        <v>5.4738108009377409E-2</v>
      </c>
      <c r="FQ47">
        <f t="shared" si="10"/>
        <v>2.6507069779445024E-2</v>
      </c>
      <c r="FR47">
        <f t="shared" si="10"/>
        <v>1.7803040572925272E-2</v>
      </c>
      <c r="FS47">
        <f t="shared" si="10"/>
        <v>2.6237561729364683E-2</v>
      </c>
      <c r="FT47">
        <f t="shared" si="10"/>
        <v>3.6396309291102102E-2</v>
      </c>
      <c r="FU47">
        <f t="shared" si="10"/>
        <v>4.4280520267359992E-2</v>
      </c>
      <c r="FV47">
        <f t="shared" si="10"/>
        <v>2.3623546757955225E-2</v>
      </c>
      <c r="FW47">
        <f t="shared" si="10"/>
        <v>7.3278211822012787E-2</v>
      </c>
      <c r="FX47">
        <f t="shared" si="10"/>
        <v>1.2802848770006526E-2</v>
      </c>
      <c r="FY47">
        <f t="shared" si="10"/>
        <v>7.9059266940535999E-2</v>
      </c>
      <c r="FZ47">
        <f t="shared" si="10"/>
        <v>3.8054390205370402E-2</v>
      </c>
      <c r="GA47">
        <f t="shared" si="10"/>
        <v>8.6320758667780578E-2</v>
      </c>
      <c r="GB47">
        <f t="shared" si="10"/>
        <v>9.2006647794203228E-2</v>
      </c>
      <c r="GC47">
        <f t="shared" si="10"/>
        <v>1.2078867309612199E-2</v>
      </c>
      <c r="GD47">
        <f t="shared" si="10"/>
        <v>-9.3650218600443008E-3</v>
      </c>
      <c r="GE47">
        <f t="shared" si="10"/>
        <v>7.8570219938337002E-2</v>
      </c>
      <c r="GF47">
        <f t="shared" si="10"/>
        <v>5.8978420703151423E-2</v>
      </c>
      <c r="GG47">
        <f t="shared" si="10"/>
        <v>7.7071531218617817E-2</v>
      </c>
      <c r="GH47">
        <f t="shared" si="10"/>
        <v>9.3375238823503078E-3</v>
      </c>
      <c r="GI47">
        <f t="shared" si="10"/>
        <v>1.062029799450173E-2</v>
      </c>
      <c r="GJ47">
        <f t="shared" si="10"/>
        <v>0.1464266510058983</v>
      </c>
      <c r="GK47">
        <f t="shared" si="10"/>
        <v>7.6024026598037781E-2</v>
      </c>
      <c r="GL47">
        <f t="shared" si="10"/>
        <v>9.3362834618156282E-2</v>
      </c>
      <c r="GM47">
        <f t="shared" si="10"/>
        <v>6.3144037766019762E-2</v>
      </c>
      <c r="GN47">
        <f t="shared" ref="GN47:HC47" si="11">AVERAGE(GN2:GN11)</f>
        <v>0.1827420449390606</v>
      </c>
      <c r="GO47">
        <f t="shared" si="11"/>
        <v>0.16568536258991845</v>
      </c>
      <c r="GP47">
        <f t="shared" si="11"/>
        <v>0.11067038373705915</v>
      </c>
      <c r="GQ47">
        <f t="shared" si="11"/>
        <v>-2.1113398293323905E-2</v>
      </c>
      <c r="GR47">
        <f t="shared" si="11"/>
        <v>5.4536296409502139E-2</v>
      </c>
      <c r="GS47">
        <f t="shared" si="11"/>
        <v>0.21211944811048253</v>
      </c>
      <c r="GT47">
        <f t="shared" si="11"/>
        <v>0.28271464362770782</v>
      </c>
      <c r="GU47">
        <f t="shared" si="11"/>
        <v>0.11144620815696979</v>
      </c>
      <c r="GV47">
        <f t="shared" si="11"/>
        <v>7.7269096454937361E-2</v>
      </c>
      <c r="GW47">
        <f t="shared" si="11"/>
        <v>5.495661535786367E-2</v>
      </c>
      <c r="GX47">
        <f t="shared" si="11"/>
        <v>8.5324959580319951E-2</v>
      </c>
      <c r="GY47">
        <f t="shared" si="11"/>
        <v>0.10076872355602903</v>
      </c>
      <c r="GZ47">
        <f t="shared" si="11"/>
        <v>9.3686392868085736E-2</v>
      </c>
      <c r="HA47">
        <f t="shared" si="11"/>
        <v>2.1149091466434299E-2</v>
      </c>
      <c r="HB47">
        <f t="shared" si="11"/>
        <v>0.113940322443101</v>
      </c>
      <c r="HC47">
        <f t="shared" si="11"/>
        <v>6.5759158872427004E-2</v>
      </c>
    </row>
    <row r="48" spans="1:211" x14ac:dyDescent="0.25">
      <c r="A48" s="220" t="s">
        <v>264</v>
      </c>
      <c r="B48" s="220"/>
      <c r="C48">
        <f>AVERAGE(C23:C43)</f>
        <v>-2.8144133520766881E-3</v>
      </c>
      <c r="D48">
        <f t="shared" ref="D48:BO48" si="12">AVERAGE(D23:D43)</f>
        <v>7.116020276340955E-2</v>
      </c>
      <c r="E48">
        <f t="shared" si="12"/>
        <v>4.9282486450657166E-3</v>
      </c>
      <c r="F48">
        <f t="shared" si="12"/>
        <v>-1.0608445873662574E-3</v>
      </c>
      <c r="G48">
        <f t="shared" si="12"/>
        <v>5.124218750800786E-2</v>
      </c>
      <c r="H48">
        <f t="shared" si="12"/>
        <v>2.138848226125906E-2</v>
      </c>
      <c r="I48">
        <f t="shared" si="12"/>
        <v>-3.788345883662194E-3</v>
      </c>
      <c r="J48">
        <f t="shared" si="12"/>
        <v>4.6070293264388357E-2</v>
      </c>
      <c r="K48">
        <f t="shared" si="12"/>
        <v>6.3785714341927785E-2</v>
      </c>
      <c r="L48">
        <f t="shared" si="12"/>
        <v>6.0504948132898126E-2</v>
      </c>
      <c r="M48">
        <f t="shared" si="12"/>
        <v>9.7936994797696103E-2</v>
      </c>
      <c r="N48">
        <f t="shared" si="12"/>
        <v>8.5932457384867975E-2</v>
      </c>
      <c r="O48">
        <f t="shared" si="12"/>
        <v>9.8462987487165046E-2</v>
      </c>
      <c r="P48">
        <f t="shared" si="12"/>
        <v>-3.444840036076182E-2</v>
      </c>
      <c r="Q48">
        <f t="shared" si="12"/>
        <v>-2.2925501394164549E-3</v>
      </c>
      <c r="R48">
        <f t="shared" si="12"/>
        <v>1.4120138448216685E-2</v>
      </c>
      <c r="S48">
        <f t="shared" si="12"/>
        <v>-2.6051014022945851E-2</v>
      </c>
      <c r="T48">
        <f t="shared" si="12"/>
        <v>-7.1828396536399206E-2</v>
      </c>
      <c r="U48">
        <f t="shared" si="12"/>
        <v>-6.8497311521143064E-2</v>
      </c>
      <c r="V48">
        <f t="shared" si="12"/>
        <v>-1.9923819634286598E-2</v>
      </c>
      <c r="W48">
        <f t="shared" si="12"/>
        <v>-3.919167028908134E-3</v>
      </c>
      <c r="X48">
        <f t="shared" si="12"/>
        <v>-2.3636001372147102E-2</v>
      </c>
      <c r="Y48">
        <f t="shared" si="12"/>
        <v>1.9240657458185949E-2</v>
      </c>
      <c r="Z48">
        <f t="shared" si="12"/>
        <v>-1.527322567118867E-2</v>
      </c>
      <c r="AA48">
        <f t="shared" si="12"/>
        <v>2.3273930491206379E-2</v>
      </c>
      <c r="AB48">
        <f t="shared" si="12"/>
        <v>1.1938200055531983E-2</v>
      </c>
      <c r="AC48">
        <f t="shared" si="12"/>
        <v>-3.1941170038530427E-2</v>
      </c>
      <c r="AD48">
        <f t="shared" si="12"/>
        <v>-1.3131070348820332E-2</v>
      </c>
      <c r="AE48">
        <f t="shared" si="12"/>
        <v>-9.8874516029935855E-2</v>
      </c>
      <c r="AF48">
        <f t="shared" si="12"/>
        <v>-3.9078722778111571E-2</v>
      </c>
      <c r="AG48">
        <f t="shared" si="12"/>
        <v>-4.9690883894285984E-2</v>
      </c>
      <c r="AH48">
        <f t="shared" si="12"/>
        <v>-6.2548205293124604E-2</v>
      </c>
      <c r="AI48">
        <f t="shared" si="12"/>
        <v>-7.1126245444244146E-2</v>
      </c>
      <c r="AJ48">
        <f t="shared" si="12"/>
        <v>-1.7336801194356492E-2</v>
      </c>
      <c r="AK48">
        <f t="shared" si="12"/>
        <v>3.7606783721507699E-2</v>
      </c>
      <c r="AL48">
        <f t="shared" si="12"/>
        <v>-1.5841096630662875E-2</v>
      </c>
      <c r="AM48">
        <f t="shared" si="12"/>
        <v>4.3517841523254421E-2</v>
      </c>
      <c r="AN48">
        <f t="shared" si="12"/>
        <v>9.1324092423249792E-2</v>
      </c>
      <c r="AO48">
        <f t="shared" si="12"/>
        <v>-3.9557605930494989E-2</v>
      </c>
      <c r="AP48">
        <f t="shared" si="12"/>
        <v>-7.174401824286443E-2</v>
      </c>
      <c r="AQ48">
        <f t="shared" si="12"/>
        <v>1.2801851892471995E-2</v>
      </c>
      <c r="AR48">
        <f t="shared" si="12"/>
        <v>-1.1260968571692866E-2</v>
      </c>
      <c r="AS48">
        <f t="shared" si="12"/>
        <v>-6.9687676701708041E-3</v>
      </c>
      <c r="AT48">
        <f t="shared" si="12"/>
        <v>6.2841726215533342E-2</v>
      </c>
      <c r="AU48">
        <f t="shared" si="12"/>
        <v>-4.6699989563297947E-2</v>
      </c>
      <c r="AV48">
        <f t="shared" si="12"/>
        <v>-1.6427327712087676E-2</v>
      </c>
      <c r="AW48">
        <f t="shared" si="12"/>
        <v>5.424150324501633E-2</v>
      </c>
      <c r="AX48">
        <f t="shared" si="12"/>
        <v>-8.4919832245343871E-2</v>
      </c>
      <c r="AY48">
        <f t="shared" si="12"/>
        <v>-3.4007076072505985E-2</v>
      </c>
      <c r="AZ48">
        <f t="shared" si="12"/>
        <v>7.1681591726617699E-2</v>
      </c>
      <c r="BA48">
        <f t="shared" si="12"/>
        <v>4.4190882205805471E-2</v>
      </c>
      <c r="BB48">
        <f t="shared" si="12"/>
        <v>7.1382721725716927E-2</v>
      </c>
      <c r="BC48">
        <f t="shared" si="12"/>
        <v>7.7497373998307126E-2</v>
      </c>
      <c r="BD48">
        <f t="shared" si="12"/>
        <v>2.911776932617095E-2</v>
      </c>
      <c r="BE48">
        <f t="shared" si="12"/>
        <v>5.6429896632906672E-2</v>
      </c>
      <c r="BF48">
        <f t="shared" si="12"/>
        <v>2.246134204113057E-2</v>
      </c>
      <c r="BG48">
        <f t="shared" si="12"/>
        <v>-5.0391338896260844E-2</v>
      </c>
      <c r="BH48">
        <f t="shared" si="12"/>
        <v>3.4869876640749288E-2</v>
      </c>
      <c r="BI48">
        <f t="shared" si="12"/>
        <v>-3.8329080416991553E-3</v>
      </c>
      <c r="BJ48">
        <f t="shared" si="12"/>
        <v>-2.7513504869898436E-2</v>
      </c>
      <c r="BK48">
        <f t="shared" si="12"/>
        <v>2.7320827199320465E-2</v>
      </c>
      <c r="BL48">
        <f t="shared" si="12"/>
        <v>8.192746665350735E-2</v>
      </c>
      <c r="BM48">
        <f t="shared" si="12"/>
        <v>-4.4529009834832316E-3</v>
      </c>
      <c r="BN48">
        <f t="shared" si="12"/>
        <v>-4.8727420928076116E-3</v>
      </c>
      <c r="BO48">
        <f t="shared" si="12"/>
        <v>-4.4574950177839023E-2</v>
      </c>
      <c r="BP48">
        <f t="shared" ref="BP48:EA48" si="13">AVERAGE(BP23:BP43)</f>
        <v>-6.480047428047099E-2</v>
      </c>
      <c r="BQ48">
        <f t="shared" si="13"/>
        <v>-4.2090419317824521E-2</v>
      </c>
      <c r="BR48">
        <f t="shared" si="13"/>
        <v>-9.0325338768212582E-2</v>
      </c>
      <c r="BS48">
        <f t="shared" si="13"/>
        <v>-4.8089329596515261E-2</v>
      </c>
      <c r="BT48">
        <f t="shared" si="13"/>
        <v>3.9298815603159433E-2</v>
      </c>
      <c r="BU48">
        <f t="shared" si="13"/>
        <v>2.1898000991471527E-2</v>
      </c>
      <c r="BV48">
        <f t="shared" si="13"/>
        <v>-1.2893636200685585E-4</v>
      </c>
      <c r="BW48">
        <f t="shared" si="13"/>
        <v>2.4034892974208039E-2</v>
      </c>
      <c r="BX48">
        <f t="shared" si="13"/>
        <v>-7.8038192294282238E-3</v>
      </c>
      <c r="BY48">
        <f t="shared" si="13"/>
        <v>2.2591441134300561E-2</v>
      </c>
      <c r="BZ48">
        <f t="shared" si="13"/>
        <v>2.1612451431613656E-2</v>
      </c>
      <c r="CA48">
        <f t="shared" si="13"/>
        <v>1.0749298737980556E-2</v>
      </c>
      <c r="CB48">
        <f t="shared" si="13"/>
        <v>6.1260917410215603E-2</v>
      </c>
      <c r="CC48">
        <f t="shared" si="13"/>
        <v>3.3727812212001447E-2</v>
      </c>
      <c r="CD48">
        <f t="shared" si="13"/>
        <v>-3.9989558863077436E-3</v>
      </c>
      <c r="CE48">
        <f t="shared" si="13"/>
        <v>0.10934379020786861</v>
      </c>
      <c r="CF48">
        <f t="shared" si="13"/>
        <v>2.6605696149554919E-2</v>
      </c>
      <c r="CG48">
        <f t="shared" si="13"/>
        <v>4.9190959283744229E-2</v>
      </c>
      <c r="CH48">
        <f t="shared" si="13"/>
        <v>5.2917398521103796E-2</v>
      </c>
      <c r="CI48">
        <f t="shared" si="13"/>
        <v>5.3835091255578546E-2</v>
      </c>
      <c r="CJ48">
        <f t="shared" si="13"/>
        <v>0.1055295306011968</v>
      </c>
      <c r="CK48">
        <f t="shared" si="13"/>
        <v>4.0086038161376424E-2</v>
      </c>
      <c r="CL48">
        <f t="shared" si="13"/>
        <v>0.12443271407416934</v>
      </c>
      <c r="CM48">
        <f t="shared" si="13"/>
        <v>4.101570416552373E-3</v>
      </c>
      <c r="CN48">
        <f t="shared" si="13"/>
        <v>2.1762327383358572E-2</v>
      </c>
      <c r="CO48">
        <f t="shared" si="13"/>
        <v>4.3153939046020093E-2</v>
      </c>
      <c r="CP48">
        <f t="shared" si="13"/>
        <v>2.0188100555111888E-3</v>
      </c>
      <c r="CQ48">
        <f t="shared" si="13"/>
        <v>3.6765840641457742E-2</v>
      </c>
      <c r="CR48">
        <f t="shared" si="13"/>
        <v>2.7229692124147824E-2</v>
      </c>
      <c r="CS48">
        <f t="shared" si="13"/>
        <v>1.3819814815321694E-2</v>
      </c>
      <c r="CT48">
        <f t="shared" si="13"/>
        <v>3.4973772374402926E-2</v>
      </c>
      <c r="CU48">
        <f t="shared" si="13"/>
        <v>4.82041839551305E-2</v>
      </c>
      <c r="CV48">
        <f t="shared" si="13"/>
        <v>4.1184620559743229E-2</v>
      </c>
      <c r="CW48">
        <f t="shared" si="13"/>
        <v>7.1328793514768684E-3</v>
      </c>
      <c r="CX48">
        <f t="shared" si="13"/>
        <v>3.0139489615625889E-2</v>
      </c>
      <c r="CY48">
        <f t="shared" si="13"/>
        <v>3.9163704028437642E-2</v>
      </c>
      <c r="CZ48">
        <f t="shared" si="13"/>
        <v>-3.6203504471423228E-3</v>
      </c>
      <c r="DA48">
        <f t="shared" si="13"/>
        <v>2.2573744544611826E-3</v>
      </c>
      <c r="DB48">
        <f t="shared" si="13"/>
        <v>3.507889483291883E-2</v>
      </c>
      <c r="DC48">
        <f t="shared" si="13"/>
        <v>8.0326957302505012E-2</v>
      </c>
      <c r="DD48">
        <f t="shared" si="13"/>
        <v>8.3638055128905694E-2</v>
      </c>
      <c r="DE48">
        <f t="shared" si="13"/>
        <v>5.2748046061866158E-2</v>
      </c>
      <c r="DF48">
        <f t="shared" si="13"/>
        <v>-9.1212164226330567E-3</v>
      </c>
      <c r="DG48">
        <f t="shared" si="13"/>
        <v>8.0122663447797088E-2</v>
      </c>
      <c r="DH48">
        <f t="shared" si="13"/>
        <v>5.4199672811054998E-2</v>
      </c>
      <c r="DI48">
        <f t="shared" si="13"/>
        <v>0.12280477861350773</v>
      </c>
      <c r="DJ48">
        <f t="shared" si="13"/>
        <v>1.9337904914794975E-2</v>
      </c>
      <c r="DK48">
        <f t="shared" si="13"/>
        <v>2.7956697776995366E-2</v>
      </c>
      <c r="DL48">
        <f t="shared" si="13"/>
        <v>7.4181257854104385E-2</v>
      </c>
      <c r="DM48">
        <f t="shared" si="13"/>
        <v>0.10978890445435671</v>
      </c>
      <c r="DN48">
        <f t="shared" si="13"/>
        <v>6.5383636983622859E-2</v>
      </c>
      <c r="DO48">
        <f t="shared" si="13"/>
        <v>7.15425288116322E-2</v>
      </c>
      <c r="DP48">
        <f t="shared" si="13"/>
        <v>8.4597250503426716E-2</v>
      </c>
      <c r="DQ48">
        <f t="shared" si="13"/>
        <v>3.6047056484085627E-2</v>
      </c>
      <c r="DR48">
        <f t="shared" si="13"/>
        <v>6.5794062024618502E-2</v>
      </c>
      <c r="DS48">
        <f t="shared" si="13"/>
        <v>7.7463134552521906E-2</v>
      </c>
      <c r="DT48">
        <f t="shared" si="13"/>
        <v>0.11196225347951491</v>
      </c>
      <c r="DU48">
        <f t="shared" si="13"/>
        <v>5.4412439358939482E-2</v>
      </c>
      <c r="DV48">
        <f t="shared" si="13"/>
        <v>0.11498422924680174</v>
      </c>
      <c r="DW48">
        <f t="shared" si="13"/>
        <v>0.1556181428864386</v>
      </c>
      <c r="DX48">
        <f t="shared" si="13"/>
        <v>0.14687556510289398</v>
      </c>
      <c r="DY48">
        <f t="shared" si="13"/>
        <v>0.12085534343734232</v>
      </c>
      <c r="DZ48">
        <f t="shared" si="13"/>
        <v>5.7158223915108032E-2</v>
      </c>
      <c r="EA48">
        <f t="shared" si="13"/>
        <v>7.1477073019940621E-2</v>
      </c>
      <c r="EB48">
        <f t="shared" ref="EB48:GM48" si="14">AVERAGE(EB23:EB43)</f>
        <v>4.2788900692411577E-2</v>
      </c>
      <c r="EC48">
        <f t="shared" si="14"/>
        <v>4.0981886908425871E-2</v>
      </c>
      <c r="ED48">
        <f t="shared" si="14"/>
        <v>4.0601503012168971E-2</v>
      </c>
      <c r="EE48">
        <f t="shared" si="14"/>
        <v>3.8338191953545965E-2</v>
      </c>
      <c r="EF48">
        <f t="shared" si="14"/>
        <v>1.0073412760609758E-2</v>
      </c>
      <c r="EG48">
        <f t="shared" si="14"/>
        <v>3.8393986451442264E-2</v>
      </c>
      <c r="EH48">
        <f t="shared" si="14"/>
        <v>3.8501622960333437E-2</v>
      </c>
      <c r="EI48">
        <f t="shared" si="14"/>
        <v>2.1147588755195863E-2</v>
      </c>
      <c r="EJ48">
        <f t="shared" si="14"/>
        <v>5.3446075447006247E-2</v>
      </c>
      <c r="EK48">
        <f t="shared" si="14"/>
        <v>0.11782864975876604</v>
      </c>
      <c r="EL48">
        <f t="shared" si="14"/>
        <v>5.3591619903091588E-2</v>
      </c>
      <c r="EM48">
        <f t="shared" si="14"/>
        <v>-6.7097214536160155E-3</v>
      </c>
      <c r="EN48">
        <f t="shared" si="14"/>
        <v>-6.0575095660176478E-2</v>
      </c>
      <c r="EO48">
        <f t="shared" si="14"/>
        <v>4.6614890675048447E-2</v>
      </c>
      <c r="EP48">
        <f t="shared" si="14"/>
        <v>4.2552807809744145E-2</v>
      </c>
      <c r="EQ48">
        <f t="shared" si="14"/>
        <v>5.7377566920600795E-2</v>
      </c>
      <c r="ER48">
        <f t="shared" si="14"/>
        <v>4.385683479299167E-2</v>
      </c>
      <c r="ES48">
        <f t="shared" si="14"/>
        <v>6.655988411200725E-2</v>
      </c>
      <c r="ET48">
        <f t="shared" si="14"/>
        <v>0.12986938450204455</v>
      </c>
      <c r="EU48">
        <f t="shared" si="14"/>
        <v>5.6997980479789059E-2</v>
      </c>
      <c r="EV48">
        <f t="shared" si="14"/>
        <v>6.8744727770705616E-2</v>
      </c>
      <c r="EW48">
        <f t="shared" si="14"/>
        <v>4.135177195744659E-2</v>
      </c>
      <c r="EX48">
        <f t="shared" si="14"/>
        <v>1.6594734568639021E-2</v>
      </c>
      <c r="EY48">
        <f t="shared" si="14"/>
        <v>6.5870688483766843E-2</v>
      </c>
      <c r="EZ48">
        <f t="shared" si="14"/>
        <v>3.1291139451924868E-2</v>
      </c>
      <c r="FA48">
        <f t="shared" si="14"/>
        <v>4.3263977826052645E-2</v>
      </c>
      <c r="FB48">
        <f t="shared" si="14"/>
        <v>4.4581569021042183E-2</v>
      </c>
      <c r="FC48">
        <f t="shared" si="14"/>
        <v>0.11052932391147666</v>
      </c>
      <c r="FD48">
        <f t="shared" si="14"/>
        <v>9.2120760480514416E-2</v>
      </c>
      <c r="FE48">
        <f t="shared" si="14"/>
        <v>1.9405096212941182E-2</v>
      </c>
      <c r="FF48">
        <f t="shared" si="14"/>
        <v>0.10977269142952195</v>
      </c>
      <c r="FG48">
        <f t="shared" si="14"/>
        <v>5.5780788498084766E-2</v>
      </c>
      <c r="FH48">
        <f t="shared" si="14"/>
        <v>9.1919647875272611E-2</v>
      </c>
      <c r="FI48">
        <f t="shared" si="14"/>
        <v>9.2905806426528445E-2</v>
      </c>
      <c r="FJ48">
        <f t="shared" si="14"/>
        <v>9.4959861871825785E-2</v>
      </c>
      <c r="FK48">
        <f t="shared" si="14"/>
        <v>1.1179196457230121E-2</v>
      </c>
      <c r="FL48">
        <f t="shared" si="14"/>
        <v>8.5631657140723058E-2</v>
      </c>
      <c r="FM48">
        <f t="shared" si="14"/>
        <v>4.4260733844197049E-2</v>
      </c>
      <c r="FN48">
        <f t="shared" si="14"/>
        <v>0.10124148300949688</v>
      </c>
      <c r="FO48">
        <f t="shared" si="14"/>
        <v>4.0806765201263681E-2</v>
      </c>
      <c r="FP48">
        <f t="shared" si="14"/>
        <v>1.1218399580551389E-2</v>
      </c>
      <c r="FQ48">
        <f t="shared" si="14"/>
        <v>3.9114295328263056E-2</v>
      </c>
      <c r="FR48">
        <f t="shared" si="14"/>
        <v>1.0572317762937426E-2</v>
      </c>
      <c r="FS48">
        <f t="shared" si="14"/>
        <v>9.3745010965177636E-2</v>
      </c>
      <c r="FT48">
        <f t="shared" si="14"/>
        <v>0.13863535931164855</v>
      </c>
      <c r="FU48">
        <f t="shared" si="14"/>
        <v>7.027265686977742E-2</v>
      </c>
      <c r="FV48">
        <f t="shared" si="14"/>
        <v>0.10773708949131383</v>
      </c>
      <c r="FW48">
        <f t="shared" si="14"/>
        <v>9.5370994945940105E-2</v>
      </c>
      <c r="FX48">
        <f t="shared" si="14"/>
        <v>2.7481314994843631E-2</v>
      </c>
      <c r="FY48">
        <f t="shared" si="14"/>
        <v>6.9890833415788431E-2</v>
      </c>
      <c r="FZ48">
        <f t="shared" si="14"/>
        <v>9.3085999992117044E-2</v>
      </c>
      <c r="GA48">
        <f t="shared" si="14"/>
        <v>6.8461163414519771E-2</v>
      </c>
      <c r="GB48">
        <f t="shared" si="14"/>
        <v>0.11401167194619077</v>
      </c>
      <c r="GC48">
        <f t="shared" si="14"/>
        <v>2.9666113076638197E-2</v>
      </c>
      <c r="GD48">
        <f t="shared" si="14"/>
        <v>1.8784587267912385E-2</v>
      </c>
      <c r="GE48">
        <f t="shared" si="14"/>
        <v>5.6770634788451506E-2</v>
      </c>
      <c r="GF48">
        <f t="shared" si="14"/>
        <v>0.13679247956221285</v>
      </c>
      <c r="GG48">
        <f t="shared" si="14"/>
        <v>0.17871300301666779</v>
      </c>
      <c r="GH48">
        <f t="shared" si="14"/>
        <v>3.7072753766701334E-2</v>
      </c>
      <c r="GI48">
        <f t="shared" si="14"/>
        <v>5.0088731495309242E-2</v>
      </c>
      <c r="GJ48">
        <f t="shared" si="14"/>
        <v>9.7501797518553174E-2</v>
      </c>
      <c r="GK48">
        <f t="shared" si="14"/>
        <v>0.11830876812072902</v>
      </c>
      <c r="GL48">
        <f t="shared" si="14"/>
        <v>0.10141053045894276</v>
      </c>
      <c r="GM48">
        <f t="shared" si="14"/>
        <v>0.20042338828522083</v>
      </c>
      <c r="GN48">
        <f t="shared" ref="GN48:HC48" si="15">AVERAGE(GN23:GN43)</f>
        <v>9.8174840716831399E-2</v>
      </c>
      <c r="GO48">
        <f t="shared" si="15"/>
        <v>0.10003572718361349</v>
      </c>
      <c r="GP48">
        <f t="shared" si="15"/>
        <v>7.7922441434928616E-2</v>
      </c>
      <c r="GQ48">
        <f t="shared" si="15"/>
        <v>8.1542486382013168E-2</v>
      </c>
      <c r="GR48">
        <f t="shared" si="15"/>
        <v>0.20904178646803973</v>
      </c>
      <c r="GS48">
        <f t="shared" si="15"/>
        <v>1.2194185457622434E-2</v>
      </c>
      <c r="GT48">
        <f t="shared" si="15"/>
        <v>9.4797001321950597E-2</v>
      </c>
      <c r="GU48">
        <f t="shared" si="15"/>
        <v>0.1085844376306925</v>
      </c>
      <c r="GV48">
        <f t="shared" si="15"/>
        <v>9.7175819948398121E-2</v>
      </c>
      <c r="GW48">
        <f t="shared" si="15"/>
        <v>0.10112391773036392</v>
      </c>
      <c r="GX48">
        <f t="shared" si="15"/>
        <v>0.20565617065932509</v>
      </c>
      <c r="GY48">
        <f t="shared" si="15"/>
        <v>6.2935431619981871E-2</v>
      </c>
      <c r="GZ48">
        <f t="shared" si="15"/>
        <v>3.4416977325815799E-2</v>
      </c>
      <c r="HA48">
        <f t="shared" si="15"/>
        <v>-2.8287189369369154E-2</v>
      </c>
      <c r="HB48">
        <f t="shared" si="15"/>
        <v>2.1959574437683104E-2</v>
      </c>
      <c r="HC48">
        <f t="shared" si="15"/>
        <v>4.9567738974436851E-2</v>
      </c>
    </row>
    <row r="49" spans="1:211" x14ac:dyDescent="0.25">
      <c r="A49" s="220" t="s">
        <v>268</v>
      </c>
      <c r="B49" s="220"/>
      <c r="C49">
        <f>MAX(C47:C48)</f>
        <v>3.5330603521864214E-2</v>
      </c>
      <c r="D49">
        <f t="shared" ref="D49:BO49" si="16">MAX(D47:D48)</f>
        <v>7.116020276340955E-2</v>
      </c>
      <c r="E49">
        <f t="shared" si="16"/>
        <v>4.9282486450657166E-3</v>
      </c>
      <c r="F49">
        <f t="shared" si="16"/>
        <v>-1.0608445873662574E-3</v>
      </c>
      <c r="G49">
        <f t="shared" si="16"/>
        <v>5.124218750800786E-2</v>
      </c>
      <c r="H49">
        <f t="shared" si="16"/>
        <v>2.7546541951039838E-2</v>
      </c>
      <c r="I49">
        <f t="shared" si="16"/>
        <v>-3.788345883662194E-3</v>
      </c>
      <c r="J49">
        <f t="shared" si="16"/>
        <v>4.6070293264388357E-2</v>
      </c>
      <c r="K49">
        <f t="shared" si="16"/>
        <v>6.3785714341927785E-2</v>
      </c>
      <c r="L49">
        <f t="shared" si="16"/>
        <v>6.0504948132898126E-2</v>
      </c>
      <c r="M49">
        <f t="shared" si="16"/>
        <v>9.7936994797696103E-2</v>
      </c>
      <c r="N49">
        <f t="shared" si="16"/>
        <v>8.5932457384867975E-2</v>
      </c>
      <c r="O49">
        <f t="shared" si="16"/>
        <v>9.8462987487165046E-2</v>
      </c>
      <c r="P49">
        <f t="shared" si="16"/>
        <v>4.8235068164389813E-2</v>
      </c>
      <c r="Q49">
        <f t="shared" si="16"/>
        <v>3.0038749971389889E-2</v>
      </c>
      <c r="R49">
        <f t="shared" si="16"/>
        <v>6.0878008800421414E-2</v>
      </c>
      <c r="S49">
        <f t="shared" si="16"/>
        <v>3.208265316109981E-2</v>
      </c>
      <c r="T49">
        <f t="shared" si="16"/>
        <v>-4.1198036692907114E-2</v>
      </c>
      <c r="U49">
        <f t="shared" si="16"/>
        <v>-1.7423023790998221E-2</v>
      </c>
      <c r="V49">
        <f t="shared" si="16"/>
        <v>2.3335794905215902E-2</v>
      </c>
      <c r="W49">
        <f t="shared" si="16"/>
        <v>3.1653389759588799E-3</v>
      </c>
      <c r="X49">
        <f t="shared" si="16"/>
        <v>-2.3636001372147102E-2</v>
      </c>
      <c r="Y49">
        <f t="shared" si="16"/>
        <v>1.9240657458185949E-2</v>
      </c>
      <c r="Z49">
        <f t="shared" si="16"/>
        <v>6.2719540979929156E-2</v>
      </c>
      <c r="AA49">
        <f t="shared" si="16"/>
        <v>2.3273930491206379E-2</v>
      </c>
      <c r="AB49">
        <f t="shared" si="16"/>
        <v>1.1938200055531983E-2</v>
      </c>
      <c r="AC49">
        <f t="shared" si="16"/>
        <v>2.1903732152022303E-2</v>
      </c>
      <c r="AD49">
        <f t="shared" si="16"/>
        <v>2.6029318949240737E-2</v>
      </c>
      <c r="AE49">
        <f t="shared" si="16"/>
        <v>4.3729797416990901E-2</v>
      </c>
      <c r="AF49">
        <f t="shared" si="16"/>
        <v>-1.5542190998899656E-3</v>
      </c>
      <c r="AG49">
        <f t="shared" si="16"/>
        <v>-4.9690883894285984E-2</v>
      </c>
      <c r="AH49">
        <f t="shared" si="16"/>
        <v>4.9228660667687399E-2</v>
      </c>
      <c r="AI49">
        <f t="shared" si="16"/>
        <v>-2.813435294931288E-2</v>
      </c>
      <c r="AJ49">
        <f t="shared" si="16"/>
        <v>-1.7336801194356492E-2</v>
      </c>
      <c r="AK49">
        <f t="shared" si="16"/>
        <v>3.7606783721507699E-2</v>
      </c>
      <c r="AL49">
        <f t="shared" si="16"/>
        <v>3.2992880267003297E-2</v>
      </c>
      <c r="AM49">
        <f t="shared" si="16"/>
        <v>5.1017229043970436E-2</v>
      </c>
      <c r="AN49">
        <f t="shared" si="16"/>
        <v>9.1324092423249792E-2</v>
      </c>
      <c r="AO49">
        <f t="shared" si="16"/>
        <v>-2.5600716642539E-2</v>
      </c>
      <c r="AP49">
        <f t="shared" si="16"/>
        <v>-4.8603934282215135E-2</v>
      </c>
      <c r="AQ49">
        <f t="shared" si="16"/>
        <v>1.2801851892471995E-2</v>
      </c>
      <c r="AR49">
        <f t="shared" si="16"/>
        <v>-1.1260968571692866E-2</v>
      </c>
      <c r="AS49">
        <f t="shared" si="16"/>
        <v>2.8395957843845836E-2</v>
      </c>
      <c r="AT49">
        <f t="shared" si="16"/>
        <v>6.2841726215533342E-2</v>
      </c>
      <c r="AU49">
        <f t="shared" si="16"/>
        <v>5.1901777034585019E-2</v>
      </c>
      <c r="AV49">
        <f t="shared" si="16"/>
        <v>8.2684104511592499E-2</v>
      </c>
      <c r="AW49">
        <f t="shared" si="16"/>
        <v>5.424150324501633E-2</v>
      </c>
      <c r="AX49">
        <f t="shared" si="16"/>
        <v>-3.6244919405917897E-2</v>
      </c>
      <c r="AY49">
        <f t="shared" si="16"/>
        <v>-3.4007076072505985E-2</v>
      </c>
      <c r="AZ49">
        <f t="shared" si="16"/>
        <v>8.5591621411636093E-2</v>
      </c>
      <c r="BA49">
        <f t="shared" si="16"/>
        <v>4.4190882205805471E-2</v>
      </c>
      <c r="BB49">
        <f t="shared" si="16"/>
        <v>7.1382721725716927E-2</v>
      </c>
      <c r="BC49">
        <f t="shared" si="16"/>
        <v>7.7497373998307126E-2</v>
      </c>
      <c r="BD49">
        <f t="shared" si="16"/>
        <v>3.4742699925594575E-2</v>
      </c>
      <c r="BE49">
        <f t="shared" si="16"/>
        <v>5.6429896632906672E-2</v>
      </c>
      <c r="BF49">
        <f t="shared" si="16"/>
        <v>2.5621848712571109E-2</v>
      </c>
      <c r="BG49">
        <f t="shared" si="16"/>
        <v>-5.0244783984158194E-2</v>
      </c>
      <c r="BH49">
        <f t="shared" si="16"/>
        <v>3.4869876640749288E-2</v>
      </c>
      <c r="BI49">
        <f t="shared" si="16"/>
        <v>3.4454445533798485E-2</v>
      </c>
      <c r="BJ49">
        <f t="shared" si="16"/>
        <v>-2.7513504869898436E-2</v>
      </c>
      <c r="BK49">
        <f t="shared" si="16"/>
        <v>2.7320827199320465E-2</v>
      </c>
      <c r="BL49">
        <f t="shared" si="16"/>
        <v>8.192746665350735E-2</v>
      </c>
      <c r="BM49">
        <f t="shared" si="16"/>
        <v>-4.4529009834832316E-3</v>
      </c>
      <c r="BN49">
        <f t="shared" si="16"/>
        <v>3.1085148575520759E-2</v>
      </c>
      <c r="BO49">
        <f t="shared" si="16"/>
        <v>-3.9658319452822798E-2</v>
      </c>
      <c r="BP49">
        <f t="shared" ref="BP49:EA49" si="17">MAX(BP47:BP48)</f>
        <v>2.8291160982626407E-3</v>
      </c>
      <c r="BQ49">
        <f t="shared" si="17"/>
        <v>-4.2090419317824521E-2</v>
      </c>
      <c r="BR49">
        <f t="shared" si="17"/>
        <v>-3.55728924177846E-2</v>
      </c>
      <c r="BS49">
        <f t="shared" si="17"/>
        <v>-2.5035501625744243E-2</v>
      </c>
      <c r="BT49">
        <f t="shared" si="17"/>
        <v>3.9298815603159433E-2</v>
      </c>
      <c r="BU49">
        <f t="shared" si="17"/>
        <v>3.1879327856776003E-2</v>
      </c>
      <c r="BV49">
        <f t="shared" si="17"/>
        <v>-1.2893636200685585E-4</v>
      </c>
      <c r="BW49">
        <f t="shared" si="17"/>
        <v>2.4034892974208039E-2</v>
      </c>
      <c r="BX49">
        <f t="shared" si="17"/>
        <v>4.8960390883229857E-2</v>
      </c>
      <c r="BY49">
        <f t="shared" si="17"/>
        <v>2.5859637330143303E-2</v>
      </c>
      <c r="BZ49">
        <f t="shared" si="17"/>
        <v>2.1612451431613656E-2</v>
      </c>
      <c r="CA49">
        <f t="shared" si="17"/>
        <v>1.0749298737980556E-2</v>
      </c>
      <c r="CB49">
        <f t="shared" si="17"/>
        <v>6.1260917410215603E-2</v>
      </c>
      <c r="CC49">
        <f t="shared" si="17"/>
        <v>3.3727812212001447E-2</v>
      </c>
      <c r="CD49">
        <f t="shared" si="17"/>
        <v>5.0922847214093861E-2</v>
      </c>
      <c r="CE49">
        <f t="shared" si="17"/>
        <v>0.10934379020786861</v>
      </c>
      <c r="CF49">
        <f t="shared" si="17"/>
        <v>4.4130146190272314E-2</v>
      </c>
      <c r="CG49">
        <f t="shared" si="17"/>
        <v>4.9190959283744229E-2</v>
      </c>
      <c r="CH49">
        <f t="shared" si="17"/>
        <v>0.12016562693561987</v>
      </c>
      <c r="CI49">
        <f t="shared" si="17"/>
        <v>0.12130506867115856</v>
      </c>
      <c r="CJ49">
        <f t="shared" si="17"/>
        <v>0.1055295306011968</v>
      </c>
      <c r="CK49">
        <f t="shared" si="17"/>
        <v>4.0086038161376424E-2</v>
      </c>
      <c r="CL49">
        <f t="shared" si="17"/>
        <v>0.12443271407416934</v>
      </c>
      <c r="CM49">
        <f t="shared" si="17"/>
        <v>8.6021335041216833E-3</v>
      </c>
      <c r="CN49">
        <f t="shared" si="17"/>
        <v>2.1762327383358572E-2</v>
      </c>
      <c r="CO49">
        <f t="shared" si="17"/>
        <v>4.3153939046020093E-2</v>
      </c>
      <c r="CP49">
        <f t="shared" si="17"/>
        <v>2.0188100555111888E-3</v>
      </c>
      <c r="CQ49">
        <f t="shared" si="17"/>
        <v>3.6765840641457742E-2</v>
      </c>
      <c r="CR49">
        <f t="shared" si="17"/>
        <v>2.7229692124147824E-2</v>
      </c>
      <c r="CS49">
        <f t="shared" si="17"/>
        <v>1.3819814815321694E-2</v>
      </c>
      <c r="CT49">
        <f t="shared" si="17"/>
        <v>3.4973772374402926E-2</v>
      </c>
      <c r="CU49">
        <f t="shared" si="17"/>
        <v>4.82041839551305E-2</v>
      </c>
      <c r="CV49">
        <f t="shared" si="17"/>
        <v>4.1184620559743229E-2</v>
      </c>
      <c r="CW49">
        <f t="shared" si="17"/>
        <v>7.1328793514768684E-3</v>
      </c>
      <c r="CX49">
        <f t="shared" si="17"/>
        <v>3.0139489615625889E-2</v>
      </c>
      <c r="CY49">
        <f t="shared" si="17"/>
        <v>3.9163704028437642E-2</v>
      </c>
      <c r="CZ49">
        <f t="shared" si="17"/>
        <v>-3.6203504471423228E-3</v>
      </c>
      <c r="DA49">
        <f t="shared" si="17"/>
        <v>2.2573744544611826E-3</v>
      </c>
      <c r="DB49">
        <f t="shared" si="17"/>
        <v>3.507889483291883E-2</v>
      </c>
      <c r="DC49">
        <f t="shared" si="17"/>
        <v>8.0326957302505012E-2</v>
      </c>
      <c r="DD49">
        <f t="shared" si="17"/>
        <v>8.3638055128905694E-2</v>
      </c>
      <c r="DE49">
        <f t="shared" si="17"/>
        <v>5.2748046061866158E-2</v>
      </c>
      <c r="DF49">
        <f t="shared" si="17"/>
        <v>1.5309848332009851E-2</v>
      </c>
      <c r="DG49">
        <f t="shared" si="17"/>
        <v>8.0122663447797088E-2</v>
      </c>
      <c r="DH49">
        <f t="shared" si="17"/>
        <v>0.14036016861664891</v>
      </c>
      <c r="DI49">
        <f t="shared" si="17"/>
        <v>0.12280477861350773</v>
      </c>
      <c r="DJ49">
        <f t="shared" si="17"/>
        <v>1.9337904914794975E-2</v>
      </c>
      <c r="DK49">
        <f t="shared" si="17"/>
        <v>2.7956697776995366E-2</v>
      </c>
      <c r="DL49">
        <f t="shared" si="17"/>
        <v>7.4181257854104385E-2</v>
      </c>
      <c r="DM49">
        <f t="shared" si="17"/>
        <v>0.10978890445435671</v>
      </c>
      <c r="DN49">
        <f t="shared" si="17"/>
        <v>6.5383636983622859E-2</v>
      </c>
      <c r="DO49">
        <f t="shared" si="17"/>
        <v>7.15425288116322E-2</v>
      </c>
      <c r="DP49">
        <f t="shared" si="17"/>
        <v>8.4597250503426716E-2</v>
      </c>
      <c r="DQ49">
        <f t="shared" si="17"/>
        <v>5.6083531906301068E-2</v>
      </c>
      <c r="DR49">
        <f t="shared" si="17"/>
        <v>6.5794062024618502E-2</v>
      </c>
      <c r="DS49">
        <f t="shared" si="17"/>
        <v>7.7463134552521906E-2</v>
      </c>
      <c r="DT49">
        <f t="shared" si="17"/>
        <v>0.11196225347951491</v>
      </c>
      <c r="DU49">
        <f t="shared" si="17"/>
        <v>5.4412439358939482E-2</v>
      </c>
      <c r="DV49">
        <f t="shared" si="17"/>
        <v>0.11498422924680174</v>
      </c>
      <c r="DW49">
        <f t="shared" si="17"/>
        <v>0.1556181428864386</v>
      </c>
      <c r="DX49">
        <f t="shared" si="17"/>
        <v>0.14687556510289398</v>
      </c>
      <c r="DY49">
        <f t="shared" si="17"/>
        <v>0.12085534343734232</v>
      </c>
      <c r="DZ49">
        <f t="shared" si="17"/>
        <v>6.680007973124745E-2</v>
      </c>
      <c r="EA49">
        <f t="shared" si="17"/>
        <v>7.1477073019940621E-2</v>
      </c>
      <c r="EB49">
        <f t="shared" ref="EB49:GM49" si="18">MAX(EB47:EB48)</f>
        <v>4.2788900692411577E-2</v>
      </c>
      <c r="EC49">
        <f t="shared" si="18"/>
        <v>4.0981886908425871E-2</v>
      </c>
      <c r="ED49">
        <f t="shared" si="18"/>
        <v>7.5554015854684867E-2</v>
      </c>
      <c r="EE49">
        <f t="shared" si="18"/>
        <v>6.6356185074392657E-2</v>
      </c>
      <c r="EF49">
        <f t="shared" si="18"/>
        <v>9.5650155673495885E-2</v>
      </c>
      <c r="EG49">
        <f t="shared" si="18"/>
        <v>3.8393986451442264E-2</v>
      </c>
      <c r="EH49">
        <f t="shared" si="18"/>
        <v>4.7269897069894797E-2</v>
      </c>
      <c r="EI49">
        <f t="shared" si="18"/>
        <v>2.1147588755195863E-2</v>
      </c>
      <c r="EJ49">
        <f t="shared" si="18"/>
        <v>5.3446075447006247E-2</v>
      </c>
      <c r="EK49">
        <f t="shared" si="18"/>
        <v>0.11782864975876604</v>
      </c>
      <c r="EL49">
        <f t="shared" si="18"/>
        <v>5.3591619903091588E-2</v>
      </c>
      <c r="EM49">
        <f t="shared" si="18"/>
        <v>-3.640010048359202E-3</v>
      </c>
      <c r="EN49">
        <f t="shared" si="18"/>
        <v>-1.5426207382776997E-2</v>
      </c>
      <c r="EO49">
        <f t="shared" si="18"/>
        <v>0.10585878369604711</v>
      </c>
      <c r="EP49">
        <f t="shared" si="18"/>
        <v>5.6136785603102278E-2</v>
      </c>
      <c r="EQ49">
        <f t="shared" si="18"/>
        <v>5.7377566920600795E-2</v>
      </c>
      <c r="ER49">
        <f t="shared" si="18"/>
        <v>4.6273442624424108E-2</v>
      </c>
      <c r="ES49">
        <f t="shared" si="18"/>
        <v>6.655988411200725E-2</v>
      </c>
      <c r="ET49">
        <f t="shared" si="18"/>
        <v>0.12986938450204455</v>
      </c>
      <c r="EU49">
        <f t="shared" si="18"/>
        <v>7.4979205583053737E-2</v>
      </c>
      <c r="EV49">
        <f t="shared" si="18"/>
        <v>6.8744727770705616E-2</v>
      </c>
      <c r="EW49">
        <f t="shared" si="18"/>
        <v>4.6822130524594593E-2</v>
      </c>
      <c r="EX49">
        <f t="shared" si="18"/>
        <v>8.1190783698686972E-2</v>
      </c>
      <c r="EY49">
        <f t="shared" si="18"/>
        <v>0.11156585696208961</v>
      </c>
      <c r="EZ49">
        <f t="shared" si="18"/>
        <v>3.1291139451924868E-2</v>
      </c>
      <c r="FA49">
        <f t="shared" si="18"/>
        <v>4.3263977826052645E-2</v>
      </c>
      <c r="FB49">
        <f t="shared" si="18"/>
        <v>7.6902670526855538E-2</v>
      </c>
      <c r="FC49">
        <f t="shared" si="18"/>
        <v>0.11052932391147666</v>
      </c>
      <c r="FD49">
        <f t="shared" si="18"/>
        <v>9.2120760480514416E-2</v>
      </c>
      <c r="FE49">
        <f t="shared" si="18"/>
        <v>1.9405096212941182E-2</v>
      </c>
      <c r="FF49">
        <f t="shared" si="18"/>
        <v>0.10977269142952195</v>
      </c>
      <c r="FG49">
        <f t="shared" si="18"/>
        <v>5.6191248767374004E-2</v>
      </c>
      <c r="FH49">
        <f t="shared" si="18"/>
        <v>9.1919647875272611E-2</v>
      </c>
      <c r="FI49">
        <f t="shared" si="18"/>
        <v>9.2905806426528445E-2</v>
      </c>
      <c r="FJ49">
        <f t="shared" si="18"/>
        <v>0.14495593283495861</v>
      </c>
      <c r="FK49">
        <f t="shared" si="18"/>
        <v>1.1179196457230121E-2</v>
      </c>
      <c r="FL49">
        <f t="shared" si="18"/>
        <v>8.5631657140723058E-2</v>
      </c>
      <c r="FM49">
        <f t="shared" si="18"/>
        <v>4.4260733844197049E-2</v>
      </c>
      <c r="FN49">
        <f t="shared" si="18"/>
        <v>0.10124148300949688</v>
      </c>
      <c r="FO49">
        <f t="shared" si="18"/>
        <v>4.0806765201263681E-2</v>
      </c>
      <c r="FP49">
        <f t="shared" si="18"/>
        <v>5.4738108009377409E-2</v>
      </c>
      <c r="FQ49">
        <f t="shared" si="18"/>
        <v>3.9114295328263056E-2</v>
      </c>
      <c r="FR49">
        <f t="shared" si="18"/>
        <v>1.7803040572925272E-2</v>
      </c>
      <c r="FS49">
        <f t="shared" si="18"/>
        <v>9.3745010965177636E-2</v>
      </c>
      <c r="FT49">
        <f t="shared" si="18"/>
        <v>0.13863535931164855</v>
      </c>
      <c r="FU49">
        <f t="shared" si="18"/>
        <v>7.027265686977742E-2</v>
      </c>
      <c r="FV49">
        <f t="shared" si="18"/>
        <v>0.10773708949131383</v>
      </c>
      <c r="FW49">
        <f t="shared" si="18"/>
        <v>9.5370994945940105E-2</v>
      </c>
      <c r="FX49">
        <f t="shared" si="18"/>
        <v>2.7481314994843631E-2</v>
      </c>
      <c r="FY49">
        <f t="shared" si="18"/>
        <v>7.9059266940535999E-2</v>
      </c>
      <c r="FZ49">
        <f t="shared" si="18"/>
        <v>9.3085999992117044E-2</v>
      </c>
      <c r="GA49">
        <f t="shared" si="18"/>
        <v>8.6320758667780578E-2</v>
      </c>
      <c r="GB49">
        <f t="shared" si="18"/>
        <v>0.11401167194619077</v>
      </c>
      <c r="GC49">
        <f t="shared" si="18"/>
        <v>2.9666113076638197E-2</v>
      </c>
      <c r="GD49">
        <f t="shared" si="18"/>
        <v>1.8784587267912385E-2</v>
      </c>
      <c r="GE49">
        <f t="shared" si="18"/>
        <v>7.8570219938337002E-2</v>
      </c>
      <c r="GF49">
        <f t="shared" si="18"/>
        <v>0.13679247956221285</v>
      </c>
      <c r="GG49">
        <f t="shared" si="18"/>
        <v>0.17871300301666779</v>
      </c>
      <c r="GH49">
        <f t="shared" si="18"/>
        <v>3.7072753766701334E-2</v>
      </c>
      <c r="GI49">
        <f t="shared" si="18"/>
        <v>5.0088731495309242E-2</v>
      </c>
      <c r="GJ49">
        <f t="shared" si="18"/>
        <v>0.1464266510058983</v>
      </c>
      <c r="GK49">
        <f t="shared" si="18"/>
        <v>0.11830876812072902</v>
      </c>
      <c r="GL49">
        <f t="shared" si="18"/>
        <v>0.10141053045894276</v>
      </c>
      <c r="GM49">
        <f t="shared" si="18"/>
        <v>0.20042338828522083</v>
      </c>
      <c r="GN49">
        <f t="shared" ref="GN49:HC49" si="19">MAX(GN47:GN48)</f>
        <v>0.1827420449390606</v>
      </c>
      <c r="GO49">
        <f t="shared" si="19"/>
        <v>0.16568536258991845</v>
      </c>
      <c r="GP49">
        <f t="shared" si="19"/>
        <v>0.11067038373705915</v>
      </c>
      <c r="GQ49">
        <f t="shared" si="19"/>
        <v>8.1542486382013168E-2</v>
      </c>
      <c r="GR49">
        <f t="shared" si="19"/>
        <v>0.20904178646803973</v>
      </c>
      <c r="GS49">
        <f t="shared" si="19"/>
        <v>0.21211944811048253</v>
      </c>
      <c r="GT49">
        <f t="shared" si="19"/>
        <v>0.28271464362770782</v>
      </c>
      <c r="GU49">
        <f t="shared" si="19"/>
        <v>0.11144620815696979</v>
      </c>
      <c r="GV49">
        <f t="shared" si="19"/>
        <v>9.7175819948398121E-2</v>
      </c>
      <c r="GW49">
        <f t="shared" si="19"/>
        <v>0.10112391773036392</v>
      </c>
      <c r="GX49">
        <f t="shared" si="19"/>
        <v>0.20565617065932509</v>
      </c>
      <c r="GY49">
        <f t="shared" si="19"/>
        <v>0.10076872355602903</v>
      </c>
      <c r="GZ49">
        <f t="shared" si="19"/>
        <v>9.3686392868085736E-2</v>
      </c>
      <c r="HA49">
        <f t="shared" si="19"/>
        <v>2.1149091466434299E-2</v>
      </c>
      <c r="HB49">
        <f t="shared" si="19"/>
        <v>0.113940322443101</v>
      </c>
      <c r="HC49">
        <f t="shared" si="19"/>
        <v>6.5759158872427004E-2</v>
      </c>
    </row>
    <row r="51" spans="1:211" x14ac:dyDescent="0.25">
      <c r="A51" s="220" t="s">
        <v>260</v>
      </c>
      <c r="B51" s="220"/>
      <c r="D51" s="220" t="s">
        <v>261</v>
      </c>
      <c r="E51" s="220"/>
      <c r="G51" s="220" t="s">
        <v>269</v>
      </c>
      <c r="H51" s="220"/>
      <c r="I51" s="220"/>
      <c r="K51" s="15" t="s">
        <v>270</v>
      </c>
    </row>
    <row r="52" spans="1:211" x14ac:dyDescent="0.25">
      <c r="A52" s="16" t="s">
        <v>357</v>
      </c>
      <c r="B52">
        <v>0.17457961990969395</v>
      </c>
      <c r="D52" s="13" t="s">
        <v>2</v>
      </c>
      <c r="E52">
        <v>0.21231697452451001</v>
      </c>
      <c r="G52" s="16" t="s">
        <v>259</v>
      </c>
      <c r="H52">
        <v>0.28271464362770782</v>
      </c>
    </row>
    <row r="53" spans="1:211" x14ac:dyDescent="0.25">
      <c r="A53" s="13" t="s">
        <v>2</v>
      </c>
      <c r="B53">
        <v>0.17311255237365394</v>
      </c>
      <c r="D53" s="16" t="s">
        <v>357</v>
      </c>
      <c r="E53">
        <v>0.19639225968710161</v>
      </c>
      <c r="G53" s="16" t="s">
        <v>258</v>
      </c>
      <c r="H53">
        <v>0.21211944811048253</v>
      </c>
    </row>
    <row r="54" spans="1:211" x14ac:dyDescent="0.25">
      <c r="A54" s="16" t="s">
        <v>255</v>
      </c>
      <c r="B54">
        <v>0.1624103252604186</v>
      </c>
      <c r="D54" s="16" t="s">
        <v>255</v>
      </c>
      <c r="E54">
        <v>0.18008201175343128</v>
      </c>
      <c r="G54" s="13" t="s">
        <v>2</v>
      </c>
      <c r="H54">
        <v>0.20904178646803973</v>
      </c>
    </row>
    <row r="55" spans="1:211" x14ac:dyDescent="0.25">
      <c r="A55" s="16" t="s">
        <v>251</v>
      </c>
      <c r="B55">
        <v>0.14255551118167337</v>
      </c>
      <c r="D55" s="16" t="s">
        <v>188</v>
      </c>
      <c r="E55">
        <v>0.16878409998526911</v>
      </c>
      <c r="G55" s="16" t="s">
        <v>357</v>
      </c>
      <c r="H55">
        <v>0.20565617065932509</v>
      </c>
    </row>
    <row r="56" spans="1:211" x14ac:dyDescent="0.25">
      <c r="A56" s="16" t="s">
        <v>259</v>
      </c>
      <c r="B56">
        <v>0.13507712275409053</v>
      </c>
      <c r="D56" s="16" t="s">
        <v>190</v>
      </c>
      <c r="E56">
        <v>0.16653631266414343</v>
      </c>
      <c r="G56" s="16" t="s">
        <v>255</v>
      </c>
      <c r="H56">
        <v>0.20042338828522083</v>
      </c>
    </row>
    <row r="57" spans="1:211" x14ac:dyDescent="0.25">
      <c r="A57" s="16" t="s">
        <v>257</v>
      </c>
      <c r="B57">
        <v>0.12826633958002701</v>
      </c>
      <c r="D57" s="16" t="s">
        <v>214</v>
      </c>
      <c r="E57">
        <v>0.15831777081389797</v>
      </c>
      <c r="G57" s="16" t="s">
        <v>256</v>
      </c>
      <c r="H57">
        <v>0.1827420449390606</v>
      </c>
    </row>
    <row r="58" spans="1:211" x14ac:dyDescent="0.25">
      <c r="A58" s="16" t="s">
        <v>192</v>
      </c>
      <c r="B58">
        <v>0.12392007783789785</v>
      </c>
      <c r="D58" s="16" t="s">
        <v>257</v>
      </c>
      <c r="E58">
        <v>0.14814385141873329</v>
      </c>
      <c r="G58" s="16" t="s">
        <v>251</v>
      </c>
      <c r="H58">
        <v>0.17871300301666779</v>
      </c>
    </row>
    <row r="59" spans="1:211" x14ac:dyDescent="0.25">
      <c r="A59" s="16" t="s">
        <v>214</v>
      </c>
      <c r="B59">
        <v>0.1216081979987215</v>
      </c>
      <c r="D59" s="16" t="s">
        <v>159</v>
      </c>
      <c r="E59">
        <v>0.13321038299769725</v>
      </c>
      <c r="G59" s="16" t="s">
        <v>257</v>
      </c>
      <c r="H59">
        <v>0.16568536258991845</v>
      </c>
    </row>
    <row r="60" spans="1:211" x14ac:dyDescent="0.25">
      <c r="A60" s="16" t="s">
        <v>191</v>
      </c>
      <c r="B60">
        <v>0.11784241857714195</v>
      </c>
      <c r="D60" s="16" t="s">
        <v>251</v>
      </c>
      <c r="E60">
        <v>0.13305846309946176</v>
      </c>
      <c r="G60" s="16" t="s">
        <v>191</v>
      </c>
      <c r="H60">
        <v>0.1556181428864386</v>
      </c>
    </row>
    <row r="61" spans="1:211" x14ac:dyDescent="0.25">
      <c r="A61" s="16" t="s">
        <v>256</v>
      </c>
      <c r="B61">
        <v>0.1162833540797205</v>
      </c>
      <c r="D61" s="16" t="s">
        <v>186</v>
      </c>
      <c r="E61">
        <v>0.13139601744989482</v>
      </c>
      <c r="G61" s="16" t="s">
        <v>192</v>
      </c>
      <c r="H61">
        <v>0.14687556510289398</v>
      </c>
    </row>
    <row r="62" spans="1:211" x14ac:dyDescent="0.25">
      <c r="A62" s="16" t="s">
        <v>190</v>
      </c>
      <c r="B62">
        <v>0.11536083271932787</v>
      </c>
      <c r="D62" s="13" t="s">
        <v>126</v>
      </c>
      <c r="E62">
        <v>0.13125599646421959</v>
      </c>
      <c r="G62" s="16" t="s">
        <v>252</v>
      </c>
      <c r="H62">
        <v>0.1464266510058983</v>
      </c>
    </row>
    <row r="63" spans="1:211" x14ac:dyDescent="0.25">
      <c r="A63" s="16" t="s">
        <v>12</v>
      </c>
      <c r="B63">
        <v>0.1131235712520146</v>
      </c>
      <c r="D63" s="16" t="s">
        <v>12</v>
      </c>
      <c r="E63">
        <v>0.12331406552457937</v>
      </c>
      <c r="G63" s="16" t="s">
        <v>230</v>
      </c>
      <c r="H63">
        <v>0.14495593283495861</v>
      </c>
    </row>
    <row r="64" spans="1:211" x14ac:dyDescent="0.25">
      <c r="A64" s="16" t="s">
        <v>188</v>
      </c>
      <c r="B64">
        <v>0.11207589005759697</v>
      </c>
      <c r="D64" s="16" t="s">
        <v>204</v>
      </c>
      <c r="E64">
        <v>0.12227241798828112</v>
      </c>
      <c r="G64" s="13" t="s">
        <v>176</v>
      </c>
      <c r="H64">
        <v>0.14036016861664891</v>
      </c>
    </row>
    <row r="65" spans="1:8" x14ac:dyDescent="0.25">
      <c r="A65" s="16" t="s">
        <v>250</v>
      </c>
      <c r="B65">
        <v>0.11110787856052089</v>
      </c>
      <c r="D65" s="16" t="s">
        <v>215</v>
      </c>
      <c r="E65">
        <v>0.12127872399023974</v>
      </c>
      <c r="G65" s="16" t="s">
        <v>238</v>
      </c>
      <c r="H65">
        <v>0.13863535931164855</v>
      </c>
    </row>
    <row r="66" spans="1:8" x14ac:dyDescent="0.25">
      <c r="A66" s="16" t="s">
        <v>153</v>
      </c>
      <c r="B66">
        <v>0.10929614481799042</v>
      </c>
      <c r="D66" s="16" t="s">
        <v>185</v>
      </c>
      <c r="E66">
        <v>0.11867737334090878</v>
      </c>
      <c r="G66" s="16" t="s">
        <v>250</v>
      </c>
      <c r="H66">
        <v>0.13679247956221285</v>
      </c>
    </row>
    <row r="67" spans="1:8" x14ac:dyDescent="0.25">
      <c r="A67" s="16" t="s">
        <v>252</v>
      </c>
      <c r="B67">
        <v>0.10648142939980158</v>
      </c>
      <c r="D67" s="16" t="s">
        <v>240</v>
      </c>
      <c r="E67">
        <v>0.11616600726397497</v>
      </c>
      <c r="G67" s="16" t="s">
        <v>214</v>
      </c>
      <c r="H67">
        <v>0.12986938450204455</v>
      </c>
    </row>
    <row r="68" spans="1:8" x14ac:dyDescent="0.25">
      <c r="A68" s="16" t="s">
        <v>238</v>
      </c>
      <c r="B68">
        <v>9.6926984094161714E-2</v>
      </c>
      <c r="D68" s="16" t="s">
        <v>192</v>
      </c>
      <c r="E68">
        <v>0.11518797068143392</v>
      </c>
      <c r="G68" s="16" t="s">
        <v>15</v>
      </c>
      <c r="H68">
        <v>0.12443271407416934</v>
      </c>
    </row>
    <row r="69" spans="1:8" x14ac:dyDescent="0.25">
      <c r="A69" s="16" t="s">
        <v>253</v>
      </c>
      <c r="B69">
        <v>9.6364447237681006E-2</v>
      </c>
      <c r="D69" s="16" t="s">
        <v>153</v>
      </c>
      <c r="E69">
        <v>0.10949768591994777</v>
      </c>
      <c r="G69" s="16" t="s">
        <v>177</v>
      </c>
      <c r="H69">
        <v>0.12280477861350773</v>
      </c>
    </row>
    <row r="70" spans="1:8" x14ac:dyDescent="0.25">
      <c r="A70" s="13" t="s">
        <v>246</v>
      </c>
      <c r="B70">
        <v>9.2482305104856596E-2</v>
      </c>
      <c r="D70" s="16" t="s">
        <v>250</v>
      </c>
      <c r="E70">
        <v>0.10946405651853582</v>
      </c>
      <c r="G70" s="16" t="s">
        <v>157</v>
      </c>
      <c r="H70">
        <v>0.12130506867115856</v>
      </c>
    </row>
    <row r="71" spans="1:8" x14ac:dyDescent="0.25">
      <c r="A71" s="16" t="s">
        <v>230</v>
      </c>
      <c r="B71">
        <v>9.0746602533072734E-2</v>
      </c>
      <c r="D71" s="16" t="s">
        <v>187</v>
      </c>
      <c r="E71">
        <v>0.10665749387342295</v>
      </c>
      <c r="G71" s="16" t="s">
        <v>193</v>
      </c>
      <c r="H71">
        <v>0.12085534343734232</v>
      </c>
    </row>
    <row r="72" spans="1:8" x14ac:dyDescent="0.25">
      <c r="A72" s="16" t="s">
        <v>240</v>
      </c>
      <c r="B72">
        <v>8.9917629209544464E-2</v>
      </c>
      <c r="D72" s="13" t="s">
        <v>244</v>
      </c>
      <c r="E72">
        <v>0.10517813638799081</v>
      </c>
      <c r="G72" s="16" t="s">
        <v>156</v>
      </c>
      <c r="H72">
        <v>0.12016562693561987</v>
      </c>
    </row>
    <row r="73" spans="1:8" x14ac:dyDescent="0.25">
      <c r="A73" s="13" t="s">
        <v>241</v>
      </c>
      <c r="B73">
        <v>8.8831098402327571E-2</v>
      </c>
      <c r="D73" s="13" t="s">
        <v>231</v>
      </c>
      <c r="E73">
        <v>0.10489662700921261</v>
      </c>
      <c r="G73" s="16" t="s">
        <v>253</v>
      </c>
      <c r="H73">
        <v>0.11830876812072902</v>
      </c>
    </row>
    <row r="74" spans="1:8" x14ac:dyDescent="0.25">
      <c r="A74" s="16" t="s">
        <v>4</v>
      </c>
      <c r="B74">
        <v>8.7920335422686777E-2</v>
      </c>
      <c r="D74" s="16" t="s">
        <v>5</v>
      </c>
      <c r="E74">
        <v>9.8089111735178175E-2</v>
      </c>
      <c r="G74" s="16" t="s">
        <v>205</v>
      </c>
      <c r="H74">
        <v>0.11782864975876604</v>
      </c>
    </row>
    <row r="75" spans="1:8" x14ac:dyDescent="0.25">
      <c r="A75" s="16" t="s">
        <v>254</v>
      </c>
      <c r="B75">
        <v>8.3667381223121159E-2</v>
      </c>
      <c r="D75" s="16" t="s">
        <v>208</v>
      </c>
      <c r="E75">
        <v>9.7399813419245751E-2</v>
      </c>
      <c r="G75" s="16" t="s">
        <v>190</v>
      </c>
      <c r="H75">
        <v>0.11498422924680174</v>
      </c>
    </row>
    <row r="76" spans="1:8" x14ac:dyDescent="0.25">
      <c r="A76" s="16" t="s">
        <v>356</v>
      </c>
      <c r="B76">
        <v>8.327719290210582E-2</v>
      </c>
      <c r="D76" s="16" t="s">
        <v>245</v>
      </c>
      <c r="E76">
        <v>9.7066623470900698E-2</v>
      </c>
      <c r="G76" s="13" t="s">
        <v>246</v>
      </c>
      <c r="H76">
        <v>0.11401167194619077</v>
      </c>
    </row>
    <row r="77" spans="1:8" x14ac:dyDescent="0.25">
      <c r="A77" s="13" t="s">
        <v>244</v>
      </c>
      <c r="B77">
        <v>8.3150223860858588E-2</v>
      </c>
      <c r="D77" s="16" t="s">
        <v>189</v>
      </c>
      <c r="E77">
        <v>9.3904621177348518E-2</v>
      </c>
      <c r="G77" s="16" t="s">
        <v>361</v>
      </c>
      <c r="H77">
        <v>0.113940322443101</v>
      </c>
    </row>
    <row r="78" spans="1:8" x14ac:dyDescent="0.25">
      <c r="A78" s="16" t="s">
        <v>15</v>
      </c>
      <c r="B78">
        <v>8.2583977932864844E-2</v>
      </c>
      <c r="D78" s="13" t="s">
        <v>241</v>
      </c>
      <c r="E78">
        <v>9.0484829164808003E-2</v>
      </c>
      <c r="G78" s="16" t="s">
        <v>188</v>
      </c>
      <c r="H78">
        <v>0.11196225347951491</v>
      </c>
    </row>
    <row r="79" spans="1:8" x14ac:dyDescent="0.25">
      <c r="A79" s="16" t="s">
        <v>228</v>
      </c>
      <c r="B79">
        <v>8.1179883812988574E-2</v>
      </c>
      <c r="D79" s="16" t="s">
        <v>256</v>
      </c>
      <c r="E79">
        <v>9.0437160627653959E-2</v>
      </c>
      <c r="G79" s="16" t="s">
        <v>219</v>
      </c>
      <c r="H79">
        <v>0.11156585696208961</v>
      </c>
    </row>
    <row r="80" spans="1:8" x14ac:dyDescent="0.25">
      <c r="A80" s="16" t="s">
        <v>205</v>
      </c>
      <c r="B80">
        <v>8.1123210562390649E-2</v>
      </c>
      <c r="D80" s="16" t="s">
        <v>210</v>
      </c>
      <c r="E80">
        <v>8.93690471594802E-2</v>
      </c>
      <c r="G80" s="16" t="s">
        <v>12</v>
      </c>
      <c r="H80">
        <v>0.11144620815696979</v>
      </c>
    </row>
    <row r="81" spans="1:8" x14ac:dyDescent="0.25">
      <c r="A81" s="16" t="s">
        <v>245</v>
      </c>
      <c r="B81">
        <v>8.0205354203872106E-2</v>
      </c>
      <c r="D81" s="13" t="s">
        <v>111</v>
      </c>
      <c r="E81">
        <v>8.9167961024260944E-2</v>
      </c>
      <c r="G81" s="16" t="s">
        <v>4</v>
      </c>
      <c r="H81">
        <v>0.11067038373705915</v>
      </c>
    </row>
    <row r="82" spans="1:8" x14ac:dyDescent="0.25">
      <c r="A82" s="16" t="s">
        <v>193</v>
      </c>
      <c r="B82">
        <v>7.9650470056938261E-2</v>
      </c>
      <c r="D82" s="16" t="s">
        <v>228</v>
      </c>
      <c r="E82">
        <v>8.8039929796321081E-2</v>
      </c>
      <c r="G82" s="13" t="s">
        <v>223</v>
      </c>
      <c r="H82">
        <v>0.11052932391147666</v>
      </c>
    </row>
    <row r="83" spans="1:8" x14ac:dyDescent="0.25">
      <c r="A83" s="16" t="s">
        <v>186</v>
      </c>
      <c r="B83">
        <v>7.9504051556249983E-2</v>
      </c>
      <c r="D83" s="16" t="s">
        <v>252</v>
      </c>
      <c r="E83">
        <v>8.7310525167551487E-2</v>
      </c>
      <c r="G83" s="16" t="s">
        <v>181</v>
      </c>
      <c r="H83">
        <v>0.10978890445435671</v>
      </c>
    </row>
    <row r="84" spans="1:8" x14ac:dyDescent="0.25">
      <c r="A84" s="13" t="s">
        <v>176</v>
      </c>
      <c r="B84">
        <v>7.8607141409836268E-2</v>
      </c>
      <c r="D84" s="16" t="s">
        <v>4</v>
      </c>
      <c r="E84">
        <v>8.63253618407957E-2</v>
      </c>
      <c r="G84" s="16" t="s">
        <v>226</v>
      </c>
      <c r="H84">
        <v>0.10977269142952195</v>
      </c>
    </row>
    <row r="85" spans="1:8" x14ac:dyDescent="0.25">
      <c r="A85" s="16" t="s">
        <v>215</v>
      </c>
      <c r="B85">
        <v>7.8114657376160593E-2</v>
      </c>
      <c r="D85" s="16" t="s">
        <v>127</v>
      </c>
      <c r="E85">
        <v>8.0016492733890054E-2</v>
      </c>
      <c r="G85" s="16" t="s">
        <v>153</v>
      </c>
      <c r="H85">
        <v>0.10934379020786861</v>
      </c>
    </row>
    <row r="86" spans="1:8" x14ac:dyDescent="0.25">
      <c r="A86" s="13" t="s">
        <v>223</v>
      </c>
      <c r="B86">
        <v>7.7789196148394454E-2</v>
      </c>
      <c r="D86" s="16" t="s">
        <v>225</v>
      </c>
      <c r="E86">
        <v>7.9784860845925704E-2</v>
      </c>
      <c r="G86" s="16" t="s">
        <v>240</v>
      </c>
      <c r="H86">
        <v>0.10773708949131383</v>
      </c>
    </row>
    <row r="87" spans="1:8" x14ac:dyDescent="0.25">
      <c r="A87" s="16" t="s">
        <v>187</v>
      </c>
      <c r="B87">
        <v>7.7181231866403813E-2</v>
      </c>
      <c r="D87" s="16" t="s">
        <v>157</v>
      </c>
      <c r="E87">
        <v>7.7793428425852115E-2</v>
      </c>
      <c r="G87" s="16" t="s">
        <v>209</v>
      </c>
      <c r="H87">
        <v>0.10585878369604711</v>
      </c>
    </row>
    <row r="88" spans="1:8" x14ac:dyDescent="0.25">
      <c r="A88" s="16" t="s">
        <v>88</v>
      </c>
      <c r="B88">
        <v>7.6817380325955836E-2</v>
      </c>
      <c r="D88" s="16" t="s">
        <v>259</v>
      </c>
      <c r="E88">
        <v>7.7759608330341817E-2</v>
      </c>
      <c r="G88" s="16" t="s">
        <v>158</v>
      </c>
      <c r="H88">
        <v>0.1055295306011968</v>
      </c>
    </row>
    <row r="89" spans="1:8" x14ac:dyDescent="0.25">
      <c r="A89" s="13" t="s">
        <v>232</v>
      </c>
      <c r="B89">
        <v>7.6580820612339229E-2</v>
      </c>
      <c r="D89" s="16" t="s">
        <v>88</v>
      </c>
      <c r="E89">
        <v>7.6864171502355208E-2</v>
      </c>
      <c r="G89" s="16" t="s">
        <v>254</v>
      </c>
      <c r="H89">
        <v>0.10141053045894276</v>
      </c>
    </row>
    <row r="90" spans="1:8" x14ac:dyDescent="0.25">
      <c r="A90" s="16" t="s">
        <v>157</v>
      </c>
      <c r="B90">
        <v>7.6174174184835922E-2</v>
      </c>
      <c r="D90" s="16" t="s">
        <v>361</v>
      </c>
      <c r="E90">
        <v>7.5582977289440134E-2</v>
      </c>
      <c r="G90" s="16" t="s">
        <v>234</v>
      </c>
      <c r="H90">
        <v>0.10124148300949688</v>
      </c>
    </row>
    <row r="91" spans="1:8" x14ac:dyDescent="0.25">
      <c r="A91" s="16" t="s">
        <v>229</v>
      </c>
      <c r="B91">
        <v>7.435944605764383E-2</v>
      </c>
      <c r="D91" s="16" t="s">
        <v>356</v>
      </c>
      <c r="E91">
        <v>7.4952152361105959E-2</v>
      </c>
      <c r="G91" s="16" t="s">
        <v>356</v>
      </c>
      <c r="H91">
        <v>0.10112391773036392</v>
      </c>
    </row>
    <row r="92" spans="1:8" x14ac:dyDescent="0.25">
      <c r="A92" s="16" t="s">
        <v>181</v>
      </c>
      <c r="B92">
        <v>7.4161873203063E-2</v>
      </c>
      <c r="D92" s="16" t="s">
        <v>191</v>
      </c>
      <c r="E92">
        <v>7.4778425030135917E-2</v>
      </c>
      <c r="G92" s="16" t="s">
        <v>358</v>
      </c>
      <c r="H92">
        <v>0.10076872355602903</v>
      </c>
    </row>
    <row r="93" spans="1:8" x14ac:dyDescent="0.25">
      <c r="A93" s="16" t="s">
        <v>177</v>
      </c>
      <c r="B93">
        <v>7.3915262115404085E-2</v>
      </c>
      <c r="D93" s="16" t="s">
        <v>199</v>
      </c>
      <c r="E93">
        <v>7.3675112330252049E-2</v>
      </c>
      <c r="G93" s="16" t="s">
        <v>88</v>
      </c>
      <c r="H93">
        <v>9.8462987487165046E-2</v>
      </c>
    </row>
    <row r="94" spans="1:8" x14ac:dyDescent="0.25">
      <c r="A94" s="16" t="s">
        <v>258</v>
      </c>
      <c r="B94">
        <v>7.3492515968148917E-2</v>
      </c>
      <c r="D94" s="16" t="s">
        <v>221</v>
      </c>
      <c r="E94">
        <v>7.3194714762880184E-2</v>
      </c>
      <c r="G94" s="16" t="s">
        <v>86</v>
      </c>
      <c r="H94">
        <v>9.7936994797696103E-2</v>
      </c>
    </row>
    <row r="95" spans="1:8" x14ac:dyDescent="0.25">
      <c r="A95" s="16" t="s">
        <v>237</v>
      </c>
      <c r="B95">
        <v>7.2202552832529354E-2</v>
      </c>
      <c r="D95" s="16" t="s">
        <v>253</v>
      </c>
      <c r="E95">
        <v>7.2962035224265046E-2</v>
      </c>
      <c r="G95" s="16" t="s">
        <v>355</v>
      </c>
      <c r="H95">
        <v>9.7175819948398121E-2</v>
      </c>
    </row>
    <row r="96" spans="1:8" x14ac:dyDescent="0.25">
      <c r="A96" s="16" t="s">
        <v>234</v>
      </c>
      <c r="B96">
        <v>7.1375086541138111E-2</v>
      </c>
      <c r="D96" s="16" t="s">
        <v>237</v>
      </c>
      <c r="E96">
        <v>7.2862397400350512E-2</v>
      </c>
      <c r="G96" s="16" t="s">
        <v>200</v>
      </c>
      <c r="H96">
        <v>9.5650155673495885E-2</v>
      </c>
    </row>
    <row r="97" spans="1:8" x14ac:dyDescent="0.25">
      <c r="A97" s="16" t="s">
        <v>226</v>
      </c>
      <c r="B97">
        <v>7.1156488090531975E-2</v>
      </c>
      <c r="D97" s="16" t="s">
        <v>103</v>
      </c>
      <c r="E97">
        <v>7.273159062972194E-2</v>
      </c>
      <c r="G97" s="13" t="s">
        <v>241</v>
      </c>
      <c r="H97">
        <v>9.5370994945940105E-2</v>
      </c>
    </row>
    <row r="98" spans="1:8" x14ac:dyDescent="0.25">
      <c r="A98" s="16" t="s">
        <v>355</v>
      </c>
      <c r="B98">
        <v>6.6343534614164951E-2</v>
      </c>
      <c r="D98" s="16" t="s">
        <v>238</v>
      </c>
      <c r="E98">
        <v>7.2329790318104645E-2</v>
      </c>
      <c r="G98" s="16" t="s">
        <v>237</v>
      </c>
      <c r="H98">
        <v>9.3745010965177636E-2</v>
      </c>
    </row>
    <row r="99" spans="1:8" x14ac:dyDescent="0.25">
      <c r="A99" s="13" t="s">
        <v>224</v>
      </c>
      <c r="B99">
        <v>6.5856991186023797E-2</v>
      </c>
      <c r="D99" s="16" t="s">
        <v>211</v>
      </c>
      <c r="E99">
        <v>7.1507220885570391E-2</v>
      </c>
      <c r="G99" s="16" t="s">
        <v>359</v>
      </c>
      <c r="H99">
        <v>9.3686392868085736E-2</v>
      </c>
    </row>
    <row r="100" spans="1:8" x14ac:dyDescent="0.25">
      <c r="A100" s="16" t="s">
        <v>189</v>
      </c>
      <c r="B100">
        <v>6.3031223940356082E-2</v>
      </c>
      <c r="D100" s="13" t="s">
        <v>176</v>
      </c>
      <c r="E100">
        <v>6.9064102183134399E-2</v>
      </c>
      <c r="G100" s="13" t="s">
        <v>244</v>
      </c>
      <c r="H100">
        <v>9.3085999992117044E-2</v>
      </c>
    </row>
    <row r="101" spans="1:8" x14ac:dyDescent="0.25">
      <c r="A101" s="13" t="s">
        <v>126</v>
      </c>
      <c r="B101">
        <v>6.2655702018887857E-2</v>
      </c>
      <c r="D101" s="13" t="s">
        <v>223</v>
      </c>
      <c r="E101">
        <v>6.8586382702094148E-2</v>
      </c>
      <c r="G101" s="16" t="s">
        <v>229</v>
      </c>
      <c r="H101">
        <v>9.2905806426528445E-2</v>
      </c>
    </row>
    <row r="102" spans="1:8" x14ac:dyDescent="0.25">
      <c r="A102" s="16" t="s">
        <v>185</v>
      </c>
      <c r="B102">
        <v>6.2458919332828676E-2</v>
      </c>
      <c r="D102" s="16" t="s">
        <v>222</v>
      </c>
      <c r="E102">
        <v>6.6709238343110586E-2</v>
      </c>
      <c r="G102" s="13" t="s">
        <v>224</v>
      </c>
      <c r="H102">
        <v>9.2120760480514416E-2</v>
      </c>
    </row>
    <row r="103" spans="1:8" x14ac:dyDescent="0.25">
      <c r="A103" s="16" t="s">
        <v>86</v>
      </c>
      <c r="B103">
        <v>6.2182487256692183E-2</v>
      </c>
      <c r="D103" s="16" t="s">
        <v>9</v>
      </c>
      <c r="E103">
        <v>6.5243481609936718E-2</v>
      </c>
      <c r="G103" s="16" t="s">
        <v>228</v>
      </c>
      <c r="H103">
        <v>9.1919647875272611E-2</v>
      </c>
    </row>
    <row r="104" spans="1:8" x14ac:dyDescent="0.25">
      <c r="A104" s="16" t="s">
        <v>195</v>
      </c>
      <c r="B104">
        <v>6.2046339814814493E-2</v>
      </c>
      <c r="D104" s="16" t="s">
        <v>258</v>
      </c>
      <c r="E104">
        <v>6.4492117722487127E-2</v>
      </c>
      <c r="G104" s="13" t="s">
        <v>113</v>
      </c>
      <c r="H104">
        <v>9.1324092423249792E-2</v>
      </c>
    </row>
    <row r="105" spans="1:8" x14ac:dyDescent="0.25">
      <c r="A105" s="16" t="s">
        <v>87</v>
      </c>
      <c r="B105">
        <v>5.9754747827096395E-2</v>
      </c>
      <c r="D105" s="16" t="s">
        <v>181</v>
      </c>
      <c r="E105">
        <v>6.3311817494023551E-2</v>
      </c>
      <c r="G105" s="16" t="s">
        <v>245</v>
      </c>
      <c r="H105">
        <v>8.6320758667780578E-2</v>
      </c>
    </row>
    <row r="106" spans="1:8" x14ac:dyDescent="0.25">
      <c r="A106" s="16" t="s">
        <v>204</v>
      </c>
      <c r="B106">
        <v>5.962078360581477E-2</v>
      </c>
      <c r="D106" s="16" t="s">
        <v>195</v>
      </c>
      <c r="E106">
        <v>6.3176497714848429E-2</v>
      </c>
      <c r="G106" s="16" t="s">
        <v>87</v>
      </c>
      <c r="H106">
        <v>8.5932457384867975E-2</v>
      </c>
    </row>
    <row r="107" spans="1:8" x14ac:dyDescent="0.25">
      <c r="A107" s="16" t="s">
        <v>243</v>
      </c>
      <c r="B107">
        <v>5.9471403669379308E-2</v>
      </c>
      <c r="D107" s="13" t="s">
        <v>224</v>
      </c>
      <c r="E107">
        <v>6.1348796283737232E-2</v>
      </c>
      <c r="G107" s="13" t="s">
        <v>232</v>
      </c>
      <c r="H107">
        <v>8.5631657140723058E-2</v>
      </c>
    </row>
    <row r="108" spans="1:8" x14ac:dyDescent="0.25">
      <c r="A108" s="16" t="s">
        <v>213</v>
      </c>
      <c r="B108">
        <v>5.8964377992036153E-2</v>
      </c>
      <c r="D108" s="16" t="s">
        <v>229</v>
      </c>
      <c r="E108">
        <v>5.919950127306068E-2</v>
      </c>
      <c r="G108" s="16" t="s">
        <v>125</v>
      </c>
      <c r="H108">
        <v>8.5591621411636093E-2</v>
      </c>
    </row>
    <row r="109" spans="1:8" x14ac:dyDescent="0.25">
      <c r="A109" s="16" t="s">
        <v>184</v>
      </c>
      <c r="B109">
        <v>5.8416609152635794E-2</v>
      </c>
      <c r="D109" s="16" t="s">
        <v>170</v>
      </c>
      <c r="E109">
        <v>5.8451307203186115E-2</v>
      </c>
      <c r="G109" s="16" t="s">
        <v>184</v>
      </c>
      <c r="H109">
        <v>8.4597250503426716E-2</v>
      </c>
    </row>
    <row r="110" spans="1:8" x14ac:dyDescent="0.25">
      <c r="A110" s="16" t="s">
        <v>222</v>
      </c>
      <c r="B110">
        <v>5.8072411344872794E-2</v>
      </c>
      <c r="D110" s="16" t="s">
        <v>0</v>
      </c>
      <c r="E110">
        <v>5.6242524980425673E-2</v>
      </c>
      <c r="G110" s="16" t="s">
        <v>172</v>
      </c>
      <c r="H110">
        <v>8.3638055128905694E-2</v>
      </c>
    </row>
    <row r="111" spans="1:8" x14ac:dyDescent="0.25">
      <c r="A111" s="16" t="s">
        <v>210</v>
      </c>
      <c r="B111">
        <v>5.8048484256903156E-2</v>
      </c>
      <c r="D111" s="13" t="s">
        <v>232</v>
      </c>
      <c r="E111">
        <v>5.4200310536927039E-2</v>
      </c>
      <c r="G111" s="13" t="s">
        <v>121</v>
      </c>
      <c r="H111">
        <v>8.2684104511592499E-2</v>
      </c>
    </row>
    <row r="112" spans="1:8" x14ac:dyDescent="0.25">
      <c r="A112" s="16" t="s">
        <v>361</v>
      </c>
      <c r="B112">
        <v>5.7903977090623726E-2</v>
      </c>
      <c r="D112" s="16" t="s">
        <v>87</v>
      </c>
      <c r="E112">
        <v>5.4001862971364979E-2</v>
      </c>
      <c r="G112" s="16" t="s">
        <v>137</v>
      </c>
      <c r="H112">
        <v>8.192746665350735E-2</v>
      </c>
    </row>
    <row r="113" spans="1:8" x14ac:dyDescent="0.25">
      <c r="A113" s="16" t="s">
        <v>358</v>
      </c>
      <c r="B113">
        <v>5.7072128999473601E-2</v>
      </c>
      <c r="D113" s="13" t="s">
        <v>246</v>
      </c>
      <c r="E113">
        <v>5.1813202326539853E-2</v>
      </c>
      <c r="G113" s="16" t="s">
        <v>8</v>
      </c>
      <c r="H113">
        <v>8.1542486382013168E-2</v>
      </c>
    </row>
    <row r="114" spans="1:8" x14ac:dyDescent="0.25">
      <c r="A114" s="16" t="s">
        <v>125</v>
      </c>
      <c r="B114">
        <v>5.6351896897343261E-2</v>
      </c>
      <c r="D114" s="16" t="s">
        <v>205</v>
      </c>
      <c r="E114">
        <v>4.882265767011764E-2</v>
      </c>
      <c r="G114" s="16" t="s">
        <v>218</v>
      </c>
      <c r="H114">
        <v>8.1190783698686972E-2</v>
      </c>
    </row>
    <row r="115" spans="1:8" x14ac:dyDescent="0.25">
      <c r="A115" s="16" t="s">
        <v>158</v>
      </c>
      <c r="B115">
        <v>5.5503796111572606E-2</v>
      </c>
      <c r="D115" s="16" t="s">
        <v>137</v>
      </c>
      <c r="E115">
        <v>4.831381002805963E-2</v>
      </c>
      <c r="G115" s="16" t="s">
        <v>171</v>
      </c>
      <c r="H115">
        <v>8.0326957302505012E-2</v>
      </c>
    </row>
    <row r="116" spans="1:8" x14ac:dyDescent="0.25">
      <c r="A116" s="16" t="s">
        <v>239</v>
      </c>
      <c r="B116">
        <v>5.5211178572915305E-2</v>
      </c>
      <c r="D116" s="16" t="s">
        <v>167</v>
      </c>
      <c r="E116">
        <v>4.7580944217685966E-2</v>
      </c>
      <c r="G116" s="16" t="s">
        <v>175</v>
      </c>
      <c r="H116">
        <v>8.0122663447797088E-2</v>
      </c>
    </row>
    <row r="117" spans="1:8" x14ac:dyDescent="0.25">
      <c r="A117" s="16" t="s">
        <v>199</v>
      </c>
      <c r="B117">
        <v>5.426405041431346E-2</v>
      </c>
      <c r="D117" s="16" t="s">
        <v>86</v>
      </c>
      <c r="E117">
        <v>4.6920415819583887E-2</v>
      </c>
      <c r="G117" s="16" t="s">
        <v>243</v>
      </c>
      <c r="H117">
        <v>7.9059266940535999E-2</v>
      </c>
    </row>
    <row r="118" spans="1:8" x14ac:dyDescent="0.25">
      <c r="A118" s="16" t="s">
        <v>5</v>
      </c>
      <c r="B118">
        <v>5.3263013581749341E-2</v>
      </c>
      <c r="D118" s="16" t="s">
        <v>177</v>
      </c>
      <c r="E118">
        <v>4.3403657806154156E-2</v>
      </c>
      <c r="G118" s="16" t="s">
        <v>249</v>
      </c>
      <c r="H118">
        <v>7.8570219938337002E-2</v>
      </c>
    </row>
    <row r="119" spans="1:8" x14ac:dyDescent="0.25">
      <c r="A119" s="16" t="s">
        <v>159</v>
      </c>
      <c r="B119">
        <v>5.2263920878926187E-2</v>
      </c>
      <c r="D119" s="16" t="s">
        <v>171</v>
      </c>
      <c r="E119">
        <v>4.2726127885437171E-2</v>
      </c>
      <c r="G119" s="16" t="s">
        <v>128</v>
      </c>
      <c r="H119">
        <v>7.7497373998307126E-2</v>
      </c>
    </row>
    <row r="120" spans="1:8" x14ac:dyDescent="0.25">
      <c r="A120" s="16" t="s">
        <v>219</v>
      </c>
      <c r="B120">
        <v>5.2159179329575624E-2</v>
      </c>
      <c r="D120" s="16" t="s">
        <v>110</v>
      </c>
      <c r="E120">
        <v>4.2153186664257554E-2</v>
      </c>
      <c r="G120" s="16" t="s">
        <v>187</v>
      </c>
      <c r="H120">
        <v>7.7463134552521906E-2</v>
      </c>
    </row>
    <row r="121" spans="1:8" x14ac:dyDescent="0.25">
      <c r="A121" s="16" t="s">
        <v>209</v>
      </c>
      <c r="B121">
        <v>5.199694567959981E-2</v>
      </c>
      <c r="D121" s="16" t="s">
        <v>15</v>
      </c>
      <c r="E121">
        <v>4.1775076782005975E-2</v>
      </c>
      <c r="G121" s="16" t="s">
        <v>222</v>
      </c>
      <c r="H121">
        <v>7.6902670526855538E-2</v>
      </c>
    </row>
    <row r="122" spans="1:8" x14ac:dyDescent="0.25">
      <c r="A122" s="16" t="s">
        <v>182</v>
      </c>
      <c r="B122">
        <v>5.1108182770722613E-2</v>
      </c>
      <c r="D122" s="16" t="s">
        <v>172</v>
      </c>
      <c r="E122">
        <v>4.1322892168566806E-2</v>
      </c>
      <c r="G122" s="16" t="s">
        <v>198</v>
      </c>
      <c r="H122">
        <v>7.5554015854684867E-2</v>
      </c>
    </row>
    <row r="123" spans="1:8" x14ac:dyDescent="0.25">
      <c r="A123" s="16" t="s">
        <v>227</v>
      </c>
      <c r="B123">
        <v>5.0414744144724973E-2</v>
      </c>
      <c r="D123" s="16" t="s">
        <v>217</v>
      </c>
      <c r="E123">
        <v>4.1315305195549205E-2</v>
      </c>
      <c r="G123" s="16" t="s">
        <v>215</v>
      </c>
      <c r="H123">
        <v>7.4979205583053737E-2</v>
      </c>
    </row>
    <row r="124" spans="1:8" x14ac:dyDescent="0.25">
      <c r="A124" s="16" t="s">
        <v>172</v>
      </c>
      <c r="B124">
        <v>4.9972369868842709E-2</v>
      </c>
      <c r="D124" s="16" t="s">
        <v>254</v>
      </c>
      <c r="E124">
        <v>4.0980047777429848E-2</v>
      </c>
      <c r="G124" s="16" t="s">
        <v>180</v>
      </c>
      <c r="H124">
        <v>7.4181257854104385E-2</v>
      </c>
    </row>
    <row r="125" spans="1:8" x14ac:dyDescent="0.25">
      <c r="A125" s="16" t="s">
        <v>249</v>
      </c>
      <c r="B125">
        <v>4.9815181408609334E-2</v>
      </c>
      <c r="D125" s="16" t="s">
        <v>213</v>
      </c>
      <c r="E125">
        <v>4.0544467482336553E-2</v>
      </c>
      <c r="G125" s="16" t="s">
        <v>183</v>
      </c>
      <c r="H125">
        <v>7.15425288116322E-2</v>
      </c>
    </row>
    <row r="126" spans="1:8" x14ac:dyDescent="0.25">
      <c r="A126" s="16" t="s">
        <v>156</v>
      </c>
      <c r="B126">
        <v>4.9680920382437779E-2</v>
      </c>
      <c r="D126" s="16" t="s">
        <v>133</v>
      </c>
      <c r="E126">
        <v>3.884908675718813E-2</v>
      </c>
      <c r="G126" s="16" t="s">
        <v>195</v>
      </c>
      <c r="H126">
        <v>7.1477073019940621E-2</v>
      </c>
    </row>
    <row r="127" spans="1:8" x14ac:dyDescent="0.25">
      <c r="A127" s="16" t="s">
        <v>180</v>
      </c>
      <c r="B127">
        <v>4.8412676070758706E-2</v>
      </c>
      <c r="D127" s="13" t="s">
        <v>11</v>
      </c>
      <c r="E127">
        <v>3.8196040833815795E-2</v>
      </c>
      <c r="G127" s="16" t="s">
        <v>127</v>
      </c>
      <c r="H127">
        <v>7.1382721725716927E-2</v>
      </c>
    </row>
    <row r="128" spans="1:8" x14ac:dyDescent="0.25">
      <c r="A128" s="16" t="s">
        <v>171</v>
      </c>
      <c r="B128">
        <v>4.7755545242881947E-2</v>
      </c>
      <c r="D128" s="16" t="s">
        <v>202</v>
      </c>
      <c r="E128">
        <v>3.8137572354519762E-2</v>
      </c>
      <c r="G128" s="58" t="s">
        <v>75</v>
      </c>
      <c r="H128">
        <v>7.116020276340955E-2</v>
      </c>
    </row>
    <row r="129" spans="1:8" x14ac:dyDescent="0.25">
      <c r="A129" s="16" t="s">
        <v>221</v>
      </c>
      <c r="B129">
        <v>4.7091373343027654E-2</v>
      </c>
      <c r="D129" s="16" t="s">
        <v>184</v>
      </c>
      <c r="E129">
        <v>3.683915108674108E-2</v>
      </c>
      <c r="G129" s="16" t="s">
        <v>239</v>
      </c>
      <c r="H129">
        <v>7.027265686977742E-2</v>
      </c>
    </row>
    <row r="130" spans="1:8" x14ac:dyDescent="0.25">
      <c r="A130" s="16" t="s">
        <v>198</v>
      </c>
      <c r="B130">
        <v>4.6896596569299995E-2</v>
      </c>
      <c r="D130" s="16" t="s">
        <v>180</v>
      </c>
      <c r="E130">
        <v>3.6596385122956238E-2</v>
      </c>
      <c r="G130" s="16" t="s">
        <v>216</v>
      </c>
      <c r="H130">
        <v>6.8744727770705616E-2</v>
      </c>
    </row>
    <row r="131" spans="1:8" x14ac:dyDescent="0.25">
      <c r="A131" s="16" t="s">
        <v>216</v>
      </c>
      <c r="B131">
        <v>4.6142619995357105E-2</v>
      </c>
      <c r="D131" s="16" t="s">
        <v>239</v>
      </c>
      <c r="E131">
        <v>3.6394409374865204E-2</v>
      </c>
      <c r="G131" s="16" t="s">
        <v>194</v>
      </c>
      <c r="H131">
        <v>6.680007973124745E-2</v>
      </c>
    </row>
    <row r="132" spans="1:8" x14ac:dyDescent="0.25">
      <c r="A132" s="58" t="s">
        <v>75</v>
      </c>
      <c r="B132">
        <v>4.5845221089457606E-2</v>
      </c>
      <c r="D132" s="13" t="s">
        <v>10</v>
      </c>
      <c r="E132">
        <v>3.6243914984565383E-2</v>
      </c>
      <c r="G132" s="16" t="s">
        <v>213</v>
      </c>
      <c r="H132">
        <v>6.655988411200725E-2</v>
      </c>
    </row>
    <row r="133" spans="1:8" x14ac:dyDescent="0.25">
      <c r="A133" s="16" t="s">
        <v>175</v>
      </c>
      <c r="B133">
        <v>4.3943473647518702E-2</v>
      </c>
      <c r="D133" s="16" t="s">
        <v>216</v>
      </c>
      <c r="E133">
        <v>3.5899725874254509E-2</v>
      </c>
      <c r="G133" s="16" t="s">
        <v>199</v>
      </c>
      <c r="H133">
        <v>6.6356185074392657E-2</v>
      </c>
    </row>
    <row r="134" spans="1:8" x14ac:dyDescent="0.25">
      <c r="A134" s="16" t="s">
        <v>194</v>
      </c>
      <c r="B134">
        <v>4.38871767503837E-2</v>
      </c>
      <c r="D134" s="58" t="s">
        <v>78</v>
      </c>
      <c r="E134">
        <v>3.553834808434507E-2</v>
      </c>
      <c r="G134" s="16" t="s">
        <v>186</v>
      </c>
      <c r="H134">
        <v>6.5794062024618502E-2</v>
      </c>
    </row>
    <row r="135" spans="1:8" x14ac:dyDescent="0.25">
      <c r="A135" s="16" t="s">
        <v>359</v>
      </c>
      <c r="B135">
        <v>4.2667620089479275E-2</v>
      </c>
      <c r="D135" s="16" t="s">
        <v>175</v>
      </c>
      <c r="E135">
        <v>3.5283760289874254E-2</v>
      </c>
      <c r="G135" s="13" t="s">
        <v>362</v>
      </c>
      <c r="H135">
        <v>6.5759158872427004E-2</v>
      </c>
    </row>
    <row r="136" spans="1:8" x14ac:dyDescent="0.25">
      <c r="A136" s="16" t="s">
        <v>217</v>
      </c>
      <c r="B136">
        <v>4.2644687464365838E-2</v>
      </c>
      <c r="D136" s="16" t="s">
        <v>227</v>
      </c>
      <c r="E136">
        <v>3.491910981317535E-2</v>
      </c>
      <c r="G136" s="16" t="s">
        <v>182</v>
      </c>
      <c r="H136">
        <v>6.5383636983622859E-2</v>
      </c>
    </row>
    <row r="137" spans="1:8" x14ac:dyDescent="0.25">
      <c r="A137" s="16" t="s">
        <v>183</v>
      </c>
      <c r="B137">
        <v>4.2317646864920309E-2</v>
      </c>
      <c r="D137" s="16" t="s">
        <v>212</v>
      </c>
      <c r="E137">
        <v>3.4865482658907605E-2</v>
      </c>
      <c r="G137" s="16" t="s">
        <v>84</v>
      </c>
      <c r="H137">
        <v>6.3785714341927785E-2</v>
      </c>
    </row>
    <row r="138" spans="1:8" x14ac:dyDescent="0.25">
      <c r="A138" s="16" t="s">
        <v>212</v>
      </c>
      <c r="B138">
        <v>4.2077339670120242E-2</v>
      </c>
      <c r="D138" s="58" t="s">
        <v>74</v>
      </c>
      <c r="E138">
        <v>3.48532356946019E-2</v>
      </c>
      <c r="G138" s="16" t="s">
        <v>119</v>
      </c>
      <c r="H138">
        <v>6.2841726215533342E-2</v>
      </c>
    </row>
    <row r="139" spans="1:8" x14ac:dyDescent="0.25">
      <c r="A139" s="16" t="s">
        <v>211</v>
      </c>
      <c r="B139">
        <v>4.0952885361063417E-2</v>
      </c>
      <c r="D139" s="16" t="s">
        <v>97</v>
      </c>
      <c r="E139">
        <v>3.4168196453662494E-2</v>
      </c>
      <c r="G139" s="16" t="s">
        <v>99</v>
      </c>
      <c r="H139">
        <v>6.2719540979929156E-2</v>
      </c>
    </row>
    <row r="140" spans="1:8" x14ac:dyDescent="0.25">
      <c r="A140" s="16" t="s">
        <v>202</v>
      </c>
      <c r="B140">
        <v>4.0493960684896836E-2</v>
      </c>
      <c r="D140" s="16" t="s">
        <v>161</v>
      </c>
      <c r="E140">
        <v>3.3864375771933616E-2</v>
      </c>
      <c r="G140" s="16" t="s">
        <v>16</v>
      </c>
      <c r="H140">
        <v>6.1260917410215603E-2</v>
      </c>
    </row>
    <row r="141" spans="1:8" x14ac:dyDescent="0.25">
      <c r="A141" s="16" t="s">
        <v>130</v>
      </c>
      <c r="B141">
        <v>4.0139366523561565E-2</v>
      </c>
      <c r="D141" s="16" t="s">
        <v>230</v>
      </c>
      <c r="E141">
        <v>3.3421898066466178E-2</v>
      </c>
      <c r="G141" s="16" t="s">
        <v>91</v>
      </c>
      <c r="H141">
        <v>6.0878008800421414E-2</v>
      </c>
    </row>
    <row r="142" spans="1:8" x14ac:dyDescent="0.25">
      <c r="A142" s="16" t="s">
        <v>137</v>
      </c>
      <c r="B142">
        <v>3.9379937640151311E-2</v>
      </c>
      <c r="D142" s="16" t="s">
        <v>198</v>
      </c>
      <c r="E142">
        <v>3.2862303100745734E-2</v>
      </c>
      <c r="G142" s="16" t="s">
        <v>85</v>
      </c>
      <c r="H142">
        <v>6.0504948132898126E-2</v>
      </c>
    </row>
    <row r="143" spans="1:8" x14ac:dyDescent="0.25">
      <c r="A143" s="16" t="s">
        <v>112</v>
      </c>
      <c r="B143">
        <v>3.8739458065491041E-2</v>
      </c>
      <c r="D143" s="16" t="s">
        <v>200</v>
      </c>
      <c r="E143">
        <v>3.1717651597444621E-2</v>
      </c>
      <c r="G143" s="16" t="s">
        <v>211</v>
      </c>
      <c r="H143">
        <v>5.7377566920600795E-2</v>
      </c>
    </row>
    <row r="144" spans="1:8" x14ac:dyDescent="0.25">
      <c r="A144" s="16" t="s">
        <v>127</v>
      </c>
      <c r="B144">
        <v>3.7785018764019372E-2</v>
      </c>
      <c r="D144" s="16" t="s">
        <v>233</v>
      </c>
      <c r="E144">
        <v>2.9507617412972278E-2</v>
      </c>
      <c r="G144" s="16" t="s">
        <v>130</v>
      </c>
      <c r="H144">
        <v>5.6429896632906672E-2</v>
      </c>
    </row>
    <row r="145" spans="1:8" x14ac:dyDescent="0.25">
      <c r="A145" s="58" t="s">
        <v>78</v>
      </c>
      <c r="B145">
        <v>3.701692612430988E-2</v>
      </c>
      <c r="D145" s="16" t="s">
        <v>95</v>
      </c>
      <c r="E145">
        <v>2.9177078119831359E-2</v>
      </c>
      <c r="G145" s="16" t="s">
        <v>227</v>
      </c>
      <c r="H145">
        <v>5.6191248767374004E-2</v>
      </c>
    </row>
    <row r="146" spans="1:8" x14ac:dyDescent="0.25">
      <c r="A146" s="16" t="s">
        <v>206</v>
      </c>
      <c r="B146">
        <v>3.6759173141678307E-2</v>
      </c>
      <c r="D146" s="16" t="s">
        <v>206</v>
      </c>
      <c r="E146">
        <v>2.8506447324961246E-2</v>
      </c>
      <c r="G146" s="16" t="s">
        <v>210</v>
      </c>
      <c r="H146">
        <v>5.6136785603102278E-2</v>
      </c>
    </row>
    <row r="147" spans="1:8" x14ac:dyDescent="0.25">
      <c r="A147" s="16" t="s">
        <v>233</v>
      </c>
      <c r="B147">
        <v>3.6461676166318936E-2</v>
      </c>
      <c r="D147" s="16" t="s">
        <v>7</v>
      </c>
      <c r="E147">
        <v>2.8075286177584188E-2</v>
      </c>
      <c r="G147" s="16" t="s">
        <v>185</v>
      </c>
      <c r="H147">
        <v>5.6083531906301068E-2</v>
      </c>
    </row>
    <row r="148" spans="1:8" x14ac:dyDescent="0.25">
      <c r="A148" s="16" t="s">
        <v>200</v>
      </c>
      <c r="B148">
        <v>3.6117556959039412E-2</v>
      </c>
      <c r="D148" s="16" t="s">
        <v>136</v>
      </c>
      <c r="E148">
        <v>2.7411434660792679E-2</v>
      </c>
      <c r="G148" s="16" t="s">
        <v>235</v>
      </c>
      <c r="H148">
        <v>5.4738108009377409E-2</v>
      </c>
    </row>
    <row r="149" spans="1:8" x14ac:dyDescent="0.25">
      <c r="A149" s="16" t="s">
        <v>163</v>
      </c>
      <c r="B149">
        <v>3.6075114901247055E-2</v>
      </c>
      <c r="D149" s="16" t="s">
        <v>178</v>
      </c>
      <c r="E149">
        <v>2.6764565385260872E-2</v>
      </c>
      <c r="G149" s="16" t="s">
        <v>189</v>
      </c>
      <c r="H149">
        <v>5.4412439358939482E-2</v>
      </c>
    </row>
    <row r="150" spans="1:8" x14ac:dyDescent="0.25">
      <c r="A150" s="16" t="s">
        <v>0</v>
      </c>
      <c r="B150">
        <v>3.5489781969259851E-2</v>
      </c>
      <c r="D150" s="16" t="s">
        <v>182</v>
      </c>
      <c r="E150">
        <v>2.6418117266773514E-2</v>
      </c>
      <c r="G150" s="16" t="s">
        <v>122</v>
      </c>
      <c r="H150">
        <v>5.424150324501633E-2</v>
      </c>
    </row>
    <row r="151" spans="1:8" x14ac:dyDescent="0.25">
      <c r="A151" s="13" t="s">
        <v>362</v>
      </c>
      <c r="B151">
        <v>3.546551751461393E-2</v>
      </c>
      <c r="D151" s="16" t="s">
        <v>197</v>
      </c>
      <c r="E151">
        <v>2.5178421464346824E-2</v>
      </c>
      <c r="G151" s="16" t="s">
        <v>206</v>
      </c>
      <c r="H151">
        <v>5.3591619903091588E-2</v>
      </c>
    </row>
    <row r="152" spans="1:8" x14ac:dyDescent="0.25">
      <c r="A152" s="16" t="s">
        <v>128</v>
      </c>
      <c r="B152">
        <v>3.5353379266701714E-2</v>
      </c>
      <c r="D152" s="16" t="s">
        <v>248</v>
      </c>
      <c r="E152">
        <v>2.4321537259257311E-2</v>
      </c>
      <c r="G152" s="16" t="s">
        <v>204</v>
      </c>
      <c r="H152">
        <v>5.3446075447006247E-2</v>
      </c>
    </row>
    <row r="153" spans="1:8" x14ac:dyDescent="0.25">
      <c r="A153" s="16" t="s">
        <v>155</v>
      </c>
      <c r="B153">
        <v>3.5071484075416923E-2</v>
      </c>
      <c r="D153" s="16" t="s">
        <v>242</v>
      </c>
      <c r="E153">
        <v>2.3392700375610843E-2</v>
      </c>
      <c r="G153" s="16" t="s">
        <v>173</v>
      </c>
      <c r="H153">
        <v>5.2748046061866158E-2</v>
      </c>
    </row>
    <row r="154" spans="1:8" x14ac:dyDescent="0.25">
      <c r="A154" s="16" t="s">
        <v>170</v>
      </c>
      <c r="B154">
        <v>3.3998491708165546E-2</v>
      </c>
      <c r="D154" s="16" t="s">
        <v>129</v>
      </c>
      <c r="E154">
        <v>2.2336501792090905E-2</v>
      </c>
      <c r="G154" s="16" t="s">
        <v>120</v>
      </c>
      <c r="H154">
        <v>5.1901777034585019E-2</v>
      </c>
    </row>
    <row r="155" spans="1:8" x14ac:dyDescent="0.25">
      <c r="A155" s="13" t="s">
        <v>113</v>
      </c>
      <c r="B155">
        <v>3.2750348443422436E-2</v>
      </c>
      <c r="D155" s="16" t="s">
        <v>243</v>
      </c>
      <c r="E155">
        <v>2.1772616634274017E-2</v>
      </c>
      <c r="G155" s="58" t="s">
        <v>78</v>
      </c>
      <c r="H155">
        <v>5.124218750800786E-2</v>
      </c>
    </row>
    <row r="156" spans="1:8" x14ac:dyDescent="0.25">
      <c r="A156" s="16" t="s">
        <v>8</v>
      </c>
      <c r="B156">
        <v>3.1618244745366064E-2</v>
      </c>
      <c r="D156" s="58" t="s">
        <v>76</v>
      </c>
      <c r="E156">
        <v>2.0802212507077297E-2</v>
      </c>
      <c r="G156" s="16" t="s">
        <v>112</v>
      </c>
      <c r="H156">
        <v>5.1017229043970436E-2</v>
      </c>
    </row>
    <row r="157" spans="1:8" x14ac:dyDescent="0.25">
      <c r="A157" s="16" t="s">
        <v>167</v>
      </c>
      <c r="B157">
        <v>3.1406011826087918E-2</v>
      </c>
      <c r="D157" s="16" t="s">
        <v>179</v>
      </c>
      <c r="E157">
        <v>1.9963853235575781E-2</v>
      </c>
      <c r="G157" s="16" t="s">
        <v>152</v>
      </c>
      <c r="H157">
        <v>5.0922847214093861E-2</v>
      </c>
    </row>
    <row r="158" spans="1:8" x14ac:dyDescent="0.25">
      <c r="A158" s="16" t="s">
        <v>110</v>
      </c>
      <c r="B158">
        <v>3.1063013098515425E-2</v>
      </c>
      <c r="D158" s="16" t="s">
        <v>117</v>
      </c>
      <c r="E158">
        <v>1.9261139894494281E-2</v>
      </c>
      <c r="G158" s="16" t="s">
        <v>5</v>
      </c>
      <c r="H158">
        <v>5.0088731495309242E-2</v>
      </c>
    </row>
    <row r="159" spans="1:8" x14ac:dyDescent="0.25">
      <c r="A159" s="16" t="s">
        <v>133</v>
      </c>
      <c r="B159">
        <v>3.0972018720912049E-2</v>
      </c>
      <c r="D159" s="16" t="s">
        <v>112</v>
      </c>
      <c r="E159">
        <v>1.8455479665688786E-2</v>
      </c>
      <c r="G159" s="16" t="s">
        <v>107</v>
      </c>
      <c r="H159">
        <v>4.9228660667687399E-2</v>
      </c>
    </row>
    <row r="160" spans="1:8" x14ac:dyDescent="0.25">
      <c r="A160" s="16" t="s">
        <v>7</v>
      </c>
      <c r="B160">
        <v>2.9583726738210296E-2</v>
      </c>
      <c r="D160" s="13" t="s">
        <v>207</v>
      </c>
      <c r="E160">
        <v>1.7696364571380879E-2</v>
      </c>
      <c r="G160" s="16" t="s">
        <v>155</v>
      </c>
      <c r="H160">
        <v>4.9190959283744229E-2</v>
      </c>
    </row>
    <row r="161" spans="1:8" x14ac:dyDescent="0.25">
      <c r="A161" s="16" t="s">
        <v>201</v>
      </c>
      <c r="B161">
        <v>2.909582530700933E-2</v>
      </c>
      <c r="D161" s="16" t="s">
        <v>90</v>
      </c>
      <c r="E161">
        <v>1.7200234133445833E-2</v>
      </c>
      <c r="G161" s="16" t="s">
        <v>148</v>
      </c>
      <c r="H161">
        <v>4.8960390883229857E-2</v>
      </c>
    </row>
    <row r="162" spans="1:8" x14ac:dyDescent="0.25">
      <c r="A162" s="16" t="s">
        <v>164</v>
      </c>
      <c r="B162">
        <v>2.9024037527825824E-2</v>
      </c>
      <c r="D162" s="16" t="s">
        <v>130</v>
      </c>
      <c r="E162">
        <v>1.5332126570025272E-2</v>
      </c>
      <c r="G162" s="16" t="s">
        <v>89</v>
      </c>
      <c r="H162">
        <v>4.8235068164389813E-2</v>
      </c>
    </row>
    <row r="163" spans="1:8" x14ac:dyDescent="0.25">
      <c r="A163" s="16" t="s">
        <v>129</v>
      </c>
      <c r="B163">
        <v>2.8680992257584189E-2</v>
      </c>
      <c r="D163" s="16" t="s">
        <v>158</v>
      </c>
      <c r="E163">
        <v>1.5103135507134664E-2</v>
      </c>
      <c r="G163" s="16" t="s">
        <v>163</v>
      </c>
      <c r="H163">
        <v>4.82041839551305E-2</v>
      </c>
    </row>
    <row r="164" spans="1:8" x14ac:dyDescent="0.25">
      <c r="A164" s="13" t="s">
        <v>231</v>
      </c>
      <c r="B164">
        <v>2.8562787217988411E-2</v>
      </c>
      <c r="D164" s="16" t="s">
        <v>148</v>
      </c>
      <c r="E164">
        <v>1.4698130243967917E-2</v>
      </c>
      <c r="G164" s="16" t="s">
        <v>202</v>
      </c>
      <c r="H164">
        <v>4.7269897069894797E-2</v>
      </c>
    </row>
    <row r="165" spans="1:8" x14ac:dyDescent="0.25">
      <c r="A165" s="16" t="s">
        <v>218</v>
      </c>
      <c r="B165">
        <v>2.8349072694227522E-2</v>
      </c>
      <c r="D165" s="16" t="s">
        <v>209</v>
      </c>
      <c r="E165">
        <v>1.3306470673336644E-2</v>
      </c>
      <c r="G165" s="16" t="s">
        <v>217</v>
      </c>
      <c r="H165">
        <v>4.6822130524594593E-2</v>
      </c>
    </row>
    <row r="166" spans="1:8" x14ac:dyDescent="0.25">
      <c r="A166" s="16" t="s">
        <v>173</v>
      </c>
      <c r="B166">
        <v>2.8083387585415127E-2</v>
      </c>
      <c r="D166" s="13" t="s">
        <v>162</v>
      </c>
      <c r="E166">
        <v>1.3040996833896916E-2</v>
      </c>
      <c r="G166" s="16" t="s">
        <v>212</v>
      </c>
      <c r="H166">
        <v>4.6273442624424108E-2</v>
      </c>
    </row>
    <row r="167" spans="1:8" x14ac:dyDescent="0.25">
      <c r="A167" s="16" t="s">
        <v>85</v>
      </c>
      <c r="B167">
        <v>2.798618187412755E-2</v>
      </c>
      <c r="D167" s="16" t="s">
        <v>359</v>
      </c>
      <c r="E167">
        <v>1.2038144657740042E-2</v>
      </c>
      <c r="G167" s="16" t="s">
        <v>83</v>
      </c>
      <c r="H167">
        <v>4.6070293264388357E-2</v>
      </c>
    </row>
    <row r="168" spans="1:8" x14ac:dyDescent="0.25">
      <c r="A168" s="16" t="s">
        <v>161</v>
      </c>
      <c r="B168">
        <v>2.7640914886372939E-2</v>
      </c>
      <c r="D168" s="16" t="s">
        <v>152</v>
      </c>
      <c r="E168">
        <v>1.1795503000480118E-2</v>
      </c>
      <c r="G168" s="16" t="s">
        <v>233</v>
      </c>
      <c r="H168">
        <v>4.4260733844197049E-2</v>
      </c>
    </row>
    <row r="169" spans="1:8" x14ac:dyDescent="0.25">
      <c r="A169" s="16" t="s">
        <v>84</v>
      </c>
      <c r="B169">
        <v>2.7255681437946433E-2</v>
      </c>
      <c r="D169" s="16" t="s">
        <v>6</v>
      </c>
      <c r="E169">
        <v>1.1361646349116029E-2</v>
      </c>
      <c r="G169" s="13" t="s">
        <v>126</v>
      </c>
      <c r="H169">
        <v>4.4190882205805471E-2</v>
      </c>
    </row>
    <row r="170" spans="1:8" x14ac:dyDescent="0.25">
      <c r="A170" s="16" t="s">
        <v>16</v>
      </c>
      <c r="B170">
        <v>2.6040549418578082E-2</v>
      </c>
      <c r="D170" s="16" t="s">
        <v>249</v>
      </c>
      <c r="E170">
        <v>1.039564447461278E-2</v>
      </c>
      <c r="G170" s="16" t="s">
        <v>154</v>
      </c>
      <c r="H170">
        <v>4.4130146190272314E-2</v>
      </c>
    </row>
    <row r="171" spans="1:8" x14ac:dyDescent="0.25">
      <c r="A171" s="16" t="s">
        <v>154</v>
      </c>
      <c r="B171">
        <v>2.4643084056993277E-2</v>
      </c>
      <c r="D171" s="16" t="s">
        <v>163</v>
      </c>
      <c r="E171">
        <v>1.0176613523790921E-2</v>
      </c>
      <c r="G171" s="16" t="s">
        <v>104</v>
      </c>
      <c r="H171">
        <v>4.3729797416990901E-2</v>
      </c>
    </row>
    <row r="172" spans="1:8" x14ac:dyDescent="0.25">
      <c r="A172" s="16" t="s">
        <v>119</v>
      </c>
      <c r="B172">
        <v>2.4368080490813841E-2</v>
      </c>
      <c r="D172" s="58" t="s">
        <v>75</v>
      </c>
      <c r="E172">
        <v>1.0027943584912387E-2</v>
      </c>
      <c r="G172" s="16" t="s">
        <v>221</v>
      </c>
      <c r="H172">
        <v>4.3263977826052645E-2</v>
      </c>
    </row>
    <row r="173" spans="1:8" x14ac:dyDescent="0.25">
      <c r="A173" s="16" t="s">
        <v>91</v>
      </c>
      <c r="B173">
        <v>2.3566333362409691E-2</v>
      </c>
      <c r="D173" s="16" t="s">
        <v>203</v>
      </c>
      <c r="E173">
        <v>9.4634524702252101E-3</v>
      </c>
      <c r="G173" s="16" t="s">
        <v>161</v>
      </c>
      <c r="H173">
        <v>4.3153939046020093E-2</v>
      </c>
    </row>
    <row r="174" spans="1:8" x14ac:dyDescent="0.25">
      <c r="A174" s="13" t="s">
        <v>111</v>
      </c>
      <c r="B174">
        <v>2.3288412968880561E-2</v>
      </c>
      <c r="D174" s="16" t="s">
        <v>164</v>
      </c>
      <c r="E174">
        <v>8.9024690540542468E-3</v>
      </c>
      <c r="G174" s="16" t="s">
        <v>196</v>
      </c>
      <c r="H174">
        <v>4.2788900692411577E-2</v>
      </c>
    </row>
    <row r="175" spans="1:8" x14ac:dyDescent="0.25">
      <c r="A175" s="16" t="s">
        <v>196</v>
      </c>
      <c r="B175">
        <v>2.3261535233113702E-2</v>
      </c>
      <c r="D175" s="16" t="s">
        <v>3</v>
      </c>
      <c r="E175">
        <v>8.6291803909596745E-3</v>
      </c>
      <c r="G175" s="16" t="s">
        <v>164</v>
      </c>
      <c r="H175">
        <v>4.1184620559743229E-2</v>
      </c>
    </row>
    <row r="176" spans="1:8" x14ac:dyDescent="0.25">
      <c r="A176" s="16" t="s">
        <v>122</v>
      </c>
      <c r="B176">
        <v>2.3134995792129916E-2</v>
      </c>
      <c r="D176" s="16" t="s">
        <v>16</v>
      </c>
      <c r="E176">
        <v>8.474640661169968E-3</v>
      </c>
      <c r="G176" s="16" t="s">
        <v>197</v>
      </c>
      <c r="H176">
        <v>4.0981886908425871E-2</v>
      </c>
    </row>
    <row r="177" spans="1:8" x14ac:dyDescent="0.25">
      <c r="A177" s="16" t="s">
        <v>242</v>
      </c>
      <c r="B177">
        <v>2.2915614445797639E-2</v>
      </c>
      <c r="D177" s="16" t="s">
        <v>91</v>
      </c>
      <c r="E177">
        <v>7.6802732549493538E-3</v>
      </c>
      <c r="G177" s="16" t="s">
        <v>1</v>
      </c>
      <c r="H177">
        <v>4.0806765201263681E-2</v>
      </c>
    </row>
    <row r="178" spans="1:8" x14ac:dyDescent="0.25">
      <c r="A178" s="16" t="s">
        <v>1</v>
      </c>
      <c r="B178">
        <v>2.2066271061171296E-2</v>
      </c>
      <c r="D178" s="16" t="s">
        <v>119</v>
      </c>
      <c r="E178">
        <v>7.4164082573416838E-3</v>
      </c>
      <c r="G178" s="16" t="s">
        <v>159</v>
      </c>
      <c r="H178">
        <v>4.0086038161376424E-2</v>
      </c>
    </row>
    <row r="179" spans="1:8" x14ac:dyDescent="0.25">
      <c r="A179" s="16" t="s">
        <v>3</v>
      </c>
      <c r="B179">
        <v>2.1670769097768855E-2</v>
      </c>
      <c r="D179" s="16" t="s">
        <v>150</v>
      </c>
      <c r="E179">
        <v>6.7287429862137177E-3</v>
      </c>
      <c r="G179" s="16" t="s">
        <v>144</v>
      </c>
      <c r="H179">
        <v>3.9298815603159433E-2</v>
      </c>
    </row>
    <row r="180" spans="1:8" x14ac:dyDescent="0.25">
      <c r="A180" s="13" t="s">
        <v>10</v>
      </c>
      <c r="B180">
        <v>2.15924384289423E-2</v>
      </c>
      <c r="D180" s="16" t="s">
        <v>358</v>
      </c>
      <c r="E180">
        <v>6.1543743998164748E-3</v>
      </c>
      <c r="G180" s="16" t="s">
        <v>167</v>
      </c>
      <c r="H180">
        <v>3.9163704028437642E-2</v>
      </c>
    </row>
    <row r="181" spans="1:8" x14ac:dyDescent="0.25">
      <c r="A181" s="16" t="s">
        <v>9</v>
      </c>
      <c r="B181">
        <v>2.1186490749955256E-2</v>
      </c>
      <c r="D181" s="16" t="s">
        <v>98</v>
      </c>
      <c r="E181">
        <v>5.3620034475181247E-3</v>
      </c>
      <c r="G181" s="13" t="s">
        <v>236</v>
      </c>
      <c r="H181">
        <v>3.9114295328263056E-2</v>
      </c>
    </row>
    <row r="182" spans="1:8" x14ac:dyDescent="0.25">
      <c r="A182" s="16" t="s">
        <v>179</v>
      </c>
      <c r="B182">
        <v>2.0600779000807461E-2</v>
      </c>
      <c r="D182" s="16" t="s">
        <v>1</v>
      </c>
      <c r="E182">
        <v>5.2727219068939421E-3</v>
      </c>
      <c r="G182" s="16" t="s">
        <v>201</v>
      </c>
      <c r="H182">
        <v>3.8393986451442264E-2</v>
      </c>
    </row>
    <row r="183" spans="1:8" x14ac:dyDescent="0.25">
      <c r="A183" s="13" t="s">
        <v>11</v>
      </c>
      <c r="B183">
        <v>1.9528703045783628E-2</v>
      </c>
      <c r="D183" s="16" t="s">
        <v>201</v>
      </c>
      <c r="E183">
        <v>5.0665272323914632E-3</v>
      </c>
      <c r="G183" s="16" t="s">
        <v>110</v>
      </c>
      <c r="H183">
        <v>3.7606783721507699E-2</v>
      </c>
    </row>
    <row r="184" spans="1:8" x14ac:dyDescent="0.25">
      <c r="A184" s="16" t="s">
        <v>103</v>
      </c>
      <c r="B184">
        <v>1.8680671645098134E-2</v>
      </c>
      <c r="D184" s="16" t="s">
        <v>134</v>
      </c>
      <c r="E184">
        <v>4.6228192259123446E-3</v>
      </c>
      <c r="G184" s="16" t="s">
        <v>0</v>
      </c>
      <c r="H184">
        <v>3.7072753766701334E-2</v>
      </c>
    </row>
    <row r="185" spans="1:8" x14ac:dyDescent="0.25">
      <c r="A185" s="16" t="s">
        <v>136</v>
      </c>
      <c r="B185">
        <v>1.8323371680083841E-2</v>
      </c>
      <c r="D185" s="16" t="s">
        <v>360</v>
      </c>
      <c r="E185">
        <v>4.4533455080190852E-3</v>
      </c>
      <c r="G185" s="16" t="s">
        <v>7</v>
      </c>
      <c r="H185">
        <v>3.6765840641457742E-2</v>
      </c>
    </row>
    <row r="186" spans="1:8" x14ac:dyDescent="0.25">
      <c r="A186" s="13" t="s">
        <v>236</v>
      </c>
      <c r="B186">
        <v>1.7880154267414357E-2</v>
      </c>
      <c r="D186" s="16" t="s">
        <v>122</v>
      </c>
      <c r="E186">
        <v>3.6576070181642247E-3</v>
      </c>
      <c r="G186" s="58" t="s">
        <v>74</v>
      </c>
      <c r="H186">
        <v>3.5330603521864214E-2</v>
      </c>
    </row>
    <row r="187" spans="1:8" x14ac:dyDescent="0.25">
      <c r="A187" s="16" t="s">
        <v>166</v>
      </c>
      <c r="B187">
        <v>1.7777272363016801E-2</v>
      </c>
      <c r="D187" s="16" t="s">
        <v>154</v>
      </c>
      <c r="E187">
        <v>3.1807681227582888E-3</v>
      </c>
      <c r="G187" s="16" t="s">
        <v>170</v>
      </c>
      <c r="H187">
        <v>3.507889483291883E-2</v>
      </c>
    </row>
    <row r="188" spans="1:8" x14ac:dyDescent="0.25">
      <c r="A188" s="16" t="s">
        <v>151</v>
      </c>
      <c r="B188">
        <v>1.775968887179739E-2</v>
      </c>
      <c r="D188" s="16" t="s">
        <v>218</v>
      </c>
      <c r="E188">
        <v>2.7512536572060903E-3</v>
      </c>
      <c r="G188" s="16" t="s">
        <v>6</v>
      </c>
      <c r="H188">
        <v>3.4973772374402926E-2</v>
      </c>
    </row>
    <row r="189" spans="1:8" x14ac:dyDescent="0.25">
      <c r="A189" s="58" t="s">
        <v>79</v>
      </c>
      <c r="B189">
        <v>1.7736562158574009E-2</v>
      </c>
      <c r="D189" s="58" t="s">
        <v>79</v>
      </c>
      <c r="E189">
        <v>1.8465512421154179E-3</v>
      </c>
      <c r="G189" s="16" t="s">
        <v>133</v>
      </c>
      <c r="H189">
        <v>3.4869876640749288E-2</v>
      </c>
    </row>
    <row r="190" spans="1:8" x14ac:dyDescent="0.25">
      <c r="A190" s="16" t="s">
        <v>235</v>
      </c>
      <c r="B190">
        <v>1.7161283063755865E-2</v>
      </c>
      <c r="D190" s="16" t="s">
        <v>125</v>
      </c>
      <c r="E190">
        <v>5.0454811937135737E-4</v>
      </c>
      <c r="G190" s="16" t="s">
        <v>129</v>
      </c>
      <c r="H190">
        <v>3.4742699925594575E-2</v>
      </c>
    </row>
    <row r="191" spans="1:8" x14ac:dyDescent="0.25">
      <c r="A191" s="16" t="s">
        <v>197</v>
      </c>
      <c r="B191">
        <v>1.6549881766434894E-2</v>
      </c>
      <c r="D191" s="16" t="s">
        <v>166</v>
      </c>
      <c r="E191">
        <v>1.975458992446343E-4</v>
      </c>
      <c r="G191" s="16" t="s">
        <v>134</v>
      </c>
      <c r="H191">
        <v>3.4454445533798485E-2</v>
      </c>
    </row>
    <row r="192" spans="1:8" x14ac:dyDescent="0.25">
      <c r="A192" s="16" t="s">
        <v>203</v>
      </c>
      <c r="B192">
        <v>1.6301385804100069E-2</v>
      </c>
      <c r="D192" s="16" t="s">
        <v>155</v>
      </c>
      <c r="E192">
        <v>-3.6142354330834535E-4</v>
      </c>
      <c r="G192" s="16" t="s">
        <v>151</v>
      </c>
      <c r="H192">
        <v>3.3727812212001447E-2</v>
      </c>
    </row>
    <row r="193" spans="1:8" x14ac:dyDescent="0.25">
      <c r="A193" s="58" t="s">
        <v>74</v>
      </c>
      <c r="B193">
        <v>1.6133070177753631E-2</v>
      </c>
      <c r="D193" s="16" t="s">
        <v>165</v>
      </c>
      <c r="E193">
        <v>-9.7512675827118617E-4</v>
      </c>
      <c r="G193" s="13" t="s">
        <v>111</v>
      </c>
      <c r="H193">
        <v>3.2992880267003297E-2</v>
      </c>
    </row>
    <row r="194" spans="1:8" x14ac:dyDescent="0.25">
      <c r="A194" s="16" t="s">
        <v>6</v>
      </c>
      <c r="B194">
        <v>1.56693839715134E-2</v>
      </c>
      <c r="D194" s="16" t="s">
        <v>138</v>
      </c>
      <c r="E194">
        <v>-1.5032020345272575E-3</v>
      </c>
      <c r="G194" s="16" t="s">
        <v>92</v>
      </c>
      <c r="H194">
        <v>3.208265316109981E-2</v>
      </c>
    </row>
    <row r="195" spans="1:8" x14ac:dyDescent="0.25">
      <c r="A195" s="16" t="s">
        <v>131</v>
      </c>
      <c r="B195">
        <v>1.5257212371759523E-2</v>
      </c>
      <c r="D195" s="16" t="s">
        <v>194</v>
      </c>
      <c r="E195">
        <v>-2.2783705466934349E-3</v>
      </c>
      <c r="G195" s="13" t="s">
        <v>145</v>
      </c>
      <c r="H195">
        <v>3.1879327856776003E-2</v>
      </c>
    </row>
    <row r="196" spans="1:8" x14ac:dyDescent="0.25">
      <c r="A196" s="16" t="s">
        <v>225</v>
      </c>
      <c r="B196">
        <v>1.520733968757621E-2</v>
      </c>
      <c r="D196" s="16" t="s">
        <v>355</v>
      </c>
      <c r="E196">
        <v>-2.4504299700732505E-3</v>
      </c>
      <c r="G196" s="16" t="s">
        <v>220</v>
      </c>
      <c r="H196">
        <v>3.1291139451924868E-2</v>
      </c>
    </row>
    <row r="197" spans="1:8" x14ac:dyDescent="0.25">
      <c r="A197" s="13" t="s">
        <v>145</v>
      </c>
      <c r="B197">
        <v>1.358185300058991E-2</v>
      </c>
      <c r="D197" s="16" t="s">
        <v>183</v>
      </c>
      <c r="E197">
        <v>-5.3824119714549999E-3</v>
      </c>
      <c r="G197" s="16" t="s">
        <v>138</v>
      </c>
      <c r="H197">
        <v>3.1085148575520759E-2</v>
      </c>
    </row>
    <row r="198" spans="1:8" x14ac:dyDescent="0.25">
      <c r="A198" s="16" t="s">
        <v>248</v>
      </c>
      <c r="B198">
        <v>1.3532452949465418E-2</v>
      </c>
      <c r="D198" s="16" t="s">
        <v>235</v>
      </c>
      <c r="E198">
        <v>-5.6539620552369515E-3</v>
      </c>
      <c r="G198" s="16" t="s">
        <v>166</v>
      </c>
      <c r="H198">
        <v>3.0139489615625889E-2</v>
      </c>
    </row>
    <row r="199" spans="1:8" x14ac:dyDescent="0.25">
      <c r="A199" s="16" t="s">
        <v>152</v>
      </c>
      <c r="B199">
        <v>1.3214307893660893E-2</v>
      </c>
      <c r="D199" s="16" t="s">
        <v>173</v>
      </c>
      <c r="E199">
        <v>-5.8712167669650621E-3</v>
      </c>
      <c r="G199" s="16" t="s">
        <v>90</v>
      </c>
      <c r="H199">
        <v>3.0038749971389889E-2</v>
      </c>
    </row>
    <row r="200" spans="1:8" x14ac:dyDescent="0.25">
      <c r="A200" s="13" t="s">
        <v>247</v>
      </c>
      <c r="B200">
        <v>1.2280354335893216E-2</v>
      </c>
      <c r="D200" s="16" t="s">
        <v>234</v>
      </c>
      <c r="E200">
        <v>-5.8747164650385106E-3</v>
      </c>
      <c r="G200" s="13" t="s">
        <v>247</v>
      </c>
      <c r="H200">
        <v>2.9666113076638197E-2</v>
      </c>
    </row>
    <row r="201" spans="1:8" x14ac:dyDescent="0.25">
      <c r="A201" s="16" t="s">
        <v>148</v>
      </c>
      <c r="B201">
        <v>1.1604836611856021E-2</v>
      </c>
      <c r="D201" s="16" t="s">
        <v>89</v>
      </c>
      <c r="E201">
        <v>-6.5600145312784078E-3</v>
      </c>
      <c r="G201" s="16" t="s">
        <v>118</v>
      </c>
      <c r="H201">
        <v>2.8395957843845836E-2</v>
      </c>
    </row>
    <row r="202" spans="1:8" x14ac:dyDescent="0.25">
      <c r="A202" s="16" t="s">
        <v>178</v>
      </c>
      <c r="B202">
        <v>1.1221831383795702E-2</v>
      </c>
      <c r="D202" s="16" t="s">
        <v>131</v>
      </c>
      <c r="E202">
        <v>-7.9185227614139413E-3</v>
      </c>
      <c r="G202" s="16" t="s">
        <v>179</v>
      </c>
      <c r="H202">
        <v>2.7956697776995366E-2</v>
      </c>
    </row>
    <row r="203" spans="1:8" x14ac:dyDescent="0.25">
      <c r="A203" s="16" t="s">
        <v>90</v>
      </c>
      <c r="B203">
        <v>1.0510631482239463E-2</v>
      </c>
      <c r="D203" s="16" t="s">
        <v>106</v>
      </c>
      <c r="E203">
        <v>-1.1271513345469879E-2</v>
      </c>
      <c r="G203" s="58" t="s">
        <v>79</v>
      </c>
      <c r="H203">
        <v>2.7546541951039838E-2</v>
      </c>
    </row>
    <row r="204" spans="1:8" x14ac:dyDescent="0.25">
      <c r="A204" s="16" t="s">
        <v>83</v>
      </c>
      <c r="B204">
        <v>1.0343370794649117E-2</v>
      </c>
      <c r="D204" s="16" t="s">
        <v>120</v>
      </c>
      <c r="E204">
        <v>-1.3123149893348703E-2</v>
      </c>
      <c r="G204" s="16" t="s">
        <v>242</v>
      </c>
      <c r="H204">
        <v>2.7481314994843631E-2</v>
      </c>
    </row>
    <row r="205" spans="1:8" x14ac:dyDescent="0.25">
      <c r="A205" s="16" t="s">
        <v>220</v>
      </c>
      <c r="B205">
        <v>9.423792063023937E-3</v>
      </c>
      <c r="D205" s="16" t="s">
        <v>168</v>
      </c>
      <c r="E205">
        <v>-1.3758999978238111E-2</v>
      </c>
      <c r="G205" s="16" t="s">
        <v>136</v>
      </c>
      <c r="H205">
        <v>2.7320827199320465E-2</v>
      </c>
    </row>
    <row r="206" spans="1:8" x14ac:dyDescent="0.25">
      <c r="A206" s="16" t="s">
        <v>150</v>
      </c>
      <c r="B206">
        <v>8.3968987674422554E-3</v>
      </c>
      <c r="D206" s="16" t="s">
        <v>85</v>
      </c>
      <c r="E206">
        <v>-1.3992778995681836E-2</v>
      </c>
      <c r="G206" s="16" t="s">
        <v>3</v>
      </c>
      <c r="H206">
        <v>2.7229692124147824E-2</v>
      </c>
    </row>
    <row r="207" spans="1:8" x14ac:dyDescent="0.25">
      <c r="A207" s="13" t="s">
        <v>121</v>
      </c>
      <c r="B207">
        <v>7.5887759377767901E-3</v>
      </c>
      <c r="D207" s="16" t="s">
        <v>193</v>
      </c>
      <c r="E207">
        <v>-1.4169509293707788E-2</v>
      </c>
      <c r="G207" s="16" t="s">
        <v>103</v>
      </c>
      <c r="H207">
        <v>2.6029318949240737E-2</v>
      </c>
    </row>
    <row r="208" spans="1:8" x14ac:dyDescent="0.25">
      <c r="A208" s="16" t="s">
        <v>134</v>
      </c>
      <c r="B208">
        <v>7.4977237606509107E-3</v>
      </c>
      <c r="D208" s="13" t="s">
        <v>121</v>
      </c>
      <c r="E208">
        <v>-1.4830779434132595E-2</v>
      </c>
      <c r="G208" s="13" t="s">
        <v>149</v>
      </c>
      <c r="H208">
        <v>2.5859637330143303E-2</v>
      </c>
    </row>
    <row r="209" spans="1:8" x14ac:dyDescent="0.25">
      <c r="A209" s="16" t="s">
        <v>98</v>
      </c>
      <c r="B209">
        <v>4.9960110825979856E-3</v>
      </c>
      <c r="D209" s="16" t="s">
        <v>8</v>
      </c>
      <c r="E209">
        <v>-1.5753813798514777E-2</v>
      </c>
      <c r="G209" s="16" t="s">
        <v>131</v>
      </c>
      <c r="H209">
        <v>2.5621848712571109E-2</v>
      </c>
    </row>
    <row r="210" spans="1:8" x14ac:dyDescent="0.25">
      <c r="A210" s="16" t="s">
        <v>138</v>
      </c>
      <c r="B210">
        <v>4.5711590339630485E-3</v>
      </c>
      <c r="D210" s="16" t="s">
        <v>96</v>
      </c>
      <c r="E210">
        <v>-1.6694417957063626E-2</v>
      </c>
      <c r="G210" s="16" t="s">
        <v>147</v>
      </c>
      <c r="H210">
        <v>2.4034892974208039E-2</v>
      </c>
    </row>
    <row r="211" spans="1:8" x14ac:dyDescent="0.25">
      <c r="A211" s="13" t="s">
        <v>149</v>
      </c>
      <c r="B211">
        <v>4.4527178306980426E-3</v>
      </c>
      <c r="D211" s="16" t="s">
        <v>93</v>
      </c>
      <c r="E211">
        <v>-1.7237418307605473E-2</v>
      </c>
      <c r="G211" s="16" t="s">
        <v>95</v>
      </c>
      <c r="H211">
        <v>2.3335794905215902E-2</v>
      </c>
    </row>
    <row r="212" spans="1:8" x14ac:dyDescent="0.25">
      <c r="A212" s="16" t="s">
        <v>13</v>
      </c>
      <c r="B212">
        <v>4.2817178053782224E-3</v>
      </c>
      <c r="D212" s="16" t="s">
        <v>83</v>
      </c>
      <c r="E212">
        <v>-1.8131675928600245E-2</v>
      </c>
      <c r="G212" s="16" t="s">
        <v>100</v>
      </c>
      <c r="H212">
        <v>2.3273930491206379E-2</v>
      </c>
    </row>
    <row r="213" spans="1:8" x14ac:dyDescent="0.25">
      <c r="A213" s="16" t="s">
        <v>95</v>
      </c>
      <c r="B213">
        <v>3.2358475250067928E-3</v>
      </c>
      <c r="D213" s="16" t="s">
        <v>174</v>
      </c>
      <c r="E213">
        <v>-1.8535650686820709E-2</v>
      </c>
      <c r="G213" s="16" t="s">
        <v>102</v>
      </c>
      <c r="H213">
        <v>2.1903732152022303E-2</v>
      </c>
    </row>
    <row r="214" spans="1:8" x14ac:dyDescent="0.25">
      <c r="A214" s="16" t="s">
        <v>165</v>
      </c>
      <c r="B214">
        <v>3.190636030375556E-3</v>
      </c>
      <c r="D214" s="13" t="s">
        <v>145</v>
      </c>
      <c r="E214">
        <v>-1.8928497578535087E-2</v>
      </c>
      <c r="G214" s="16" t="s">
        <v>160</v>
      </c>
      <c r="H214">
        <v>2.1762327383358572E-2</v>
      </c>
    </row>
    <row r="215" spans="1:8" x14ac:dyDescent="0.25">
      <c r="A215" s="16" t="s">
        <v>101</v>
      </c>
      <c r="B215">
        <v>1.6915541910613465E-3</v>
      </c>
      <c r="D215" s="13" t="s">
        <v>362</v>
      </c>
      <c r="E215">
        <v>-1.8996579233968983E-2</v>
      </c>
      <c r="G215" s="13" t="s">
        <v>10</v>
      </c>
      <c r="H215">
        <v>2.1612451431613656E-2</v>
      </c>
    </row>
    <row r="216" spans="1:8" x14ac:dyDescent="0.25">
      <c r="A216" s="58" t="s">
        <v>76</v>
      </c>
      <c r="B216">
        <v>6.7277261405785044E-4</v>
      </c>
      <c r="D216" s="16" t="s">
        <v>13</v>
      </c>
      <c r="E216">
        <v>-2.0174613403757199E-2</v>
      </c>
      <c r="G216" s="16" t="s">
        <v>360</v>
      </c>
      <c r="H216">
        <v>2.1149091466434299E-2</v>
      </c>
    </row>
    <row r="217" spans="1:8" x14ac:dyDescent="0.25">
      <c r="A217" s="13" t="s">
        <v>207</v>
      </c>
      <c r="B217">
        <v>4.1323236370622251E-4</v>
      </c>
      <c r="D217" s="16" t="s">
        <v>102</v>
      </c>
      <c r="E217">
        <v>-2.0351562016291538E-2</v>
      </c>
      <c r="G217" s="16" t="s">
        <v>203</v>
      </c>
      <c r="H217">
        <v>2.1147588755195863E-2</v>
      </c>
    </row>
    <row r="218" spans="1:8" x14ac:dyDescent="0.25">
      <c r="A218" s="16" t="s">
        <v>144</v>
      </c>
      <c r="B218">
        <v>-4.5156467829673376E-5</v>
      </c>
      <c r="D218" s="16" t="s">
        <v>156</v>
      </c>
      <c r="E218">
        <v>-2.0574816566999291E-2</v>
      </c>
      <c r="G218" s="16" t="s">
        <v>225</v>
      </c>
      <c r="H218">
        <v>1.9405096212941182E-2</v>
      </c>
    </row>
    <row r="219" spans="1:8" x14ac:dyDescent="0.25">
      <c r="A219" s="13" t="s">
        <v>162</v>
      </c>
      <c r="B219">
        <v>-2.637117523781699E-3</v>
      </c>
      <c r="D219" s="13" t="s">
        <v>247</v>
      </c>
      <c r="E219">
        <v>-2.0727469599819002E-2</v>
      </c>
      <c r="G219" s="16" t="s">
        <v>178</v>
      </c>
      <c r="H219">
        <v>1.9337904914794975E-2</v>
      </c>
    </row>
    <row r="220" spans="1:8" x14ac:dyDescent="0.25">
      <c r="A220" s="16" t="s">
        <v>117</v>
      </c>
      <c r="B220">
        <v>-3.7686634078400276E-3</v>
      </c>
      <c r="D220" s="16" t="s">
        <v>226</v>
      </c>
      <c r="E220">
        <v>-2.0841503063988825E-2</v>
      </c>
      <c r="G220" s="16" t="s">
        <v>98</v>
      </c>
      <c r="H220">
        <v>1.9240657458185949E-2</v>
      </c>
    </row>
    <row r="221" spans="1:8" x14ac:dyDescent="0.25">
      <c r="A221" s="16" t="s">
        <v>96</v>
      </c>
      <c r="B221">
        <v>-5.578278937504331E-3</v>
      </c>
      <c r="D221" s="16" t="s">
        <v>196</v>
      </c>
      <c r="E221">
        <v>-2.0896805540487562E-2</v>
      </c>
      <c r="G221" s="16" t="s">
        <v>248</v>
      </c>
      <c r="H221">
        <v>1.8784587267912385E-2</v>
      </c>
    </row>
    <row r="222" spans="1:8" x14ac:dyDescent="0.25">
      <c r="A222" s="16" t="s">
        <v>174</v>
      </c>
      <c r="B222">
        <v>-5.7699814073862762E-3</v>
      </c>
      <c r="D222" s="13" t="s">
        <v>132</v>
      </c>
      <c r="E222">
        <v>-2.1235455857908467E-2</v>
      </c>
      <c r="G222" s="13" t="s">
        <v>11</v>
      </c>
      <c r="H222">
        <v>1.7803040572925272E-2</v>
      </c>
    </row>
    <row r="223" spans="1:8" x14ac:dyDescent="0.25">
      <c r="A223" s="16" t="s">
        <v>168</v>
      </c>
      <c r="B223">
        <v>-7.1946244098655254E-3</v>
      </c>
      <c r="D223" s="16" t="s">
        <v>101</v>
      </c>
      <c r="E223">
        <v>-2.2478537723988355E-2</v>
      </c>
      <c r="G223" s="16" t="s">
        <v>174</v>
      </c>
      <c r="H223">
        <v>1.5309848332009851E-2</v>
      </c>
    </row>
    <row r="224" spans="1:8" x14ac:dyDescent="0.25">
      <c r="A224" s="16" t="s">
        <v>89</v>
      </c>
      <c r="B224">
        <v>-7.4577591851467291E-3</v>
      </c>
      <c r="D224" s="16" t="s">
        <v>104</v>
      </c>
      <c r="E224">
        <v>-2.2906358871895131E-2</v>
      </c>
      <c r="G224" s="16" t="s">
        <v>13</v>
      </c>
      <c r="H224">
        <v>1.3819814815321694E-2</v>
      </c>
    </row>
    <row r="225" spans="1:8" x14ac:dyDescent="0.25">
      <c r="A225" s="16" t="s">
        <v>360</v>
      </c>
      <c r="B225">
        <v>-7.9417443215285561E-3</v>
      </c>
      <c r="D225" s="16" t="s">
        <v>220</v>
      </c>
      <c r="E225">
        <v>-2.3295019306742416E-2</v>
      </c>
      <c r="G225" s="16" t="s">
        <v>116</v>
      </c>
      <c r="H225">
        <v>1.2801851892471995E-2</v>
      </c>
    </row>
    <row r="226" spans="1:8" x14ac:dyDescent="0.25">
      <c r="A226" s="16" t="s">
        <v>208</v>
      </c>
      <c r="B226">
        <v>-8.4509794066612662E-3</v>
      </c>
      <c r="D226" s="16" t="s">
        <v>146</v>
      </c>
      <c r="E226">
        <v>-2.4563971841405515E-2</v>
      </c>
      <c r="G226" s="16" t="s">
        <v>101</v>
      </c>
      <c r="H226">
        <v>1.1938200055531983E-2</v>
      </c>
    </row>
    <row r="227" spans="1:8" x14ac:dyDescent="0.25">
      <c r="A227" s="16" t="s">
        <v>146</v>
      </c>
      <c r="B227">
        <v>-9.1468221532592323E-3</v>
      </c>
      <c r="D227" s="16" t="s">
        <v>151</v>
      </c>
      <c r="E227">
        <v>-2.5692632242156278E-2</v>
      </c>
      <c r="G227" s="13" t="s">
        <v>231</v>
      </c>
      <c r="H227">
        <v>1.1179196457230121E-2</v>
      </c>
    </row>
    <row r="228" spans="1:8" x14ac:dyDescent="0.25">
      <c r="A228" s="16" t="s">
        <v>99</v>
      </c>
      <c r="B228">
        <v>-9.1921839735916722E-3</v>
      </c>
      <c r="D228" s="16" t="s">
        <v>219</v>
      </c>
      <c r="E228">
        <v>-2.8023408721620281E-2</v>
      </c>
      <c r="G228" s="16" t="s">
        <v>150</v>
      </c>
      <c r="H228">
        <v>1.0749298737980556E-2</v>
      </c>
    </row>
    <row r="229" spans="1:8" x14ac:dyDescent="0.25">
      <c r="A229" s="16" t="s">
        <v>160</v>
      </c>
      <c r="B229">
        <v>-9.5622959351258884E-3</v>
      </c>
      <c r="D229" s="16" t="s">
        <v>147</v>
      </c>
      <c r="E229">
        <v>-2.8207029640414008E-2</v>
      </c>
      <c r="G229" s="16" t="s">
        <v>9</v>
      </c>
      <c r="H229">
        <v>8.6021335041216833E-3</v>
      </c>
    </row>
    <row r="230" spans="1:8" x14ac:dyDescent="0.25">
      <c r="A230" s="16" t="s">
        <v>169</v>
      </c>
      <c r="B230">
        <v>-9.9206075772044523E-3</v>
      </c>
      <c r="D230" s="16" t="s">
        <v>169</v>
      </c>
      <c r="E230">
        <v>-2.8278099962496108E-2</v>
      </c>
      <c r="G230" s="16" t="s">
        <v>165</v>
      </c>
      <c r="H230">
        <v>7.1328793514768684E-3</v>
      </c>
    </row>
    <row r="231" spans="1:8" x14ac:dyDescent="0.25">
      <c r="A231" s="16" t="s">
        <v>97</v>
      </c>
      <c r="B231">
        <v>-1.2388396501501562E-2</v>
      </c>
      <c r="D231" s="13" t="s">
        <v>236</v>
      </c>
      <c r="E231">
        <v>-3.050040185968831E-2</v>
      </c>
      <c r="G231" s="58" t="s">
        <v>76</v>
      </c>
      <c r="H231">
        <v>4.9282486450657166E-3</v>
      </c>
    </row>
    <row r="232" spans="1:8" x14ac:dyDescent="0.25">
      <c r="A232" s="16" t="s">
        <v>147</v>
      </c>
      <c r="B232">
        <v>-1.3353083393990476E-2</v>
      </c>
      <c r="D232" s="16" t="s">
        <v>123</v>
      </c>
      <c r="E232">
        <v>-3.2633888089366091E-2</v>
      </c>
      <c r="G232" s="16" t="s">
        <v>96</v>
      </c>
      <c r="H232">
        <v>3.1653389759588799E-3</v>
      </c>
    </row>
    <row r="233" spans="1:8" x14ac:dyDescent="0.25">
      <c r="A233" s="58" t="s">
        <v>77</v>
      </c>
      <c r="B233">
        <v>-1.3480781005405732E-2</v>
      </c>
      <c r="D233" s="13" t="s">
        <v>124</v>
      </c>
      <c r="E233">
        <v>-3.2874190074030377E-2</v>
      </c>
      <c r="G233" s="16" t="s">
        <v>140</v>
      </c>
      <c r="H233">
        <v>2.8291160982626407E-3</v>
      </c>
    </row>
    <row r="234" spans="1:8" x14ac:dyDescent="0.25">
      <c r="A234" s="16" t="s">
        <v>120</v>
      </c>
      <c r="B234">
        <v>-1.4429444269291488E-2</v>
      </c>
      <c r="D234" s="16" t="s">
        <v>142</v>
      </c>
      <c r="E234">
        <v>-3.3130110035310648E-2</v>
      </c>
      <c r="G234" s="16" t="s">
        <v>169</v>
      </c>
      <c r="H234">
        <v>2.2573744544611826E-3</v>
      </c>
    </row>
    <row r="235" spans="1:8" x14ac:dyDescent="0.25">
      <c r="A235" s="16" t="s">
        <v>116</v>
      </c>
      <c r="B235">
        <v>-1.5736189432079738E-2</v>
      </c>
      <c r="D235" s="16" t="s">
        <v>105</v>
      </c>
      <c r="E235">
        <v>-3.3431807389494715E-2</v>
      </c>
      <c r="G235" s="13" t="s">
        <v>162</v>
      </c>
      <c r="H235">
        <v>2.0188100555111888E-3</v>
      </c>
    </row>
    <row r="236" spans="1:8" x14ac:dyDescent="0.25">
      <c r="A236" s="16" t="s">
        <v>102</v>
      </c>
      <c r="B236">
        <v>-1.608558170162197E-2</v>
      </c>
      <c r="D236" s="16" t="s">
        <v>143</v>
      </c>
      <c r="E236">
        <v>-3.4626760679903973E-2</v>
      </c>
      <c r="G236" s="16" t="s">
        <v>146</v>
      </c>
      <c r="H236">
        <v>-1.2893636200685585E-4</v>
      </c>
    </row>
    <row r="237" spans="1:8" x14ac:dyDescent="0.25">
      <c r="A237" s="16" t="s">
        <v>118</v>
      </c>
      <c r="B237">
        <v>-2.0280011648028749E-2</v>
      </c>
      <c r="D237" s="16" t="s">
        <v>109</v>
      </c>
      <c r="E237">
        <v>-3.6269501163691924E-2</v>
      </c>
      <c r="G237" s="58" t="s">
        <v>77</v>
      </c>
      <c r="H237">
        <v>-1.0608445873662574E-3</v>
      </c>
    </row>
    <row r="238" spans="1:8" x14ac:dyDescent="0.25">
      <c r="A238" s="16" t="s">
        <v>92</v>
      </c>
      <c r="B238">
        <v>-2.0568005538545302E-2</v>
      </c>
      <c r="D238" s="16" t="s">
        <v>84</v>
      </c>
      <c r="E238">
        <v>-4.0491029900315473E-2</v>
      </c>
      <c r="G238" s="16" t="s">
        <v>105</v>
      </c>
      <c r="H238">
        <v>-1.5542190998899656E-3</v>
      </c>
    </row>
    <row r="239" spans="1:8" x14ac:dyDescent="0.25">
      <c r="A239" s="16" t="s">
        <v>82</v>
      </c>
      <c r="B239">
        <v>-2.0618124016818697E-2</v>
      </c>
      <c r="D239" s="58" t="s">
        <v>77</v>
      </c>
      <c r="E239">
        <v>-4.2900456183300489E-2</v>
      </c>
      <c r="G239" s="16" t="s">
        <v>168</v>
      </c>
      <c r="H239">
        <v>-3.6203504471423228E-3</v>
      </c>
    </row>
    <row r="240" spans="1:8" x14ac:dyDescent="0.25">
      <c r="A240" s="16" t="s">
        <v>14</v>
      </c>
      <c r="B240">
        <v>-2.6151492711937164E-2</v>
      </c>
      <c r="D240" s="16" t="s">
        <v>141</v>
      </c>
      <c r="E240">
        <v>-4.5078323414733085E-2</v>
      </c>
      <c r="G240" s="13" t="s">
        <v>207</v>
      </c>
      <c r="H240">
        <v>-3.640010048359202E-3</v>
      </c>
    </row>
    <row r="241" spans="1:8" x14ac:dyDescent="0.25">
      <c r="A241" s="16" t="s">
        <v>109</v>
      </c>
      <c r="B241">
        <v>-2.6282170044667222E-2</v>
      </c>
      <c r="D241" s="16" t="s">
        <v>116</v>
      </c>
      <c r="E241">
        <v>-4.5697828173913366E-2</v>
      </c>
      <c r="G241" s="16" t="s">
        <v>82</v>
      </c>
      <c r="H241">
        <v>-3.788345883662194E-3</v>
      </c>
    </row>
    <row r="242" spans="1:8" x14ac:dyDescent="0.25">
      <c r="A242" s="16" t="s">
        <v>105</v>
      </c>
      <c r="B242">
        <v>-2.8665363110087726E-2</v>
      </c>
      <c r="D242" s="16" t="s">
        <v>82</v>
      </c>
      <c r="E242">
        <v>-4.9338116913996428E-2</v>
      </c>
      <c r="G242" s="16" t="s">
        <v>14</v>
      </c>
      <c r="H242">
        <v>-4.4529009834832316E-3</v>
      </c>
    </row>
    <row r="243" spans="1:8" x14ac:dyDescent="0.25">
      <c r="A243" s="13" t="s">
        <v>124</v>
      </c>
      <c r="B243">
        <v>-3.8469759681288997E-2</v>
      </c>
      <c r="D243" s="13" t="s">
        <v>149</v>
      </c>
      <c r="E243">
        <v>-4.9636589839311546E-2</v>
      </c>
      <c r="G243" s="16" t="s">
        <v>117</v>
      </c>
      <c r="H243">
        <v>-1.1260968571692866E-2</v>
      </c>
    </row>
    <row r="244" spans="1:8" x14ac:dyDescent="0.25">
      <c r="A244" s="16" t="s">
        <v>143</v>
      </c>
      <c r="B244">
        <v>-3.9074412030076361E-2</v>
      </c>
      <c r="D244" s="16" t="s">
        <v>160</v>
      </c>
      <c r="E244">
        <v>-5.2056064896566223E-2</v>
      </c>
      <c r="G244" s="16" t="s">
        <v>208</v>
      </c>
      <c r="H244">
        <v>-1.5426207382776997E-2</v>
      </c>
    </row>
    <row r="245" spans="1:8" x14ac:dyDescent="0.25">
      <c r="A245" s="16" t="s">
        <v>107</v>
      </c>
      <c r="B245">
        <v>-3.9911525566972923E-2</v>
      </c>
      <c r="D245" s="16" t="s">
        <v>140</v>
      </c>
      <c r="E245">
        <v>-5.4159972451274137E-2</v>
      </c>
      <c r="G245" s="16" t="s">
        <v>109</v>
      </c>
      <c r="H245">
        <v>-1.7336801194356492E-2</v>
      </c>
    </row>
    <row r="246" spans="1:8" x14ac:dyDescent="0.25">
      <c r="A246" s="16" t="s">
        <v>106</v>
      </c>
      <c r="B246">
        <v>-4.1659063210919466E-2</v>
      </c>
      <c r="D246" s="16" t="s">
        <v>144</v>
      </c>
      <c r="E246">
        <v>-5.4781255575236235E-2</v>
      </c>
      <c r="G246" s="16" t="s">
        <v>94</v>
      </c>
      <c r="H246">
        <v>-1.7423023790998221E-2</v>
      </c>
    </row>
    <row r="247" spans="1:8" x14ac:dyDescent="0.25">
      <c r="A247" s="16" t="s">
        <v>100</v>
      </c>
      <c r="B247">
        <v>-4.2199046452572997E-2</v>
      </c>
      <c r="D247" s="16" t="s">
        <v>92</v>
      </c>
      <c r="E247">
        <v>-5.7964679068003448E-2</v>
      </c>
      <c r="G247" s="16" t="s">
        <v>97</v>
      </c>
      <c r="H247">
        <v>-2.3636001372147102E-2</v>
      </c>
    </row>
    <row r="248" spans="1:8" x14ac:dyDescent="0.25">
      <c r="A248" s="13" t="s">
        <v>132</v>
      </c>
      <c r="B248">
        <v>-4.2720380264286983E-2</v>
      </c>
      <c r="D248" s="16" t="s">
        <v>139</v>
      </c>
      <c r="E248">
        <v>-5.9042245878741136E-2</v>
      </c>
      <c r="G248" s="16" t="s">
        <v>143</v>
      </c>
      <c r="H248">
        <v>-2.5035501625744243E-2</v>
      </c>
    </row>
    <row r="249" spans="1:8" x14ac:dyDescent="0.25">
      <c r="A249" s="16" t="s">
        <v>135</v>
      </c>
      <c r="B249">
        <v>-4.4623101284871257E-2</v>
      </c>
      <c r="D249" s="16" t="s">
        <v>99</v>
      </c>
      <c r="E249">
        <v>-6.2957217963198156E-2</v>
      </c>
      <c r="G249" s="16" t="s">
        <v>114</v>
      </c>
      <c r="H249">
        <v>-2.5600716642539E-2</v>
      </c>
    </row>
    <row r="250" spans="1:8" x14ac:dyDescent="0.25">
      <c r="A250" s="16" t="s">
        <v>114</v>
      </c>
      <c r="B250">
        <v>-4.4949588060261406E-2</v>
      </c>
      <c r="D250" s="13" t="s">
        <v>113</v>
      </c>
      <c r="E250">
        <v>-6.5042196948212908E-2</v>
      </c>
      <c r="G250" s="16" t="s">
        <v>135</v>
      </c>
      <c r="H250">
        <v>-2.7513504869898436E-2</v>
      </c>
    </row>
    <row r="251" spans="1:8" x14ac:dyDescent="0.25">
      <c r="A251" s="16" t="s">
        <v>104</v>
      </c>
      <c r="B251">
        <v>-4.5024685953561669E-2</v>
      </c>
      <c r="D251" s="16" t="s">
        <v>128</v>
      </c>
      <c r="E251">
        <v>-7.0848549809120184E-2</v>
      </c>
      <c r="G251" s="16" t="s">
        <v>108</v>
      </c>
      <c r="H251">
        <v>-2.813435294931288E-2</v>
      </c>
    </row>
    <row r="252" spans="1:8" x14ac:dyDescent="0.25">
      <c r="A252" s="16" t="s">
        <v>140</v>
      </c>
      <c r="B252">
        <v>-4.5911392758840007E-2</v>
      </c>
      <c r="D252" s="16" t="s">
        <v>14</v>
      </c>
      <c r="E252">
        <v>-7.0890678330845294E-2</v>
      </c>
      <c r="G252" s="13" t="s">
        <v>124</v>
      </c>
      <c r="H252">
        <v>-3.4007076072505985E-2</v>
      </c>
    </row>
    <row r="253" spans="1:8" x14ac:dyDescent="0.25">
      <c r="A253" s="16" t="s">
        <v>139</v>
      </c>
      <c r="B253">
        <v>-4.7193377450690473E-2</v>
      </c>
      <c r="D253" s="16" t="s">
        <v>114</v>
      </c>
      <c r="E253">
        <v>-7.2833255233199487E-2</v>
      </c>
      <c r="G253" s="16" t="s">
        <v>142</v>
      </c>
      <c r="H253">
        <v>-3.55728924177846E-2</v>
      </c>
    </row>
    <row r="254" spans="1:8" x14ac:dyDescent="0.25">
      <c r="A254" s="16" t="s">
        <v>93</v>
      </c>
      <c r="B254">
        <v>-5.0237816561359873E-2</v>
      </c>
      <c r="D254" s="16" t="s">
        <v>108</v>
      </c>
      <c r="E254">
        <v>-7.3636101245382515E-2</v>
      </c>
      <c r="G254" s="16" t="s">
        <v>123</v>
      </c>
      <c r="H254">
        <v>-3.6244919405917897E-2</v>
      </c>
    </row>
    <row r="255" spans="1:8" x14ac:dyDescent="0.25">
      <c r="A255" s="16" t="s">
        <v>141</v>
      </c>
      <c r="B255">
        <v>-5.1590824251265668E-2</v>
      </c>
      <c r="D255" s="16" t="s">
        <v>135</v>
      </c>
      <c r="E255">
        <v>-7.595103091200929E-2</v>
      </c>
      <c r="G255" s="16" t="s">
        <v>139</v>
      </c>
      <c r="H255">
        <v>-3.9658319452822798E-2</v>
      </c>
    </row>
    <row r="256" spans="1:8" x14ac:dyDescent="0.25">
      <c r="A256" s="16" t="s">
        <v>123</v>
      </c>
      <c r="B256">
        <v>-5.9636629528438748E-2</v>
      </c>
      <c r="D256" s="16" t="s">
        <v>107</v>
      </c>
      <c r="E256">
        <v>-7.7732579030374546E-2</v>
      </c>
      <c r="G256" s="16" t="s">
        <v>93</v>
      </c>
      <c r="H256">
        <v>-4.1198036692907114E-2</v>
      </c>
    </row>
    <row r="257" spans="1:8" x14ac:dyDescent="0.25">
      <c r="A257" s="16" t="s">
        <v>94</v>
      </c>
      <c r="B257">
        <v>-6.0001123001876919E-2</v>
      </c>
      <c r="D257" s="16" t="s">
        <v>94</v>
      </c>
      <c r="E257">
        <v>-8.2488489656803998E-2</v>
      </c>
      <c r="G257" s="16" t="s">
        <v>141</v>
      </c>
      <c r="H257">
        <v>-4.2090419317824521E-2</v>
      </c>
    </row>
    <row r="258" spans="1:8" x14ac:dyDescent="0.25">
      <c r="A258" s="16" t="s">
        <v>108</v>
      </c>
      <c r="B258">
        <v>-6.154742375051106E-2</v>
      </c>
      <c r="D258" s="16" t="s">
        <v>118</v>
      </c>
      <c r="E258">
        <v>-8.994326787109809E-2</v>
      </c>
      <c r="G258" s="16" t="s">
        <v>115</v>
      </c>
      <c r="H258">
        <v>-4.8603934282215135E-2</v>
      </c>
    </row>
    <row r="259" spans="1:8" x14ac:dyDescent="0.25">
      <c r="A259" s="16" t="s">
        <v>142</v>
      </c>
      <c r="B259">
        <v>-6.2309339254731609E-2</v>
      </c>
      <c r="D259" s="16" t="s">
        <v>115</v>
      </c>
      <c r="E259">
        <v>-0.12149718587675928</v>
      </c>
      <c r="G259" s="16" t="s">
        <v>106</v>
      </c>
      <c r="H259">
        <v>-4.9690883894285984E-2</v>
      </c>
    </row>
    <row r="260" spans="1:8" x14ac:dyDescent="0.25">
      <c r="A260" s="16" t="s">
        <v>115</v>
      </c>
      <c r="B260">
        <v>-7.926506596587278E-2</v>
      </c>
      <c r="D260" s="16" t="s">
        <v>100</v>
      </c>
      <c r="E260">
        <v>-0.13856325037685172</v>
      </c>
      <c r="G260" s="13" t="s">
        <v>132</v>
      </c>
      <c r="H260">
        <v>-5.0244783984158194E-2</v>
      </c>
    </row>
  </sheetData>
  <sortState ref="G52:H260">
    <sortCondition descending="1" ref="H52:H260"/>
  </sortState>
  <mergeCells count="8">
    <mergeCell ref="D51:E51"/>
    <mergeCell ref="G51:I51"/>
    <mergeCell ref="A45:B45"/>
    <mergeCell ref="A46:B46"/>
    <mergeCell ref="A47:B47"/>
    <mergeCell ref="A48:B48"/>
    <mergeCell ref="A49:B49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L24" sqref="L24"/>
    </sheetView>
  </sheetViews>
  <sheetFormatPr defaultRowHeight="15" x14ac:dyDescent="0.25"/>
  <cols>
    <col min="1" max="1" width="11.28515625" customWidth="1"/>
    <col min="4" max="4" width="10.85546875" customWidth="1"/>
    <col min="7" max="7" width="11" customWidth="1"/>
    <col min="10" max="10" width="12" customWidth="1"/>
    <col min="13" max="13" width="12.5703125" customWidth="1"/>
    <col min="16" max="17" width="12" customWidth="1"/>
    <col min="19" max="19" width="11.28515625" customWidth="1"/>
    <col min="20" max="20" width="13.140625" customWidth="1"/>
    <col min="22" max="22" width="13.85546875" customWidth="1"/>
    <col min="25" max="25" width="12.5703125" bestFit="1" customWidth="1"/>
  </cols>
  <sheetData>
    <row r="1" spans="1:30" ht="66.75" customHeight="1" x14ac:dyDescent="0.25">
      <c r="A1" s="216" t="s">
        <v>18</v>
      </c>
      <c r="B1" s="217"/>
      <c r="C1" s="218"/>
      <c r="D1" s="213" t="s">
        <v>22</v>
      </c>
      <c r="E1" s="214"/>
      <c r="F1" s="215"/>
      <c r="G1" s="213" t="s">
        <v>23</v>
      </c>
      <c r="H1" s="214"/>
      <c r="I1" s="215"/>
      <c r="J1" s="213" t="s">
        <v>24</v>
      </c>
      <c r="K1" s="214"/>
      <c r="L1" s="215"/>
      <c r="M1" s="213" t="s">
        <v>25</v>
      </c>
      <c r="N1" s="214"/>
      <c r="O1" s="215"/>
      <c r="P1" s="213" t="s">
        <v>26</v>
      </c>
      <c r="Q1" s="214"/>
      <c r="R1" s="215"/>
      <c r="S1" s="213" t="s">
        <v>284</v>
      </c>
      <c r="T1" s="214"/>
      <c r="U1" s="215"/>
      <c r="V1" s="213" t="s">
        <v>27</v>
      </c>
      <c r="W1" s="214"/>
      <c r="X1" s="215"/>
      <c r="Y1" s="216" t="s">
        <v>28</v>
      </c>
      <c r="Z1" s="217"/>
      <c r="AA1" s="218"/>
    </row>
    <row r="2" spans="1:30" x14ac:dyDescent="0.25">
      <c r="A2" s="5" t="s">
        <v>21</v>
      </c>
      <c r="B2" s="6" t="s">
        <v>19</v>
      </c>
      <c r="C2" s="7" t="s">
        <v>17</v>
      </c>
      <c r="D2" s="5" t="s">
        <v>21</v>
      </c>
      <c r="E2" s="6" t="s">
        <v>19</v>
      </c>
      <c r="F2" s="7" t="s">
        <v>17</v>
      </c>
      <c r="G2" s="5" t="s">
        <v>21</v>
      </c>
      <c r="H2" s="6" t="s">
        <v>19</v>
      </c>
      <c r="I2" s="7" t="s">
        <v>17</v>
      </c>
      <c r="J2" s="5" t="s">
        <v>21</v>
      </c>
      <c r="K2" s="6" t="s">
        <v>19</v>
      </c>
      <c r="L2" s="7" t="s">
        <v>17</v>
      </c>
      <c r="M2" s="5" t="s">
        <v>21</v>
      </c>
      <c r="N2" s="6" t="s">
        <v>19</v>
      </c>
      <c r="O2" s="7" t="s">
        <v>17</v>
      </c>
      <c r="P2" s="5" t="s">
        <v>21</v>
      </c>
      <c r="Q2" s="6" t="s">
        <v>19</v>
      </c>
      <c r="R2" s="7" t="s">
        <v>17</v>
      </c>
      <c r="S2" s="5" t="s">
        <v>21</v>
      </c>
      <c r="T2" s="6" t="s">
        <v>19</v>
      </c>
      <c r="U2" s="7" t="s">
        <v>17</v>
      </c>
      <c r="V2" s="5" t="s">
        <v>21</v>
      </c>
      <c r="W2" s="6" t="s">
        <v>19</v>
      </c>
      <c r="X2" s="7" t="s">
        <v>17</v>
      </c>
      <c r="Y2" s="5" t="s">
        <v>21</v>
      </c>
      <c r="Z2" s="6" t="s">
        <v>19</v>
      </c>
      <c r="AA2" s="7" t="s">
        <v>17</v>
      </c>
    </row>
    <row r="3" spans="1:30" x14ac:dyDescent="0.25">
      <c r="A3" s="26" t="s">
        <v>114</v>
      </c>
      <c r="B3" s="29">
        <v>0.94</v>
      </c>
      <c r="C3" s="4">
        <v>1</v>
      </c>
      <c r="D3" s="120" t="s">
        <v>98</v>
      </c>
      <c r="E3" s="121">
        <v>0.66450100723607819</v>
      </c>
      <c r="F3" s="4">
        <v>1</v>
      </c>
      <c r="G3" s="120" t="s">
        <v>98</v>
      </c>
      <c r="H3" s="121">
        <v>0.84725609257607803</v>
      </c>
      <c r="I3" s="4">
        <v>1</v>
      </c>
      <c r="J3" s="120" t="s">
        <v>98</v>
      </c>
      <c r="K3" s="121">
        <v>0.79953927711706496</v>
      </c>
      <c r="L3" s="4">
        <v>1</v>
      </c>
      <c r="M3" s="26" t="s">
        <v>98</v>
      </c>
      <c r="N3" s="29">
        <v>60.61</v>
      </c>
      <c r="O3" s="4">
        <v>1</v>
      </c>
      <c r="P3" s="26" t="s">
        <v>98</v>
      </c>
      <c r="Q3" s="29">
        <v>75</v>
      </c>
      <c r="R3" s="4">
        <v>1</v>
      </c>
      <c r="S3" t="s">
        <v>114</v>
      </c>
      <c r="T3">
        <v>66.67</v>
      </c>
      <c r="U3" s="4">
        <v>1</v>
      </c>
      <c r="V3" t="s">
        <v>109</v>
      </c>
      <c r="W3">
        <v>7</v>
      </c>
      <c r="X3" s="4">
        <v>1</v>
      </c>
      <c r="Y3" t="s">
        <v>106</v>
      </c>
      <c r="Z3">
        <v>7</v>
      </c>
      <c r="AA3" s="4">
        <v>1</v>
      </c>
    </row>
    <row r="4" spans="1:30" x14ac:dyDescent="0.25">
      <c r="A4" s="26" t="s">
        <v>106</v>
      </c>
      <c r="B4" s="29">
        <v>0.41</v>
      </c>
      <c r="C4" s="4">
        <v>2</v>
      </c>
      <c r="D4" s="120" t="s">
        <v>109</v>
      </c>
      <c r="E4" s="121">
        <v>0.19603240101292693</v>
      </c>
      <c r="F4" s="4">
        <v>2</v>
      </c>
      <c r="G4" s="120" t="s">
        <v>109</v>
      </c>
      <c r="H4" s="121">
        <v>0.27251261289323642</v>
      </c>
      <c r="I4" s="4">
        <v>2</v>
      </c>
      <c r="J4" s="120" t="s">
        <v>106</v>
      </c>
      <c r="K4" s="121">
        <v>0.21957600182905668</v>
      </c>
      <c r="L4" s="4">
        <v>2</v>
      </c>
      <c r="M4" s="26" t="s">
        <v>109</v>
      </c>
      <c r="N4" s="29">
        <v>57.58</v>
      </c>
      <c r="O4" s="4">
        <v>2</v>
      </c>
      <c r="P4" s="26" t="s">
        <v>109</v>
      </c>
      <c r="Q4" s="29">
        <v>58.33</v>
      </c>
      <c r="R4" s="4">
        <v>2</v>
      </c>
      <c r="S4" s="26" t="s">
        <v>106</v>
      </c>
      <c r="T4" s="29">
        <v>66.67</v>
      </c>
      <c r="U4" s="4">
        <v>1</v>
      </c>
      <c r="V4" s="26" t="s">
        <v>98</v>
      </c>
      <c r="W4" s="29">
        <v>4</v>
      </c>
      <c r="X4" s="4">
        <v>2</v>
      </c>
      <c r="Y4" t="s">
        <v>109</v>
      </c>
      <c r="Z4">
        <v>3</v>
      </c>
      <c r="AA4" s="4">
        <v>2</v>
      </c>
    </row>
    <row r="5" spans="1:30" x14ac:dyDescent="0.25">
      <c r="A5" s="26" t="s">
        <v>98</v>
      </c>
      <c r="B5" s="29">
        <v>0.25</v>
      </c>
      <c r="C5" s="4">
        <v>3</v>
      </c>
      <c r="D5" s="120" t="s">
        <v>106</v>
      </c>
      <c r="E5" s="121">
        <v>0.13851842284811625</v>
      </c>
      <c r="F5" s="4">
        <v>3</v>
      </c>
      <c r="G5" s="120" t="s">
        <v>106</v>
      </c>
      <c r="H5" s="121">
        <v>0.12363901673166038</v>
      </c>
      <c r="I5" s="4">
        <v>3</v>
      </c>
      <c r="J5" s="120" t="s">
        <v>109</v>
      </c>
      <c r="K5" s="121">
        <v>0.18142777358492476</v>
      </c>
      <c r="L5" s="4">
        <v>3</v>
      </c>
      <c r="M5" s="26" t="s">
        <v>106</v>
      </c>
      <c r="N5" s="29">
        <v>48.48</v>
      </c>
      <c r="O5" s="4">
        <v>3</v>
      </c>
      <c r="P5" s="26" t="s">
        <v>106</v>
      </c>
      <c r="Q5" s="29">
        <v>50</v>
      </c>
      <c r="R5" s="4">
        <v>3</v>
      </c>
      <c r="S5" s="26" t="s">
        <v>98</v>
      </c>
      <c r="T5" s="29">
        <v>60</v>
      </c>
      <c r="U5" s="4">
        <v>2</v>
      </c>
      <c r="V5" t="s">
        <v>106</v>
      </c>
      <c r="W5">
        <v>1</v>
      </c>
      <c r="X5" s="4">
        <v>3</v>
      </c>
      <c r="Y5" t="s">
        <v>114</v>
      </c>
      <c r="Z5">
        <v>1</v>
      </c>
      <c r="AA5" s="4">
        <v>3</v>
      </c>
    </row>
    <row r="6" spans="1:30" x14ac:dyDescent="0.25">
      <c r="A6" s="26" t="s">
        <v>109</v>
      </c>
      <c r="B6" s="29">
        <v>0.24</v>
      </c>
      <c r="C6" s="4">
        <v>4</v>
      </c>
      <c r="D6" s="120" t="s">
        <v>114</v>
      </c>
      <c r="E6" s="121">
        <v>4.8106432179332789E-3</v>
      </c>
      <c r="F6" s="4">
        <v>4</v>
      </c>
      <c r="G6" s="120" t="s">
        <v>114</v>
      </c>
      <c r="H6" s="121">
        <v>3.4487534883169767E-2</v>
      </c>
      <c r="I6" s="4">
        <v>4</v>
      </c>
      <c r="J6" s="120" t="s">
        <v>114</v>
      </c>
      <c r="K6" s="121">
        <v>0.16041743667200334</v>
      </c>
      <c r="L6" s="4">
        <v>4</v>
      </c>
      <c r="M6" s="26" t="s">
        <v>114</v>
      </c>
      <c r="N6" s="29">
        <v>36.36</v>
      </c>
      <c r="O6" s="4">
        <v>4</v>
      </c>
      <c r="P6" s="26" t="s">
        <v>114</v>
      </c>
      <c r="Q6" s="29">
        <v>41.67</v>
      </c>
      <c r="R6" s="4">
        <v>4</v>
      </c>
      <c r="S6" s="26" t="s">
        <v>109</v>
      </c>
      <c r="T6" s="29">
        <v>60</v>
      </c>
      <c r="U6" s="4">
        <v>2</v>
      </c>
      <c r="V6" t="s">
        <v>114</v>
      </c>
      <c r="W6">
        <v>1</v>
      </c>
      <c r="X6" s="4">
        <v>3</v>
      </c>
      <c r="Y6" s="26" t="s">
        <v>98</v>
      </c>
      <c r="Z6">
        <v>0</v>
      </c>
      <c r="AA6" s="4">
        <v>4</v>
      </c>
    </row>
    <row r="7" spans="1:30" x14ac:dyDescent="0.25">
      <c r="A7" s="3"/>
      <c r="B7" s="2"/>
      <c r="C7" s="4"/>
      <c r="D7" s="3"/>
      <c r="E7" s="2"/>
      <c r="F7" s="4"/>
      <c r="G7" s="3"/>
      <c r="H7" s="2"/>
      <c r="I7" s="4"/>
      <c r="J7" s="3"/>
      <c r="K7" s="2"/>
      <c r="L7" s="4"/>
      <c r="M7" s="3"/>
      <c r="N7" s="2"/>
      <c r="O7" s="4"/>
      <c r="P7" s="3"/>
      <c r="Q7" s="2"/>
      <c r="R7" s="4"/>
      <c r="S7" s="3"/>
      <c r="T7" s="2"/>
      <c r="U7" s="4"/>
      <c r="V7" s="3"/>
      <c r="W7" s="2"/>
      <c r="X7" s="4"/>
      <c r="Y7" s="3"/>
      <c r="Z7" s="2"/>
      <c r="AA7" s="4"/>
    </row>
    <row r="8" spans="1:30" ht="15.75" thickBot="1" x14ac:dyDescent="0.3">
      <c r="A8" s="197" t="s">
        <v>20</v>
      </c>
      <c r="B8" s="198"/>
      <c r="C8" s="199"/>
      <c r="D8" s="197" t="s">
        <v>20</v>
      </c>
      <c r="E8" s="198"/>
      <c r="F8" s="199"/>
      <c r="G8" s="197" t="s">
        <v>20</v>
      </c>
      <c r="H8" s="198"/>
      <c r="I8" s="199"/>
      <c r="J8" s="197" t="s">
        <v>20</v>
      </c>
      <c r="K8" s="198"/>
      <c r="L8" s="199"/>
      <c r="M8" s="197" t="s">
        <v>20</v>
      </c>
      <c r="N8" s="198"/>
      <c r="O8" s="199"/>
      <c r="P8" s="197" t="s">
        <v>20</v>
      </c>
      <c r="Q8" s="198"/>
      <c r="R8" s="199"/>
      <c r="S8" s="197" t="s">
        <v>20</v>
      </c>
      <c r="T8" s="198"/>
      <c r="U8" s="199"/>
      <c r="V8" s="197" t="s">
        <v>20</v>
      </c>
      <c r="W8" s="198"/>
      <c r="X8" s="199"/>
      <c r="Y8" s="197" t="s">
        <v>20</v>
      </c>
      <c r="Z8" s="198"/>
      <c r="AA8" s="199"/>
    </row>
    <row r="11" spans="1:30" ht="15.75" thickBot="1" x14ac:dyDescent="0.3"/>
    <row r="12" spans="1:30" ht="15.75" thickBot="1" x14ac:dyDescent="0.3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224" t="s">
        <v>417</v>
      </c>
      <c r="R12" s="225"/>
      <c r="S12" s="61"/>
      <c r="T12" s="61"/>
      <c r="U12" s="61"/>
      <c r="V12" s="61"/>
      <c r="W12" s="61"/>
      <c r="X12" s="61"/>
      <c r="Y12" s="64"/>
      <c r="Z12" s="64"/>
      <c r="AA12" s="64"/>
      <c r="AB12" s="64"/>
      <c r="AC12" s="64"/>
      <c r="AD12" s="64"/>
    </row>
    <row r="13" spans="1:30" x14ac:dyDescent="0.25">
      <c r="A13" s="221" t="s">
        <v>416</v>
      </c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3"/>
      <c r="M13" s="228" t="s">
        <v>418</v>
      </c>
      <c r="N13" s="229"/>
      <c r="O13" s="230"/>
      <c r="Q13" s="226"/>
      <c r="R13" s="227"/>
    </row>
    <row r="14" spans="1:30" ht="75" x14ac:dyDescent="0.25">
      <c r="A14" s="5" t="s">
        <v>30</v>
      </c>
      <c r="B14" s="6" t="s">
        <v>29</v>
      </c>
      <c r="C14" s="6" t="s">
        <v>31</v>
      </c>
      <c r="D14" s="6" t="s">
        <v>32</v>
      </c>
      <c r="E14" s="6" t="s">
        <v>33</v>
      </c>
      <c r="F14" s="6" t="s">
        <v>34</v>
      </c>
      <c r="G14" s="6" t="s">
        <v>35</v>
      </c>
      <c r="H14" s="6" t="s">
        <v>36</v>
      </c>
      <c r="I14" s="6" t="s">
        <v>271</v>
      </c>
      <c r="J14" s="6" t="s">
        <v>37</v>
      </c>
      <c r="K14" s="70" t="s">
        <v>38</v>
      </c>
      <c r="L14" s="66" t="s">
        <v>39</v>
      </c>
      <c r="M14" s="5" t="s">
        <v>30</v>
      </c>
      <c r="N14" s="70" t="s">
        <v>419</v>
      </c>
      <c r="O14" s="66" t="s">
        <v>420</v>
      </c>
      <c r="Q14" s="65" t="s">
        <v>21</v>
      </c>
      <c r="R14" s="66" t="s">
        <v>273</v>
      </c>
      <c r="T14" s="63" t="s">
        <v>21</v>
      </c>
      <c r="U14" s="49" t="s">
        <v>407</v>
      </c>
      <c r="V14" s="49" t="s">
        <v>408</v>
      </c>
      <c r="W14" s="49" t="s">
        <v>409</v>
      </c>
      <c r="X14" s="49" t="s">
        <v>410</v>
      </c>
      <c r="Y14" s="49" t="s">
        <v>411</v>
      </c>
      <c r="Z14" s="49" t="s">
        <v>412</v>
      </c>
      <c r="AA14" s="49" t="s">
        <v>413</v>
      </c>
      <c r="AB14" s="49" t="s">
        <v>414</v>
      </c>
      <c r="AC14" s="49" t="s">
        <v>415</v>
      </c>
      <c r="AD14" s="49" t="s">
        <v>406</v>
      </c>
    </row>
    <row r="15" spans="1:30" x14ac:dyDescent="0.25">
      <c r="A15" s="122" t="s">
        <v>98</v>
      </c>
      <c r="B15" s="2">
        <v>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2</v>
      </c>
      <c r="I15" s="2">
        <v>2</v>
      </c>
      <c r="J15" s="2">
        <v>4</v>
      </c>
      <c r="K15" s="2">
        <f>SUM(B15:J15)</f>
        <v>16</v>
      </c>
      <c r="L15" s="48">
        <v>1</v>
      </c>
      <c r="M15" s="125" t="s">
        <v>98</v>
      </c>
      <c r="N15" s="2">
        <f>SUM(B15:H15)</f>
        <v>10</v>
      </c>
      <c r="O15" s="127">
        <v>1</v>
      </c>
      <c r="Q15" s="129" t="s">
        <v>98</v>
      </c>
      <c r="R15" s="116">
        <v>9</v>
      </c>
      <c r="T15" s="26" t="s">
        <v>98</v>
      </c>
      <c r="U15">
        <f>COUNTIF(A3:A6,"metacell-23")</f>
        <v>1</v>
      </c>
      <c r="V15">
        <f>COUNTIF(D3:D6,"metacell-23")</f>
        <v>1</v>
      </c>
      <c r="W15">
        <f>COUNTIF(G3:G6,"metacell-23")</f>
        <v>1</v>
      </c>
      <c r="X15">
        <f>COUNTIF(J3:J6,"metacell-23")</f>
        <v>1</v>
      </c>
      <c r="Y15">
        <f>COUNTIF(M3:M6,"metacell-23")</f>
        <v>1</v>
      </c>
      <c r="Z15">
        <f>COUNTIF(P3:P6,"metacell-23")</f>
        <v>1</v>
      </c>
      <c r="AA15">
        <f>COUNTIF(S3:S6,"metacell-23")</f>
        <v>1</v>
      </c>
      <c r="AB15">
        <f>COUNTIF(V3:V6,"metacell-23")</f>
        <v>1</v>
      </c>
      <c r="AC15">
        <f>COUNTIF(Y3:Y6,"metacell-23")</f>
        <v>1</v>
      </c>
      <c r="AD15">
        <f>SUM(U15:AC15)</f>
        <v>9</v>
      </c>
    </row>
    <row r="16" spans="1:30" x14ac:dyDescent="0.25">
      <c r="A16" s="122" t="s">
        <v>109</v>
      </c>
      <c r="B16" s="2">
        <v>4</v>
      </c>
      <c r="C16" s="2">
        <v>2</v>
      </c>
      <c r="D16" s="2">
        <v>2</v>
      </c>
      <c r="E16" s="2">
        <v>3</v>
      </c>
      <c r="F16" s="2">
        <v>2</v>
      </c>
      <c r="G16" s="2">
        <v>2</v>
      </c>
      <c r="H16" s="2">
        <v>2</v>
      </c>
      <c r="I16" s="2">
        <v>1</v>
      </c>
      <c r="J16" s="2">
        <v>2</v>
      </c>
      <c r="K16" s="2">
        <f>SUM(B16:J16)</f>
        <v>20</v>
      </c>
      <c r="L16" s="48">
        <v>2</v>
      </c>
      <c r="M16" s="125" t="s">
        <v>109</v>
      </c>
      <c r="N16" s="2">
        <f t="shared" ref="N16:N18" si="0">SUM(B16:H16)</f>
        <v>17</v>
      </c>
      <c r="O16" s="127">
        <v>2</v>
      </c>
      <c r="Q16" s="129" t="s">
        <v>106</v>
      </c>
      <c r="R16" s="116">
        <v>9</v>
      </c>
      <c r="T16" s="26" t="s">
        <v>106</v>
      </c>
      <c r="U16">
        <f>COUNTIF(A3:A6,"metacell-31")</f>
        <v>1</v>
      </c>
      <c r="V16">
        <f>COUNTIF(D3:D6,"metacell-31")</f>
        <v>1</v>
      </c>
      <c r="W16">
        <f>COUNTIF(G3:G6,"metacell-31")</f>
        <v>1</v>
      </c>
      <c r="X16">
        <f>COUNTIF(J3:J6,"metacell-31")</f>
        <v>1</v>
      </c>
      <c r="Y16">
        <f>COUNTIF(M3:M6,"metacell-31")</f>
        <v>1</v>
      </c>
      <c r="Z16">
        <f>COUNTIF(P3:P6,"metacell-31")</f>
        <v>1</v>
      </c>
      <c r="AA16">
        <f>COUNTIF(S3:S6,"metacell-31")</f>
        <v>1</v>
      </c>
      <c r="AB16">
        <f>COUNTIF(V3:V6,"metacell-31")</f>
        <v>1</v>
      </c>
      <c r="AC16">
        <f>COUNTIF(Y3:Y6,"metacell-31")</f>
        <v>1</v>
      </c>
      <c r="AD16">
        <f t="shared" ref="AD16:AD18" si="1">SUM(U16:AC16)</f>
        <v>9</v>
      </c>
    </row>
    <row r="17" spans="1:30" x14ac:dyDescent="0.25">
      <c r="A17" s="122" t="s">
        <v>106</v>
      </c>
      <c r="B17" s="2">
        <v>2</v>
      </c>
      <c r="C17" s="2">
        <v>3</v>
      </c>
      <c r="D17" s="2">
        <v>3</v>
      </c>
      <c r="E17" s="2">
        <v>2</v>
      </c>
      <c r="F17" s="2">
        <v>3</v>
      </c>
      <c r="G17" s="2">
        <v>3</v>
      </c>
      <c r="H17" s="2">
        <v>1</v>
      </c>
      <c r="I17" s="2">
        <v>3</v>
      </c>
      <c r="J17" s="2">
        <v>1</v>
      </c>
      <c r="K17" s="2">
        <f>SUM(B17:J17)</f>
        <v>21</v>
      </c>
      <c r="L17" s="48">
        <v>3</v>
      </c>
      <c r="M17" s="125" t="s">
        <v>106</v>
      </c>
      <c r="N17" s="2">
        <f t="shared" si="0"/>
        <v>17</v>
      </c>
      <c r="O17" s="127">
        <v>2</v>
      </c>
      <c r="Q17" s="129" t="s">
        <v>109</v>
      </c>
      <c r="R17" s="116">
        <v>9</v>
      </c>
      <c r="T17" s="26" t="s">
        <v>109</v>
      </c>
      <c r="U17">
        <f>COUNTIF(A3:A6,"metacell-34")</f>
        <v>1</v>
      </c>
      <c r="V17">
        <f>COUNTIF(D3:D6,"metacell-34")</f>
        <v>1</v>
      </c>
      <c r="W17">
        <f>COUNTIF(G3:G6,"metacell-34")</f>
        <v>1</v>
      </c>
      <c r="X17">
        <f>COUNTIF(J3:J6,"metacell-34")</f>
        <v>1</v>
      </c>
      <c r="Y17">
        <f>COUNTIF(M3:M6,"metacell-34")</f>
        <v>1</v>
      </c>
      <c r="Z17">
        <f>COUNTIF(P3:P6,"metacell-34")</f>
        <v>1</v>
      </c>
      <c r="AA17">
        <f>COUNTIF(S3:S6,"metacell-34")</f>
        <v>1</v>
      </c>
      <c r="AB17">
        <f>COUNTIF(V3:V6,"metacell-34")</f>
        <v>1</v>
      </c>
      <c r="AC17">
        <f>COUNTIF(Y3:Y6,"metacell-34")</f>
        <v>1</v>
      </c>
      <c r="AD17">
        <f t="shared" si="1"/>
        <v>9</v>
      </c>
    </row>
    <row r="18" spans="1:30" ht="15.75" thickBot="1" x14ac:dyDescent="0.3">
      <c r="A18" s="123" t="s">
        <v>114</v>
      </c>
      <c r="B18" s="11">
        <v>1</v>
      </c>
      <c r="C18" s="11">
        <v>4</v>
      </c>
      <c r="D18" s="11">
        <v>4</v>
      </c>
      <c r="E18" s="11">
        <v>4</v>
      </c>
      <c r="F18" s="11">
        <v>4</v>
      </c>
      <c r="G18" s="11">
        <v>4</v>
      </c>
      <c r="H18" s="11">
        <v>1</v>
      </c>
      <c r="I18" s="11">
        <v>3</v>
      </c>
      <c r="J18" s="11">
        <v>3</v>
      </c>
      <c r="K18" s="11">
        <f>SUM(B18:J18)</f>
        <v>28</v>
      </c>
      <c r="L18" s="124">
        <v>4</v>
      </c>
      <c r="M18" s="126" t="s">
        <v>114</v>
      </c>
      <c r="N18" s="11">
        <f t="shared" si="0"/>
        <v>22</v>
      </c>
      <c r="O18" s="128">
        <v>3</v>
      </c>
      <c r="Q18" s="130" t="s">
        <v>114</v>
      </c>
      <c r="R18" s="118">
        <v>9</v>
      </c>
      <c r="T18" s="26" t="s">
        <v>114</v>
      </c>
      <c r="U18">
        <f>COUNTIF(A3:A6,"metacell-39")</f>
        <v>1</v>
      </c>
      <c r="V18">
        <f>COUNTIF(D3:D6,"metacell-39")</f>
        <v>1</v>
      </c>
      <c r="W18">
        <f>COUNTIF(G3:G6,"metacell-39")</f>
        <v>1</v>
      </c>
      <c r="X18">
        <f>COUNTIF(J3:J6,"metacell-39")</f>
        <v>1</v>
      </c>
      <c r="Y18">
        <f>COUNTIF(M3:M6,"metacell-39")</f>
        <v>1</v>
      </c>
      <c r="Z18">
        <f>COUNTIF(P3:P6,"metacell-39")</f>
        <v>1</v>
      </c>
      <c r="AA18">
        <f>COUNTIF(S3:S6,"metacell-39")</f>
        <v>1</v>
      </c>
      <c r="AB18">
        <f>COUNTIF(V3:V6,"metacell-39")</f>
        <v>1</v>
      </c>
      <c r="AC18">
        <f>COUNTIF(Y3:Y6,"metacell-39")</f>
        <v>1</v>
      </c>
      <c r="AD18">
        <f t="shared" si="1"/>
        <v>9</v>
      </c>
    </row>
    <row r="19" spans="1:30" x14ac:dyDescent="0.25">
      <c r="A19" s="2"/>
      <c r="B19" s="2"/>
      <c r="C19" s="2"/>
      <c r="D19" s="2"/>
      <c r="E19" s="2"/>
      <c r="F19" s="2"/>
    </row>
    <row r="20" spans="1:30" x14ac:dyDescent="0.25">
      <c r="A20" s="2"/>
      <c r="B20" s="2"/>
      <c r="C20" s="2"/>
      <c r="D20" s="2"/>
      <c r="E20" s="2"/>
      <c r="F20" s="2"/>
    </row>
    <row r="21" spans="1:30" x14ac:dyDescent="0.25">
      <c r="A21" s="26"/>
      <c r="B21" s="2"/>
      <c r="C21" s="2"/>
      <c r="D21" s="2"/>
      <c r="E21" s="2"/>
      <c r="F21" s="2"/>
    </row>
    <row r="22" spans="1:30" x14ac:dyDescent="0.25">
      <c r="A22" s="2"/>
      <c r="B22" s="2"/>
      <c r="C22" s="2"/>
      <c r="D22" s="2"/>
      <c r="E22" s="2"/>
      <c r="F22" s="2"/>
    </row>
    <row r="23" spans="1:30" x14ac:dyDescent="0.25">
      <c r="A23" s="2"/>
      <c r="B23" s="2"/>
      <c r="C23" s="2"/>
      <c r="D23" s="2"/>
      <c r="E23" s="2"/>
      <c r="F23" s="2"/>
    </row>
    <row r="24" spans="1:30" x14ac:dyDescent="0.25">
      <c r="A24" s="2"/>
      <c r="B24" s="2"/>
      <c r="C24" s="2"/>
      <c r="D24" s="2"/>
      <c r="E24" s="2"/>
      <c r="F24" s="2"/>
    </row>
    <row r="25" spans="1:30" x14ac:dyDescent="0.25">
      <c r="A25" s="2"/>
      <c r="B25" s="2"/>
      <c r="C25" s="2"/>
      <c r="D25" s="2"/>
      <c r="E25" s="2"/>
      <c r="F25" s="2"/>
    </row>
    <row r="26" spans="1:30" x14ac:dyDescent="0.25">
      <c r="A26" s="2"/>
      <c r="B26" s="2"/>
      <c r="C26" s="2"/>
      <c r="D26" s="2"/>
      <c r="E26" s="2"/>
      <c r="F26" s="2"/>
    </row>
    <row r="27" spans="1:30" x14ac:dyDescent="0.25">
      <c r="A27" s="2"/>
      <c r="B27" s="2"/>
      <c r="C27" s="2"/>
      <c r="D27" s="2"/>
      <c r="E27" s="2"/>
      <c r="F27" s="2"/>
    </row>
    <row r="28" spans="1:30" x14ac:dyDescent="0.25">
      <c r="A28" s="2"/>
      <c r="B28" s="2"/>
      <c r="C28" s="2"/>
      <c r="D28" s="2"/>
      <c r="E28" s="2"/>
      <c r="F28" s="2"/>
    </row>
    <row r="29" spans="1:30" x14ac:dyDescent="0.25">
      <c r="A29" s="2"/>
      <c r="B29" s="2"/>
      <c r="C29" s="2"/>
      <c r="D29" s="2"/>
      <c r="E29" s="2"/>
      <c r="F29" s="2"/>
    </row>
  </sheetData>
  <sortState ref="T15:T18">
    <sortCondition ref="T15"/>
  </sortState>
  <mergeCells count="21">
    <mergeCell ref="M8:O8"/>
    <mergeCell ref="P8:R8"/>
    <mergeCell ref="S8:U8"/>
    <mergeCell ref="V8:X8"/>
    <mergeCell ref="Y8:AA8"/>
    <mergeCell ref="S1:U1"/>
    <mergeCell ref="V1:X1"/>
    <mergeCell ref="Y1:AA1"/>
    <mergeCell ref="Q12:R13"/>
    <mergeCell ref="A13:L13"/>
    <mergeCell ref="M13:O13"/>
    <mergeCell ref="A8:C8"/>
    <mergeCell ref="D8:F8"/>
    <mergeCell ref="G8:I8"/>
    <mergeCell ref="J8:L8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Hvul_ranking</vt:lpstr>
      <vt:lpstr>Hvul_photo_lfp_by_metacell</vt:lpstr>
      <vt:lpstr>Nvec_ranking</vt:lpstr>
      <vt:lpstr>Nvec_photo_lfp_by_metacell</vt:lpstr>
      <vt:lpstr>Chem_ranking</vt:lpstr>
      <vt:lpstr>Chem_photo_lfp_by_metacell</vt:lpstr>
      <vt:lpstr>Spis_ranking</vt:lpstr>
      <vt:lpstr>Spis_photo_lfp_by_metacell</vt:lpstr>
      <vt:lpstr>Mlei_ranking</vt:lpstr>
      <vt:lpstr>Mlei_photo_lfp_by_metacell</vt:lpstr>
      <vt:lpstr>Tadh_ranking</vt:lpstr>
      <vt:lpstr>Tadh_photo_lfp_by_metacell</vt:lpstr>
      <vt:lpstr>Aque_ranking</vt:lpstr>
      <vt:lpstr>Aque_photo_lfp_by_metacell</vt:lpstr>
      <vt:lpstr>Cint_ranking</vt:lpstr>
      <vt:lpstr>Cint_photo_lfp_by_metacell</vt:lpstr>
      <vt:lpstr>Spur_ranking</vt:lpstr>
      <vt:lpstr>Spur_photo_lfp_by_metacell</vt:lpstr>
      <vt:lpstr>Hsap_ranking_cones</vt:lpstr>
      <vt:lpstr>Hsap_ranking_rods</vt:lpstr>
      <vt:lpstr>Hsap_photo_lfp_by_metacell</vt:lpstr>
      <vt:lpstr>Mmus_ranking_cones</vt:lpstr>
      <vt:lpstr>Mmus_ranking_rods</vt:lpstr>
      <vt:lpstr>Mmus_photo_lfp_mets_opsin_&gt;_0.2</vt:lpstr>
    </vt:vector>
  </TitlesOfParts>
  <Company>University of Leicester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Aleotti, Alessandra</dc:creator>
  <cp:lastModifiedBy>Aleotti, Alessandra</cp:lastModifiedBy>
  <dcterms:created xsi:type="dcterms:W3CDTF">2022-07-01T14:04:47Z</dcterms:created>
  <dcterms:modified xsi:type="dcterms:W3CDTF">2022-07-28T16:01:14Z</dcterms:modified>
</cp:coreProperties>
</file>