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riacatalinaibanezpineres/Desktop/MAESTRIA/2023-20/Dalgo 2/Tareas/Tarea-6/"/>
    </mc:Choice>
  </mc:AlternateContent>
  <xr:revisionPtr revIDLastSave="0" documentId="13_ncr:1_{D9703B21-2DA6-EA4F-84E9-F24169601172}" xr6:coauthVersionLast="47" xr6:coauthVersionMax="47" xr10:uidLastSave="{00000000-0000-0000-0000-000000000000}"/>
  <bookViews>
    <workbookView xWindow="0" yWindow="760" windowWidth="28400" windowHeight="14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Z22" i="1"/>
  <c r="Y22" i="1"/>
  <c r="X22" i="1"/>
  <c r="W22" i="1"/>
  <c r="V22" i="1"/>
  <c r="U22" i="1"/>
  <c r="T22" i="1"/>
  <c r="S22" i="1"/>
  <c r="Z21" i="1"/>
  <c r="Y21" i="1"/>
  <c r="X21" i="1"/>
  <c r="W21" i="1"/>
  <c r="V21" i="1"/>
  <c r="U21" i="1"/>
  <c r="T21" i="1"/>
  <c r="S21" i="1"/>
  <c r="Z20" i="1"/>
  <c r="Y20" i="1"/>
  <c r="X20" i="1"/>
  <c r="W20" i="1"/>
  <c r="V20" i="1"/>
  <c r="U20" i="1"/>
  <c r="T20" i="1"/>
  <c r="S20" i="1"/>
  <c r="Z19" i="1"/>
  <c r="Y19" i="1"/>
  <c r="X19" i="1"/>
  <c r="W19" i="1"/>
  <c r="V19" i="1"/>
  <c r="U19" i="1"/>
  <c r="T19" i="1"/>
  <c r="S19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J22" i="1"/>
  <c r="I22" i="1"/>
  <c r="H22" i="1"/>
  <c r="G22" i="1"/>
  <c r="D22" i="1"/>
  <c r="C22" i="1"/>
  <c r="H21" i="1"/>
  <c r="G21" i="1"/>
  <c r="F21" i="1"/>
  <c r="D21" i="1"/>
  <c r="C21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<sst xmlns="http://schemas.openxmlformats.org/spreadsheetml/2006/main" count="194" uniqueCount="32">
  <si>
    <t>Media</t>
  </si>
  <si>
    <t>Desviación estándar</t>
  </si>
  <si>
    <t>Mínimo</t>
  </si>
  <si>
    <t>algoritmo1</t>
  </si>
  <si>
    <t>algoritmo2</t>
  </si>
  <si>
    <t>algoritmo3</t>
  </si>
  <si>
    <t>algoritmo4</t>
  </si>
  <si>
    <t>V=100, E=300</t>
  </si>
  <si>
    <t>V=100, E=500</t>
  </si>
  <si>
    <t>V=100, E=1000</t>
  </si>
  <si>
    <t>V=1000, E=800</t>
  </si>
  <si>
    <t>V=1000, E=1200</t>
  </si>
  <si>
    <t>V=1000, E=2000</t>
  </si>
  <si>
    <t>Tiempo de Ejecución</t>
  </si>
  <si>
    <t>Tamaño Solución</t>
  </si>
  <si>
    <t>Algoritmo</t>
  </si>
  <si>
    <t>Algoritmos</t>
  </si>
  <si>
    <t>Pruebas para comparación con solo un grafo</t>
  </si>
  <si>
    <t>V=10000, E=5000</t>
  </si>
  <si>
    <t>V=10000, E=10000</t>
  </si>
  <si>
    <t>V=10000, E=11000</t>
  </si>
  <si>
    <t>Tiempo Ejecución</t>
  </si>
  <si>
    <t>V=10000, E=15000</t>
  </si>
  <si>
    <t>Los siguientes tests fueron realizados con muestras aleatorias de 20 grafos, fijando el número de vértices y variando el número de aristas</t>
  </si>
  <si>
    <t>Estás  pruebas son de comparación con un solo grafo variando las aristas</t>
  </si>
  <si>
    <t>V=10000, E=3000</t>
  </si>
  <si>
    <t>Los siguientes tests fueron realizados con muestras aleatorias de 3 grafos</t>
  </si>
  <si>
    <t>Máximo</t>
  </si>
  <si>
    <t>Pruebas para grafos de 10000 vértices y 3000 aristas</t>
  </si>
  <si>
    <t>Pruebas para grafos de 10000 vértices y 10000 aristas</t>
  </si>
  <si>
    <t>Pruebas para grafos de 10000 vértices y 15000 aristas</t>
  </si>
  <si>
    <t>Las próximas pruebas se realizaron sin el algoritmo 2 debido al tiempo de ejecución que toma este, como se ve en la anterior tabla, en donde solo se tenían 3000 aristas con muestras aleatorias de 10 grafos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</si>
</sst>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.000000"/>
    <numFmt numFmtId="169" formatCode="#,##0.0000000"/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0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168" fontId="0" fillId="0" borderId="1" xfId="0" applyNumberFormat="1" applyBorder="1"/>
    <xf numFmtId="169" fontId="0" fillId="0" borderId="1" xfId="0" applyNumberFormat="1" applyBorder="1"/>
    <xf numFmtId="168" fontId="0" fillId="0" borderId="0" xfId="0" applyNumberFormat="1" applyBorder="1"/>
    <xf numFmtId="3" fontId="0" fillId="0" borderId="0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169" fontId="0" fillId="0" borderId="0" xfId="0" applyNumberFormat="1" applyBorder="1"/>
    <xf numFmtId="0" fontId="2" fillId="0" borderId="1" xfId="0" applyFont="1" applyBorder="1" applyAlignment="1">
      <alignment horizontal="center" vertical="top"/>
    </xf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X46"/>
  <sheetViews>
    <sheetView tabSelected="1" topLeftCell="D25" zoomScale="89" workbookViewId="0">
      <selection activeCell="H24" sqref="H24"/>
    </sheetView>
  </sheetViews>
  <sheetFormatPr baseColWidth="10" defaultColWidth="8.6640625" defaultRowHeight="15" x14ac:dyDescent="0.2"/>
  <cols>
    <col min="2" max="2" width="11.5" style="4" customWidth="1"/>
    <col min="3" max="3" width="14.5" bestFit="1" customWidth="1"/>
    <col min="4" max="4" width="16.6640625" bestFit="1" customWidth="1"/>
    <col min="5" max="7" width="14.5" bestFit="1" customWidth="1"/>
    <col min="8" max="8" width="16.6640625" bestFit="1" customWidth="1"/>
    <col min="9" max="9" width="15" bestFit="1" customWidth="1"/>
    <col min="10" max="10" width="12.1640625" bestFit="1" customWidth="1"/>
    <col min="11" max="11" width="14.1640625" bestFit="1" customWidth="1"/>
    <col min="12" max="12" width="16.6640625" bestFit="1" customWidth="1"/>
    <col min="13" max="14" width="12.1640625" bestFit="1" customWidth="1"/>
    <col min="15" max="15" width="10.1640625" customWidth="1"/>
    <col min="16" max="16" width="16.6640625" bestFit="1" customWidth="1"/>
    <col min="17" max="17" width="9.83203125" customWidth="1"/>
    <col min="18" max="18" width="9.5" customWidth="1"/>
    <col min="19" max="19" width="12.1640625" bestFit="1" customWidth="1"/>
    <col min="20" max="20" width="16.6640625" bestFit="1" customWidth="1"/>
    <col min="21" max="22" width="12.1640625" bestFit="1" customWidth="1"/>
    <col min="23" max="23" width="8.6640625" customWidth="1"/>
    <col min="24" max="24" width="16.6640625" bestFit="1" customWidth="1"/>
    <col min="25" max="25" width="7.5" bestFit="1" customWidth="1"/>
    <col min="26" max="26" width="7.1640625" bestFit="1" customWidth="1"/>
    <col min="27" max="30" width="12.1640625" bestFit="1" customWidth="1"/>
    <col min="31" max="31" width="7.1640625" bestFit="1" customWidth="1"/>
    <col min="32" max="32" width="12.1640625" bestFit="1" customWidth="1"/>
    <col min="33" max="33" width="7.5" bestFit="1" customWidth="1"/>
    <col min="34" max="34" width="7.1640625" bestFit="1" customWidth="1"/>
    <col min="35" max="36" width="12.1640625" bestFit="1" customWidth="1"/>
    <col min="40" max="40" width="12.1640625" bestFit="1" customWidth="1"/>
    <col min="44" max="44" width="12.1640625" bestFit="1" customWidth="1"/>
    <col min="48" max="48" width="12.1640625" bestFit="1" customWidth="1"/>
  </cols>
  <sheetData>
    <row r="2" spans="1:50" ht="15" customHeight="1" x14ac:dyDescent="0.2">
      <c r="B2" s="18" t="s">
        <v>23</v>
      </c>
      <c r="C2" s="19"/>
      <c r="D2" s="19"/>
      <c r="E2" s="19"/>
      <c r="F2" s="19"/>
      <c r="G2" s="19"/>
      <c r="H2" s="19"/>
      <c r="I2" s="20"/>
    </row>
    <row r="3" spans="1:50" x14ac:dyDescent="0.2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1" customFormat="1" x14ac:dyDescent="0.2">
      <c r="B4" s="13" t="s">
        <v>15</v>
      </c>
      <c r="C4" s="16" t="s">
        <v>7</v>
      </c>
      <c r="D4" s="16"/>
      <c r="E4" s="16"/>
      <c r="F4" s="16"/>
      <c r="G4" s="16"/>
      <c r="H4" s="16"/>
      <c r="I4" s="16"/>
      <c r="J4" s="16"/>
      <c r="K4" s="16" t="s">
        <v>8</v>
      </c>
      <c r="L4" s="16"/>
      <c r="M4" s="16"/>
      <c r="N4" s="16"/>
      <c r="O4" s="16"/>
      <c r="P4" s="16"/>
      <c r="Q4" s="16"/>
      <c r="R4" s="16"/>
      <c r="S4" s="16" t="s">
        <v>9</v>
      </c>
      <c r="T4" s="16"/>
      <c r="U4" s="16"/>
      <c r="V4" s="16"/>
      <c r="W4" s="16"/>
      <c r="X4" s="16"/>
      <c r="Y4" s="16"/>
      <c r="Z4" s="16"/>
      <c r="AA4" s="16" t="s">
        <v>10</v>
      </c>
      <c r="AB4" s="16"/>
      <c r="AC4" s="16"/>
      <c r="AD4" s="16"/>
      <c r="AE4" s="16"/>
      <c r="AF4" s="16"/>
      <c r="AG4" s="16"/>
      <c r="AH4" s="16"/>
      <c r="AI4" s="16" t="s">
        <v>11</v>
      </c>
      <c r="AJ4" s="16"/>
      <c r="AK4" s="16"/>
      <c r="AL4" s="16"/>
      <c r="AM4" s="16"/>
      <c r="AN4" s="16"/>
      <c r="AO4" s="16"/>
      <c r="AP4" s="16"/>
      <c r="AQ4" s="11" t="s">
        <v>12</v>
      </c>
      <c r="AR4" s="11"/>
      <c r="AS4" s="11"/>
      <c r="AT4" s="11"/>
      <c r="AU4" s="11"/>
      <c r="AV4" s="11"/>
      <c r="AW4" s="11"/>
      <c r="AX4" s="11"/>
    </row>
    <row r="5" spans="1:50" x14ac:dyDescent="0.2">
      <c r="B5" s="14"/>
      <c r="C5" s="11" t="s">
        <v>13</v>
      </c>
      <c r="D5" s="11"/>
      <c r="E5" s="11"/>
      <c r="F5" s="11"/>
      <c r="G5" s="11" t="s">
        <v>14</v>
      </c>
      <c r="H5" s="11"/>
      <c r="I5" s="11"/>
      <c r="J5" s="11"/>
      <c r="K5" s="11" t="s">
        <v>13</v>
      </c>
      <c r="L5" s="11"/>
      <c r="M5" s="11"/>
      <c r="N5" s="11"/>
      <c r="O5" s="11" t="s">
        <v>14</v>
      </c>
      <c r="P5" s="11"/>
      <c r="Q5" s="11"/>
      <c r="R5" s="11"/>
      <c r="S5" s="11" t="s">
        <v>13</v>
      </c>
      <c r="T5" s="11"/>
      <c r="U5" s="11"/>
      <c r="V5" s="11"/>
      <c r="W5" s="11" t="s">
        <v>14</v>
      </c>
      <c r="X5" s="11"/>
      <c r="Y5" s="11"/>
      <c r="Z5" s="11"/>
      <c r="AA5" s="11" t="s">
        <v>13</v>
      </c>
      <c r="AB5" s="11"/>
      <c r="AC5" s="11"/>
      <c r="AD5" s="11"/>
      <c r="AE5" s="11" t="s">
        <v>14</v>
      </c>
      <c r="AF5" s="11"/>
      <c r="AG5" s="11"/>
      <c r="AH5" s="11"/>
      <c r="AI5" s="11" t="s">
        <v>13</v>
      </c>
      <c r="AJ5" s="11"/>
      <c r="AK5" s="11"/>
      <c r="AL5" s="11"/>
      <c r="AM5" s="11" t="s">
        <v>14</v>
      </c>
      <c r="AN5" s="11"/>
      <c r="AO5" s="11"/>
      <c r="AP5" s="11"/>
      <c r="AQ5" s="11" t="s">
        <v>13</v>
      </c>
      <c r="AR5" s="11"/>
      <c r="AS5" s="11"/>
      <c r="AT5" s="11"/>
      <c r="AU5" s="11" t="s">
        <v>14</v>
      </c>
      <c r="AV5" s="11"/>
      <c r="AW5" s="11"/>
      <c r="AX5" s="11"/>
    </row>
    <row r="6" spans="1:50" s="4" customFormat="1" ht="32" x14ac:dyDescent="0.2">
      <c r="B6" s="15"/>
      <c r="C6" s="3" t="s">
        <v>0</v>
      </c>
      <c r="D6" s="3" t="s">
        <v>1</v>
      </c>
      <c r="E6" s="3" t="s">
        <v>27</v>
      </c>
      <c r="F6" s="3" t="s">
        <v>2</v>
      </c>
      <c r="G6" s="3" t="s">
        <v>0</v>
      </c>
      <c r="H6" s="3" t="s">
        <v>1</v>
      </c>
      <c r="I6" s="3" t="s">
        <v>27</v>
      </c>
      <c r="J6" s="3" t="s">
        <v>2</v>
      </c>
      <c r="K6" s="3" t="s">
        <v>0</v>
      </c>
      <c r="L6" s="3" t="s">
        <v>1</v>
      </c>
      <c r="M6" s="3" t="s">
        <v>27</v>
      </c>
      <c r="N6" s="3" t="s">
        <v>2</v>
      </c>
      <c r="O6" s="3" t="s">
        <v>0</v>
      </c>
      <c r="P6" s="3" t="s">
        <v>1</v>
      </c>
      <c r="Q6" s="3" t="s">
        <v>27</v>
      </c>
      <c r="R6" s="3" t="s">
        <v>2</v>
      </c>
      <c r="S6" s="3" t="s">
        <v>0</v>
      </c>
      <c r="T6" s="3" t="s">
        <v>1</v>
      </c>
      <c r="U6" s="3" t="s">
        <v>27</v>
      </c>
      <c r="V6" s="3" t="s">
        <v>2</v>
      </c>
      <c r="W6" s="3" t="s">
        <v>0</v>
      </c>
      <c r="X6" s="3" t="s">
        <v>1</v>
      </c>
      <c r="Y6" s="3" t="s">
        <v>27</v>
      </c>
      <c r="Z6" s="3" t="s">
        <v>2</v>
      </c>
      <c r="AA6" s="3" t="s">
        <v>0</v>
      </c>
      <c r="AB6" s="3" t="s">
        <v>1</v>
      </c>
      <c r="AC6" s="3" t="s">
        <v>27</v>
      </c>
      <c r="AD6" s="3" t="s">
        <v>2</v>
      </c>
      <c r="AE6" s="3" t="s">
        <v>0</v>
      </c>
      <c r="AF6" s="3" t="s">
        <v>1</v>
      </c>
      <c r="AG6" s="3" t="s">
        <v>27</v>
      </c>
      <c r="AH6" s="3" t="s">
        <v>2</v>
      </c>
      <c r="AI6" s="3" t="s">
        <v>0</v>
      </c>
      <c r="AJ6" s="3" t="s">
        <v>1</v>
      </c>
      <c r="AK6" s="3" t="s">
        <v>27</v>
      </c>
      <c r="AL6" s="3" t="s">
        <v>2</v>
      </c>
      <c r="AM6" s="3" t="s">
        <v>0</v>
      </c>
      <c r="AN6" s="3" t="s">
        <v>1</v>
      </c>
      <c r="AO6" s="3" t="s">
        <v>27</v>
      </c>
      <c r="AP6" s="3" t="s">
        <v>2</v>
      </c>
      <c r="AQ6" s="3" t="s">
        <v>0</v>
      </c>
      <c r="AR6" s="3" t="s">
        <v>1</v>
      </c>
      <c r="AS6" s="3" t="s">
        <v>27</v>
      </c>
      <c r="AT6" s="3" t="s">
        <v>2</v>
      </c>
      <c r="AU6" s="3" t="s">
        <v>0</v>
      </c>
      <c r="AV6" s="3" t="s">
        <v>1</v>
      </c>
      <c r="AW6" s="3" t="s">
        <v>27</v>
      </c>
      <c r="AX6" s="3" t="s">
        <v>2</v>
      </c>
    </row>
    <row r="7" spans="1:50" ht="16" x14ac:dyDescent="0.2">
      <c r="B7" s="3" t="s">
        <v>3</v>
      </c>
      <c r="C7" s="2">
        <v>5.4810047149658205E-4</v>
      </c>
      <c r="D7" s="2">
        <v>5.8811334327619124E-4</v>
      </c>
      <c r="E7" s="2">
        <v>1.998662948608398E-3</v>
      </c>
      <c r="F7" s="2">
        <v>0</v>
      </c>
      <c r="G7" s="2">
        <v>85</v>
      </c>
      <c r="H7" s="2">
        <v>2.3237900077244502</v>
      </c>
      <c r="I7" s="2">
        <v>90</v>
      </c>
      <c r="J7" s="2">
        <v>82</v>
      </c>
      <c r="K7" s="2">
        <v>7.5167417526245117E-4</v>
      </c>
      <c r="L7" s="2">
        <v>5.3702554664851433E-4</v>
      </c>
      <c r="M7" s="2">
        <v>2.0000934600830078E-3</v>
      </c>
      <c r="N7" s="2">
        <v>0</v>
      </c>
      <c r="O7" s="2">
        <v>90.8</v>
      </c>
      <c r="P7" s="2">
        <v>2.7856776554368241</v>
      </c>
      <c r="Q7" s="2">
        <v>94</v>
      </c>
      <c r="R7" s="2">
        <v>84</v>
      </c>
      <c r="S7" s="2">
        <v>1.6510486602783201E-3</v>
      </c>
      <c r="T7" s="2">
        <v>9.4264252856145344E-4</v>
      </c>
      <c r="U7" s="2">
        <v>4.8897266387939453E-3</v>
      </c>
      <c r="V7" s="2">
        <v>9.9611282348632812E-4</v>
      </c>
      <c r="W7" s="2">
        <v>95.4</v>
      </c>
      <c r="X7" s="2">
        <v>1.9078784028338911</v>
      </c>
      <c r="Y7" s="2">
        <v>98</v>
      </c>
      <c r="Z7" s="2">
        <v>90</v>
      </c>
      <c r="AA7" s="2">
        <v>1.1962103843688961E-2</v>
      </c>
      <c r="AB7" s="2">
        <v>3.416756226595851E-3</v>
      </c>
      <c r="AC7" s="2">
        <v>1.793003082275391E-2</v>
      </c>
      <c r="AD7" s="2">
        <v>7.4803829193115226E-3</v>
      </c>
      <c r="AE7" s="2">
        <v>615.20000000000005</v>
      </c>
      <c r="AF7" s="2">
        <v>12.90581264392134</v>
      </c>
      <c r="AG7" s="2">
        <v>636</v>
      </c>
      <c r="AH7" s="2">
        <v>590</v>
      </c>
      <c r="AI7" s="2">
        <v>1.9582438468933101E-2</v>
      </c>
      <c r="AJ7" s="2">
        <v>5.7910561444163861E-3</v>
      </c>
      <c r="AK7" s="2">
        <v>3.1520366668701172E-2</v>
      </c>
      <c r="AL7" s="2">
        <v>1.300430297851562E-2</v>
      </c>
      <c r="AM7" s="2">
        <v>704.8</v>
      </c>
      <c r="AN7" s="2">
        <v>10.04788534966438</v>
      </c>
      <c r="AO7" s="2">
        <v>722</v>
      </c>
      <c r="AP7" s="2">
        <v>684</v>
      </c>
      <c r="AQ7" s="2">
        <v>3.0853295326232912E-2</v>
      </c>
      <c r="AR7" s="2">
        <v>6.5585131942640677E-3</v>
      </c>
      <c r="AS7" s="2">
        <v>4.5314311981201172E-2</v>
      </c>
      <c r="AT7" s="2">
        <v>2.3000955581665039E-2</v>
      </c>
      <c r="AU7" s="2">
        <v>802.5</v>
      </c>
      <c r="AV7" s="2">
        <v>12.58371964086931</v>
      </c>
      <c r="AW7" s="2">
        <v>842</v>
      </c>
      <c r="AX7" s="2">
        <v>784</v>
      </c>
    </row>
    <row r="8" spans="1:50" ht="16" x14ac:dyDescent="0.2">
      <c r="B8" s="3" t="s">
        <v>4</v>
      </c>
      <c r="C8" s="2">
        <v>7.751667499542236E-3</v>
      </c>
      <c r="D8" s="2">
        <v>2.1236517950691831E-3</v>
      </c>
      <c r="E8" s="2">
        <v>1.208209991455078E-2</v>
      </c>
      <c r="F8" s="2">
        <v>3.9997100830078116E-3</v>
      </c>
      <c r="G8" s="2">
        <v>87.75</v>
      </c>
      <c r="H8" s="2">
        <v>4.7631397208144124</v>
      </c>
      <c r="I8" s="2">
        <v>95</v>
      </c>
      <c r="J8" s="2">
        <v>78</v>
      </c>
      <c r="K8" s="2">
        <v>6.9229245185852047E-3</v>
      </c>
      <c r="L8" s="2">
        <v>1.4609392136240499E-3</v>
      </c>
      <c r="M8" s="2">
        <v>9.2699527740478516E-3</v>
      </c>
      <c r="N8" s="2">
        <v>4.9998760223388672E-3</v>
      </c>
      <c r="O8" s="2">
        <v>91.05</v>
      </c>
      <c r="P8" s="2">
        <v>3.3087006513131398</v>
      </c>
      <c r="Q8" s="2">
        <v>97</v>
      </c>
      <c r="R8" s="2">
        <v>86</v>
      </c>
      <c r="S8" s="2">
        <v>7.8433394432067868E-3</v>
      </c>
      <c r="T8" s="2">
        <v>2.9626905807499651E-3</v>
      </c>
      <c r="U8" s="2">
        <v>1.5989303588867191E-2</v>
      </c>
      <c r="V8" s="2">
        <v>5.4500102996826172E-3</v>
      </c>
      <c r="W8" s="2">
        <v>95.55</v>
      </c>
      <c r="X8" s="2">
        <v>1.935846068260594</v>
      </c>
      <c r="Y8" s="2">
        <v>98</v>
      </c>
      <c r="Z8" s="2">
        <v>91</v>
      </c>
      <c r="AA8" s="2">
        <v>4.3945093631744383</v>
      </c>
      <c r="AB8" s="2">
        <v>0.12106016799102221</v>
      </c>
      <c r="AC8" s="2">
        <v>4.680438756942749</v>
      </c>
      <c r="AD8" s="2">
        <v>4.23004150390625</v>
      </c>
      <c r="AE8" s="2">
        <v>745.85</v>
      </c>
      <c r="AF8" s="2">
        <v>23.37364969361867</v>
      </c>
      <c r="AG8" s="2">
        <v>788</v>
      </c>
      <c r="AH8" s="2">
        <v>684</v>
      </c>
      <c r="AI8" s="2">
        <v>4.7370745182037357</v>
      </c>
      <c r="AJ8" s="2">
        <v>0.14902698545719401</v>
      </c>
      <c r="AK8" s="2">
        <v>5.0107502937316886</v>
      </c>
      <c r="AL8" s="2">
        <v>4.4674606323242188</v>
      </c>
      <c r="AM8" s="2">
        <v>850.7</v>
      </c>
      <c r="AN8" s="2">
        <v>23.082677487674609</v>
      </c>
      <c r="AO8" s="2">
        <v>886</v>
      </c>
      <c r="AP8" s="2">
        <v>808</v>
      </c>
      <c r="AQ8" s="2">
        <v>4.6051600813865674</v>
      </c>
      <c r="AR8" s="2">
        <v>0.29891904178676049</v>
      </c>
      <c r="AS8" s="2">
        <v>5.2336075305938721</v>
      </c>
      <c r="AT8" s="2">
        <v>4.1260592937469482</v>
      </c>
      <c r="AU8" s="2">
        <v>917.4</v>
      </c>
      <c r="AV8" s="2">
        <v>29.75130249249602</v>
      </c>
      <c r="AW8" s="2">
        <v>966</v>
      </c>
      <c r="AX8" s="2">
        <v>868</v>
      </c>
    </row>
    <row r="9" spans="1:50" ht="16" x14ac:dyDescent="0.2">
      <c r="B9" s="3" t="s">
        <v>5</v>
      </c>
      <c r="C9" s="2">
        <v>1.1258721351623539E-3</v>
      </c>
      <c r="D9" s="2">
        <v>8.3515435723266994E-4</v>
      </c>
      <c r="E9" s="2">
        <v>4.0006637573242188E-3</v>
      </c>
      <c r="F9" s="2">
        <v>0</v>
      </c>
      <c r="G9" s="2">
        <v>66.650000000000006</v>
      </c>
      <c r="H9" s="2">
        <v>2.0802644062714721</v>
      </c>
      <c r="I9" s="2">
        <v>71</v>
      </c>
      <c r="J9" s="2">
        <v>64</v>
      </c>
      <c r="K9" s="2">
        <v>1.201367378234863E-3</v>
      </c>
      <c r="L9" s="2">
        <v>4.9661206138236079E-4</v>
      </c>
      <c r="M9" s="2">
        <v>2.018213272094727E-3</v>
      </c>
      <c r="N9" s="2">
        <v>0</v>
      </c>
      <c r="O9" s="2">
        <v>77.8</v>
      </c>
      <c r="P9" s="2">
        <v>2.3790754506740641</v>
      </c>
      <c r="Q9" s="2">
        <v>83</v>
      </c>
      <c r="R9" s="2">
        <v>74</v>
      </c>
      <c r="S9" s="2">
        <v>2.4713635444641108E-3</v>
      </c>
      <c r="T9" s="2">
        <v>8.2400660235757285E-4</v>
      </c>
      <c r="U9" s="2">
        <v>5.0001144409179688E-3</v>
      </c>
      <c r="V9" s="2">
        <v>1.9993782043457031E-3</v>
      </c>
      <c r="W9" s="2">
        <v>86.9</v>
      </c>
      <c r="X9" s="2">
        <v>1.894729532149642</v>
      </c>
      <c r="Y9" s="2">
        <v>91</v>
      </c>
      <c r="Z9" s="2">
        <v>84</v>
      </c>
      <c r="AA9" s="2">
        <v>1.847908496856689E-2</v>
      </c>
      <c r="AB9" s="2">
        <v>5.1046857763997052E-3</v>
      </c>
      <c r="AC9" s="2">
        <v>2.7933120727539059E-2</v>
      </c>
      <c r="AD9" s="2">
        <v>1.1998653411865229E-2</v>
      </c>
      <c r="AE9" s="2">
        <v>378.25</v>
      </c>
      <c r="AF9" s="2">
        <v>6.9561124200231266</v>
      </c>
      <c r="AG9" s="2">
        <v>388</v>
      </c>
      <c r="AH9" s="2">
        <v>361</v>
      </c>
      <c r="AI9" s="2">
        <v>2.740654945373535E-2</v>
      </c>
      <c r="AJ9" s="2">
        <v>7.3819672854762933E-3</v>
      </c>
      <c r="AK9" s="2">
        <v>4.0999889373779297E-2</v>
      </c>
      <c r="AL9" s="2">
        <v>1.7915248870849609E-2</v>
      </c>
      <c r="AM9" s="2">
        <v>471.75</v>
      </c>
      <c r="AN9" s="2">
        <v>4.815340071064556</v>
      </c>
      <c r="AO9" s="2">
        <v>483</v>
      </c>
      <c r="AP9" s="2">
        <v>464</v>
      </c>
      <c r="AQ9" s="2">
        <v>4.2785692214965823E-2</v>
      </c>
      <c r="AR9" s="2">
        <v>9.4292781127261124E-3</v>
      </c>
      <c r="AS9" s="2">
        <v>6.438899040222168E-2</v>
      </c>
      <c r="AT9" s="2">
        <v>3.163599967956543E-2</v>
      </c>
      <c r="AU9" s="2">
        <v>588.9</v>
      </c>
      <c r="AV9" s="2">
        <v>7.4491610265854771</v>
      </c>
      <c r="AW9" s="2">
        <v>605</v>
      </c>
      <c r="AX9" s="2">
        <v>576</v>
      </c>
    </row>
    <row r="10" spans="1:50" ht="16" x14ac:dyDescent="0.2">
      <c r="B10" s="3" t="s">
        <v>6</v>
      </c>
      <c r="C10" s="2">
        <v>1.0656595230102541E-3</v>
      </c>
      <c r="D10" s="2">
        <v>4.1730803827926878E-4</v>
      </c>
      <c r="E10" s="2">
        <v>2.0086765289306641E-3</v>
      </c>
      <c r="F10" s="2">
        <v>0</v>
      </c>
      <c r="G10" s="2">
        <v>95.05</v>
      </c>
      <c r="H10" s="2">
        <v>1.9615045245933029</v>
      </c>
      <c r="I10" s="2">
        <v>100</v>
      </c>
      <c r="J10" s="2">
        <v>92</v>
      </c>
      <c r="K10" s="2">
        <v>1.873743534088135E-3</v>
      </c>
      <c r="L10" s="2">
        <v>8.2760445486468695E-4</v>
      </c>
      <c r="M10" s="2">
        <v>3.1464099884033199E-3</v>
      </c>
      <c r="N10" s="2">
        <v>9.9992752075195312E-4</v>
      </c>
      <c r="O10" s="2">
        <v>99.3</v>
      </c>
      <c r="P10" s="2">
        <v>0.71414284285428498</v>
      </c>
      <c r="Q10" s="2">
        <v>100</v>
      </c>
      <c r="R10" s="2">
        <v>98</v>
      </c>
      <c r="S10" s="2">
        <v>5.7337284088134774E-3</v>
      </c>
      <c r="T10" s="2">
        <v>1.584158636012118E-3</v>
      </c>
      <c r="U10" s="2">
        <v>1.0999917984008791E-2</v>
      </c>
      <c r="V10" s="2">
        <v>3.9932727813720703E-3</v>
      </c>
      <c r="W10" s="2">
        <v>100</v>
      </c>
      <c r="X10" s="2">
        <v>0</v>
      </c>
      <c r="Y10" s="2">
        <v>100</v>
      </c>
      <c r="Z10" s="2">
        <v>100</v>
      </c>
      <c r="AA10" s="2">
        <v>5.379796028137207E-3</v>
      </c>
      <c r="AB10" s="2">
        <v>1.362833391775047E-3</v>
      </c>
      <c r="AC10" s="2">
        <v>7.07244873046875E-3</v>
      </c>
      <c r="AD10" s="2">
        <v>2.9997825622558589E-3</v>
      </c>
      <c r="AE10" s="2">
        <v>546.75</v>
      </c>
      <c r="AF10" s="2">
        <v>7.1335475045730226</v>
      </c>
      <c r="AG10" s="2">
        <v>564</v>
      </c>
      <c r="AH10" s="2">
        <v>536</v>
      </c>
      <c r="AI10" s="2">
        <v>1.073570251464844E-2</v>
      </c>
      <c r="AJ10" s="2">
        <v>3.9111159975684798E-3</v>
      </c>
      <c r="AK10" s="2">
        <v>1.8002986907958981E-2</v>
      </c>
      <c r="AL10" s="2">
        <v>5.9924125671386719E-3</v>
      </c>
      <c r="AM10" s="2">
        <v>698.1</v>
      </c>
      <c r="AN10" s="2">
        <v>10.20735029280371</v>
      </c>
      <c r="AO10" s="2">
        <v>715</v>
      </c>
      <c r="AP10" s="2">
        <v>675</v>
      </c>
      <c r="AQ10" s="2">
        <v>2.5480163097381589E-2</v>
      </c>
      <c r="AR10" s="2">
        <v>7.4147205693206311E-3</v>
      </c>
      <c r="AS10" s="2">
        <v>4.3301105499267578E-2</v>
      </c>
      <c r="AT10" s="2">
        <v>1.668238639831543E-2</v>
      </c>
      <c r="AU10" s="2">
        <v>864.9</v>
      </c>
      <c r="AV10" s="2">
        <v>7.5557924799454348</v>
      </c>
      <c r="AW10" s="2">
        <v>882</v>
      </c>
      <c r="AX10" s="2">
        <v>849</v>
      </c>
    </row>
    <row r="12" spans="1:50" ht="14.5" customHeight="1" x14ac:dyDescent="0.2">
      <c r="B12" s="21"/>
      <c r="C12" s="21"/>
      <c r="D12" s="21"/>
    </row>
    <row r="13" spans="1:50" x14ac:dyDescent="0.2">
      <c r="B13" s="21"/>
      <c r="C13" s="21"/>
      <c r="D13" s="21"/>
    </row>
    <row r="14" spans="1:50" x14ac:dyDescent="0.2">
      <c r="B14" s="22" t="s">
        <v>26</v>
      </c>
      <c r="C14" s="23"/>
      <c r="D14" s="23"/>
      <c r="E14" s="23"/>
      <c r="F14" s="24"/>
    </row>
    <row r="15" spans="1:50" ht="15" customHeight="1" x14ac:dyDescent="0.2">
      <c r="C15" s="21"/>
      <c r="D15" s="21"/>
      <c r="E15" s="21"/>
      <c r="F15" s="21"/>
    </row>
    <row r="16" spans="1:50" ht="15" customHeight="1" x14ac:dyDescent="0.2">
      <c r="B16" s="39" t="s">
        <v>15</v>
      </c>
      <c r="C16" s="40" t="s">
        <v>28</v>
      </c>
      <c r="D16" s="40"/>
      <c r="E16" s="40"/>
      <c r="F16" s="40"/>
      <c r="G16" s="40"/>
      <c r="H16" s="40"/>
      <c r="I16" s="40"/>
      <c r="J16" s="40"/>
      <c r="K16" s="40" t="s">
        <v>29</v>
      </c>
      <c r="L16" s="40"/>
      <c r="M16" s="40"/>
      <c r="N16" s="40"/>
      <c r="O16" s="40"/>
      <c r="P16" s="40"/>
      <c r="Q16" s="40"/>
      <c r="R16" s="40"/>
      <c r="S16" s="40" t="s">
        <v>30</v>
      </c>
      <c r="T16" s="40"/>
      <c r="U16" s="40"/>
      <c r="V16" s="40"/>
      <c r="W16" s="40"/>
      <c r="X16" s="40"/>
      <c r="Y16" s="40"/>
      <c r="Z16" s="40"/>
    </row>
    <row r="17" spans="2:34" ht="15" customHeight="1" x14ac:dyDescent="0.2">
      <c r="B17" s="39"/>
      <c r="C17" s="11" t="s">
        <v>13</v>
      </c>
      <c r="D17" s="11"/>
      <c r="E17" s="11"/>
      <c r="F17" s="11"/>
      <c r="G17" s="11" t="s">
        <v>14</v>
      </c>
      <c r="H17" s="11"/>
      <c r="I17" s="11"/>
      <c r="J17" s="11"/>
      <c r="K17" s="11" t="s">
        <v>13</v>
      </c>
      <c r="L17" s="11"/>
      <c r="M17" s="11"/>
      <c r="N17" s="11"/>
      <c r="O17" s="11" t="s">
        <v>14</v>
      </c>
      <c r="P17" s="11"/>
      <c r="Q17" s="11"/>
      <c r="R17" s="11"/>
      <c r="S17" s="11" t="s">
        <v>13</v>
      </c>
      <c r="T17" s="11"/>
      <c r="U17" s="11"/>
      <c r="V17" s="11"/>
      <c r="W17" s="11" t="s">
        <v>14</v>
      </c>
      <c r="X17" s="11"/>
      <c r="Y17" s="11"/>
      <c r="Z17" s="11"/>
    </row>
    <row r="18" spans="2:34" x14ac:dyDescent="0.2">
      <c r="B18" s="39"/>
      <c r="C18" s="41" t="s">
        <v>0</v>
      </c>
      <c r="D18" s="41" t="s">
        <v>1</v>
      </c>
      <c r="E18" s="41" t="s">
        <v>27</v>
      </c>
      <c r="F18" s="41" t="s">
        <v>2</v>
      </c>
      <c r="G18" s="41" t="s">
        <v>0</v>
      </c>
      <c r="H18" s="41" t="s">
        <v>1</v>
      </c>
      <c r="I18" s="41" t="s">
        <v>27</v>
      </c>
      <c r="J18" s="41" t="s">
        <v>2</v>
      </c>
      <c r="K18" s="41" t="s">
        <v>0</v>
      </c>
      <c r="L18" s="41" t="s">
        <v>1</v>
      </c>
      <c r="M18" s="41" t="s">
        <v>27</v>
      </c>
      <c r="N18" s="41" t="s">
        <v>2</v>
      </c>
      <c r="O18" s="41" t="s">
        <v>0</v>
      </c>
      <c r="P18" s="41" t="s">
        <v>1</v>
      </c>
      <c r="Q18" s="41" t="s">
        <v>27</v>
      </c>
      <c r="R18" s="41" t="s">
        <v>2</v>
      </c>
      <c r="S18" s="41" t="s">
        <v>0</v>
      </c>
      <c r="T18" s="41" t="s">
        <v>1</v>
      </c>
      <c r="U18" s="41" t="s">
        <v>27</v>
      </c>
      <c r="V18" s="41" t="s">
        <v>2</v>
      </c>
      <c r="W18" s="41" t="s">
        <v>0</v>
      </c>
      <c r="X18" s="41" t="s">
        <v>1</v>
      </c>
      <c r="Y18" s="41" t="s">
        <v>27</v>
      </c>
      <c r="Z18" s="41" t="s">
        <v>2</v>
      </c>
    </row>
    <row r="19" spans="2:34" ht="16" x14ac:dyDescent="0.2">
      <c r="B19" s="3" t="s">
        <v>3</v>
      </c>
      <c r="C19" s="2">
        <f>AVERAGE(0.1231,0.1477,0.1433)</f>
        <v>0.13803333333333334</v>
      </c>
      <c r="D19" s="2">
        <f>STDEV(0.1321,0.1477,0.1433)</f>
        <v>8.0432166036563616E-3</v>
      </c>
      <c r="E19" s="2">
        <f>MAX(0.1321,0.1477,0.1433)</f>
        <v>0.1477</v>
      </c>
      <c r="F19" s="2">
        <f>MIN(0.1321,0.1477,0.1433)</f>
        <v>0.1321</v>
      </c>
      <c r="G19" s="2">
        <f>AVERAGE(3758,3784,3816)</f>
        <v>3786</v>
      </c>
      <c r="H19" s="2">
        <f>STDEV(3758,3784,3816)</f>
        <v>29.051678092667899</v>
      </c>
      <c r="I19" s="2">
        <f>3816</f>
        <v>3816</v>
      </c>
      <c r="J19" s="2">
        <f>3758</f>
        <v>3758</v>
      </c>
      <c r="K19" s="2">
        <f>AVERAGE(0.72266,0.7265,0.7415)</f>
        <v>0.73022000000000009</v>
      </c>
      <c r="L19" s="2">
        <f>STDEV(0.72266,0.7265,0.7415)</f>
        <v>9.9556617057833304E-3</v>
      </c>
      <c r="M19" s="2">
        <f>0.7415</f>
        <v>0.74150000000000005</v>
      </c>
      <c r="N19" s="2">
        <f>0.72266</f>
        <v>0.72265999999999997</v>
      </c>
      <c r="O19" s="2">
        <f>AVERAGE(6670,6618,6682)</f>
        <v>6656.666666666667</v>
      </c>
      <c r="P19" s="2">
        <f>STDEV(6670,6682,6618)</f>
        <v>34.019602192461527</v>
      </c>
      <c r="Q19" s="2">
        <f>6682</f>
        <v>6682</v>
      </c>
      <c r="R19" s="2">
        <f>6618</f>
        <v>6618</v>
      </c>
      <c r="S19" s="2">
        <f>AVERAGE(0.9601,0.8608,0.8845)</f>
        <v>0.90180000000000005</v>
      </c>
      <c r="T19" s="2">
        <f>STDEV(0.9601,0.8608,0.8845)</f>
        <v>5.1861257215767509E-2</v>
      </c>
      <c r="U19" s="2">
        <f>MAX(0.9601,0.8608,0.8845)</f>
        <v>0.96009999999999995</v>
      </c>
      <c r="V19" s="2">
        <f>MIN(0.9601,0.8608,0.8845)</f>
        <v>0.86080000000000001</v>
      </c>
      <c r="W19" s="2">
        <f>AVERAGE(7548,7470,7512)</f>
        <v>7510</v>
      </c>
      <c r="X19" s="2">
        <f>STDEV(7548,7470,7512)</f>
        <v>39.038442591886273</v>
      </c>
      <c r="Y19" s="2">
        <f>MAX(7548,7470,7512)</f>
        <v>7548</v>
      </c>
      <c r="Z19" s="2">
        <f>MIN(7548,7470,7512)</f>
        <v>7470</v>
      </c>
    </row>
    <row r="20" spans="2:34" ht="16" x14ac:dyDescent="0.2">
      <c r="B20" s="3" t="s">
        <v>4</v>
      </c>
      <c r="C20" s="2">
        <f>AVERAGE(2938.13,1438.75,1410.35)</f>
        <v>1929.0766666666666</v>
      </c>
      <c r="D20" s="2">
        <f>STDEV(2938.13,1438.75,1410.35)</f>
        <v>873.98118522845471</v>
      </c>
      <c r="E20" s="2">
        <f>2938.13</f>
        <v>2938.13</v>
      </c>
      <c r="F20" s="2">
        <f>1410.35</f>
        <v>1410.35</v>
      </c>
      <c r="G20" s="2">
        <f>AVERAGE(4440,4481,4351)</f>
        <v>4424</v>
      </c>
      <c r="H20" s="2">
        <f>STDEV(4440,4481,4351)</f>
        <v>66.460514593253038</v>
      </c>
      <c r="I20" s="2">
        <v>4481</v>
      </c>
      <c r="J20" s="2">
        <v>4351</v>
      </c>
      <c r="K20" s="2">
        <f>AVERAGE(2023.1432,1997.3136,1996.4908)</f>
        <v>2005.6491999999998</v>
      </c>
      <c r="L20" s="2">
        <f>STDEV(2023.1432,1997.3136,1996.4908)</f>
        <v>15.155833100163109</v>
      </c>
      <c r="M20" s="2">
        <f>2023.1432</f>
        <v>2023.1432</v>
      </c>
      <c r="N20" s="2">
        <f>1996.4908</f>
        <v>1996.4908</v>
      </c>
      <c r="O20" s="2">
        <f>AVERAGE(8425,8393,8433)</f>
        <v>8417</v>
      </c>
      <c r="P20" s="2">
        <f>STDEV(8425,8393,8433)</f>
        <v>21.166010488516726</v>
      </c>
      <c r="Q20" s="2">
        <f>8433</f>
        <v>8433</v>
      </c>
      <c r="R20" s="2">
        <f>8393</f>
        <v>8393</v>
      </c>
      <c r="S20" s="2">
        <f>AVERAGE(2055.367,2047.6776,2059.4715)</f>
        <v>2054.1720333333337</v>
      </c>
      <c r="T20" s="2">
        <f>STDEV(2055.367,2047.6776,2059.4715)</f>
        <v>5.9870675880045168</v>
      </c>
      <c r="U20" s="2">
        <f>MAX(2055.367,2047.6776,2059.4715)</f>
        <v>2059.4715000000001</v>
      </c>
      <c r="V20" s="2">
        <f>MIN(2055.367,2047.6776,2059.4715)</f>
        <v>2047.6776</v>
      </c>
      <c r="W20" s="2">
        <f>AVERAGE(9301,9358,9469)</f>
        <v>9376</v>
      </c>
      <c r="X20" s="2">
        <f>STDEV(9301,9358,9469)</f>
        <v>85.434185195388849</v>
      </c>
      <c r="Y20" s="2">
        <f>MAX(9301,9358,9469)</f>
        <v>9469</v>
      </c>
      <c r="Z20" s="2">
        <f>MIN(9301,9358,9469)</f>
        <v>9301</v>
      </c>
    </row>
    <row r="21" spans="2:34" ht="16" x14ac:dyDescent="0.2">
      <c r="B21" s="3" t="s">
        <v>5</v>
      </c>
      <c r="C21" s="2">
        <f>AVERAGE(0.2395,0.25,0.2441)</f>
        <v>0.24453333333333335</v>
      </c>
      <c r="D21" s="2">
        <f>STDEV(0.2395,0.25,0.2441)</f>
        <v>5.2633956086668406E-3</v>
      </c>
      <c r="E21" s="2">
        <v>0.25</v>
      </c>
      <c r="F21" s="2">
        <f>0.2395</f>
        <v>0.23949999999999999</v>
      </c>
      <c r="G21" s="2">
        <f>AVERAGE(2009,2008,2029)</f>
        <v>2015.3333333333333</v>
      </c>
      <c r="H21" s="2">
        <f>STDEV(2009,2008,2029)</f>
        <v>11.846237095944574</v>
      </c>
      <c r="I21" s="2">
        <v>2029</v>
      </c>
      <c r="J21" s="2">
        <v>2008</v>
      </c>
      <c r="K21" s="2">
        <f>AVERAGE(0.7969,0.7794,0.7902)</f>
        <v>0.78883333333333339</v>
      </c>
      <c r="L21" s="2">
        <f>STDEV(0.7969,0.7794,0.7902)</f>
        <v>8.8296847810855599E-3</v>
      </c>
      <c r="M21" s="2">
        <f>MAX(0.7969,0.7794,0.7902)</f>
        <v>0.79690000000000005</v>
      </c>
      <c r="N21" s="2">
        <f>MIN(0.7969,0.7794,0.7902)</f>
        <v>0.77939999999999998</v>
      </c>
      <c r="O21" s="2">
        <f>AVERAGE(4250,4255,4269)</f>
        <v>4258</v>
      </c>
      <c r="P21" s="2">
        <f>STDEV(4250,4255,4269)</f>
        <v>9.8488578017961039</v>
      </c>
      <c r="Q21" s="2">
        <f>MAX(4250,4255,4269)</f>
        <v>4269</v>
      </c>
      <c r="R21" s="2">
        <f>MIN(4250,4255,4269)</f>
        <v>4250</v>
      </c>
      <c r="S21" s="46">
        <f>AVERAGE(1.2059,1.2048,1.1893)</f>
        <v>1.2000000000000002</v>
      </c>
      <c r="T21" s="2">
        <f>STDEV(1.2059,1.2048,1.1893)</f>
        <v>9.2827797560859973E-3</v>
      </c>
      <c r="U21" s="2">
        <f>MAX(1.2059,1.2048,1.1893)</f>
        <v>1.2059</v>
      </c>
      <c r="V21" s="2">
        <f>MIN(1.2059,1.2048,1.1893)</f>
        <v>1.1893</v>
      </c>
      <c r="W21" s="2">
        <f>AVERAGE(5248,5198,5227)</f>
        <v>5224.333333333333</v>
      </c>
      <c r="X21" s="2">
        <f>STDEV(5248,5198,5227)</f>
        <v>25.106440076867393</v>
      </c>
      <c r="Y21" s="2">
        <f>MAX(5248,5198,5227)</f>
        <v>5248</v>
      </c>
      <c r="Z21" s="2">
        <f>MIN(5248,5198,5227)</f>
        <v>5198</v>
      </c>
    </row>
    <row r="22" spans="2:34" ht="16" x14ac:dyDescent="0.2">
      <c r="B22" s="3" t="s">
        <v>6</v>
      </c>
      <c r="C22" s="2">
        <f>AVERAGE(0.084,0.083,0.086)</f>
        <v>8.433333333333333E-2</v>
      </c>
      <c r="D22" s="2">
        <f>STDEV(0.084,0.083,0.086)</f>
        <v>1.5275252316519405E-3</v>
      </c>
      <c r="E22" s="2">
        <f>0.086</f>
        <v>8.5999999999999993E-2</v>
      </c>
      <c r="F22" s="2">
        <f>0.083</f>
        <v>8.3000000000000004E-2</v>
      </c>
      <c r="G22" s="2">
        <f>AVERAGE(2316,2299,2339)</f>
        <v>2318</v>
      </c>
      <c r="H22" s="2">
        <f>STDEV(2316,2299,2339)</f>
        <v>20.074859899884732</v>
      </c>
      <c r="I22" s="2">
        <f>2339</f>
        <v>2339</v>
      </c>
      <c r="J22" s="2">
        <f>2299</f>
        <v>2299</v>
      </c>
      <c r="K22" s="2">
        <f>AVERAGE(0.5265,0.5226,0.5243)</f>
        <v>0.52446666666666664</v>
      </c>
      <c r="L22" s="2">
        <f>STDEV(0.5265,0.5226,0.5243)</f>
        <v>1.9553345834750014E-3</v>
      </c>
      <c r="M22" s="2">
        <f>MAX(0.5265,0.5226,0.5243)</f>
        <v>0.52649999999999997</v>
      </c>
      <c r="N22" s="2">
        <f>MIN(0.5265,0.5226,0.5243)</f>
        <v>0.52259999999999995</v>
      </c>
      <c r="O22" s="2">
        <f>AVERAGE(4973,5001,4974)</f>
        <v>4982.666666666667</v>
      </c>
      <c r="P22" s="2">
        <f>STDEV(4973,5001,4974)</f>
        <v>15.88500340992514</v>
      </c>
      <c r="Q22" s="2">
        <f>MAX(4973,5001,4974)</f>
        <v>5001</v>
      </c>
      <c r="R22" s="2">
        <f>MIN(4973,5001,4974)</f>
        <v>4973</v>
      </c>
      <c r="S22" s="2">
        <f>AVERAGE(0.9106,0.9104,0.9276)</f>
        <v>0.9161999999999999</v>
      </c>
      <c r="T22" s="2">
        <f>STDEV(0.9106,0.9104,0.9276)</f>
        <v>9.8731960377579885E-3</v>
      </c>
      <c r="U22" s="2">
        <f>MAX(0.9106,0.9104,0.9276)</f>
        <v>0.92759999999999998</v>
      </c>
      <c r="V22" s="2">
        <f>MIN(0.9106,0.9104,0.9276)</f>
        <v>0.91039999999999999</v>
      </c>
      <c r="W22" s="2">
        <f>AVERAGE(6045,5998,6025)</f>
        <v>6022.666666666667</v>
      </c>
      <c r="X22" s="2">
        <f>STDEV(6045,5998,6025)</f>
        <v>23.586719427112648</v>
      </c>
      <c r="Y22" s="2">
        <f>MAX(6045,5998,6025)</f>
        <v>6045</v>
      </c>
      <c r="Z22" s="2">
        <f>MIN(6045,5998,6025)</f>
        <v>5998</v>
      </c>
    </row>
    <row r="23" spans="2:34" x14ac:dyDescent="0.2">
      <c r="B23" s="28"/>
      <c r="C23" s="29"/>
      <c r="D23" s="29"/>
      <c r="E23" s="29"/>
      <c r="F23" s="29"/>
      <c r="G23" s="29"/>
      <c r="H23" s="29"/>
    </row>
    <row r="24" spans="2:34" x14ac:dyDescent="0.2">
      <c r="B24" s="28"/>
      <c r="C24" s="29"/>
      <c r="D24" s="29"/>
      <c r="E24" s="29"/>
      <c r="F24" s="29"/>
      <c r="G24" s="29"/>
      <c r="H24" s="29"/>
      <c r="M24" s="29"/>
      <c r="N24" s="29"/>
      <c r="T24" s="42"/>
      <c r="U24" s="29"/>
    </row>
    <row r="25" spans="2:34" x14ac:dyDescent="0.2">
      <c r="B25" s="28"/>
      <c r="C25" s="37"/>
      <c r="D25" s="29"/>
      <c r="E25" s="29"/>
      <c r="F25" s="29"/>
      <c r="G25" s="29"/>
      <c r="H25" s="38"/>
      <c r="M25" s="42"/>
      <c r="N25" s="42"/>
      <c r="T25" s="42"/>
      <c r="U25" s="37"/>
    </row>
    <row r="26" spans="2:34" x14ac:dyDescent="0.2">
      <c r="B26" s="8"/>
      <c r="C26" s="29"/>
      <c r="D26" s="29"/>
      <c r="E26" s="29"/>
      <c r="F26" s="29"/>
      <c r="G26" s="29"/>
      <c r="H26" s="29"/>
      <c r="M26" s="42"/>
      <c r="N26" s="42"/>
      <c r="T26" s="42"/>
      <c r="U26" s="44"/>
    </row>
    <row r="27" spans="2:34" x14ac:dyDescent="0.2">
      <c r="B27" s="25" t="s">
        <v>31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7"/>
      <c r="N27" s="43"/>
      <c r="T27" s="43"/>
      <c r="U27" s="43"/>
    </row>
    <row r="28" spans="2:34" x14ac:dyDescent="0.2">
      <c r="B28" s="8"/>
      <c r="C28" s="12"/>
      <c r="D28" s="12"/>
      <c r="E28" s="12"/>
      <c r="F28" s="12"/>
      <c r="G28" s="12"/>
      <c r="H28" s="12"/>
      <c r="I28" s="12"/>
      <c r="J28" s="12"/>
    </row>
    <row r="29" spans="2:34" x14ac:dyDescent="0.2">
      <c r="B29" s="10" t="s">
        <v>16</v>
      </c>
      <c r="C29" s="11" t="s">
        <v>18</v>
      </c>
      <c r="D29" s="11"/>
      <c r="E29" s="11"/>
      <c r="F29" s="11"/>
      <c r="G29" s="11"/>
      <c r="H29" s="11"/>
      <c r="I29" s="11"/>
      <c r="J29" s="11"/>
      <c r="K29" s="11" t="s">
        <v>19</v>
      </c>
      <c r="L29" s="11"/>
      <c r="M29" s="11"/>
      <c r="N29" s="11"/>
      <c r="O29" s="11"/>
      <c r="P29" s="11"/>
      <c r="Q29" s="11"/>
      <c r="R29" s="11"/>
      <c r="S29" s="11" t="s">
        <v>20</v>
      </c>
      <c r="T29" s="11"/>
      <c r="U29" s="11"/>
      <c r="V29" s="11"/>
      <c r="W29" s="11"/>
      <c r="X29" s="11"/>
      <c r="Y29" s="11"/>
      <c r="Z29" s="11"/>
      <c r="AA29" s="11" t="s">
        <v>22</v>
      </c>
      <c r="AB29" s="11"/>
      <c r="AC29" s="11"/>
      <c r="AD29" s="11"/>
      <c r="AE29" s="11"/>
      <c r="AF29" s="11"/>
      <c r="AG29" s="11"/>
      <c r="AH29" s="11"/>
    </row>
    <row r="30" spans="2:34" x14ac:dyDescent="0.2">
      <c r="B30" s="10"/>
      <c r="C30" s="11" t="s">
        <v>13</v>
      </c>
      <c r="D30" s="11"/>
      <c r="E30" s="11"/>
      <c r="F30" s="11"/>
      <c r="G30" s="11" t="s">
        <v>14</v>
      </c>
      <c r="H30" s="11"/>
      <c r="I30" s="11"/>
      <c r="J30" s="11"/>
      <c r="K30" s="11" t="s">
        <v>13</v>
      </c>
      <c r="L30" s="11"/>
      <c r="M30" s="11"/>
      <c r="N30" s="11"/>
      <c r="O30" s="11" t="s">
        <v>14</v>
      </c>
      <c r="P30" s="11"/>
      <c r="Q30" s="11"/>
      <c r="R30" s="11"/>
      <c r="S30" s="11" t="s">
        <v>13</v>
      </c>
      <c r="T30" s="11"/>
      <c r="U30" s="11"/>
      <c r="V30" s="11"/>
      <c r="W30" s="11" t="s">
        <v>14</v>
      </c>
      <c r="X30" s="11"/>
      <c r="Y30" s="11"/>
      <c r="Z30" s="11"/>
      <c r="AA30" s="11" t="s">
        <v>13</v>
      </c>
      <c r="AB30" s="11"/>
      <c r="AC30" s="11"/>
      <c r="AD30" s="11"/>
      <c r="AE30" s="11" t="s">
        <v>14</v>
      </c>
      <c r="AF30" s="11"/>
      <c r="AG30" s="11"/>
      <c r="AH30" s="11"/>
    </row>
    <row r="31" spans="2:34" ht="32" x14ac:dyDescent="0.2">
      <c r="B31" s="10"/>
      <c r="C31" s="3" t="s">
        <v>0</v>
      </c>
      <c r="D31" s="3" t="s">
        <v>1</v>
      </c>
      <c r="E31" s="45" t="s">
        <v>27</v>
      </c>
      <c r="F31" s="3" t="s">
        <v>2</v>
      </c>
      <c r="G31" s="3" t="s">
        <v>0</v>
      </c>
      <c r="H31" s="3" t="s">
        <v>1</v>
      </c>
      <c r="I31" s="45" t="s">
        <v>27</v>
      </c>
      <c r="J31" s="3" t="s">
        <v>2</v>
      </c>
      <c r="K31" s="3" t="s">
        <v>0</v>
      </c>
      <c r="L31" s="3" t="s">
        <v>1</v>
      </c>
      <c r="M31" s="45" t="s">
        <v>27</v>
      </c>
      <c r="N31" s="3" t="s">
        <v>2</v>
      </c>
      <c r="O31" s="3" t="s">
        <v>0</v>
      </c>
      <c r="P31" s="3" t="s">
        <v>1</v>
      </c>
      <c r="Q31" s="45" t="s">
        <v>27</v>
      </c>
      <c r="R31" s="3" t="s">
        <v>2</v>
      </c>
      <c r="S31" s="3" t="s">
        <v>0</v>
      </c>
      <c r="T31" s="3" t="s">
        <v>1</v>
      </c>
      <c r="U31" s="45" t="s">
        <v>27</v>
      </c>
      <c r="V31" s="3" t="s">
        <v>2</v>
      </c>
      <c r="W31" s="3" t="s">
        <v>0</v>
      </c>
      <c r="X31" s="3" t="s">
        <v>1</v>
      </c>
      <c r="Y31" s="45" t="s">
        <v>27</v>
      </c>
      <c r="Z31" s="3" t="s">
        <v>2</v>
      </c>
      <c r="AA31" s="3" t="s">
        <v>0</v>
      </c>
      <c r="AB31" s="3" t="s">
        <v>1</v>
      </c>
      <c r="AC31" s="45" t="s">
        <v>27</v>
      </c>
      <c r="AD31" s="3" t="s">
        <v>2</v>
      </c>
      <c r="AE31" s="3" t="s">
        <v>0</v>
      </c>
      <c r="AF31" s="3" t="s">
        <v>1</v>
      </c>
      <c r="AG31" s="45" t="s">
        <v>27</v>
      </c>
      <c r="AH31" s="3" t="s">
        <v>2</v>
      </c>
    </row>
    <row r="32" spans="2:34" x14ac:dyDescent="0.2">
      <c r="B32" s="7" t="s">
        <v>3</v>
      </c>
      <c r="C32" s="2">
        <v>0.77087335586547856</v>
      </c>
      <c r="D32" s="2">
        <v>0.46067029638020002</v>
      </c>
      <c r="E32" s="2">
        <v>1.710936307907104</v>
      </c>
      <c r="F32" s="2">
        <v>0.46232223510742188</v>
      </c>
      <c r="G32" s="2">
        <v>5023.2</v>
      </c>
      <c r="H32" s="2">
        <v>52.438154048364439</v>
      </c>
      <c r="I32" s="2">
        <v>5090</v>
      </c>
      <c r="J32" s="2">
        <v>4928</v>
      </c>
      <c r="K32" s="2">
        <v>1.3810108184814449</v>
      </c>
      <c r="L32" s="2">
        <v>0.22175079170212059</v>
      </c>
      <c r="M32" s="2">
        <v>1.831433057785034</v>
      </c>
      <c r="N32" s="2">
        <v>0.9093472957611084</v>
      </c>
      <c r="O32" s="2">
        <v>6632.8</v>
      </c>
      <c r="P32" s="2">
        <v>31.371324485905909</v>
      </c>
      <c r="Q32" s="2">
        <v>6676</v>
      </c>
      <c r="R32" s="2">
        <v>6594</v>
      </c>
      <c r="S32" s="2">
        <v>1.0798636198043821</v>
      </c>
      <c r="T32" s="2">
        <v>4.5742004194661963E-2</v>
      </c>
      <c r="U32" s="2">
        <v>1.171282052993774</v>
      </c>
      <c r="V32" s="2">
        <v>1.006205558776855</v>
      </c>
      <c r="W32" s="2">
        <v>6880</v>
      </c>
      <c r="X32" s="2">
        <v>27.144060123717679</v>
      </c>
      <c r="Y32" s="2">
        <v>6924</v>
      </c>
      <c r="Z32" s="2">
        <v>6836</v>
      </c>
      <c r="AA32" s="2">
        <v>2.0625821828842161</v>
      </c>
      <c r="AB32" s="2">
        <v>0.2235105474868789</v>
      </c>
      <c r="AC32" s="2">
        <v>2.3747222423553471</v>
      </c>
      <c r="AD32" s="2">
        <v>1.7026641368865969</v>
      </c>
      <c r="AE32" s="2">
        <v>7494.2</v>
      </c>
      <c r="AF32" s="2">
        <v>34.16957711181103</v>
      </c>
      <c r="AG32" s="2">
        <v>7552</v>
      </c>
      <c r="AH32" s="2">
        <v>7418</v>
      </c>
    </row>
    <row r="33" spans="2:34" x14ac:dyDescent="0.2">
      <c r="B33" s="7" t="s">
        <v>5</v>
      </c>
      <c r="C33" s="2">
        <v>1.2497687816619869</v>
      </c>
      <c r="D33" s="2">
        <v>0.79025891132550907</v>
      </c>
      <c r="E33" s="2">
        <v>2.9179284572601318</v>
      </c>
      <c r="F33" s="2">
        <v>0.79693603515625</v>
      </c>
      <c r="G33" s="2">
        <v>2855</v>
      </c>
      <c r="H33" s="2">
        <v>19.406184581210191</v>
      </c>
      <c r="I33" s="2">
        <v>2883</v>
      </c>
      <c r="J33" s="2">
        <v>2811</v>
      </c>
      <c r="K33" s="2">
        <v>1.862242245674133</v>
      </c>
      <c r="L33" s="2">
        <v>0.2376835698518252</v>
      </c>
      <c r="M33" s="2">
        <v>2.1810603141784668</v>
      </c>
      <c r="N33" s="2">
        <v>1.265254020690918</v>
      </c>
      <c r="O33" s="2">
        <v>4267.1000000000004</v>
      </c>
      <c r="P33" s="2">
        <v>13.87407654584621</v>
      </c>
      <c r="Q33" s="2">
        <v>4291</v>
      </c>
      <c r="R33" s="2">
        <v>4248</v>
      </c>
      <c r="S33" s="2">
        <v>1.4412983179092409</v>
      </c>
      <c r="T33" s="2">
        <v>9.7819242332012599E-2</v>
      </c>
      <c r="U33" s="2">
        <v>1.5613934993743901</v>
      </c>
      <c r="V33" s="2">
        <v>1.227608919143677</v>
      </c>
      <c r="W33" s="2">
        <v>4498.2</v>
      </c>
      <c r="X33" s="2">
        <v>20.595145058969599</v>
      </c>
      <c r="Y33" s="2">
        <v>4536</v>
      </c>
      <c r="Z33" s="2">
        <v>4461</v>
      </c>
      <c r="AA33" s="2">
        <v>2.8227519273757928</v>
      </c>
      <c r="AB33" s="2">
        <v>0.38341022279248932</v>
      </c>
      <c r="AC33" s="2">
        <v>3.419913768768311</v>
      </c>
      <c r="AD33" s="2">
        <v>2.1895112991333008</v>
      </c>
      <c r="AE33" s="2">
        <v>5190.2</v>
      </c>
      <c r="AF33" s="2">
        <v>25.23410390721256</v>
      </c>
      <c r="AG33" s="2">
        <v>5227</v>
      </c>
      <c r="AH33" s="2">
        <v>5149</v>
      </c>
    </row>
    <row r="34" spans="2:34" x14ac:dyDescent="0.2">
      <c r="B34" s="7" t="s">
        <v>6</v>
      </c>
      <c r="C34" s="2">
        <v>0.19478995800018309</v>
      </c>
      <c r="D34" s="2">
        <v>0.1232299910304296</v>
      </c>
      <c r="E34" s="2">
        <v>0.45902323722839361</v>
      </c>
      <c r="F34" s="2">
        <v>0.12358593940734861</v>
      </c>
      <c r="G34" s="2">
        <v>3936.4</v>
      </c>
      <c r="H34" s="2">
        <v>32.894376419078078</v>
      </c>
      <c r="I34" s="2">
        <v>3974</v>
      </c>
      <c r="J34" s="2">
        <v>3878</v>
      </c>
      <c r="K34" s="2">
        <v>0.52024192810058589</v>
      </c>
      <c r="L34" s="2">
        <v>6.5403960576017967E-2</v>
      </c>
      <c r="M34" s="2">
        <v>0.58335614204406738</v>
      </c>
      <c r="N34" s="2">
        <v>0.37411189079284668</v>
      </c>
      <c r="O34" s="2">
        <v>6323.3</v>
      </c>
      <c r="P34" s="2">
        <v>37.683020048823053</v>
      </c>
      <c r="Q34" s="2">
        <v>6378</v>
      </c>
      <c r="R34" s="2">
        <v>6276</v>
      </c>
      <c r="S34" s="2">
        <v>0.46979656219482419</v>
      </c>
      <c r="T34" s="2">
        <v>1.263304947978278E-2</v>
      </c>
      <c r="U34" s="2">
        <v>0.50309562683105469</v>
      </c>
      <c r="V34" s="2">
        <v>0.45929360389709473</v>
      </c>
      <c r="W34" s="2">
        <v>6684.2</v>
      </c>
      <c r="X34" s="2">
        <v>29.4</v>
      </c>
      <c r="Y34" s="2">
        <v>6724</v>
      </c>
      <c r="Z34" s="2">
        <v>6640</v>
      </c>
      <c r="AA34" s="2">
        <v>1.1331610441207891</v>
      </c>
      <c r="AB34" s="2">
        <v>0.15239651574238891</v>
      </c>
      <c r="AC34" s="2">
        <v>1.419044017791748</v>
      </c>
      <c r="AD34" s="2">
        <v>0.91838955879211426</v>
      </c>
      <c r="AE34" s="2">
        <v>7750.5</v>
      </c>
      <c r="AF34" s="2">
        <v>27.397992627198072</v>
      </c>
      <c r="AG34" s="2">
        <v>7807</v>
      </c>
      <c r="AH34" s="2">
        <v>7716</v>
      </c>
    </row>
    <row r="35" spans="2:34" x14ac:dyDescent="0.2">
      <c r="B35" s="9"/>
    </row>
    <row r="36" spans="2:34" x14ac:dyDescent="0.2">
      <c r="B36" s="9"/>
    </row>
    <row r="37" spans="2:34" x14ac:dyDescent="0.2">
      <c r="B37" s="9"/>
    </row>
    <row r="38" spans="2:34" x14ac:dyDescent="0.2">
      <c r="B38" s="25" t="s">
        <v>24</v>
      </c>
      <c r="C38" s="26"/>
      <c r="D38" s="26"/>
      <c r="E38" s="26"/>
      <c r="F38" s="26"/>
      <c r="G38" s="26"/>
      <c r="H38" s="27"/>
    </row>
    <row r="40" spans="2:34" x14ac:dyDescent="0.2">
      <c r="B40" s="11" t="s">
        <v>17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2:34" x14ac:dyDescent="0.2">
      <c r="B41" s="30" t="s">
        <v>16</v>
      </c>
      <c r="C41" s="17" t="s">
        <v>7</v>
      </c>
      <c r="D41" s="17"/>
      <c r="E41" s="17" t="s">
        <v>8</v>
      </c>
      <c r="F41" s="17"/>
      <c r="G41" s="17" t="s">
        <v>9</v>
      </c>
      <c r="H41" s="17"/>
      <c r="I41" s="17" t="s">
        <v>10</v>
      </c>
      <c r="J41" s="17"/>
      <c r="K41" s="17" t="s">
        <v>11</v>
      </c>
      <c r="L41" s="17"/>
      <c r="M41" s="17" t="s">
        <v>12</v>
      </c>
      <c r="N41" s="17"/>
      <c r="O41" s="11" t="s">
        <v>25</v>
      </c>
      <c r="P41" s="11"/>
      <c r="Q41" s="11" t="s">
        <v>19</v>
      </c>
      <c r="R41" s="11"/>
      <c r="S41" s="11" t="s">
        <v>22</v>
      </c>
      <c r="T41" s="11"/>
    </row>
    <row r="42" spans="2:34" ht="32" x14ac:dyDescent="0.2">
      <c r="B42" s="30"/>
      <c r="C42" s="31" t="s">
        <v>14</v>
      </c>
      <c r="D42" s="31" t="s">
        <v>21</v>
      </c>
      <c r="E42" s="31" t="s">
        <v>14</v>
      </c>
      <c r="F42" s="31" t="s">
        <v>21</v>
      </c>
      <c r="G42" s="31" t="s">
        <v>14</v>
      </c>
      <c r="H42" s="31" t="s">
        <v>21</v>
      </c>
      <c r="I42" s="31" t="s">
        <v>14</v>
      </c>
      <c r="J42" s="31" t="s">
        <v>21</v>
      </c>
      <c r="K42" s="31" t="s">
        <v>14</v>
      </c>
      <c r="L42" s="31" t="s">
        <v>21</v>
      </c>
      <c r="M42" s="31" t="s">
        <v>14</v>
      </c>
      <c r="N42" s="31" t="s">
        <v>21</v>
      </c>
      <c r="O42" s="32" t="s">
        <v>14</v>
      </c>
      <c r="P42" s="32" t="s">
        <v>21</v>
      </c>
      <c r="Q42" s="32" t="s">
        <v>14</v>
      </c>
      <c r="R42" s="32" t="s">
        <v>21</v>
      </c>
      <c r="S42" s="32" t="s">
        <v>14</v>
      </c>
      <c r="T42" s="32" t="s">
        <v>21</v>
      </c>
    </row>
    <row r="43" spans="2:34" x14ac:dyDescent="0.2">
      <c r="B43" s="7" t="s">
        <v>3</v>
      </c>
      <c r="C43" s="2">
        <v>88</v>
      </c>
      <c r="D43" s="2">
        <v>1.0056495666503911E-3</v>
      </c>
      <c r="E43" s="2">
        <v>92</v>
      </c>
      <c r="F43" s="2">
        <v>0</v>
      </c>
      <c r="G43" s="2">
        <v>96</v>
      </c>
      <c r="H43" s="2">
        <v>1.008272171020508E-3</v>
      </c>
      <c r="I43" s="2">
        <v>610</v>
      </c>
      <c r="J43" s="2">
        <v>7.9991817474365234E-3</v>
      </c>
      <c r="K43" s="2">
        <v>710</v>
      </c>
      <c r="L43" s="2">
        <v>2.16069221496582E-2</v>
      </c>
      <c r="M43" s="2">
        <v>804</v>
      </c>
      <c r="N43" s="2">
        <v>2.9676437377929691E-2</v>
      </c>
      <c r="O43" s="33">
        <v>3816</v>
      </c>
      <c r="P43" s="2">
        <v>0.14335800000000001</v>
      </c>
      <c r="Q43" s="2">
        <v>6618</v>
      </c>
      <c r="R43" s="2">
        <v>0.72266006400000005</v>
      </c>
      <c r="S43" s="33">
        <v>7548</v>
      </c>
      <c r="T43" s="2">
        <v>0.96010899543762196</v>
      </c>
    </row>
    <row r="44" spans="2:34" x14ac:dyDescent="0.2">
      <c r="B44" s="7" t="s">
        <v>4</v>
      </c>
      <c r="C44" s="2">
        <v>89</v>
      </c>
      <c r="D44" s="2">
        <v>1.2010812759399411E-2</v>
      </c>
      <c r="E44" s="2">
        <v>95</v>
      </c>
      <c r="F44" s="2">
        <v>1.099371910095215E-2</v>
      </c>
      <c r="G44" s="2">
        <v>92</v>
      </c>
      <c r="H44" s="2">
        <v>8.0296993255615234E-3</v>
      </c>
      <c r="I44" s="2">
        <v>733</v>
      </c>
      <c r="J44" s="2">
        <v>4.5169553756713867</v>
      </c>
      <c r="K44" s="2">
        <v>817</v>
      </c>
      <c r="L44" s="2">
        <v>4.6302993297576904</v>
      </c>
      <c r="M44" s="2">
        <v>872</v>
      </c>
      <c r="N44" s="2">
        <v>4.7317337989807129</v>
      </c>
      <c r="O44" s="33">
        <v>4351</v>
      </c>
      <c r="P44" s="33">
        <v>1410.3543088429999</v>
      </c>
      <c r="Q44" s="33">
        <v>8425</v>
      </c>
      <c r="R44" s="33">
        <v>2023.1432259000001</v>
      </c>
      <c r="S44" s="33">
        <v>9358</v>
      </c>
      <c r="T44" s="35">
        <v>2055.3670220375002</v>
      </c>
    </row>
    <row r="45" spans="2:34" x14ac:dyDescent="0.2">
      <c r="B45" s="7" t="s">
        <v>5</v>
      </c>
      <c r="C45" s="2">
        <v>66</v>
      </c>
      <c r="D45" s="2">
        <v>1.505851745605469E-3</v>
      </c>
      <c r="E45" s="2">
        <v>76</v>
      </c>
      <c r="F45" s="2">
        <v>1.9998550415039058E-3</v>
      </c>
      <c r="G45" s="2">
        <v>85</v>
      </c>
      <c r="H45" s="2">
        <v>1.0011196136474609E-3</v>
      </c>
      <c r="I45" s="2">
        <v>383</v>
      </c>
      <c r="J45" s="2">
        <v>1.7922878265380859E-2</v>
      </c>
      <c r="K45" s="2">
        <v>468</v>
      </c>
      <c r="L45" s="2">
        <v>3.0069828033447269E-2</v>
      </c>
      <c r="M45" s="2">
        <v>590</v>
      </c>
      <c r="N45" s="2">
        <v>4.0013790130615227E-2</v>
      </c>
      <c r="O45" s="33">
        <v>2029</v>
      </c>
      <c r="P45" s="33">
        <v>0.233110822</v>
      </c>
      <c r="Q45" s="33">
        <v>4250</v>
      </c>
      <c r="R45" s="33">
        <v>0.79691419900000005</v>
      </c>
      <c r="S45" s="33">
        <v>5248</v>
      </c>
      <c r="T45" s="36">
        <v>1.20599818229675</v>
      </c>
    </row>
    <row r="46" spans="2:34" s="4" customFormat="1" x14ac:dyDescent="0.2">
      <c r="B46" s="7" t="s">
        <v>6</v>
      </c>
      <c r="C46" s="2">
        <v>97</v>
      </c>
      <c r="D46" s="2">
        <v>1.0890960693359379E-3</v>
      </c>
      <c r="E46" s="2">
        <v>100</v>
      </c>
      <c r="F46" s="2">
        <v>2.0389556884765621E-3</v>
      </c>
      <c r="G46" s="2">
        <v>100</v>
      </c>
      <c r="H46" s="2">
        <v>5.0292015075683594E-3</v>
      </c>
      <c r="I46" s="2">
        <v>562</v>
      </c>
      <c r="J46" s="2">
        <v>5.0001144409179688E-3</v>
      </c>
      <c r="K46" s="2">
        <v>702</v>
      </c>
      <c r="L46" s="2">
        <v>1.8926858901977539E-2</v>
      </c>
      <c r="M46" s="2">
        <v>871</v>
      </c>
      <c r="N46" s="2">
        <v>3.3178329467773438E-2</v>
      </c>
      <c r="O46" s="34">
        <v>2339</v>
      </c>
      <c r="P46" s="34">
        <v>8.6560010000000007E-2</v>
      </c>
      <c r="Q46" s="34">
        <v>4973</v>
      </c>
      <c r="R46" s="34">
        <v>0.526572704</v>
      </c>
      <c r="S46" s="34">
        <v>6045</v>
      </c>
      <c r="T46" s="34">
        <v>0.91067290306091297</v>
      </c>
    </row>
  </sheetData>
  <mergeCells count="58">
    <mergeCell ref="S41:T41"/>
    <mergeCell ref="B40:T40"/>
    <mergeCell ref="B14:F14"/>
    <mergeCell ref="B16:B18"/>
    <mergeCell ref="C17:F17"/>
    <mergeCell ref="G17:J17"/>
    <mergeCell ref="C16:J16"/>
    <mergeCell ref="K16:R16"/>
    <mergeCell ref="K17:N17"/>
    <mergeCell ref="O17:R17"/>
    <mergeCell ref="S16:Z16"/>
    <mergeCell ref="S17:V17"/>
    <mergeCell ref="W17:Z17"/>
    <mergeCell ref="B27:M27"/>
    <mergeCell ref="B38:H38"/>
    <mergeCell ref="B41:B42"/>
    <mergeCell ref="O41:P41"/>
    <mergeCell ref="Q41:R41"/>
    <mergeCell ref="B2:I2"/>
    <mergeCell ref="M41:N41"/>
    <mergeCell ref="C41:D41"/>
    <mergeCell ref="E41:F41"/>
    <mergeCell ref="G41:H41"/>
    <mergeCell ref="I41:J41"/>
    <mergeCell ref="K41:L41"/>
    <mergeCell ref="B4:B6"/>
    <mergeCell ref="AA5:AD5"/>
    <mergeCell ref="AE5:AH5"/>
    <mergeCell ref="AI5:AL5"/>
    <mergeCell ref="AM5:AP5"/>
    <mergeCell ref="C4:J4"/>
    <mergeCell ref="K4:R4"/>
    <mergeCell ref="S4:Z4"/>
    <mergeCell ref="AA4:AH4"/>
    <mergeCell ref="AI4:AP4"/>
    <mergeCell ref="AQ4:AX4"/>
    <mergeCell ref="AQ5:AT5"/>
    <mergeCell ref="AU5:AX5"/>
    <mergeCell ref="C5:F5"/>
    <mergeCell ref="G5:J5"/>
    <mergeCell ref="K5:N5"/>
    <mergeCell ref="O5:R5"/>
    <mergeCell ref="S5:V5"/>
    <mergeCell ref="W5:Z5"/>
    <mergeCell ref="B29:B31"/>
    <mergeCell ref="AA29:AH29"/>
    <mergeCell ref="AA30:AD30"/>
    <mergeCell ref="AE30:AH30"/>
    <mergeCell ref="C28:J28"/>
    <mergeCell ref="K29:R29"/>
    <mergeCell ref="K30:N30"/>
    <mergeCell ref="O30:R30"/>
    <mergeCell ref="S29:Z29"/>
    <mergeCell ref="S30:V30"/>
    <mergeCell ref="W30:Z30"/>
    <mergeCell ref="C29:J29"/>
    <mergeCell ref="C30:F30"/>
    <mergeCell ref="G30:J3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Catalina Ibañez Piñeres</cp:lastModifiedBy>
  <dcterms:created xsi:type="dcterms:W3CDTF">2023-11-16T18:07:46Z</dcterms:created>
  <dcterms:modified xsi:type="dcterms:W3CDTF">2023-11-17T04:24:07Z</dcterms:modified>
</cp:coreProperties>
</file>