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33CE4D74-78D9-4829-87BC-BEF4213F2801}" xr6:coauthVersionLast="47" xr6:coauthVersionMax="47" xr10:uidLastSave="{00000000-0000-0000-0000-000000000000}"/>
  <bookViews>
    <workbookView xWindow="-120" yWindow="-120" windowWidth="23280" windowHeight="14880" activeTab="2" xr2:uid="{6F6CD294-9921-49B6-8794-6E2A00BD4EE3}"/>
  </bookViews>
  <sheets>
    <sheet name="Record" sheetId="1" r:id="rId1"/>
    <sheet name="Qx" sheetId="2" r:id="rId2"/>
    <sheet name="Rate" sheetId="3" r:id="rId3"/>
    <sheet name="Annuity" sheetId="4" r:id="rId4"/>
    <sheet name="Calculations " sheetId="12" state="hidden" r:id="rId5"/>
    <sheet name="Statement " sheetId="5" r:id="rId6"/>
    <sheet name="Pivot Table " sheetId="6" r:id="rId7"/>
    <sheet name="Sort DB" sheetId="7" r:id="rId8"/>
    <sheet name="Filter DB" sheetId="8" r:id="rId9"/>
    <sheet name="Filter Advanced" sheetId="9" r:id="rId10"/>
  </sheets>
  <externalReferences>
    <externalReference r:id="rId11"/>
  </externalReferences>
  <definedNames>
    <definedName name="_xlnm._FilterDatabase" localSheetId="9" hidden="1">'Filter Advanced'!$B$5:$I$15</definedName>
    <definedName name="_xlnm._FilterDatabase" localSheetId="8" hidden="1">'Filter DB'!$B$9:$I$19</definedName>
    <definedName name="Aronson_Percent">OFFSET(Rate!$B$3:$B$23,1,,COUNT(Rate!$B$3:$B$23),)</definedName>
    <definedName name="Aronson_Years">OFFSET(Rate!$A$3:$A$23,1,,COUNT(Rate!$A$3:$A$23)-1,)</definedName>
    <definedName name="_xlnm.Criteria" localSheetId="9">'Filter Advanced'!$I$1:$J$3</definedName>
    <definedName name="_xlnm.Print_Titles" localSheetId="3">Annuity!$13:$14</definedName>
    <definedName name="_xlnm.Print_Titles" localSheetId="1">Qx!$2:$3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5" l="1"/>
  <c r="G8" i="5"/>
  <c r="C23" i="5"/>
  <c r="F2" i="3"/>
  <c r="E2" i="3"/>
  <c r="H8" i="4"/>
  <c r="H5" i="4" s="1"/>
  <c r="B27" i="3" l="1"/>
  <c r="G12" i="5" l="1"/>
  <c r="G11" i="5"/>
  <c r="G19" i="5" l="1"/>
  <c r="H3" i="4"/>
  <c r="G15" i="5"/>
  <c r="G5" i="5"/>
  <c r="G9" i="5"/>
  <c r="G13" i="5" s="1"/>
  <c r="G14" i="5" s="1"/>
  <c r="G16" i="5" s="1"/>
  <c r="C7" i="12"/>
  <c r="C8" i="12"/>
  <c r="C9" i="12"/>
  <c r="C11" i="12"/>
  <c r="C12" i="12"/>
  <c r="C13" i="12"/>
  <c r="C14" i="12"/>
  <c r="C15" i="12"/>
  <c r="C6" i="12"/>
  <c r="H4" i="4" l="1"/>
  <c r="G10" i="5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I6" i="12"/>
  <c r="H6" i="12"/>
  <c r="B18" i="12"/>
  <c r="B19" i="12"/>
  <c r="B20" i="12"/>
  <c r="B21" i="12"/>
  <c r="B22" i="12"/>
  <c r="C10" i="12" s="1"/>
  <c r="B23" i="12"/>
  <c r="B24" i="12"/>
  <c r="B25" i="12"/>
  <c r="B26" i="12"/>
  <c r="B27" i="12"/>
  <c r="B15" i="4" l="1"/>
  <c r="H15" i="4" s="1"/>
  <c r="C15" i="4" l="1"/>
  <c r="D15" i="4" s="1"/>
  <c r="B16" i="4"/>
  <c r="C16" i="4" l="1"/>
  <c r="D16" i="4" s="1"/>
  <c r="E16" i="4"/>
  <c r="H16" i="4" s="1"/>
  <c r="B17" i="4"/>
  <c r="C17" i="4" l="1"/>
  <c r="D17" i="4" s="1"/>
  <c r="E17" i="4"/>
  <c r="H17" i="4" s="1"/>
  <c r="B18" i="4"/>
  <c r="C18" i="4" l="1"/>
  <c r="D18" i="4" s="1"/>
  <c r="E18" i="4"/>
  <c r="H18" i="4" s="1"/>
  <c r="B19" i="4"/>
  <c r="C19" i="4" l="1"/>
  <c r="D19" i="4" s="1"/>
  <c r="E19" i="4"/>
  <c r="H19" i="4" s="1"/>
  <c r="B20" i="4"/>
  <c r="C20" i="4" l="1"/>
  <c r="D20" i="4" s="1"/>
  <c r="E20" i="4"/>
  <c r="H20" i="4" s="1"/>
  <c r="B21" i="4"/>
  <c r="C21" i="4" l="1"/>
  <c r="D21" i="4" s="1"/>
  <c r="E21" i="4"/>
  <c r="H21" i="4" s="1"/>
  <c r="B22" i="4"/>
  <c r="C22" i="4" l="1"/>
  <c r="D22" i="4" s="1"/>
  <c r="E22" i="4"/>
  <c r="H22" i="4" s="1"/>
  <c r="B23" i="4"/>
  <c r="C23" i="4" l="1"/>
  <c r="D23" i="4" s="1"/>
  <c r="E23" i="4"/>
  <c r="H23" i="4" s="1"/>
  <c r="B24" i="4"/>
  <c r="C24" i="4" l="1"/>
  <c r="D24" i="4" s="1"/>
  <c r="E24" i="4"/>
  <c r="H24" i="4" s="1"/>
  <c r="B25" i="4"/>
  <c r="C25" i="4" l="1"/>
  <c r="D25" i="4" s="1"/>
  <c r="E25" i="4"/>
  <c r="H25" i="4" s="1"/>
  <c r="B26" i="4"/>
  <c r="C26" i="4" l="1"/>
  <c r="D26" i="4" s="1"/>
  <c r="E26" i="4"/>
  <c r="H26" i="4" s="1"/>
  <c r="B27" i="4"/>
  <c r="E27" i="4" l="1"/>
  <c r="H27" i="4" s="1"/>
  <c r="C27" i="4"/>
  <c r="D27" i="4" s="1"/>
  <c r="B28" i="4"/>
  <c r="C28" i="4" l="1"/>
  <c r="D28" i="4" s="1"/>
  <c r="E28" i="4"/>
  <c r="H28" i="4" s="1"/>
  <c r="B29" i="4"/>
  <c r="C29" i="4" l="1"/>
  <c r="D29" i="4" s="1"/>
  <c r="E29" i="4"/>
  <c r="H29" i="4" s="1"/>
  <c r="B30" i="4"/>
  <c r="C30" i="4" l="1"/>
  <c r="D30" i="4" s="1"/>
  <c r="E30" i="4"/>
  <c r="H30" i="4" s="1"/>
  <c r="B31" i="4"/>
  <c r="C31" i="4" l="1"/>
  <c r="D31" i="4" s="1"/>
  <c r="E31" i="4"/>
  <c r="H31" i="4" s="1"/>
  <c r="B32" i="4"/>
  <c r="C32" i="4" l="1"/>
  <c r="D32" i="4" s="1"/>
  <c r="E32" i="4"/>
  <c r="H32" i="4" s="1"/>
  <c r="B33" i="4"/>
  <c r="C33" i="4" l="1"/>
  <c r="D33" i="4" s="1"/>
  <c r="E33" i="4"/>
  <c r="H33" i="4" s="1"/>
  <c r="B34" i="4"/>
  <c r="C34" i="4" l="1"/>
  <c r="D34" i="4" s="1"/>
  <c r="E34" i="4"/>
  <c r="H34" i="4" s="1"/>
  <c r="B35" i="4"/>
  <c r="C35" i="4" l="1"/>
  <c r="D35" i="4" s="1"/>
  <c r="E35" i="4"/>
  <c r="H35" i="4" s="1"/>
  <c r="B36" i="4"/>
  <c r="C36" i="4" l="1"/>
  <c r="D36" i="4" s="1"/>
  <c r="E36" i="4"/>
  <c r="H36" i="4" s="1"/>
  <c r="B37" i="4"/>
  <c r="C37" i="4" l="1"/>
  <c r="D37" i="4" s="1"/>
  <c r="E37" i="4"/>
  <c r="H37" i="4" s="1"/>
  <c r="B38" i="4"/>
  <c r="E38" i="4" l="1"/>
  <c r="H38" i="4" s="1"/>
  <c r="C38" i="4"/>
  <c r="D38" i="4" s="1"/>
  <c r="B39" i="4"/>
  <c r="C39" i="4" l="1"/>
  <c r="D39" i="4" s="1"/>
  <c r="E39" i="4"/>
  <c r="H39" i="4" s="1"/>
  <c r="B40" i="4"/>
  <c r="C40" i="4" l="1"/>
  <c r="D40" i="4" s="1"/>
  <c r="E40" i="4"/>
  <c r="H40" i="4" s="1"/>
  <c r="B41" i="4"/>
  <c r="C41" i="4" l="1"/>
  <c r="D41" i="4" s="1"/>
  <c r="E41" i="4"/>
  <c r="H41" i="4" s="1"/>
  <c r="B42" i="4"/>
  <c r="C42" i="4" l="1"/>
  <c r="D42" i="4" s="1"/>
  <c r="E42" i="4"/>
  <c r="H42" i="4" s="1"/>
  <c r="B43" i="4"/>
  <c r="C43" i="4" l="1"/>
  <c r="D43" i="4" s="1"/>
  <c r="E43" i="4"/>
  <c r="H43" i="4" s="1"/>
  <c r="B44" i="4"/>
  <c r="E44" i="4" l="1"/>
  <c r="H44" i="4" s="1"/>
  <c r="C44" i="4"/>
  <c r="D44" i="4" s="1"/>
  <c r="B45" i="4"/>
  <c r="C45" i="4" l="1"/>
  <c r="D45" i="4" s="1"/>
  <c r="E45" i="4"/>
  <c r="H45" i="4" s="1"/>
  <c r="B46" i="4"/>
  <c r="C46" i="4" l="1"/>
  <c r="D46" i="4" s="1"/>
  <c r="E46" i="4"/>
  <c r="H46" i="4" s="1"/>
  <c r="B47" i="4"/>
  <c r="C47" i="4" l="1"/>
  <c r="D47" i="4" s="1"/>
  <c r="E47" i="4"/>
  <c r="H47" i="4" s="1"/>
  <c r="B48" i="4"/>
  <c r="E48" i="4" l="1"/>
  <c r="H48" i="4" s="1"/>
  <c r="C48" i="4"/>
  <c r="D48" i="4" s="1"/>
  <c r="B49" i="4"/>
  <c r="C49" i="4" l="1"/>
  <c r="D49" i="4" s="1"/>
  <c r="E49" i="4"/>
  <c r="H49" i="4" s="1"/>
  <c r="B50" i="4"/>
  <c r="C50" i="4" l="1"/>
  <c r="D50" i="4" s="1"/>
  <c r="E50" i="4"/>
  <c r="H50" i="4" s="1"/>
  <c r="B51" i="4"/>
  <c r="E51" i="4" l="1"/>
  <c r="H51" i="4" s="1"/>
  <c r="C51" i="4"/>
  <c r="D51" i="4" s="1"/>
  <c r="B52" i="4"/>
  <c r="C52" i="4" l="1"/>
  <c r="D52" i="4" s="1"/>
  <c r="E52" i="4"/>
  <c r="H52" i="4" s="1"/>
  <c r="B53" i="4"/>
  <c r="C53" i="4" l="1"/>
  <c r="D53" i="4" s="1"/>
  <c r="E53" i="4"/>
  <c r="H53" i="4" s="1"/>
  <c r="B54" i="4"/>
  <c r="C54" i="4" l="1"/>
  <c r="D54" i="4" s="1"/>
  <c r="E54" i="4"/>
  <c r="H54" i="4" s="1"/>
  <c r="B55" i="4"/>
  <c r="C55" i="4" l="1"/>
  <c r="D55" i="4" s="1"/>
  <c r="E55" i="4"/>
  <c r="H55" i="4" s="1"/>
  <c r="B56" i="4"/>
  <c r="C56" i="4" l="1"/>
  <c r="D56" i="4" s="1"/>
  <c r="E56" i="4"/>
  <c r="H56" i="4" s="1"/>
  <c r="B57" i="4"/>
  <c r="E57" i="4" l="1"/>
  <c r="H57" i="4" s="1"/>
  <c r="C57" i="4"/>
  <c r="D57" i="4" s="1"/>
  <c r="B58" i="4"/>
  <c r="C58" i="4" l="1"/>
  <c r="D58" i="4" s="1"/>
  <c r="E58" i="4"/>
  <c r="H58" i="4" s="1"/>
  <c r="B59" i="4"/>
  <c r="C59" i="4" l="1"/>
  <c r="D59" i="4" s="1"/>
  <c r="E59" i="4"/>
  <c r="H59" i="4" s="1"/>
  <c r="B60" i="4"/>
  <c r="C60" i="4" l="1"/>
  <c r="D60" i="4" s="1"/>
  <c r="E60" i="4"/>
  <c r="H60" i="4" s="1"/>
  <c r="B61" i="4"/>
  <c r="C61" i="4" l="1"/>
  <c r="D61" i="4" s="1"/>
  <c r="E61" i="4"/>
  <c r="H61" i="4" s="1"/>
  <c r="B62" i="4"/>
  <c r="C62" i="4" l="1"/>
  <c r="D62" i="4" s="1"/>
  <c r="E62" i="4"/>
  <c r="H62" i="4" s="1"/>
  <c r="B63" i="4"/>
  <c r="E63" i="4" l="1"/>
  <c r="H63" i="4" s="1"/>
  <c r="C63" i="4"/>
  <c r="D63" i="4" s="1"/>
  <c r="B64" i="4"/>
  <c r="E64" i="4" l="1"/>
  <c r="H64" i="4" s="1"/>
  <c r="C64" i="4"/>
  <c r="D64" i="4" s="1"/>
  <c r="B65" i="4"/>
  <c r="C65" i="4" l="1"/>
  <c r="D65" i="4" s="1"/>
  <c r="E65" i="4"/>
  <c r="H65" i="4" s="1"/>
  <c r="B66" i="4"/>
  <c r="C66" i="4" l="1"/>
  <c r="D66" i="4" s="1"/>
  <c r="E66" i="4"/>
  <c r="H66" i="4" s="1"/>
  <c r="B67" i="4"/>
  <c r="C67" i="4" l="1"/>
  <c r="D67" i="4" s="1"/>
  <c r="E67" i="4"/>
  <c r="H67" i="4" s="1"/>
  <c r="B68" i="4"/>
  <c r="C68" i="4" l="1"/>
  <c r="D68" i="4" s="1"/>
  <c r="E68" i="4"/>
  <c r="H68" i="4" s="1"/>
  <c r="B69" i="4"/>
  <c r="C69" i="4" l="1"/>
  <c r="D69" i="4" s="1"/>
  <c r="E69" i="4"/>
  <c r="H69" i="4" s="1"/>
  <c r="B70" i="4"/>
  <c r="C70" i="4" l="1"/>
  <c r="D70" i="4" s="1"/>
  <c r="E70" i="4"/>
  <c r="H70" i="4" s="1"/>
  <c r="B71" i="4"/>
  <c r="C71" i="4" l="1"/>
  <c r="D71" i="4" s="1"/>
  <c r="E71" i="4"/>
  <c r="H71" i="4" s="1"/>
  <c r="B72" i="4"/>
  <c r="E72" i="4" l="1"/>
  <c r="H72" i="4" s="1"/>
  <c r="H9" i="4" s="1"/>
  <c r="C72" i="4"/>
  <c r="D72" i="4" s="1"/>
  <c r="B73" i="4"/>
  <c r="C73" i="4" l="1"/>
  <c r="D73" i="4" s="1"/>
  <c r="E73" i="4"/>
  <c r="H73" i="4" s="1"/>
  <c r="B74" i="4"/>
  <c r="C74" i="4" l="1"/>
  <c r="D74" i="4" s="1"/>
  <c r="E74" i="4"/>
  <c r="H74" i="4" s="1"/>
  <c r="B75" i="4"/>
  <c r="C75" i="4" l="1"/>
  <c r="D75" i="4" s="1"/>
  <c r="E75" i="4"/>
  <c r="H75" i="4" s="1"/>
  <c r="B76" i="4"/>
  <c r="C76" i="4" l="1"/>
  <c r="D76" i="4" s="1"/>
  <c r="E76" i="4"/>
  <c r="H76" i="4" s="1"/>
  <c r="B77" i="4"/>
  <c r="C77" i="4" l="1"/>
  <c r="D77" i="4" s="1"/>
  <c r="E77" i="4"/>
  <c r="H77" i="4" s="1"/>
  <c r="B78" i="4"/>
  <c r="C78" i="4" l="1"/>
  <c r="D78" i="4" s="1"/>
  <c r="E78" i="4"/>
  <c r="H78" i="4" s="1"/>
  <c r="B79" i="4"/>
  <c r="C79" i="4" l="1"/>
  <c r="D79" i="4" s="1"/>
  <c r="E79" i="4"/>
  <c r="H79" i="4" s="1"/>
  <c r="B80" i="4"/>
  <c r="C80" i="4" l="1"/>
  <c r="D80" i="4" s="1"/>
  <c r="E80" i="4"/>
  <c r="H80" i="4" s="1"/>
  <c r="B81" i="4"/>
  <c r="C81" i="4" l="1"/>
  <c r="D81" i="4" s="1"/>
  <c r="E81" i="4"/>
  <c r="H81" i="4" s="1"/>
  <c r="B82" i="4"/>
  <c r="C82" i="4" l="1"/>
  <c r="D82" i="4" s="1"/>
  <c r="E82" i="4"/>
  <c r="H82" i="4" s="1"/>
  <c r="B83" i="4"/>
  <c r="C83" i="4" l="1"/>
  <c r="D83" i="4" s="1"/>
  <c r="E83" i="4"/>
  <c r="H83" i="4" s="1"/>
  <c r="B84" i="4"/>
  <c r="C84" i="4" l="1"/>
  <c r="D84" i="4"/>
  <c r="E84" i="4"/>
  <c r="H84" i="4" s="1"/>
  <c r="B85" i="4"/>
  <c r="C85" i="4" l="1"/>
  <c r="D85" i="4" s="1"/>
  <c r="E85" i="4"/>
  <c r="H85" i="4" s="1"/>
  <c r="B86" i="4"/>
  <c r="C86" i="4" l="1"/>
  <c r="D86" i="4"/>
  <c r="E86" i="4"/>
  <c r="H86" i="4" s="1"/>
  <c r="B87" i="4"/>
  <c r="C87" i="4" l="1"/>
  <c r="D87" i="4" s="1"/>
  <c r="E87" i="4"/>
  <c r="H87" i="4" s="1"/>
  <c r="B88" i="4"/>
  <c r="C88" i="4" l="1"/>
  <c r="D88" i="4" s="1"/>
  <c r="E88" i="4"/>
  <c r="H88" i="4" s="1"/>
  <c r="B89" i="4"/>
  <c r="C89" i="4" l="1"/>
  <c r="D89" i="4" s="1"/>
  <c r="E89" i="4"/>
  <c r="H89" i="4" s="1"/>
  <c r="B90" i="4"/>
  <c r="C90" i="4" l="1"/>
  <c r="D90" i="4" s="1"/>
  <c r="E90" i="4"/>
  <c r="B91" i="4"/>
  <c r="E91" i="4" s="1"/>
  <c r="H10" i="4" l="1"/>
  <c r="G17" i="5" s="1"/>
  <c r="G20" i="5" s="1"/>
  <c r="H90" i="4"/>
  <c r="B92" i="4"/>
  <c r="E92" i="4" s="1"/>
  <c r="C91" i="4"/>
  <c r="D91" i="4"/>
  <c r="D92" i="4" l="1"/>
  <c r="C92" i="4"/>
  <c r="B93" i="4"/>
  <c r="E93" i="4" s="1"/>
  <c r="B94" i="4" l="1"/>
  <c r="E94" i="4" s="1"/>
  <c r="D93" i="4"/>
  <c r="C93" i="4"/>
  <c r="D94" i="4" l="1"/>
  <c r="B95" i="4"/>
  <c r="E95" i="4" s="1"/>
  <c r="C94" i="4"/>
  <c r="C95" i="4" l="1"/>
  <c r="B96" i="4"/>
  <c r="E96" i="4"/>
  <c r="D95" i="4"/>
  <c r="C96" i="4" l="1"/>
  <c r="B97" i="4"/>
  <c r="D96" i="4"/>
  <c r="E97" i="4"/>
  <c r="C97" i="4" l="1"/>
  <c r="E98" i="4"/>
  <c r="B98" i="4"/>
  <c r="D97" i="4"/>
  <c r="D98" i="4" l="1"/>
  <c r="C98" i="4"/>
  <c r="E99" i="4"/>
  <c r="B99" i="4"/>
  <c r="B100" i="4" l="1"/>
  <c r="C99" i="4"/>
  <c r="E100" i="4"/>
  <c r="D99" i="4"/>
  <c r="B101" i="4" l="1"/>
  <c r="D100" i="4"/>
  <c r="C100" i="4"/>
  <c r="E101" i="4"/>
  <c r="B102" i="4" l="1"/>
  <c r="D101" i="4"/>
  <c r="E102" i="4"/>
  <c r="C101" i="4"/>
  <c r="C102" i="4" l="1"/>
  <c r="E103" i="4"/>
  <c r="D102" i="4"/>
  <c r="B103" i="4"/>
  <c r="C103" i="4" l="1"/>
  <c r="B104" i="4"/>
  <c r="E104" i="4"/>
  <c r="D103" i="4"/>
  <c r="D104" i="4" l="1"/>
  <c r="C104" i="4"/>
  <c r="E105" i="4"/>
  <c r="B105" i="4"/>
  <c r="B106" i="4" l="1"/>
  <c r="D105" i="4"/>
  <c r="C105" i="4"/>
  <c r="E106" i="4"/>
  <c r="B107" i="4" l="1"/>
  <c r="D106" i="4"/>
  <c r="C106" i="4"/>
  <c r="E107" i="4"/>
  <c r="D107" i="4" l="1"/>
  <c r="C107" i="4"/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I15" i="9" l="1"/>
  <c r="H15" i="9"/>
  <c r="I14" i="9"/>
  <c r="H14" i="9"/>
  <c r="I13" i="9"/>
  <c r="H13" i="9"/>
  <c r="I12" i="9"/>
  <c r="H12" i="9"/>
  <c r="I11" i="9"/>
  <c r="H11" i="9"/>
  <c r="I10" i="9"/>
  <c r="H10" i="9"/>
  <c r="I9" i="9"/>
  <c r="H9" i="9"/>
  <c r="I8" i="9"/>
  <c r="H8" i="9"/>
  <c r="I7" i="9"/>
  <c r="H7" i="9"/>
  <c r="I6" i="9"/>
  <c r="H6" i="9"/>
  <c r="G6" i="8"/>
  <c r="G5" i="8"/>
  <c r="G4" i="8"/>
  <c r="E6" i="8"/>
  <c r="E5" i="8"/>
  <c r="E4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12" i="7"/>
  <c r="H12" i="7"/>
  <c r="I10" i="7"/>
  <c r="H10" i="7"/>
  <c r="I11" i="7"/>
  <c r="H11" i="7"/>
  <c r="I7" i="7"/>
  <c r="H7" i="7"/>
  <c r="I13" i="7"/>
  <c r="H13" i="7"/>
  <c r="I15" i="7"/>
  <c r="H15" i="7"/>
  <c r="I8" i="7"/>
  <c r="H8" i="7"/>
  <c r="I9" i="7"/>
  <c r="H9" i="7"/>
  <c r="I6" i="7"/>
  <c r="H6" i="7"/>
  <c r="I14" i="7"/>
  <c r="H14" i="7"/>
  <c r="I7" i="1"/>
  <c r="I8" i="1"/>
  <c r="I9" i="1"/>
  <c r="I10" i="1"/>
  <c r="I11" i="1"/>
  <c r="I12" i="1"/>
  <c r="I13" i="1"/>
  <c r="I14" i="1"/>
  <c r="I15" i="1"/>
  <c r="I6" i="1"/>
  <c r="H7" i="1"/>
  <c r="H8" i="1"/>
  <c r="H9" i="1"/>
  <c r="H10" i="1"/>
  <c r="H11" i="1"/>
  <c r="H12" i="1"/>
  <c r="H13" i="1"/>
  <c r="H14" i="1"/>
  <c r="H15" i="1"/>
  <c r="H6" i="1"/>
</calcChain>
</file>

<file path=xl/sharedStrings.xml><?xml version="1.0" encoding="utf-8"?>
<sst xmlns="http://schemas.openxmlformats.org/spreadsheetml/2006/main" count="171" uniqueCount="86">
  <si>
    <t>ID</t>
  </si>
  <si>
    <t xml:space="preserve">Name </t>
  </si>
  <si>
    <t>Salary</t>
  </si>
  <si>
    <t>PY Salary</t>
  </si>
  <si>
    <t>Date of Birth</t>
  </si>
  <si>
    <t xml:space="preserve">Date of Hire </t>
  </si>
  <si>
    <t>Klendshoj,Roxanne</t>
  </si>
  <si>
    <t>Woolley, Jeanna M</t>
  </si>
  <si>
    <t>Woolley,Jeanna M</t>
  </si>
  <si>
    <t>Bartho,Jerome Fion</t>
  </si>
  <si>
    <t>Benson,Scott G</t>
  </si>
  <si>
    <t>Aho,Diiane</t>
  </si>
  <si>
    <t>Larson,DeeAnn Smith</t>
  </si>
  <si>
    <t>Nelson,Susann</t>
  </si>
  <si>
    <t>Asche,Tracy A</t>
  </si>
  <si>
    <t>Carlson,Robert Lee</t>
  </si>
  <si>
    <t>Donovan,Richard</t>
  </si>
  <si>
    <t xml:space="preserve">Employee Database </t>
  </si>
  <si>
    <t xml:space="preserve">Age </t>
  </si>
  <si>
    <t>Service</t>
  </si>
  <si>
    <t>Valuation Date</t>
  </si>
  <si>
    <t>Summary Information:</t>
  </si>
  <si>
    <t>Num of Records:</t>
  </si>
  <si>
    <t xml:space="preserve">Max Age </t>
  </si>
  <si>
    <t xml:space="preserve">Min Age </t>
  </si>
  <si>
    <t>Average Serv.</t>
  </si>
  <si>
    <t xml:space="preserve">Total Sal. Current: </t>
  </si>
  <si>
    <t>Average Sal. Current:</t>
  </si>
  <si>
    <t>*Filters Applied*</t>
  </si>
  <si>
    <t>&gt;80000</t>
  </si>
  <si>
    <t>&gt;50</t>
  </si>
  <si>
    <t>&lt;40</t>
  </si>
  <si>
    <t>Grand Total</t>
  </si>
  <si>
    <t>60-65</t>
  </si>
  <si>
    <t>45-49</t>
  </si>
  <si>
    <t>0-5</t>
  </si>
  <si>
    <t>Age</t>
  </si>
  <si>
    <t>Age By Service Table With Total Salaries Plus Total PY
Salaries</t>
  </si>
  <si>
    <t>Sum of Total Sal</t>
  </si>
  <si>
    <t>6-10</t>
  </si>
  <si>
    <t>55-59</t>
  </si>
  <si>
    <t xml:space="preserve">Service </t>
  </si>
  <si>
    <t>11-20</t>
  </si>
  <si>
    <t>20+</t>
  </si>
  <si>
    <t xml:space="preserve"> </t>
  </si>
  <si>
    <t>Mortality Table</t>
  </si>
  <si>
    <t>qx</t>
  </si>
  <si>
    <t xml:space="preserve">Life Annuity </t>
  </si>
  <si>
    <t xml:space="preserve">Current Age </t>
  </si>
  <si>
    <t>Annual Payment</t>
  </si>
  <si>
    <t xml:space="preserve">Interest Rate </t>
  </si>
  <si>
    <t xml:space="preserve">Annuity Factor </t>
  </si>
  <si>
    <t xml:space="preserve">Annuity Value </t>
  </si>
  <si>
    <t xml:space="preserve">Excel Calculations </t>
  </si>
  <si>
    <t>px</t>
  </si>
  <si>
    <t>tpx</t>
  </si>
  <si>
    <t xml:space="preserve">Discount Value </t>
  </si>
  <si>
    <t>Contract Year</t>
  </si>
  <si>
    <t>Benefit Statement</t>
  </si>
  <si>
    <t>Name</t>
  </si>
  <si>
    <t>Date of Participation</t>
  </si>
  <si>
    <t xml:space="preserve">Date of Normal Retirment </t>
  </si>
  <si>
    <t>Age Last Birthday</t>
  </si>
  <si>
    <t xml:space="preserve">Service since the participation date </t>
  </si>
  <si>
    <t>Annual Benefit</t>
  </si>
  <si>
    <t>Early Retirement factor</t>
  </si>
  <si>
    <t>Early Retirement Benefit</t>
  </si>
  <si>
    <t xml:space="preserve">Annuity purchase value </t>
  </si>
  <si>
    <t>Retirement Goal</t>
  </si>
  <si>
    <t xml:space="preserve">Achieved Goal Percentage </t>
  </si>
  <si>
    <t>Klendshoj, Roxanne</t>
  </si>
  <si>
    <t>Bartho, Jerome Fion</t>
  </si>
  <si>
    <t>Benson, Scott G</t>
  </si>
  <si>
    <t>Larson, DeeAnn Smith</t>
  </si>
  <si>
    <t>Nelson, Susann</t>
  </si>
  <si>
    <t>Asche, Tracy A</t>
  </si>
  <si>
    <t>Carlson, Robert Lee</t>
  </si>
  <si>
    <t>Donovan, Richard</t>
  </si>
  <si>
    <t>Identification Number</t>
  </si>
  <si>
    <t>Aho, Diane</t>
  </si>
  <si>
    <t>Aho,Diane</t>
  </si>
  <si>
    <t>Year</t>
  </si>
  <si>
    <t>Rate</t>
  </si>
  <si>
    <t xml:space="preserve">The Rate in a year is used to calculate annuity contracts made in that year. </t>
  </si>
  <si>
    <t>For example, if a plan is terminated in 2019 and the contract is purchased in the same year, then the rate of 4.00% is used to determine the annuity value.</t>
  </si>
  <si>
    <t>Current Year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</si>
</sst>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_(* #,##0_);_(* \(#,##0\);_(* &quot;-&quot;??_);_(@_)"/>
    <numFmt numFmtId="166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Tinmes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8" tint="0.59999389629810485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8" tint="0.39997558519241921"/>
      <name val="Times New Roman"/>
      <family val="1"/>
    </font>
    <font>
      <b/>
      <sz val="11"/>
      <color theme="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rgb="FF3333FF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2" fillId="0" borderId="0" xfId="0" applyFont="1"/>
    <xf numFmtId="0" fontId="6" fillId="0" borderId="0" xfId="0" applyFont="1"/>
    <xf numFmtId="14" fontId="6" fillId="5" borderId="0" xfId="0" applyNumberFormat="1" applyFont="1" applyFill="1"/>
    <xf numFmtId="1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14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1" fontId="2" fillId="0" borderId="0" xfId="0" applyNumberFormat="1" applyFont="1"/>
    <xf numFmtId="43" fontId="2" fillId="0" borderId="0" xfId="1" applyFont="1"/>
    <xf numFmtId="43" fontId="0" fillId="4" borderId="0" xfId="1" applyFont="1" applyFill="1"/>
    <xf numFmtId="43" fontId="0" fillId="4" borderId="0" xfId="1" applyFont="1" applyFill="1" applyBorder="1"/>
    <xf numFmtId="165" fontId="0" fillId="4" borderId="0" xfId="1" applyNumberFormat="1" applyFont="1" applyFill="1"/>
    <xf numFmtId="0" fontId="0" fillId="0" borderId="0" xfId="0" applyBorder="1"/>
    <xf numFmtId="0" fontId="9" fillId="0" borderId="0" xfId="0" applyFont="1"/>
    <xf numFmtId="0" fontId="8" fillId="2" borderId="1" xfId="0" applyFont="1" applyFill="1" applyBorder="1"/>
    <xf numFmtId="0" fontId="8" fillId="6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6" borderId="1" xfId="0" applyFont="1" applyFill="1" applyBorder="1"/>
    <xf numFmtId="0" fontId="8" fillId="8" borderId="1" xfId="0" applyFont="1" applyFill="1" applyBorder="1"/>
    <xf numFmtId="0" fontId="8" fillId="8" borderId="17" xfId="0" applyFont="1" applyFill="1" applyBorder="1"/>
    <xf numFmtId="0" fontId="8" fillId="8" borderId="17" xfId="0" applyFont="1" applyFill="1" applyBorder="1" applyAlignment="1">
      <alignment horizontal="left"/>
    </xf>
    <xf numFmtId="43" fontId="8" fillId="0" borderId="16" xfId="0" applyNumberFormat="1" applyFont="1" applyBorder="1"/>
    <xf numFmtId="43" fontId="8" fillId="0" borderId="0" xfId="0" applyNumberFormat="1" applyFont="1" applyBorder="1"/>
    <xf numFmtId="43" fontId="8" fillId="0" borderId="8" xfId="0" applyNumberFormat="1" applyFont="1" applyBorder="1"/>
    <xf numFmtId="43" fontId="10" fillId="0" borderId="8" xfId="0" applyNumberFormat="1" applyFont="1" applyBorder="1"/>
    <xf numFmtId="0" fontId="11" fillId="8" borderId="19" xfId="0" applyFont="1" applyFill="1" applyBorder="1" applyAlignment="1">
      <alignment horizontal="left" indent="1"/>
    </xf>
    <xf numFmtId="43" fontId="8" fillId="0" borderId="15" xfId="0" applyNumberFormat="1" applyFont="1" applyBorder="1"/>
    <xf numFmtId="43" fontId="10" fillId="0" borderId="15" xfId="0" applyNumberFormat="1" applyFont="1" applyBorder="1"/>
    <xf numFmtId="0" fontId="12" fillId="8" borderId="18" xfId="0" applyFont="1" applyFill="1" applyBorder="1" applyAlignment="1">
      <alignment horizontal="left" indent="1"/>
    </xf>
    <xf numFmtId="0" fontId="8" fillId="0" borderId="12" xfId="0" applyNumberFormat="1" applyFont="1" applyBorder="1"/>
    <xf numFmtId="0" fontId="8" fillId="0" borderId="13" xfId="0" applyNumberFormat="1" applyFont="1" applyBorder="1"/>
    <xf numFmtId="0" fontId="8" fillId="0" borderId="14" xfId="0" applyNumberFormat="1" applyFont="1" applyBorder="1"/>
    <xf numFmtId="0" fontId="10" fillId="0" borderId="14" xfId="0" applyNumberFormat="1" applyFont="1" applyBorder="1"/>
    <xf numFmtId="0" fontId="8" fillId="8" borderId="6" xfId="0" applyFont="1" applyFill="1" applyBorder="1" applyAlignment="1">
      <alignment horizontal="left"/>
    </xf>
    <xf numFmtId="43" fontId="8" fillId="0" borderId="6" xfId="0" applyNumberFormat="1" applyFont="1" applyBorder="1"/>
    <xf numFmtId="43" fontId="8" fillId="0" borderId="7" xfId="0" applyNumberFormat="1" applyFont="1" applyBorder="1"/>
    <xf numFmtId="0" fontId="14" fillId="0" borderId="17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4" borderId="0" xfId="2" applyFont="1" applyFill="1"/>
    <xf numFmtId="10" fontId="0" fillId="4" borderId="0" xfId="3" applyNumberFormat="1" applyFont="1" applyFill="1"/>
    <xf numFmtId="44" fontId="0" fillId="0" borderId="0" xfId="0" applyNumberFormat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6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16" fillId="0" borderId="0" xfId="0" applyFont="1"/>
    <xf numFmtId="43" fontId="0" fillId="4" borderId="0" xfId="1" applyFont="1" applyFill="1" applyAlignment="1">
      <alignment horizontal="center"/>
    </xf>
    <xf numFmtId="1" fontId="0" fillId="0" borderId="0" xfId="0" applyNumberFormat="1"/>
    <xf numFmtId="0" fontId="0" fillId="0" borderId="0" xfId="0" applyNumberFormat="1"/>
    <xf numFmtId="1" fontId="0" fillId="4" borderId="0" xfId="0" applyNumberFormat="1" applyFill="1"/>
    <xf numFmtId="0" fontId="0" fillId="0" borderId="8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7" fillId="0" borderId="6" xfId="0" applyFont="1" applyBorder="1"/>
    <xf numFmtId="0" fontId="7" fillId="0" borderId="1" xfId="0" applyFont="1" applyBorder="1" applyAlignment="1"/>
    <xf numFmtId="0" fontId="10" fillId="11" borderId="1" xfId="0" applyFont="1" applyFill="1" applyBorder="1" applyAlignment="1">
      <alignment horizontal="center"/>
    </xf>
    <xf numFmtId="0" fontId="10" fillId="11" borderId="1" xfId="0" applyFont="1" applyFill="1" applyBorder="1"/>
    <xf numFmtId="0" fontId="17" fillId="4" borderId="1" xfId="0" applyFon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3" applyNumberFormat="1" applyFont="1" applyBorder="1"/>
    <xf numFmtId="2" fontId="0" fillId="0" borderId="0" xfId="0" applyNumberFormat="1" applyAlignment="1">
      <alignment horizontal="center"/>
    </xf>
    <xf numFmtId="10" fontId="0" fillId="0" borderId="0" xfId="0" applyNumberFormat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7" fillId="11" borderId="2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0" borderId="2" xfId="3" applyNumberFormat="1" applyFont="1" applyBorder="1" applyAlignment="1">
      <alignment horizontal="center"/>
    </xf>
    <xf numFmtId="166" fontId="0" fillId="0" borderId="3" xfId="3" applyNumberFormat="1" applyFont="1" applyBorder="1" applyAlignment="1">
      <alignment horizontal="center"/>
    </xf>
    <xf numFmtId="166" fontId="0" fillId="0" borderId="4" xfId="3" applyNumberFormat="1" applyFont="1" applyBorder="1" applyAlignment="1">
      <alignment horizont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43" fontId="0" fillId="0" borderId="3" xfId="0" applyNumberForma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0" fontId="5" fillId="0" borderId="2" xfId="0" applyFont="1" applyBorder="1" applyAlignment="1"/>
    <xf numFmtId="0" fontId="5" fillId="0" borderId="4" xfId="0" applyFont="1" applyBorder="1" applyAlignment="1"/>
    <xf numFmtId="0" fontId="6" fillId="3" borderId="8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center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4">
    <dxf>
      <font>
        <name val="Times New Roman"/>
        <family val="1"/>
        <scheme val="none"/>
      </font>
    </dxf>
    <dxf>
      <font>
        <b/>
      </font>
    </dxf>
    <dxf>
      <font>
        <color rgb="FFFF0000"/>
      </font>
    </dxf>
    <dxf>
      <font>
        <sz val="11"/>
      </font>
    </dxf>
    <dxf>
      <font>
        <color theme="8" tint="0.39997558519241921"/>
      </font>
    </dxf>
    <dxf>
      <font>
        <color theme="8" tint="0.39997558519241921"/>
      </font>
    </dxf>
    <dxf>
      <font>
        <color theme="8" tint="0.39997558519241921"/>
      </font>
    </dxf>
    <dxf>
      <border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right style="medium">
          <color indexed="64"/>
        </righ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bottom style="medium">
          <color indexed="64"/>
        </bottom>
      </border>
    </dxf>
    <dxf>
      <border>
        <left/>
        <right/>
        <top/>
        <bottom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vertical style="medium">
          <color indexed="64"/>
        </vertical>
        <horizontal style="medium">
          <color indexed="64"/>
        </horizontal>
      </border>
    </dxf>
    <dxf>
      <font>
        <color theme="0"/>
      </font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CCFFFF"/>
        </patternFill>
      </fill>
    </dxf>
    <dxf>
      <fill>
        <patternFill>
          <bgColor rgb="FFCCFFFF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3333FF"/>
      <color rgb="FFFFFF99"/>
      <color rgb="FFCCFFFF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Rate!$A$1</c:f>
          <c:strCache>
            <c:ptCount val="1"/>
            <c:pt idx="0">
              <c:v>Interest Rate </c:v>
            </c:pt>
          </c:strCache>
        </c:strRef>
      </c:tx>
      <c:layout>
        <c:manualLayout>
          <c:xMode val="edge"/>
          <c:yMode val="edge"/>
          <c:x val="0.42190032542711187"/>
          <c:y val="1.863173046047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Rate!$B$2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[0]!Aronson_Years</c:f>
              <c:numCache>
                <c:formatCode>General</c:formatCode>
                <c:ptCount val="2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</c:numCache>
            </c:numRef>
          </c:cat>
          <c:val>
            <c:numRef>
              <c:f>[0]!Aronson_Percent</c:f>
              <c:numCache>
                <c:formatCode>0.00%</c:formatCode>
                <c:ptCount val="8"/>
                <c:pt idx="0">
                  <c:v>7.4999999999999997E-2</c:v>
                </c:pt>
                <c:pt idx="1">
                  <c:v>6.5000000000000002E-2</c:v>
                </c:pt>
                <c:pt idx="2">
                  <c:v>7.2499999999999995E-2</c:v>
                </c:pt>
                <c:pt idx="3">
                  <c:v>6.5000000000000002E-2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E-4861-8EEC-A089D0A5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053808"/>
        <c:axId val="467055472"/>
      </c:lineChart>
      <c:dateAx>
        <c:axId val="467053808"/>
        <c:scaling>
          <c:orientation val="minMax"/>
        </c:scaling>
        <c:delete val="0"/>
        <c:axPos val="b"/>
        <c:title>
          <c:tx>
            <c:strRef>
              <c:f>Rate!$A$2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55472"/>
        <c:crosses val="autoZero"/>
        <c:auto val="0"/>
        <c:lblOffset val="100"/>
        <c:baseTimeUnit val="days"/>
      </c:dateAx>
      <c:valAx>
        <c:axId val="467055472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strRef>
              <c:f>Rate!$B$2</c:f>
              <c:strCache>
                <c:ptCount val="1"/>
                <c:pt idx="0">
                  <c:v>Rate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0"/>
        <c:majorTickMark val="cross"/>
        <c:minorTickMark val="cross"/>
        <c:tickLblPos val="nextTo"/>
        <c:spPr>
          <a:noFill/>
          <a:ln w="47625" cap="rnd" cmpd="sng">
            <a:solidFill>
              <a:schemeClr val="accent1"/>
            </a:solidFill>
            <a:prstDash val="sysDot"/>
            <a:miter lim="800000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53808"/>
        <c:crosses val="autoZero"/>
        <c:crossBetween val="between"/>
        <c:minorUnit val="2.0000000000000004E-2"/>
      </c:valAx>
      <c:spPr>
        <a:solidFill>
          <a:schemeClr val="bg1">
            <a:lumMod val="75000"/>
          </a:schemeClr>
        </a:solidFill>
        <a:ln cmpd="dbl">
          <a:solidFill>
            <a:schemeClr val="accent1"/>
          </a:solidFill>
          <a:prstDash val="sys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0</xdr:row>
      <xdr:rowOff>42861</xdr:rowOff>
    </xdr:from>
    <xdr:to>
      <xdr:col>19</xdr:col>
      <xdr:colOff>0</xdr:colOff>
      <xdr:row>26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9257FF-CBED-4C47-A6D7-15733E8D4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onson_Alexander_Life%20Annuity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y "/>
      <sheetName val="Qx"/>
    </sheetNames>
    <sheetDataSet>
      <sheetData sheetId="0"/>
      <sheetData sheetId="1">
        <row r="4">
          <cell r="B4">
            <v>5</v>
          </cell>
          <cell r="C4">
            <v>2.3699999999999999E-4</v>
          </cell>
        </row>
        <row r="5">
          <cell r="B5">
            <v>6</v>
          </cell>
          <cell r="C5">
            <v>2.2699999999999999E-4</v>
          </cell>
        </row>
        <row r="6">
          <cell r="B6">
            <v>7</v>
          </cell>
          <cell r="C6">
            <v>2.1699999999999999E-4</v>
          </cell>
        </row>
        <row r="7">
          <cell r="B7">
            <v>8</v>
          </cell>
          <cell r="C7">
            <v>2.0100000000000001E-4</v>
          </cell>
        </row>
        <row r="8">
          <cell r="B8">
            <v>9</v>
          </cell>
          <cell r="C8">
            <v>1.94E-4</v>
          </cell>
        </row>
        <row r="9">
          <cell r="B9">
            <v>10</v>
          </cell>
          <cell r="C9">
            <v>1.9699999999999999E-4</v>
          </cell>
        </row>
        <row r="10">
          <cell r="B10">
            <v>11</v>
          </cell>
          <cell r="C10">
            <v>2.0799999999999999E-4</v>
          </cell>
        </row>
        <row r="11">
          <cell r="B11">
            <v>12</v>
          </cell>
          <cell r="C11">
            <v>2.2599999999999999E-4</v>
          </cell>
        </row>
        <row r="12">
          <cell r="B12">
            <v>13</v>
          </cell>
          <cell r="C12">
            <v>2.5500000000000002E-4</v>
          </cell>
        </row>
        <row r="13">
          <cell r="B13">
            <v>14</v>
          </cell>
          <cell r="C13">
            <v>2.9700000000000001E-4</v>
          </cell>
        </row>
        <row r="14">
          <cell r="B14">
            <v>15</v>
          </cell>
          <cell r="C14">
            <v>3.4499999999999998E-4</v>
          </cell>
        </row>
        <row r="15">
          <cell r="B15">
            <v>16</v>
          </cell>
          <cell r="C15">
            <v>3.9100000000000002E-4</v>
          </cell>
        </row>
        <row r="16">
          <cell r="B16">
            <v>17</v>
          </cell>
          <cell r="C16">
            <v>4.2999999999999999E-4</v>
          </cell>
        </row>
        <row r="17">
          <cell r="B17">
            <v>18</v>
          </cell>
          <cell r="C17">
            <v>4.6000000000000001E-4</v>
          </cell>
        </row>
        <row r="18">
          <cell r="B18">
            <v>19</v>
          </cell>
          <cell r="C18">
            <v>4.84E-4</v>
          </cell>
        </row>
        <row r="19">
          <cell r="B19">
            <v>20</v>
          </cell>
          <cell r="C19">
            <v>5.0699999999999996E-4</v>
          </cell>
        </row>
        <row r="20">
          <cell r="B20">
            <v>21</v>
          </cell>
          <cell r="C20">
            <v>5.2999999999999998E-4</v>
          </cell>
        </row>
        <row r="21">
          <cell r="B21">
            <v>22</v>
          </cell>
          <cell r="C21">
            <v>5.5599999999999996E-4</v>
          </cell>
        </row>
        <row r="22">
          <cell r="B22">
            <v>23</v>
          </cell>
          <cell r="C22">
            <v>5.8900000000000001E-4</v>
          </cell>
        </row>
        <row r="23">
          <cell r="B23">
            <v>24</v>
          </cell>
          <cell r="C23">
            <v>6.2399999999999999E-4</v>
          </cell>
        </row>
        <row r="24">
          <cell r="B24">
            <v>25</v>
          </cell>
          <cell r="C24">
            <v>6.6100000000000002E-4</v>
          </cell>
        </row>
        <row r="25">
          <cell r="B25">
            <v>26</v>
          </cell>
          <cell r="C25">
            <v>6.96E-4</v>
          </cell>
        </row>
        <row r="26">
          <cell r="B26">
            <v>27</v>
          </cell>
          <cell r="C26">
            <v>7.27E-4</v>
          </cell>
        </row>
        <row r="27">
          <cell r="B27">
            <v>28</v>
          </cell>
          <cell r="C27">
            <v>7.54E-4</v>
          </cell>
        </row>
        <row r="28">
          <cell r="B28">
            <v>29</v>
          </cell>
          <cell r="C28">
            <v>7.7899999999999996E-4</v>
          </cell>
        </row>
        <row r="29">
          <cell r="B29">
            <v>30</v>
          </cell>
          <cell r="C29">
            <v>8.0099999999999995E-4</v>
          </cell>
        </row>
        <row r="30">
          <cell r="B30">
            <v>31</v>
          </cell>
          <cell r="C30">
            <v>8.2100000000000001E-4</v>
          </cell>
        </row>
        <row r="31">
          <cell r="B31">
            <v>32</v>
          </cell>
          <cell r="C31">
            <v>8.3900000000000001E-4</v>
          </cell>
        </row>
        <row r="32">
          <cell r="B32">
            <v>33</v>
          </cell>
          <cell r="C32">
            <v>8.4800000000000001E-4</v>
          </cell>
        </row>
        <row r="33">
          <cell r="B33">
            <v>34</v>
          </cell>
          <cell r="C33">
            <v>8.4900000000000004E-4</v>
          </cell>
        </row>
        <row r="34">
          <cell r="B34">
            <v>35</v>
          </cell>
          <cell r="C34">
            <v>8.5099999999999998E-4</v>
          </cell>
        </row>
        <row r="35">
          <cell r="B35">
            <v>36</v>
          </cell>
          <cell r="C35">
            <v>8.6200000000000003E-4</v>
          </cell>
        </row>
        <row r="36">
          <cell r="B36">
            <v>37</v>
          </cell>
          <cell r="C36">
            <v>8.9099999999999997E-4</v>
          </cell>
        </row>
        <row r="37">
          <cell r="B37">
            <v>38</v>
          </cell>
          <cell r="C37">
            <v>9.3899999999999995E-4</v>
          </cell>
        </row>
        <row r="38">
          <cell r="B38">
            <v>39</v>
          </cell>
          <cell r="C38">
            <v>9.990000000000001E-4</v>
          </cell>
        </row>
        <row r="39">
          <cell r="B39">
            <v>40</v>
          </cell>
          <cell r="C39">
            <v>1.072E-3</v>
          </cell>
        </row>
        <row r="40">
          <cell r="B40">
            <v>41</v>
          </cell>
          <cell r="C40">
            <v>1.1559999999999999E-3</v>
          </cell>
        </row>
        <row r="41">
          <cell r="B41">
            <v>42</v>
          </cell>
          <cell r="C41">
            <v>1.2520000000000001E-3</v>
          </cell>
        </row>
        <row r="42">
          <cell r="B42">
            <v>43</v>
          </cell>
          <cell r="C42">
            <v>1.3519999999999999E-3</v>
          </cell>
        </row>
        <row r="43">
          <cell r="B43">
            <v>44</v>
          </cell>
          <cell r="C43">
            <v>1.4580000000000001E-3</v>
          </cell>
        </row>
        <row r="44">
          <cell r="B44">
            <v>45</v>
          </cell>
          <cell r="C44">
            <v>1.578E-3</v>
          </cell>
        </row>
        <row r="45">
          <cell r="B45">
            <v>46</v>
          </cell>
          <cell r="C45">
            <v>1.722E-3</v>
          </cell>
        </row>
        <row r="46">
          <cell r="B46">
            <v>47</v>
          </cell>
          <cell r="C46">
            <v>1.8990000000000001E-3</v>
          </cell>
        </row>
        <row r="47">
          <cell r="B47">
            <v>48</v>
          </cell>
          <cell r="C47">
            <v>2.1020000000000001E-3</v>
          </cell>
        </row>
        <row r="48">
          <cell r="B48">
            <v>49</v>
          </cell>
          <cell r="C48">
            <v>2.3259999999999999E-3</v>
          </cell>
        </row>
        <row r="49">
          <cell r="B49">
            <v>50</v>
          </cell>
          <cell r="C49">
            <v>2.5790000000000001E-3</v>
          </cell>
        </row>
        <row r="50">
          <cell r="B50">
            <v>51</v>
          </cell>
          <cell r="C50">
            <v>2.872E-3</v>
          </cell>
        </row>
        <row r="51">
          <cell r="B51">
            <v>52</v>
          </cell>
          <cell r="C51">
            <v>3.2130000000000001E-3</v>
          </cell>
        </row>
        <row r="52">
          <cell r="B52">
            <v>53</v>
          </cell>
          <cell r="C52">
            <v>3.5839999999999999E-3</v>
          </cell>
        </row>
        <row r="53">
          <cell r="B53">
            <v>54</v>
          </cell>
          <cell r="C53">
            <v>3.9789999999999999E-3</v>
          </cell>
        </row>
        <row r="54">
          <cell r="B54">
            <v>55</v>
          </cell>
          <cell r="C54">
            <v>4.4250000000000001E-3</v>
          </cell>
        </row>
        <row r="55">
          <cell r="B55">
            <v>56</v>
          </cell>
          <cell r="C55">
            <v>4.9490000000000003E-3</v>
          </cell>
        </row>
        <row r="56">
          <cell r="B56">
            <v>57</v>
          </cell>
          <cell r="C56">
            <v>5.581E-3</v>
          </cell>
        </row>
        <row r="57">
          <cell r="B57">
            <v>58</v>
          </cell>
          <cell r="C57">
            <v>6.3E-3</v>
          </cell>
        </row>
        <row r="58">
          <cell r="B58">
            <v>59</v>
          </cell>
          <cell r="C58">
            <v>7.0899999999999999E-3</v>
          </cell>
        </row>
        <row r="59">
          <cell r="B59">
            <v>60</v>
          </cell>
          <cell r="C59">
            <v>7.9760000000000005E-3</v>
          </cell>
        </row>
        <row r="60">
          <cell r="B60">
            <v>61</v>
          </cell>
          <cell r="C60">
            <v>8.9859999999999992E-3</v>
          </cell>
        </row>
        <row r="61">
          <cell r="B61">
            <v>62</v>
          </cell>
          <cell r="C61">
            <v>1.0147E-2</v>
          </cell>
        </row>
        <row r="62">
          <cell r="B62">
            <v>63</v>
          </cell>
          <cell r="C62">
            <v>1.1471E-2</v>
          </cell>
        </row>
        <row r="63">
          <cell r="B63">
            <v>64</v>
          </cell>
          <cell r="C63">
            <v>1.294E-2</v>
          </cell>
        </row>
        <row r="64">
          <cell r="B64">
            <v>65</v>
          </cell>
          <cell r="C64">
            <v>1.4534999999999999E-2</v>
          </cell>
        </row>
        <row r="65">
          <cell r="B65">
            <v>66</v>
          </cell>
          <cell r="C65">
            <v>1.6239E-2</v>
          </cell>
        </row>
        <row r="66">
          <cell r="B66">
            <v>67</v>
          </cell>
          <cell r="C66">
            <v>1.8034000000000001E-2</v>
          </cell>
        </row>
        <row r="67">
          <cell r="B67">
            <v>68</v>
          </cell>
          <cell r="C67">
            <v>1.9859000000000002E-2</v>
          </cell>
        </row>
        <row r="68">
          <cell r="B68">
            <v>69</v>
          </cell>
          <cell r="C68">
            <v>2.1728999999999998E-2</v>
          </cell>
        </row>
        <row r="69">
          <cell r="B69">
            <v>70</v>
          </cell>
          <cell r="C69">
            <v>2.3730000000000001E-2</v>
          </cell>
        </row>
        <row r="70">
          <cell r="B70">
            <v>71</v>
          </cell>
          <cell r="C70">
            <v>2.5950999999999998E-2</v>
          </cell>
        </row>
        <row r="71">
          <cell r="B71">
            <v>72</v>
          </cell>
          <cell r="C71">
            <v>2.8480999999999999E-2</v>
          </cell>
        </row>
        <row r="72">
          <cell r="B72">
            <v>73</v>
          </cell>
          <cell r="C72">
            <v>3.1201E-2</v>
          </cell>
        </row>
        <row r="73">
          <cell r="B73">
            <v>74</v>
          </cell>
          <cell r="C73">
            <v>3.4050999999999998E-2</v>
          </cell>
        </row>
        <row r="74">
          <cell r="B74">
            <v>75</v>
          </cell>
          <cell r="C74">
            <v>3.7211000000000001E-2</v>
          </cell>
        </row>
        <row r="75">
          <cell r="B75">
            <v>76</v>
          </cell>
          <cell r="C75">
            <v>4.0857999999999998E-2</v>
          </cell>
        </row>
        <row r="76">
          <cell r="B76">
            <v>77</v>
          </cell>
          <cell r="C76">
            <v>4.5171000000000003E-2</v>
          </cell>
        </row>
        <row r="77">
          <cell r="B77">
            <v>78</v>
          </cell>
          <cell r="C77">
            <v>5.0210999999999999E-2</v>
          </cell>
        </row>
        <row r="78">
          <cell r="B78">
            <v>79</v>
          </cell>
          <cell r="C78">
            <v>5.5861000000000001E-2</v>
          </cell>
        </row>
        <row r="79">
          <cell r="B79">
            <v>80</v>
          </cell>
          <cell r="C79">
            <v>6.2026999999999999E-2</v>
          </cell>
        </row>
        <row r="80">
          <cell r="B80">
            <v>81</v>
          </cell>
          <cell r="C80">
            <v>6.8614999999999995E-2</v>
          </cell>
        </row>
        <row r="81">
          <cell r="B81">
            <v>82</v>
          </cell>
          <cell r="C81">
            <v>7.5532000000000002E-2</v>
          </cell>
        </row>
        <row r="82">
          <cell r="B82">
            <v>83</v>
          </cell>
          <cell r="C82">
            <v>8.251E-2</v>
          </cell>
        </row>
        <row r="83">
          <cell r="B83">
            <v>84</v>
          </cell>
          <cell r="C83">
            <v>8.9612999999999998E-2</v>
          </cell>
        </row>
        <row r="84">
          <cell r="B84">
            <v>85</v>
          </cell>
          <cell r="C84">
            <v>9.7239999999999993E-2</v>
          </cell>
        </row>
        <row r="85">
          <cell r="B85">
            <v>86</v>
          </cell>
          <cell r="C85">
            <v>0.105792</v>
          </cell>
        </row>
        <row r="86">
          <cell r="B86">
            <v>87</v>
          </cell>
          <cell r="C86">
            <v>0.115671</v>
          </cell>
        </row>
        <row r="87">
          <cell r="B87">
            <v>88</v>
          </cell>
          <cell r="C87">
            <v>0.12698000000000001</v>
          </cell>
        </row>
        <row r="88">
          <cell r="B88">
            <v>89</v>
          </cell>
          <cell r="C88">
            <v>0.13945199999999999</v>
          </cell>
        </row>
        <row r="89">
          <cell r="B89">
            <v>90</v>
          </cell>
          <cell r="C89">
            <v>0.15293100000000001</v>
          </cell>
        </row>
        <row r="90">
          <cell r="B90">
            <v>91</v>
          </cell>
          <cell r="C90">
            <v>0.16725999999999999</v>
          </cell>
        </row>
        <row r="91">
          <cell r="B91">
            <v>92</v>
          </cell>
          <cell r="C91">
            <v>0.182281</v>
          </cell>
        </row>
        <row r="92">
          <cell r="B92">
            <v>93</v>
          </cell>
          <cell r="C92">
            <v>0.19839200000000001</v>
          </cell>
        </row>
        <row r="93">
          <cell r="B93">
            <v>94</v>
          </cell>
          <cell r="C93">
            <v>0.2157</v>
          </cell>
        </row>
        <row r="94">
          <cell r="B94">
            <v>95</v>
          </cell>
          <cell r="C94">
            <v>0.23360600000000001</v>
          </cell>
        </row>
        <row r="95">
          <cell r="B95">
            <v>96</v>
          </cell>
          <cell r="C95">
            <v>0.25151000000000001</v>
          </cell>
        </row>
        <row r="96">
          <cell r="B96">
            <v>97</v>
          </cell>
          <cell r="C96">
            <v>0.26881500000000003</v>
          </cell>
        </row>
        <row r="97">
          <cell r="B97">
            <v>98</v>
          </cell>
          <cell r="C97">
            <v>0.285277</v>
          </cell>
        </row>
        <row r="98">
          <cell r="B98">
            <v>99</v>
          </cell>
          <cell r="C98">
            <v>0.30129800000000001</v>
          </cell>
        </row>
        <row r="99">
          <cell r="B99">
            <v>100</v>
          </cell>
          <cell r="C99">
            <v>0.31723800000000002</v>
          </cell>
        </row>
        <row r="100">
          <cell r="B100">
            <v>101</v>
          </cell>
          <cell r="C100">
            <v>0.33346100000000001</v>
          </cell>
        </row>
        <row r="101">
          <cell r="B101">
            <v>102</v>
          </cell>
          <cell r="C101">
            <v>0.35032999999999997</v>
          </cell>
        </row>
        <row r="102">
          <cell r="B102">
            <v>103</v>
          </cell>
          <cell r="C102">
            <v>0.36854199999999998</v>
          </cell>
        </row>
        <row r="103">
          <cell r="B103">
            <v>104</v>
          </cell>
          <cell r="C103">
            <v>0.38785500000000001</v>
          </cell>
        </row>
        <row r="104">
          <cell r="B104">
            <v>105</v>
          </cell>
          <cell r="C104">
            <v>0.40722399999999997</v>
          </cell>
        </row>
        <row r="105">
          <cell r="B105">
            <v>106</v>
          </cell>
          <cell r="C105">
            <v>0.42559900000000001</v>
          </cell>
        </row>
        <row r="106">
          <cell r="B106">
            <v>107</v>
          </cell>
          <cell r="C106">
            <v>0.44193500000000002</v>
          </cell>
        </row>
        <row r="107">
          <cell r="B107">
            <v>108</v>
          </cell>
          <cell r="C107">
            <v>0.45755299999999999</v>
          </cell>
        </row>
        <row r="108">
          <cell r="B108">
            <v>109</v>
          </cell>
          <cell r="C108">
            <v>0.47315000000000002</v>
          </cell>
        </row>
        <row r="109">
          <cell r="B109">
            <v>110</v>
          </cell>
          <cell r="C109">
            <v>0.48674499999999998</v>
          </cell>
        </row>
        <row r="110">
          <cell r="B110">
            <v>111</v>
          </cell>
          <cell r="C110">
            <v>0.49635600000000002</v>
          </cell>
        </row>
        <row r="111">
          <cell r="B111">
            <v>112</v>
          </cell>
          <cell r="C111">
            <v>0.5</v>
          </cell>
        </row>
        <row r="112">
          <cell r="B112">
            <v>113</v>
          </cell>
          <cell r="C112">
            <v>0.5</v>
          </cell>
        </row>
        <row r="113">
          <cell r="B113">
            <v>114</v>
          </cell>
          <cell r="C113">
            <v>0.5</v>
          </cell>
        </row>
        <row r="114">
          <cell r="B114">
            <v>115</v>
          </cell>
          <cell r="C114">
            <v>0.5</v>
          </cell>
        </row>
        <row r="115">
          <cell r="B115">
            <v>116</v>
          </cell>
          <cell r="C115">
            <v>0.5</v>
          </cell>
        </row>
        <row r="116">
          <cell r="B116">
            <v>117</v>
          </cell>
          <cell r="C116">
            <v>0.5</v>
          </cell>
        </row>
        <row r="117">
          <cell r="B117">
            <v>118</v>
          </cell>
          <cell r="C117">
            <v>0.5</v>
          </cell>
        </row>
        <row r="118">
          <cell r="B118">
            <v>119</v>
          </cell>
          <cell r="C118">
            <v>0.5</v>
          </cell>
        </row>
        <row r="119">
          <cell r="B119">
            <v>120</v>
          </cell>
          <cell r="C119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er Aronson" refreshedDate="44679.432655324075" createdVersion="7" refreshedVersion="7" minRefreshableVersion="3" recordCount="10" xr:uid="{4A60235E-CB48-41BA-98DB-FE42ACE2F196}">
  <cacheSource type="worksheet">
    <worksheetSource ref="B5:I15" sheet="Record"/>
  </cacheSource>
  <cacheFields count="11">
    <cacheField name="ID" numFmtId="0">
      <sharedItems containsSemiMixedTypes="0" containsString="0" containsNumber="1" containsInteger="1" minValue="50001" maxValue="50010"/>
    </cacheField>
    <cacheField name="Name " numFmtId="0">
      <sharedItems/>
    </cacheField>
    <cacheField name="Salary" numFmtId="43">
      <sharedItems containsSemiMixedTypes="0" containsString="0" containsNumber="1" containsInteger="1" minValue="91000" maxValue="110000"/>
    </cacheField>
    <cacheField name="PY Salary" numFmtId="43">
      <sharedItems containsSemiMixedTypes="0" containsString="0" containsNumber="1" containsInteger="1" minValue="83000" maxValue="101000"/>
    </cacheField>
    <cacheField name="Date of Birth" numFmtId="14">
      <sharedItems containsSemiMixedTypes="0" containsNonDate="0" containsDate="1" containsString="0" minDate="1954-03-02T00:00:00" maxDate="1972-06-09T00:00:00"/>
    </cacheField>
    <cacheField name="Date of Hire " numFmtId="14">
      <sharedItems containsSemiMixedTypes="0" containsNonDate="0" containsDate="1" containsString="0" minDate="1989-02-07T00:00:00" maxDate="2017-12-10T00:00:00"/>
    </cacheField>
    <cacheField name="Age " numFmtId="1">
      <sharedItems containsSemiMixedTypes="0" containsString="0" containsNumber="1" minValue="46.565366187542779" maxValue="64.83504449007529" count="10">
        <n v="46.82546201232033"/>
        <n v="64.83504449007529"/>
        <n v="62.647501711156742"/>
        <n v="63.312799452429843"/>
        <n v="46.565366187542779"/>
        <n v="55.835728952772072"/>
        <n v="64.054757015742638"/>
        <n v="60.164271047227928"/>
        <n v="62.346338124572213"/>
        <n v="56.303901437371664"/>
      </sharedItems>
      <fieldGroup par="9"/>
    </cacheField>
    <cacheField name="Service" numFmtId="1">
      <sharedItems containsSemiMixedTypes="0" containsString="0" containsNumber="1" minValue="1.0622861054072552" maxValue="29.897330595482547" count="10">
        <n v="26.833675564681723"/>
        <n v="2.3271731690622861"/>
        <n v="14.99520876112252"/>
        <n v="7.2306639288158792"/>
        <n v="6.8254620123203287"/>
        <n v="19.994524298425734"/>
        <n v="29.357973990417523"/>
        <n v="1.0622861054072552"/>
        <n v="18.340862422997947"/>
        <n v="29.897330595482547"/>
      </sharedItems>
      <fieldGroup par="10"/>
    </cacheField>
    <cacheField name="Total Sal" numFmtId="0" formula="Salary+'PY Salary'" databaseField="0"/>
    <cacheField name="Age 2" numFmtId="0" databaseField="0">
      <fieldGroup base="6">
        <discretePr count="10">
          <x v="0"/>
          <x v="2"/>
          <x v="2"/>
          <x v="2"/>
          <x v="0"/>
          <x v="1"/>
          <x v="2"/>
          <x v="2"/>
          <x v="2"/>
          <x v="1"/>
        </discretePr>
        <groupItems count="3">
          <s v="Group1"/>
          <s v="Group2"/>
          <s v="Group3"/>
        </groupItems>
      </fieldGroup>
    </cacheField>
    <cacheField name="Service2" numFmtId="0" databaseField="0">
      <fieldGroup base="7">
        <discretePr count="10">
          <x v="2"/>
          <x v="3"/>
          <x v="0"/>
          <x v="1"/>
          <x v="1"/>
          <x v="0"/>
          <x v="2"/>
          <x v="3"/>
          <x v="0"/>
          <x v="2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50001"/>
    <s v="Klendshoj,Roxanne"/>
    <n v="110000"/>
    <n v="101000"/>
    <d v="1972-03-05T00:00:00"/>
    <d v="1992-03-02T00:00:00"/>
    <x v="0"/>
    <x v="0"/>
  </r>
  <r>
    <n v="50002"/>
    <s v="Woolley,Jeanna M"/>
    <n v="99000"/>
    <n v="91000"/>
    <d v="1954-03-02T00:00:00"/>
    <d v="2016-09-03T00:00:00"/>
    <x v="1"/>
    <x v="1"/>
  </r>
  <r>
    <n v="50003"/>
    <s v="Bartho,Jerome Fion"/>
    <n v="98000"/>
    <n v="90000"/>
    <d v="1956-05-09T00:00:00"/>
    <d v="2004-01-03T00:00:00"/>
    <x v="2"/>
    <x v="2"/>
  </r>
  <r>
    <n v="50004"/>
    <s v="Benson,Scott G"/>
    <n v="97000"/>
    <n v="89000"/>
    <d v="1955-09-09T00:00:00"/>
    <d v="2011-10-09T00:00:00"/>
    <x v="3"/>
    <x v="3"/>
  </r>
  <r>
    <n v="50005"/>
    <s v="Aho,Diiane"/>
    <n v="96000"/>
    <n v="88000"/>
    <d v="1972-06-08T00:00:00"/>
    <d v="2012-03-05T00:00:00"/>
    <x v="4"/>
    <x v="4"/>
  </r>
  <r>
    <n v="50006"/>
    <s v="Larson,DeeAnn Smith"/>
    <n v="95000"/>
    <n v="87000"/>
    <d v="1963-03-02T00:00:00"/>
    <d v="1999-01-03T00:00:00"/>
    <x v="5"/>
    <x v="5"/>
  </r>
  <r>
    <n v="50007"/>
    <s v="Nelson,Susann"/>
    <n v="100000"/>
    <n v="92000"/>
    <d v="1954-12-12T00:00:00"/>
    <d v="1989-08-23T00:00:00"/>
    <x v="6"/>
    <x v="6"/>
  </r>
  <r>
    <n v="50008"/>
    <s v="Asche,Tracy A"/>
    <n v="93000"/>
    <n v="85000"/>
    <d v="1958-11-02T00:00:00"/>
    <d v="2017-12-09T00:00:00"/>
    <x v="7"/>
    <x v="7"/>
  </r>
  <r>
    <n v="50009"/>
    <s v="Carlson,Robert Lee"/>
    <n v="92000"/>
    <n v="84000"/>
    <d v="1956-08-27T00:00:00"/>
    <d v="2000-08-29T00:00:00"/>
    <x v="8"/>
    <x v="8"/>
  </r>
  <r>
    <n v="50010"/>
    <s v="Donovan,Richard"/>
    <n v="91000"/>
    <n v="83000"/>
    <d v="1962-09-12T00:00:00"/>
    <d v="1989-02-07T00:00:00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E0602-A8C8-4146-B930-9904DF6485A9}" name="PivotTable3" cacheId="0" dataOnRows="1" applyNumberFormats="0" applyBorderFormats="0" applyFontFormats="0" applyPatternFormats="0" applyAlignmentFormats="0" applyWidthHeightFormats="1" dataCaption="Values" updatedVersion="7" minRefreshableVersion="3" showDrill="0" useAutoFormatting="1" rowGrandTotals="0" itemPrintTitles="1" createdVersion="7" indent="0" outline="1" outlineData="1" multipleFieldFilters="0" rowHeaderCaption="Age" colHeaderCaption="Service ">
  <location ref="B6:G16" firstHeaderRow="1" firstDataRow="2" firstDataCol="1"/>
  <pivotFields count="11">
    <pivotField dataField="1" showAll="0"/>
    <pivotField showAll="0"/>
    <pivotField numFmtId="43" showAll="0"/>
    <pivotField numFmtId="43" showAll="0"/>
    <pivotField numFmtId="14" showAll="0"/>
    <pivotField numFmtId="14" showAll="0"/>
    <pivotField numFmtId="1" showAll="0">
      <items count="11">
        <item x="4"/>
        <item x="0"/>
        <item x="5"/>
        <item x="9"/>
        <item x="7"/>
        <item x="8"/>
        <item x="2"/>
        <item x="3"/>
        <item x="6"/>
        <item x="1"/>
        <item t="default"/>
      </items>
    </pivotField>
    <pivotField numFmtId="1" showAll="0">
      <items count="11">
        <item x="7"/>
        <item x="1"/>
        <item x="4"/>
        <item x="3"/>
        <item x="2"/>
        <item x="8"/>
        <item x="5"/>
        <item x="0"/>
        <item x="6"/>
        <item x="9"/>
        <item t="default"/>
      </items>
    </pivotField>
    <pivotField dataField="1" dragToRow="0" dragToCol="0" dragToPage="0" showAll="0" defaultSubtotal="0"/>
    <pivotField axis="axisRow" showAll="0" defaultSubtotal="0">
      <items count="3">
        <item n="45-49" sd="0" x="0"/>
        <item n="55-59" sd="0" x="1"/>
        <item n="60-65" sd="0" x="2"/>
      </items>
    </pivotField>
    <pivotField axis="axisCol" showAll="0" defaultSubtotal="0">
      <items count="4">
        <item n="0-5" sd="0" x="3"/>
        <item n="6-10" sd="0" x="1"/>
        <item n="11-20" sd="0" x="0"/>
        <item n="20+" sd="0" x="2"/>
      </items>
    </pivotField>
  </pivotFields>
  <rowFields count="2">
    <field x="9"/>
    <field x="-2"/>
  </rowFields>
  <rowItems count="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2">
    <dataField name="Sum of Total Sal" fld="8" baseField="0" baseItem="0" numFmtId="43"/>
    <dataField name=" " fld="0" subtotal="count" baseField="0" baseItem="498638764"/>
  </dataFields>
  <formats count="74">
    <format dxfId="73">
      <pivotArea type="origin" dataOnly="0" labelOnly="1" outline="0" fieldPosition="0"/>
    </format>
    <format dxfId="72">
      <pivotArea type="all" dataOnly="0" outline="0" fieldPosition="0"/>
    </format>
    <format dxfId="71">
      <pivotArea field="10" type="button" dataOnly="0" labelOnly="1" outline="0" axis="axisCol" fieldPosition="0"/>
    </format>
    <format dxfId="70">
      <pivotArea field="9" type="button" dataOnly="0" labelOnly="1" outline="0" axis="axisRow" fieldPosition="0"/>
    </format>
    <format dxfId="69">
      <pivotArea type="origin" dataOnly="0" labelOnly="1" outline="0" fieldPosition="0"/>
    </format>
    <format dxfId="68">
      <pivotArea type="topRight" dataOnly="0" labelOnly="1" outline="0" fieldPosition="0"/>
    </format>
    <format dxfId="67">
      <pivotArea dataOnly="0" labelOnly="1" fieldPosition="0">
        <references count="1">
          <reference field="10" count="0"/>
        </references>
      </pivotArea>
    </format>
    <format dxfId="66">
      <pivotArea dataOnly="0" labelOnly="1" grandCol="1" outline="0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63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62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61">
      <pivotArea dataOnly="0" labelOnly="1" fieldPosition="0">
        <references count="1">
          <reference field="4294967294" count="0"/>
        </references>
      </pivotArea>
    </format>
    <format dxfId="60">
      <pivotArea type="all" dataOnly="0" outline="0" fieldPosition="0"/>
    </format>
    <format dxfId="59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58">
      <pivotArea dataOnly="0" labelOnly="1" outline="0" fieldPosition="0">
        <references count="2">
          <reference field="4294967294" count="2">
            <x v="0"/>
            <x v="1"/>
          </reference>
          <reference field="9" count="1" selected="0">
            <x v="2"/>
          </reference>
        </references>
      </pivotArea>
    </format>
    <format dxfId="57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1"/>
          </reference>
        </references>
      </pivotArea>
    </format>
    <format dxfId="56">
      <pivotArea collapsedLevelsAreSubtotals="1" fieldPosition="0">
        <references count="2">
          <reference field="4294967294" count="2">
            <x v="0"/>
            <x v="1"/>
          </reference>
          <reference field="9" count="1" selected="0">
            <x v="0"/>
          </reference>
        </references>
      </pivotArea>
    </format>
    <format dxfId="55">
      <pivotArea collapsedLevelsAreSubtotals="1" fieldPosition="0">
        <references count="1">
          <reference field="9" count="1">
            <x v="0"/>
          </reference>
        </references>
      </pivotArea>
    </format>
    <format dxfId="54">
      <pivotArea collapsedLevelsAreSubtotals="1" fieldPosition="0">
        <references count="1">
          <reference field="9" count="1">
            <x v="0"/>
          </reference>
        </references>
      </pivotArea>
    </format>
    <format dxfId="53">
      <pivotArea collapsedLevelsAreSubtotals="1" fieldPosition="0">
        <references count="2">
          <reference field="9" count="1">
            <x v="2"/>
          </reference>
          <reference field="10" count="1" selected="0">
            <x v="1"/>
          </reference>
        </references>
      </pivotArea>
    </format>
    <format dxfId="52">
      <pivotArea collapsedLevelsAreSubtotals="1" fieldPosition="0">
        <references count="2">
          <reference field="9" count="1">
            <x v="2"/>
          </reference>
          <reference field="10" count="1" selected="0">
            <x v="2"/>
          </reference>
        </references>
      </pivotArea>
    </format>
    <format dxfId="51">
      <pivotArea collapsedLevelsAreSubtotals="1" fieldPosition="0">
        <references count="2">
          <reference field="9" count="1">
            <x v="2"/>
          </reference>
          <reference field="10" count="1" selected="0">
            <x v="3"/>
          </reference>
        </references>
      </pivotArea>
    </format>
    <format dxfId="50">
      <pivotArea collapsedLevelsAreSubtotals="1" fieldPosition="0">
        <references count="2">
          <reference field="9" count="1">
            <x v="1"/>
          </reference>
          <reference field="10" count="1" selected="0">
            <x v="1"/>
          </reference>
        </references>
      </pivotArea>
    </format>
    <format dxfId="49">
      <pivotArea collapsedLevelsAreSubtotals="1" fieldPosition="0">
        <references count="2">
          <reference field="9" count="1">
            <x v="1"/>
          </reference>
          <reference field="10" count="1" selected="0">
            <x v="2"/>
          </reference>
        </references>
      </pivotArea>
    </format>
    <format dxfId="48">
      <pivotArea collapsedLevelsAreSubtotals="1" fieldPosition="0">
        <references count="2">
          <reference field="9" count="1">
            <x v="1"/>
          </reference>
          <reference field="10" count="1" selected="0">
            <x v="3"/>
          </reference>
        </references>
      </pivotArea>
    </format>
    <format dxfId="47">
      <pivotArea grandCol="1" outline="0" collapsedLevelsAreSubtotals="1" fieldPosition="0"/>
    </format>
    <format dxfId="46">
      <pivotArea dataOnly="0" labelOnly="1" outline="0" fieldPosition="0">
        <references count="2">
          <reference field="4294967294" count="1">
            <x v="0"/>
          </reference>
          <reference field="9" count="1" selected="0">
            <x v="2"/>
          </reference>
        </references>
      </pivotArea>
    </format>
    <format dxfId="45">
      <pivotArea dataOnly="0" labelOnly="1" outline="0" fieldPosition="0">
        <references count="2">
          <reference field="4294967294" count="1">
            <x v="1"/>
          </reference>
          <reference field="9" count="1" selected="0">
            <x v="1"/>
          </reference>
        </references>
      </pivotArea>
    </format>
    <format dxfId="44">
      <pivotArea dataOnly="0" labelOnly="1" outline="0" fieldPosition="0">
        <references count="2">
          <reference field="4294967294" count="1">
            <x v="1"/>
          </reference>
          <reference field="9" count="1" selected="0">
            <x v="0"/>
          </reference>
        </references>
      </pivotArea>
    </format>
    <format dxfId="43">
      <pivotArea dataOnly="0" labelOnly="1" outline="0" fieldPosition="0">
        <references count="2">
          <reference field="4294967294" count="1">
            <x v="0"/>
          </reference>
          <reference field="9" count="1" selected="0">
            <x v="1"/>
          </reference>
        </references>
      </pivotArea>
    </format>
    <format dxfId="42">
      <pivotArea collapsedLevelsAreSubtotals="1" fieldPosition="0">
        <references count="3">
          <reference field="4294967294" count="1">
            <x v="0"/>
          </reference>
          <reference field="9" count="1" selected="0">
            <x v="1"/>
          </reference>
          <reference field="10" count="1" selected="0">
            <x v="0"/>
          </reference>
        </references>
      </pivotArea>
    </format>
    <format dxfId="41">
      <pivotArea collapsedLevelsAreSubtotals="1" fieldPosition="0">
        <references count="3">
          <reference field="4294967294" count="1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format>
    <format dxfId="40">
      <pivotArea collapsedLevelsAreSubtotals="1" fieldPosition="0">
        <references count="3">
          <reference field="4294967294" count="1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format>
    <format dxfId="39">
      <pivotArea collapsedLevelsAreSubtotals="1" fieldPosition="0">
        <references count="3">
          <reference field="4294967294" count="1">
            <x v="0"/>
          </reference>
          <reference field="9" count="1" selected="0">
            <x v="1"/>
          </reference>
          <reference field="10" count="1" selected="0">
            <x v="3"/>
          </reference>
        </references>
      </pivotArea>
    </format>
    <format dxfId="38">
      <pivotArea collapsedLevelsAreSubtotals="1" fieldPosition="0">
        <references count="3">
          <reference field="4294967294" count="1">
            <x v="0"/>
          </reference>
          <reference field="9" count="1" selected="0">
            <x v="2"/>
          </reference>
          <reference field="10" count="1" selected="0">
            <x v="0"/>
          </reference>
        </references>
      </pivotArea>
    </format>
    <format dxfId="37">
      <pivotArea collapsedLevelsAreSubtotals="1" fieldPosition="0">
        <references count="3">
          <reference field="4294967294" count="1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format>
    <format dxfId="36">
      <pivotArea collapsedLevelsAreSubtotals="1" fieldPosition="0">
        <references count="3">
          <reference field="4294967294" count="1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format>
    <format dxfId="35">
      <pivotArea collapsedLevelsAreSubtotals="1" fieldPosition="0">
        <references count="3">
          <reference field="4294967294" count="1">
            <x v="0"/>
          </reference>
          <reference field="9" count="1" selected="0">
            <x v="2"/>
          </reference>
          <reference field="10" count="1" selected="0">
            <x v="3"/>
          </reference>
        </references>
      </pivotArea>
    </format>
    <format dxfId="34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2"/>
          </reference>
        </references>
      </pivotArea>
    </format>
    <format dxfId="33">
      <pivotArea field="9" grandCol="1" collapsedLevelsAreSubtotals="1" axis="axisRow" fieldPosition="0">
        <references count="1">
          <reference field="9" count="1">
            <x v="2"/>
          </reference>
        </references>
      </pivotArea>
    </format>
    <format dxfId="32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2"/>
          </reference>
        </references>
      </pivotArea>
    </format>
    <format dxfId="31">
      <pivotArea field="9" grandCol="1" collapsedLevelsAreSubtotals="1" axis="axisRow" fieldPosition="0">
        <references count="2">
          <reference field="4294967294" count="1">
            <x v="1"/>
          </reference>
          <reference field="9" count="1" selected="0">
            <x v="2"/>
          </reference>
        </references>
      </pivotArea>
    </format>
    <format dxfId="30">
      <pivotArea field="9" grandCol="1" collapsedLevelsAreSubtotals="1" axis="axisRow" fieldPosition="0">
        <references count="2">
          <reference field="4294967294" count="1">
            <x v="1"/>
          </reference>
          <reference field="9" count="1" selected="0">
            <x v="1"/>
          </reference>
        </references>
      </pivotArea>
    </format>
    <format dxfId="29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1"/>
          </reference>
        </references>
      </pivotArea>
    </format>
    <format dxfId="28">
      <pivotArea field="9" grandCol="1" collapsedLevelsAreSubtotals="1" axis="axisRow" fieldPosition="0">
        <references count="1">
          <reference field="9" count="1">
            <x v="1"/>
          </reference>
        </references>
      </pivotArea>
    </format>
    <format dxfId="27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1"/>
          </reference>
        </references>
      </pivotArea>
    </format>
    <format dxfId="26">
      <pivotArea field="9" grandCol="1" collapsedLevelsAreSubtotals="1" axis="axisRow" fieldPosition="0">
        <references count="2">
          <reference field="4294967294" count="1">
            <x v="1"/>
          </reference>
          <reference field="9" count="1" selected="0">
            <x v="0"/>
          </reference>
        </references>
      </pivotArea>
    </format>
    <format dxfId="25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0"/>
          </reference>
        </references>
      </pivotArea>
    </format>
    <format dxfId="24">
      <pivotArea field="9" grandCol="1" collapsedLevelsAreSubtotals="1" axis="axisRow" fieldPosition="0">
        <references count="1">
          <reference field="9" count="1">
            <x v="0"/>
          </reference>
        </references>
      </pivotArea>
    </format>
    <format dxfId="23">
      <pivotArea field="9" grandCol="1" collapsedLevelsAreSubtotals="1" axis="axisRow" fieldPosition="0">
        <references count="2">
          <reference field="4294967294" count="1">
            <x v="0"/>
          </reference>
          <reference field="9" count="1" selected="0">
            <x v="0"/>
          </reference>
        </references>
      </pivotArea>
    </format>
    <format dxfId="22">
      <pivotArea collapsedLevelsAreSubtotals="1" fieldPosition="0">
        <references count="3">
          <reference field="4294967294" count="1">
            <x v="0"/>
          </reference>
          <reference field="9" count="1" selected="0">
            <x v="0"/>
          </reference>
          <reference field="10" count="1" selected="0">
            <x v="3"/>
          </reference>
        </references>
      </pivotArea>
    </format>
    <format dxfId="21">
      <pivotArea collapsedLevelsAreSubtotals="1" fieldPosition="0">
        <references count="3">
          <reference field="4294967294" count="1">
            <x v="0"/>
          </reference>
          <reference field="9" count="1" selected="0">
            <x v="0"/>
          </reference>
          <reference field="10" count="1" selected="0">
            <x v="2"/>
          </reference>
        </references>
      </pivotArea>
    </format>
    <format dxfId="20">
      <pivotArea collapsedLevelsAreSubtotals="1" fieldPosition="0">
        <references count="3">
          <reference field="4294967294" count="1">
            <x v="0"/>
          </reference>
          <reference field="9" count="1" selected="0">
            <x v="0"/>
          </reference>
          <reference field="10" count="1" selected="0">
            <x v="1"/>
          </reference>
        </references>
      </pivotArea>
    </format>
    <format dxfId="19">
      <pivotArea collapsedLevelsAreSubtotals="1" fieldPosition="0">
        <references count="3">
          <reference field="4294967294" count="1">
            <x v="0"/>
          </reference>
          <reference field="9" count="1" selected="0">
            <x v="0"/>
          </reference>
          <reference field="10" count="1" selected="0">
            <x v="0"/>
          </reference>
        </references>
      </pivotArea>
    </format>
    <format dxfId="18">
      <pivotArea collapsedLevelsAreSubtotals="1" fieldPosition="0">
        <references count="2">
          <reference field="9" count="1">
            <x v="1"/>
          </reference>
          <reference field="10" count="1" selected="0">
            <x v="0"/>
          </reference>
        </references>
      </pivotArea>
    </format>
    <format dxfId="17">
      <pivotArea collapsedLevelsAreSubtotals="1" fieldPosition="0">
        <references count="2">
          <reference field="9" count="1">
            <x v="0"/>
          </reference>
          <reference field="10" count="1" selected="0">
            <x v="0"/>
          </reference>
        </references>
      </pivotArea>
    </format>
    <format dxfId="16">
      <pivotArea dataOnly="0" labelOnly="1" fieldPosition="0">
        <references count="1">
          <reference field="10" count="1">
            <x v="0"/>
          </reference>
        </references>
      </pivotArea>
    </format>
    <format dxfId="15">
      <pivotArea dataOnly="0" labelOnly="1" fieldPosition="0">
        <references count="1">
          <reference field="10" count="1">
            <x v="1"/>
          </reference>
        </references>
      </pivotArea>
    </format>
    <format dxfId="14">
      <pivotArea dataOnly="0" labelOnly="1" fieldPosition="0">
        <references count="1">
          <reference field="10" count="1">
            <x v="2"/>
          </reference>
        </references>
      </pivotArea>
    </format>
    <format dxfId="13">
      <pivotArea dataOnly="0" labelOnly="1" fieldPosition="0">
        <references count="1">
          <reference field="10" count="1">
            <x v="3"/>
          </reference>
        </references>
      </pivotArea>
    </format>
    <format dxfId="12">
      <pivotArea outline="0" collapsedLevelsAreSubtotals="1" fieldPosition="0">
        <references count="1">
          <reference field="10" count="1" selected="0">
            <x v="3"/>
          </reference>
        </references>
      </pivotArea>
    </format>
    <format dxfId="11">
      <pivotArea type="topRight" dataOnly="0" labelOnly="1" outline="0" offset="B1" fieldPosition="0"/>
    </format>
    <format dxfId="10">
      <pivotArea type="topRight" dataOnly="0" labelOnly="1" outline="0" offset="C1" fieldPosition="0"/>
    </format>
    <format dxfId="9">
      <pivotArea type="topRight" dataOnly="0" labelOnly="1" outline="0" offset="D1" fieldPosition="0"/>
    </format>
    <format dxfId="8">
      <pivotArea type="topRight" dataOnly="0" labelOnly="1" outline="0" offset="A1" fieldPosition="0"/>
    </format>
    <format dxfId="7">
      <pivotArea dataOnly="0" labelOnly="1" fieldPosition="0">
        <references count="1">
          <reference field="9" count="1">
            <x v="0"/>
          </reference>
        </references>
      </pivotArea>
    </format>
    <format dxfId="6">
      <pivotArea dataOnly="0" labelOnly="1" outline="0" fieldPosition="0">
        <references count="2">
          <reference field="4294967294" count="1">
            <x v="0"/>
          </reference>
          <reference field="9" count="1" selected="0">
            <x v="0"/>
          </reference>
        </references>
      </pivotArea>
    </format>
    <format dxfId="5">
      <pivotArea dataOnly="0" labelOnly="1" outline="0" fieldPosition="0">
        <references count="2">
          <reference field="4294967294" count="1">
            <x v="0"/>
          </reference>
          <reference field="9" count="1" selected="0">
            <x v="1"/>
          </reference>
        </references>
      </pivotArea>
    </format>
    <format dxfId="4">
      <pivotArea dataOnly="0" labelOnly="1" outline="0" fieldPosition="0">
        <references count="2">
          <reference field="4294967294" count="1">
            <x v="0"/>
          </reference>
          <reference field="9" count="1" selected="0">
            <x v="2"/>
          </reference>
        </references>
      </pivotArea>
    </format>
    <format dxfId="3">
      <pivotArea grandCol="1" outline="0" collapsedLevelsAreSubtotals="1" fieldPosition="0"/>
    </format>
    <format dxfId="2">
      <pivotArea grandCol="1" outline="0" collapsedLevelsAreSubtotals="1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6A07-C6E4-4ACD-99E8-8BE300EDAE4C}">
  <sheetPr>
    <pageSetUpPr fitToPage="1"/>
  </sheetPr>
  <dimension ref="B2:I15"/>
  <sheetViews>
    <sheetView workbookViewId="0">
      <selection activeCell="I18" sqref="I18"/>
    </sheetView>
  </sheetViews>
  <sheetFormatPr defaultRowHeight="15"/>
  <cols>
    <col min="3" max="3" width="20.28515625" bestFit="1" customWidth="1"/>
    <col min="4" max="5" width="11.5703125" bestFit="1" customWidth="1"/>
    <col min="6" max="6" width="14" bestFit="1" customWidth="1"/>
    <col min="7" max="7" width="13.85546875" bestFit="1" customWidth="1"/>
  </cols>
  <sheetData>
    <row r="2" spans="2:9" ht="15.75">
      <c r="B2" s="8" t="s">
        <v>20</v>
      </c>
      <c r="G2" s="9">
        <v>43466</v>
      </c>
    </row>
    <row r="3" spans="2:9" ht="15.75" thickBot="1"/>
    <row r="4" spans="2:9" ht="18.75">
      <c r="B4" s="83" t="s">
        <v>17</v>
      </c>
      <c r="C4" s="84"/>
      <c r="D4" s="84"/>
      <c r="E4" s="84"/>
      <c r="F4" s="84"/>
      <c r="G4" s="85"/>
    </row>
    <row r="5" spans="2:9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18</v>
      </c>
      <c r="I5" s="2" t="s">
        <v>19</v>
      </c>
    </row>
    <row r="6" spans="2:9">
      <c r="B6" s="4">
        <v>50001</v>
      </c>
      <c r="C6" s="5" t="s">
        <v>6</v>
      </c>
      <c r="D6" s="19">
        <v>110000</v>
      </c>
      <c r="E6" s="19">
        <v>101000</v>
      </c>
      <c r="F6" s="6">
        <v>26363</v>
      </c>
      <c r="G6" s="6">
        <v>33665</v>
      </c>
      <c r="H6" s="10">
        <f>($G$2-F6)/365.25</f>
        <v>46.82546201232033</v>
      </c>
      <c r="I6" s="10">
        <f>($G$2-G6)/365.25</f>
        <v>26.833675564681723</v>
      </c>
    </row>
    <row r="7" spans="2:9">
      <c r="B7" s="4">
        <v>50002</v>
      </c>
      <c r="C7" s="5" t="s">
        <v>8</v>
      </c>
      <c r="D7" s="19">
        <v>99000</v>
      </c>
      <c r="E7" s="19">
        <v>91000</v>
      </c>
      <c r="F7" s="6">
        <v>19785</v>
      </c>
      <c r="G7" s="6">
        <v>42616</v>
      </c>
      <c r="H7" s="10">
        <f t="shared" ref="H7:H15" si="0">($G$2-F7)/365.25</f>
        <v>64.83504449007529</v>
      </c>
      <c r="I7" s="10">
        <f t="shared" ref="I7:I15" si="1">($G$2-G7)/365.25</f>
        <v>2.3271731690622861</v>
      </c>
    </row>
    <row r="8" spans="2:9">
      <c r="B8" s="4">
        <v>50003</v>
      </c>
      <c r="C8" s="5" t="s">
        <v>9</v>
      </c>
      <c r="D8" s="19">
        <v>98000</v>
      </c>
      <c r="E8" s="19">
        <v>90000</v>
      </c>
      <c r="F8" s="6">
        <v>20584</v>
      </c>
      <c r="G8" s="6">
        <v>37989</v>
      </c>
      <c r="H8" s="10">
        <f t="shared" si="0"/>
        <v>62.647501711156742</v>
      </c>
      <c r="I8" s="10">
        <f t="shared" si="1"/>
        <v>14.99520876112252</v>
      </c>
    </row>
    <row r="9" spans="2:9">
      <c r="B9" s="4">
        <v>50004</v>
      </c>
      <c r="C9" s="5" t="s">
        <v>10</v>
      </c>
      <c r="D9" s="19">
        <v>97000</v>
      </c>
      <c r="E9" s="19">
        <v>89000</v>
      </c>
      <c r="F9" s="6">
        <v>20341</v>
      </c>
      <c r="G9" s="6">
        <v>40825</v>
      </c>
      <c r="H9" s="10">
        <f t="shared" si="0"/>
        <v>63.312799452429843</v>
      </c>
      <c r="I9" s="10">
        <f t="shared" si="1"/>
        <v>7.2306639288158792</v>
      </c>
    </row>
    <row r="10" spans="2:9">
      <c r="B10" s="4">
        <v>50005</v>
      </c>
      <c r="C10" s="5" t="s">
        <v>11</v>
      </c>
      <c r="D10" s="19">
        <v>96000</v>
      </c>
      <c r="E10" s="19">
        <v>88000</v>
      </c>
      <c r="F10" s="6">
        <v>26458</v>
      </c>
      <c r="G10" s="6">
        <v>40973</v>
      </c>
      <c r="H10" s="10">
        <f t="shared" si="0"/>
        <v>46.565366187542779</v>
      </c>
      <c r="I10" s="10">
        <f t="shared" si="1"/>
        <v>6.8254620123203287</v>
      </c>
    </row>
    <row r="11" spans="2:9">
      <c r="B11" s="4">
        <v>50006</v>
      </c>
      <c r="C11" s="5" t="s">
        <v>12</v>
      </c>
      <c r="D11" s="19">
        <v>95000</v>
      </c>
      <c r="E11" s="19">
        <v>87000</v>
      </c>
      <c r="F11" s="6">
        <v>23072</v>
      </c>
      <c r="G11" s="6">
        <v>36163</v>
      </c>
      <c r="H11" s="10">
        <f t="shared" si="0"/>
        <v>55.835728952772072</v>
      </c>
      <c r="I11" s="10">
        <f t="shared" si="1"/>
        <v>19.994524298425734</v>
      </c>
    </row>
    <row r="12" spans="2:9">
      <c r="B12" s="4">
        <v>50007</v>
      </c>
      <c r="C12" s="5" t="s">
        <v>13</v>
      </c>
      <c r="D12" s="19">
        <v>100000</v>
      </c>
      <c r="E12" s="19">
        <v>92000</v>
      </c>
      <c r="F12" s="6">
        <v>20070</v>
      </c>
      <c r="G12" s="6">
        <v>32743</v>
      </c>
      <c r="H12" s="10">
        <f t="shared" si="0"/>
        <v>64.054757015742638</v>
      </c>
      <c r="I12" s="10">
        <f t="shared" si="1"/>
        <v>29.357973990417523</v>
      </c>
    </row>
    <row r="13" spans="2:9">
      <c r="B13" s="4">
        <v>50008</v>
      </c>
      <c r="C13" s="5" t="s">
        <v>14</v>
      </c>
      <c r="D13" s="19">
        <v>93000</v>
      </c>
      <c r="E13" s="19">
        <v>85000</v>
      </c>
      <c r="F13" s="6">
        <v>21491</v>
      </c>
      <c r="G13" s="6">
        <v>43078</v>
      </c>
      <c r="H13" s="10">
        <f t="shared" si="0"/>
        <v>60.164271047227928</v>
      </c>
      <c r="I13" s="10">
        <f t="shared" si="1"/>
        <v>1.0622861054072552</v>
      </c>
    </row>
    <row r="14" spans="2:9">
      <c r="B14" s="4">
        <v>50009</v>
      </c>
      <c r="C14" s="5" t="s">
        <v>15</v>
      </c>
      <c r="D14" s="19">
        <v>92000</v>
      </c>
      <c r="E14" s="19">
        <v>84000</v>
      </c>
      <c r="F14" s="6">
        <v>20694</v>
      </c>
      <c r="G14" s="6">
        <v>36767</v>
      </c>
      <c r="H14" s="10">
        <f t="shared" si="0"/>
        <v>62.346338124572213</v>
      </c>
      <c r="I14" s="10">
        <f t="shared" si="1"/>
        <v>18.340862422997947</v>
      </c>
    </row>
    <row r="15" spans="2:9">
      <c r="B15" s="4">
        <v>50010</v>
      </c>
      <c r="C15" s="5" t="s">
        <v>16</v>
      </c>
      <c r="D15" s="19">
        <v>91000</v>
      </c>
      <c r="E15" s="19">
        <v>83000</v>
      </c>
      <c r="F15" s="6">
        <v>22901</v>
      </c>
      <c r="G15" s="6">
        <v>32546</v>
      </c>
      <c r="H15" s="10">
        <f t="shared" si="0"/>
        <v>56.303901437371664</v>
      </c>
      <c r="I15" s="10">
        <f t="shared" si="1"/>
        <v>29.897330595482547</v>
      </c>
    </row>
  </sheetData>
  <mergeCells count="1">
    <mergeCell ref="B4:G4"/>
  </mergeCells>
  <printOptions horizontalCentered="1"/>
  <pageMargins left="0.7" right="0.7" top="0.75" bottom="0.75" header="0.3" footer="0.3"/>
  <pageSetup scale="83" orientation="portrait" r:id="rId1"/>
  <headerFooter>
    <oddFooter>&amp;LFinal Test.xlsx
Record &amp;R04/28/2022
11:55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9DCC-7082-455D-B1DB-DA4FFAE0FB1E}">
  <sheetPr>
    <pageSetUpPr fitToPage="1"/>
  </sheetPr>
  <dimension ref="B1:C129"/>
  <sheetViews>
    <sheetView workbookViewId="0">
      <pane ySplit="3" topLeftCell="A33" activePane="bottomLeft" state="frozen"/>
      <selection activeCell="E29" sqref="E29"/>
      <selection pane="bottomLeft" activeCell="E29" sqref="E29"/>
    </sheetView>
  </sheetViews>
  <sheetFormatPr defaultRowHeight="15"/>
  <cols>
    <col min="1" max="1" width="5" customWidth="1"/>
    <col min="2" max="2" width="14.140625" customWidth="1"/>
    <col min="3" max="3" width="14.7109375" customWidth="1"/>
  </cols>
  <sheetData>
    <row r="1" spans="2:3" ht="15.75" thickBot="1"/>
    <row r="2" spans="2:3" ht="16.5" thickBot="1">
      <c r="B2" s="86" t="s">
        <v>45</v>
      </c>
      <c r="C2" s="87"/>
    </row>
    <row r="3" spans="2:3">
      <c r="B3" s="47" t="s">
        <v>36</v>
      </c>
      <c r="C3" s="47" t="s">
        <v>46</v>
      </c>
    </row>
    <row r="4" spans="2:3">
      <c r="B4" s="48">
        <v>5</v>
      </c>
      <c r="C4" s="49">
        <v>2.3699999999999999E-4</v>
      </c>
    </row>
    <row r="5" spans="2:3">
      <c r="B5" s="50">
        <f>B4+1</f>
        <v>6</v>
      </c>
      <c r="C5" s="49">
        <v>2.2699999999999999E-4</v>
      </c>
    </row>
    <row r="6" spans="2:3">
      <c r="B6" s="50">
        <f t="shared" ref="B6:B69" si="0">B5+1</f>
        <v>7</v>
      </c>
      <c r="C6" s="49">
        <v>2.1699999999999999E-4</v>
      </c>
    </row>
    <row r="7" spans="2:3">
      <c r="B7" s="50">
        <f t="shared" si="0"/>
        <v>8</v>
      </c>
      <c r="C7" s="49">
        <v>2.0100000000000001E-4</v>
      </c>
    </row>
    <row r="8" spans="2:3">
      <c r="B8" s="50">
        <f t="shared" si="0"/>
        <v>9</v>
      </c>
      <c r="C8" s="49">
        <v>1.94E-4</v>
      </c>
    </row>
    <row r="9" spans="2:3">
      <c r="B9" s="50">
        <f t="shared" si="0"/>
        <v>10</v>
      </c>
      <c r="C9" s="49">
        <v>1.9699999999999999E-4</v>
      </c>
    </row>
    <row r="10" spans="2:3">
      <c r="B10" s="50">
        <f t="shared" si="0"/>
        <v>11</v>
      </c>
      <c r="C10" s="49">
        <v>2.0799999999999999E-4</v>
      </c>
    </row>
    <row r="11" spans="2:3">
      <c r="B11" s="50">
        <f t="shared" si="0"/>
        <v>12</v>
      </c>
      <c r="C11" s="49">
        <v>2.2599999999999999E-4</v>
      </c>
    </row>
    <row r="12" spans="2:3">
      <c r="B12" s="50">
        <f t="shared" si="0"/>
        <v>13</v>
      </c>
      <c r="C12" s="49">
        <v>2.5500000000000002E-4</v>
      </c>
    </row>
    <row r="13" spans="2:3">
      <c r="B13" s="50">
        <f t="shared" si="0"/>
        <v>14</v>
      </c>
      <c r="C13" s="49">
        <v>2.9700000000000001E-4</v>
      </c>
    </row>
    <row r="14" spans="2:3">
      <c r="B14" s="50">
        <f t="shared" si="0"/>
        <v>15</v>
      </c>
      <c r="C14" s="49">
        <v>3.4499999999999998E-4</v>
      </c>
    </row>
    <row r="15" spans="2:3">
      <c r="B15" s="50">
        <f t="shared" si="0"/>
        <v>16</v>
      </c>
      <c r="C15" s="49">
        <v>3.9100000000000002E-4</v>
      </c>
    </row>
    <row r="16" spans="2:3">
      <c r="B16" s="50">
        <f t="shared" si="0"/>
        <v>17</v>
      </c>
      <c r="C16" s="49">
        <v>4.2999999999999999E-4</v>
      </c>
    </row>
    <row r="17" spans="2:3">
      <c r="B17" s="50">
        <f t="shared" si="0"/>
        <v>18</v>
      </c>
      <c r="C17" s="49">
        <v>4.6000000000000001E-4</v>
      </c>
    </row>
    <row r="18" spans="2:3">
      <c r="B18" s="50">
        <f t="shared" si="0"/>
        <v>19</v>
      </c>
      <c r="C18" s="49">
        <v>4.84E-4</v>
      </c>
    </row>
    <row r="19" spans="2:3">
      <c r="B19" s="50">
        <f t="shared" si="0"/>
        <v>20</v>
      </c>
      <c r="C19" s="49">
        <v>5.0699999999999996E-4</v>
      </c>
    </row>
    <row r="20" spans="2:3">
      <c r="B20" s="50">
        <f t="shared" si="0"/>
        <v>21</v>
      </c>
      <c r="C20" s="49">
        <v>5.2999999999999998E-4</v>
      </c>
    </row>
    <row r="21" spans="2:3">
      <c r="B21" s="50">
        <f t="shared" si="0"/>
        <v>22</v>
      </c>
      <c r="C21" s="49">
        <v>5.5599999999999996E-4</v>
      </c>
    </row>
    <row r="22" spans="2:3">
      <c r="B22" s="50">
        <f t="shared" si="0"/>
        <v>23</v>
      </c>
      <c r="C22" s="49">
        <v>5.8900000000000001E-4</v>
      </c>
    </row>
    <row r="23" spans="2:3">
      <c r="B23" s="50">
        <f t="shared" si="0"/>
        <v>24</v>
      </c>
      <c r="C23" s="49">
        <v>6.2399999999999999E-4</v>
      </c>
    </row>
    <row r="24" spans="2:3">
      <c r="B24" s="50">
        <f t="shared" si="0"/>
        <v>25</v>
      </c>
      <c r="C24" s="49">
        <v>6.6100000000000002E-4</v>
      </c>
    </row>
    <row r="25" spans="2:3">
      <c r="B25" s="50">
        <f t="shared" si="0"/>
        <v>26</v>
      </c>
      <c r="C25" s="49">
        <v>6.96E-4</v>
      </c>
    </row>
    <row r="26" spans="2:3">
      <c r="B26" s="50">
        <f t="shared" si="0"/>
        <v>27</v>
      </c>
      <c r="C26" s="49">
        <v>7.27E-4</v>
      </c>
    </row>
    <row r="27" spans="2:3">
      <c r="B27" s="50">
        <f t="shared" si="0"/>
        <v>28</v>
      </c>
      <c r="C27" s="49">
        <v>7.54E-4</v>
      </c>
    </row>
    <row r="28" spans="2:3">
      <c r="B28" s="50">
        <f t="shared" si="0"/>
        <v>29</v>
      </c>
      <c r="C28" s="49">
        <v>7.7899999999999996E-4</v>
      </c>
    </row>
    <row r="29" spans="2:3">
      <c r="B29" s="50">
        <f t="shared" si="0"/>
        <v>30</v>
      </c>
      <c r="C29" s="49">
        <v>8.0099999999999995E-4</v>
      </c>
    </row>
    <row r="30" spans="2:3">
      <c r="B30" s="50">
        <f t="shared" si="0"/>
        <v>31</v>
      </c>
      <c r="C30" s="49">
        <v>8.2100000000000001E-4</v>
      </c>
    </row>
    <row r="31" spans="2:3">
      <c r="B31" s="50">
        <f t="shared" si="0"/>
        <v>32</v>
      </c>
      <c r="C31" s="49">
        <v>8.3900000000000001E-4</v>
      </c>
    </row>
    <row r="32" spans="2:3">
      <c r="B32" s="50">
        <f t="shared" si="0"/>
        <v>33</v>
      </c>
      <c r="C32" s="49">
        <v>8.4800000000000001E-4</v>
      </c>
    </row>
    <row r="33" spans="2:3">
      <c r="B33" s="50">
        <f t="shared" si="0"/>
        <v>34</v>
      </c>
      <c r="C33" s="49">
        <v>8.4900000000000004E-4</v>
      </c>
    </row>
    <row r="34" spans="2:3">
      <c r="B34" s="50">
        <f t="shared" si="0"/>
        <v>35</v>
      </c>
      <c r="C34" s="49">
        <v>8.5099999999999998E-4</v>
      </c>
    </row>
    <row r="35" spans="2:3">
      <c r="B35" s="50">
        <f t="shared" si="0"/>
        <v>36</v>
      </c>
      <c r="C35" s="49">
        <v>8.6200000000000003E-4</v>
      </c>
    </row>
    <row r="36" spans="2:3">
      <c r="B36" s="50">
        <f t="shared" si="0"/>
        <v>37</v>
      </c>
      <c r="C36" s="49">
        <v>8.9099999999999997E-4</v>
      </c>
    </row>
    <row r="37" spans="2:3">
      <c r="B37" s="50">
        <f t="shared" si="0"/>
        <v>38</v>
      </c>
      <c r="C37" s="49">
        <v>9.3899999999999995E-4</v>
      </c>
    </row>
    <row r="38" spans="2:3">
      <c r="B38" s="50">
        <f t="shared" si="0"/>
        <v>39</v>
      </c>
      <c r="C38" s="49">
        <v>9.990000000000001E-4</v>
      </c>
    </row>
    <row r="39" spans="2:3">
      <c r="B39" s="50">
        <f t="shared" si="0"/>
        <v>40</v>
      </c>
      <c r="C39" s="49">
        <v>1.072E-3</v>
      </c>
    </row>
    <row r="40" spans="2:3">
      <c r="B40" s="50">
        <f t="shared" si="0"/>
        <v>41</v>
      </c>
      <c r="C40" s="49">
        <v>1.1559999999999999E-3</v>
      </c>
    </row>
    <row r="41" spans="2:3">
      <c r="B41" s="50">
        <f t="shared" si="0"/>
        <v>42</v>
      </c>
      <c r="C41" s="49">
        <v>1.2520000000000001E-3</v>
      </c>
    </row>
    <row r="42" spans="2:3">
      <c r="B42" s="50">
        <f t="shared" si="0"/>
        <v>43</v>
      </c>
      <c r="C42" s="49">
        <v>1.3519999999999999E-3</v>
      </c>
    </row>
    <row r="43" spans="2:3">
      <c r="B43" s="50">
        <f t="shared" si="0"/>
        <v>44</v>
      </c>
      <c r="C43" s="49">
        <v>1.4580000000000001E-3</v>
      </c>
    </row>
    <row r="44" spans="2:3">
      <c r="B44" s="50">
        <f t="shared" si="0"/>
        <v>45</v>
      </c>
      <c r="C44" s="49">
        <v>1.578E-3</v>
      </c>
    </row>
    <row r="45" spans="2:3">
      <c r="B45" s="50">
        <f t="shared" si="0"/>
        <v>46</v>
      </c>
      <c r="C45" s="49">
        <v>1.722E-3</v>
      </c>
    </row>
    <row r="46" spans="2:3">
      <c r="B46" s="50">
        <f t="shared" si="0"/>
        <v>47</v>
      </c>
      <c r="C46" s="49">
        <v>1.8990000000000001E-3</v>
      </c>
    </row>
    <row r="47" spans="2:3">
      <c r="B47" s="50">
        <f t="shared" si="0"/>
        <v>48</v>
      </c>
      <c r="C47" s="49">
        <v>2.1020000000000001E-3</v>
      </c>
    </row>
    <row r="48" spans="2:3">
      <c r="B48" s="50">
        <f t="shared" si="0"/>
        <v>49</v>
      </c>
      <c r="C48" s="49">
        <v>2.3259999999999999E-3</v>
      </c>
    </row>
    <row r="49" spans="2:3">
      <c r="B49" s="50">
        <f t="shared" si="0"/>
        <v>50</v>
      </c>
      <c r="C49" s="49">
        <v>2.5790000000000001E-3</v>
      </c>
    </row>
    <row r="50" spans="2:3">
      <c r="B50" s="50">
        <f t="shared" si="0"/>
        <v>51</v>
      </c>
      <c r="C50" s="49">
        <v>2.872E-3</v>
      </c>
    </row>
    <row r="51" spans="2:3">
      <c r="B51" s="50">
        <f t="shared" si="0"/>
        <v>52</v>
      </c>
      <c r="C51" s="49">
        <v>3.2130000000000001E-3</v>
      </c>
    </row>
    <row r="52" spans="2:3">
      <c r="B52" s="50">
        <f t="shared" si="0"/>
        <v>53</v>
      </c>
      <c r="C52" s="49">
        <v>3.5839999999999999E-3</v>
      </c>
    </row>
    <row r="53" spans="2:3">
      <c r="B53" s="50">
        <f t="shared" si="0"/>
        <v>54</v>
      </c>
      <c r="C53" s="49">
        <v>3.9789999999999999E-3</v>
      </c>
    </row>
    <row r="54" spans="2:3">
      <c r="B54" s="50">
        <f t="shared" si="0"/>
        <v>55</v>
      </c>
      <c r="C54" s="49">
        <v>4.4250000000000001E-3</v>
      </c>
    </row>
    <row r="55" spans="2:3">
      <c r="B55" s="50">
        <f t="shared" si="0"/>
        <v>56</v>
      </c>
      <c r="C55" s="49">
        <v>4.9490000000000003E-3</v>
      </c>
    </row>
    <row r="56" spans="2:3">
      <c r="B56" s="50">
        <f t="shared" si="0"/>
        <v>57</v>
      </c>
      <c r="C56" s="49">
        <v>5.581E-3</v>
      </c>
    </row>
    <row r="57" spans="2:3">
      <c r="B57" s="50">
        <f t="shared" si="0"/>
        <v>58</v>
      </c>
      <c r="C57" s="49">
        <v>6.3E-3</v>
      </c>
    </row>
    <row r="58" spans="2:3">
      <c r="B58" s="50">
        <f t="shared" si="0"/>
        <v>59</v>
      </c>
      <c r="C58" s="49">
        <v>7.0899999999999999E-3</v>
      </c>
    </row>
    <row r="59" spans="2:3">
      <c r="B59" s="50">
        <f t="shared" si="0"/>
        <v>60</v>
      </c>
      <c r="C59" s="49">
        <v>7.9760000000000005E-3</v>
      </c>
    </row>
    <row r="60" spans="2:3">
      <c r="B60" s="50">
        <f t="shared" si="0"/>
        <v>61</v>
      </c>
      <c r="C60" s="49">
        <v>8.9859999999999992E-3</v>
      </c>
    </row>
    <row r="61" spans="2:3">
      <c r="B61" s="50">
        <f t="shared" si="0"/>
        <v>62</v>
      </c>
      <c r="C61" s="49">
        <v>1.0147E-2</v>
      </c>
    </row>
    <row r="62" spans="2:3">
      <c r="B62" s="50">
        <f t="shared" si="0"/>
        <v>63</v>
      </c>
      <c r="C62" s="49">
        <v>1.1471E-2</v>
      </c>
    </row>
    <row r="63" spans="2:3">
      <c r="B63" s="50">
        <f t="shared" si="0"/>
        <v>64</v>
      </c>
      <c r="C63" s="49">
        <v>1.294E-2</v>
      </c>
    </row>
    <row r="64" spans="2:3">
      <c r="B64" s="50">
        <f t="shared" si="0"/>
        <v>65</v>
      </c>
      <c r="C64" s="49">
        <v>1.4534999999999999E-2</v>
      </c>
    </row>
    <row r="65" spans="2:3">
      <c r="B65" s="50">
        <f t="shared" si="0"/>
        <v>66</v>
      </c>
      <c r="C65" s="49">
        <v>1.6239E-2</v>
      </c>
    </row>
    <row r="66" spans="2:3">
      <c r="B66" s="50">
        <f t="shared" si="0"/>
        <v>67</v>
      </c>
      <c r="C66" s="49">
        <v>1.8034000000000001E-2</v>
      </c>
    </row>
    <row r="67" spans="2:3">
      <c r="B67" s="50">
        <f t="shared" si="0"/>
        <v>68</v>
      </c>
      <c r="C67" s="49">
        <v>1.9859000000000002E-2</v>
      </c>
    </row>
    <row r="68" spans="2:3">
      <c r="B68" s="50">
        <f t="shared" si="0"/>
        <v>69</v>
      </c>
      <c r="C68" s="49">
        <v>2.1728999999999998E-2</v>
      </c>
    </row>
    <row r="69" spans="2:3">
      <c r="B69" s="50">
        <f t="shared" si="0"/>
        <v>70</v>
      </c>
      <c r="C69" s="49">
        <v>2.3730000000000001E-2</v>
      </c>
    </row>
    <row r="70" spans="2:3">
      <c r="B70" s="50">
        <f t="shared" ref="B70:B119" si="1">B69+1</f>
        <v>71</v>
      </c>
      <c r="C70" s="49">
        <v>2.5950999999999998E-2</v>
      </c>
    </row>
    <row r="71" spans="2:3">
      <c r="B71" s="50">
        <f t="shared" si="1"/>
        <v>72</v>
      </c>
      <c r="C71" s="49">
        <v>2.8480999999999999E-2</v>
      </c>
    </row>
    <row r="72" spans="2:3">
      <c r="B72" s="50">
        <f t="shared" si="1"/>
        <v>73</v>
      </c>
      <c r="C72" s="49">
        <v>3.1201E-2</v>
      </c>
    </row>
    <row r="73" spans="2:3">
      <c r="B73" s="50">
        <f t="shared" si="1"/>
        <v>74</v>
      </c>
      <c r="C73" s="49">
        <v>3.4050999999999998E-2</v>
      </c>
    </row>
    <row r="74" spans="2:3">
      <c r="B74" s="50">
        <f t="shared" si="1"/>
        <v>75</v>
      </c>
      <c r="C74" s="49">
        <v>3.7211000000000001E-2</v>
      </c>
    </row>
    <row r="75" spans="2:3">
      <c r="B75" s="50">
        <f t="shared" si="1"/>
        <v>76</v>
      </c>
      <c r="C75" s="49">
        <v>4.0857999999999998E-2</v>
      </c>
    </row>
    <row r="76" spans="2:3">
      <c r="B76" s="50">
        <f t="shared" si="1"/>
        <v>77</v>
      </c>
      <c r="C76" s="49">
        <v>4.5171000000000003E-2</v>
      </c>
    </row>
    <row r="77" spans="2:3">
      <c r="B77" s="50">
        <f t="shared" si="1"/>
        <v>78</v>
      </c>
      <c r="C77" s="49">
        <v>5.0210999999999999E-2</v>
      </c>
    </row>
    <row r="78" spans="2:3">
      <c r="B78" s="50">
        <f t="shared" si="1"/>
        <v>79</v>
      </c>
      <c r="C78" s="49">
        <v>5.5861000000000001E-2</v>
      </c>
    </row>
    <row r="79" spans="2:3">
      <c r="B79" s="50">
        <f t="shared" si="1"/>
        <v>80</v>
      </c>
      <c r="C79" s="49">
        <v>6.2026999999999999E-2</v>
      </c>
    </row>
    <row r="80" spans="2:3">
      <c r="B80" s="50">
        <f t="shared" si="1"/>
        <v>81</v>
      </c>
      <c r="C80" s="49">
        <v>6.8614999999999995E-2</v>
      </c>
    </row>
    <row r="81" spans="2:3">
      <c r="B81" s="50">
        <f t="shared" si="1"/>
        <v>82</v>
      </c>
      <c r="C81" s="49">
        <v>7.5532000000000002E-2</v>
      </c>
    </row>
    <row r="82" spans="2:3">
      <c r="B82" s="50">
        <f t="shared" si="1"/>
        <v>83</v>
      </c>
      <c r="C82" s="49">
        <v>8.251E-2</v>
      </c>
    </row>
    <row r="83" spans="2:3">
      <c r="B83" s="50">
        <f t="shared" si="1"/>
        <v>84</v>
      </c>
      <c r="C83" s="49">
        <v>8.9612999999999998E-2</v>
      </c>
    </row>
    <row r="84" spans="2:3">
      <c r="B84" s="50">
        <f t="shared" si="1"/>
        <v>85</v>
      </c>
      <c r="C84" s="49">
        <v>9.7239999999999993E-2</v>
      </c>
    </row>
    <row r="85" spans="2:3">
      <c r="B85" s="50">
        <f t="shared" si="1"/>
        <v>86</v>
      </c>
      <c r="C85" s="49">
        <v>0.105792</v>
      </c>
    </row>
    <row r="86" spans="2:3">
      <c r="B86" s="50">
        <f t="shared" si="1"/>
        <v>87</v>
      </c>
      <c r="C86" s="49">
        <v>0.115671</v>
      </c>
    </row>
    <row r="87" spans="2:3">
      <c r="B87" s="50">
        <f t="shared" si="1"/>
        <v>88</v>
      </c>
      <c r="C87" s="49">
        <v>0.12698000000000001</v>
      </c>
    </row>
    <row r="88" spans="2:3">
      <c r="B88" s="50">
        <f t="shared" si="1"/>
        <v>89</v>
      </c>
      <c r="C88" s="49">
        <v>0.13945199999999999</v>
      </c>
    </row>
    <row r="89" spans="2:3">
      <c r="B89" s="50">
        <f t="shared" si="1"/>
        <v>90</v>
      </c>
      <c r="C89" s="49">
        <v>0.15293100000000001</v>
      </c>
    </row>
    <row r="90" spans="2:3">
      <c r="B90" s="50">
        <f t="shared" si="1"/>
        <v>91</v>
      </c>
      <c r="C90" s="49">
        <v>0.16725999999999999</v>
      </c>
    </row>
    <row r="91" spans="2:3">
      <c r="B91" s="50">
        <f t="shared" si="1"/>
        <v>92</v>
      </c>
      <c r="C91" s="49">
        <v>0.182281</v>
      </c>
    </row>
    <row r="92" spans="2:3">
      <c r="B92" s="50">
        <f t="shared" si="1"/>
        <v>93</v>
      </c>
      <c r="C92" s="49">
        <v>0.19839200000000001</v>
      </c>
    </row>
    <row r="93" spans="2:3">
      <c r="B93" s="50">
        <f t="shared" si="1"/>
        <v>94</v>
      </c>
      <c r="C93" s="49">
        <v>0.2157</v>
      </c>
    </row>
    <row r="94" spans="2:3">
      <c r="B94" s="50">
        <f t="shared" si="1"/>
        <v>95</v>
      </c>
      <c r="C94" s="49">
        <v>0.23360600000000001</v>
      </c>
    </row>
    <row r="95" spans="2:3">
      <c r="B95" s="50">
        <f t="shared" si="1"/>
        <v>96</v>
      </c>
      <c r="C95" s="49">
        <v>0.25151000000000001</v>
      </c>
    </row>
    <row r="96" spans="2:3">
      <c r="B96" s="50">
        <f t="shared" si="1"/>
        <v>97</v>
      </c>
      <c r="C96" s="49">
        <v>0.26881500000000003</v>
      </c>
    </row>
    <row r="97" spans="2:3">
      <c r="B97" s="50">
        <f t="shared" si="1"/>
        <v>98</v>
      </c>
      <c r="C97" s="49">
        <v>0.285277</v>
      </c>
    </row>
    <row r="98" spans="2:3">
      <c r="B98" s="50">
        <f t="shared" si="1"/>
        <v>99</v>
      </c>
      <c r="C98" s="49">
        <v>0.30129800000000001</v>
      </c>
    </row>
    <row r="99" spans="2:3">
      <c r="B99" s="50">
        <f t="shared" si="1"/>
        <v>100</v>
      </c>
      <c r="C99" s="49">
        <v>0.31723800000000002</v>
      </c>
    </row>
    <row r="100" spans="2:3">
      <c r="B100" s="50">
        <f t="shared" si="1"/>
        <v>101</v>
      </c>
      <c r="C100" s="49">
        <v>0.33346100000000001</v>
      </c>
    </row>
    <row r="101" spans="2:3">
      <c r="B101" s="50">
        <f t="shared" si="1"/>
        <v>102</v>
      </c>
      <c r="C101" s="49">
        <v>0.35032999999999997</v>
      </c>
    </row>
    <row r="102" spans="2:3">
      <c r="B102" s="50">
        <f t="shared" si="1"/>
        <v>103</v>
      </c>
      <c r="C102" s="49">
        <v>0.36854199999999998</v>
      </c>
    </row>
    <row r="103" spans="2:3">
      <c r="B103" s="50">
        <f t="shared" si="1"/>
        <v>104</v>
      </c>
      <c r="C103" s="49">
        <v>0.38785500000000001</v>
      </c>
    </row>
    <row r="104" spans="2:3">
      <c r="B104" s="50">
        <f t="shared" si="1"/>
        <v>105</v>
      </c>
      <c r="C104" s="49">
        <v>0.40722399999999997</v>
      </c>
    </row>
    <row r="105" spans="2:3">
      <c r="B105" s="50">
        <f t="shared" si="1"/>
        <v>106</v>
      </c>
      <c r="C105" s="49">
        <v>0.42559900000000001</v>
      </c>
    </row>
    <row r="106" spans="2:3">
      <c r="B106" s="50">
        <f t="shared" si="1"/>
        <v>107</v>
      </c>
      <c r="C106" s="49">
        <v>0.44193500000000002</v>
      </c>
    </row>
    <row r="107" spans="2:3">
      <c r="B107" s="50">
        <f t="shared" si="1"/>
        <v>108</v>
      </c>
      <c r="C107" s="49">
        <v>0.45755299999999999</v>
      </c>
    </row>
    <row r="108" spans="2:3">
      <c r="B108" s="50">
        <f t="shared" si="1"/>
        <v>109</v>
      </c>
      <c r="C108" s="49">
        <v>0.47315000000000002</v>
      </c>
    </row>
    <row r="109" spans="2:3">
      <c r="B109" s="50">
        <f t="shared" si="1"/>
        <v>110</v>
      </c>
      <c r="C109" s="49">
        <v>0.48674499999999998</v>
      </c>
    </row>
    <row r="110" spans="2:3">
      <c r="B110" s="50">
        <f t="shared" si="1"/>
        <v>111</v>
      </c>
      <c r="C110" s="49">
        <v>0.49635600000000002</v>
      </c>
    </row>
    <row r="111" spans="2:3">
      <c r="B111" s="50">
        <f t="shared" si="1"/>
        <v>112</v>
      </c>
      <c r="C111" s="49">
        <v>0.5</v>
      </c>
    </row>
    <row r="112" spans="2:3">
      <c r="B112" s="50">
        <f t="shared" si="1"/>
        <v>113</v>
      </c>
      <c r="C112" s="49">
        <v>0.5</v>
      </c>
    </row>
    <row r="113" spans="2:3">
      <c r="B113" s="50">
        <f t="shared" si="1"/>
        <v>114</v>
      </c>
      <c r="C113" s="49">
        <v>0.5</v>
      </c>
    </row>
    <row r="114" spans="2:3">
      <c r="B114" s="50">
        <f t="shared" si="1"/>
        <v>115</v>
      </c>
      <c r="C114" s="49">
        <v>0.5</v>
      </c>
    </row>
    <row r="115" spans="2:3">
      <c r="B115" s="50">
        <f t="shared" si="1"/>
        <v>116</v>
      </c>
      <c r="C115" s="49">
        <v>0.5</v>
      </c>
    </row>
    <row r="116" spans="2:3">
      <c r="B116" s="50">
        <f t="shared" si="1"/>
        <v>117</v>
      </c>
      <c r="C116" s="49">
        <v>0.5</v>
      </c>
    </row>
    <row r="117" spans="2:3">
      <c r="B117" s="50">
        <f t="shared" si="1"/>
        <v>118</v>
      </c>
      <c r="C117" s="49">
        <v>0.5</v>
      </c>
    </row>
    <row r="118" spans="2:3">
      <c r="B118" s="50">
        <f t="shared" si="1"/>
        <v>119</v>
      </c>
      <c r="C118" s="49">
        <v>0.5</v>
      </c>
    </row>
    <row r="119" spans="2:3">
      <c r="B119" s="50">
        <f t="shared" si="1"/>
        <v>120</v>
      </c>
      <c r="C119" s="49">
        <v>1</v>
      </c>
    </row>
    <row r="120" spans="2:3">
      <c r="B120" s="1"/>
    </row>
    <row r="121" spans="2:3">
      <c r="B121" s="1"/>
    </row>
    <row r="122" spans="2:3">
      <c r="B122" s="1"/>
    </row>
    <row r="123" spans="2:3">
      <c r="B123" s="1"/>
    </row>
    <row r="124" spans="2:3">
      <c r="B124" s="1"/>
    </row>
    <row r="125" spans="2:3">
      <c r="B125" s="1"/>
    </row>
    <row r="126" spans="2:3">
      <c r="B126" s="1"/>
    </row>
    <row r="127" spans="2:3">
      <c r="B127" s="1"/>
    </row>
    <row r="128" spans="2:3">
      <c r="B128" s="1"/>
    </row>
    <row r="129" spans="2:2">
      <c r="B129" s="1"/>
    </row>
  </sheetData>
  <mergeCells count="1">
    <mergeCell ref="B2:C2"/>
  </mergeCells>
  <printOptions horizontalCentered="1"/>
  <pageMargins left="0.7" right="0.7" top="0.75" bottom="0.75" header="0.3" footer="0.3"/>
  <pageSetup scale="75" fitToHeight="2" orientation="portrait" r:id="rId1"/>
  <headerFooter>
    <oddFooter>&amp;LFinal Test.xlsx
QX&amp;R04/28/2022
11:55 AM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16D-60EF-42E1-AC57-82189FDCAC31}">
  <sheetPr>
    <pageSetUpPr fitToPage="1"/>
  </sheetPr>
  <dimension ref="A1:H27"/>
  <sheetViews>
    <sheetView tabSelected="1" zoomScaleNormal="100" workbookViewId="0">
      <selection activeCell="B31" sqref="B31"/>
    </sheetView>
  </sheetViews>
  <sheetFormatPr defaultRowHeight="15"/>
  <cols>
    <col min="1" max="1" width="17.5703125" bestFit="1" customWidth="1"/>
    <col min="2" max="2" width="14.28515625" bestFit="1" customWidth="1"/>
    <col min="5" max="6" width="0" hidden="1" customWidth="1"/>
  </cols>
  <sheetData>
    <row r="1" spans="1:8" ht="19.5" thickBot="1">
      <c r="A1" s="134" t="s">
        <v>50</v>
      </c>
      <c r="B1" s="135"/>
      <c r="C1" s="90" t="s">
        <v>83</v>
      </c>
      <c r="D1" s="136"/>
    </row>
    <row r="2" spans="1:8" ht="16.5" thickBot="1">
      <c r="A2" s="70" t="s">
        <v>81</v>
      </c>
      <c r="B2" s="70" t="s">
        <v>82</v>
      </c>
      <c r="C2" s="137"/>
      <c r="D2" s="138"/>
      <c r="E2" t="e">
        <f ca="1">OFFSET($B$3:$B$23,1,,COUNT($B$3:$B$23),)</f>
        <v>#VALUE!</v>
      </c>
      <c r="F2" t="e">
        <f ca="1">OFFSET($A$3:$A$23,1,,COUNT($A$3:$A$23)-1,)</f>
        <v>#VALUE!</v>
      </c>
      <c r="H2" s="82"/>
    </row>
    <row r="3" spans="1:8" ht="19.5" customHeight="1" thickBot="1">
      <c r="A3" s="71">
        <v>2012</v>
      </c>
      <c r="B3" s="79">
        <v>0.04</v>
      </c>
      <c r="C3" s="137"/>
      <c r="D3" s="138"/>
    </row>
    <row r="4" spans="1:8" ht="16.5" customHeight="1" thickBot="1">
      <c r="A4" s="71">
        <v>2013</v>
      </c>
      <c r="B4" s="79">
        <v>7.4999999999999997E-2</v>
      </c>
      <c r="C4" s="137"/>
      <c r="D4" s="138"/>
    </row>
    <row r="5" spans="1:8" ht="15.75" customHeight="1" thickBot="1">
      <c r="A5" s="71">
        <v>2014</v>
      </c>
      <c r="B5" s="79">
        <v>6.5000000000000002E-2</v>
      </c>
      <c r="C5" s="137"/>
      <c r="D5" s="138"/>
    </row>
    <row r="6" spans="1:8" ht="15.75" customHeight="1" thickBot="1">
      <c r="A6" s="71">
        <v>2015</v>
      </c>
      <c r="B6" s="79">
        <v>7.2499999999999995E-2</v>
      </c>
      <c r="C6" s="137"/>
      <c r="D6" s="138"/>
    </row>
    <row r="7" spans="1:8" ht="15.75" customHeight="1" thickBot="1">
      <c r="A7" s="71">
        <v>2016</v>
      </c>
      <c r="B7" s="79">
        <v>6.5000000000000002E-2</v>
      </c>
      <c r="C7" s="137"/>
      <c r="D7" s="138"/>
    </row>
    <row r="8" spans="1:8" ht="15.75" customHeight="1" thickBot="1">
      <c r="A8" s="71">
        <v>2017</v>
      </c>
      <c r="B8" s="79">
        <v>0.04</v>
      </c>
      <c r="C8" s="137"/>
      <c r="D8" s="138"/>
    </row>
    <row r="9" spans="1:8" ht="15.75" customHeight="1" thickBot="1">
      <c r="A9" s="71">
        <v>2018</v>
      </c>
      <c r="B9" s="79">
        <v>4.4999999999999998E-2</v>
      </c>
      <c r="C9" s="137"/>
      <c r="D9" s="138"/>
    </row>
    <row r="10" spans="1:8" ht="15.75" customHeight="1" thickBot="1">
      <c r="A10" s="71">
        <v>2019</v>
      </c>
      <c r="B10" s="79">
        <v>0.04</v>
      </c>
      <c r="C10" s="137"/>
      <c r="D10" s="138"/>
    </row>
    <row r="11" spans="1:8" ht="15.75" customHeight="1" thickBot="1">
      <c r="A11" s="71">
        <v>2020</v>
      </c>
      <c r="B11" s="79"/>
      <c r="C11" s="137"/>
      <c r="D11" s="138"/>
    </row>
    <row r="12" spans="1:8" ht="15.75" customHeight="1" thickBot="1">
      <c r="A12" s="71">
        <v>2021</v>
      </c>
      <c r="B12" s="79"/>
      <c r="C12" s="137"/>
      <c r="D12" s="138"/>
    </row>
    <row r="13" spans="1:8" ht="15.75" customHeight="1" thickBot="1">
      <c r="A13" s="71">
        <v>2022</v>
      </c>
      <c r="B13" s="79"/>
      <c r="C13" s="91" t="s">
        <v>84</v>
      </c>
      <c r="D13" s="92"/>
    </row>
    <row r="14" spans="1:8" ht="15.75" customHeight="1" thickBot="1">
      <c r="A14" s="71">
        <v>2023</v>
      </c>
      <c r="B14" s="79"/>
      <c r="C14" s="91"/>
      <c r="D14" s="92"/>
    </row>
    <row r="15" spans="1:8" ht="15.75" customHeight="1" thickBot="1">
      <c r="A15" s="71">
        <v>2024</v>
      </c>
      <c r="B15" s="79"/>
      <c r="C15" s="91"/>
      <c r="D15" s="92"/>
    </row>
    <row r="16" spans="1:8" ht="15.75" customHeight="1" thickBot="1">
      <c r="A16" s="71">
        <v>2025</v>
      </c>
      <c r="B16" s="79"/>
      <c r="C16" s="91"/>
      <c r="D16" s="92"/>
    </row>
    <row r="17" spans="1:4" ht="15.75" customHeight="1" thickBot="1">
      <c r="A17" s="71">
        <v>2026</v>
      </c>
      <c r="B17" s="79"/>
      <c r="C17" s="91"/>
      <c r="D17" s="92"/>
    </row>
    <row r="18" spans="1:4" ht="15.75" customHeight="1" thickBot="1">
      <c r="A18" s="71">
        <v>2027</v>
      </c>
      <c r="B18" s="79"/>
      <c r="C18" s="91"/>
      <c r="D18" s="92"/>
    </row>
    <row r="19" spans="1:4" ht="15.75" customHeight="1" thickBot="1">
      <c r="A19" s="71">
        <v>2028</v>
      </c>
      <c r="B19" s="79"/>
      <c r="C19" s="91"/>
      <c r="D19" s="92"/>
    </row>
    <row r="20" spans="1:4" ht="15.75" customHeight="1" thickBot="1">
      <c r="A20" s="71">
        <v>2029</v>
      </c>
      <c r="B20" s="79"/>
      <c r="C20" s="91"/>
      <c r="D20" s="92"/>
    </row>
    <row r="21" spans="1:4" ht="15.75" customHeight="1" thickBot="1">
      <c r="A21" s="71">
        <v>2030</v>
      </c>
      <c r="B21" s="79"/>
      <c r="C21" s="91"/>
      <c r="D21" s="92"/>
    </row>
    <row r="22" spans="1:4" ht="15.75" customHeight="1" thickBot="1">
      <c r="A22" s="71">
        <v>2031</v>
      </c>
      <c r="B22" s="79"/>
      <c r="C22" s="91"/>
      <c r="D22" s="92"/>
    </row>
    <row r="23" spans="1:4" ht="15.75" customHeight="1" thickBot="1">
      <c r="A23" s="71">
        <v>2032</v>
      </c>
      <c r="B23" s="79"/>
      <c r="C23" s="93"/>
      <c r="D23" s="94"/>
    </row>
    <row r="24" spans="1:4" ht="15.75" customHeight="1" thickBot="1"/>
    <row r="25" spans="1:4" ht="15.75" customHeight="1" thickBot="1">
      <c r="A25" s="88" t="s">
        <v>85</v>
      </c>
      <c r="B25" s="89"/>
    </row>
    <row r="26" spans="1:4" ht="15.75" thickBot="1">
      <c r="A26" s="77" t="s">
        <v>57</v>
      </c>
      <c r="B26" s="76" t="s">
        <v>82</v>
      </c>
    </row>
    <row r="27" spans="1:4" ht="15.75" thickBot="1">
      <c r="A27" s="78">
        <v>2019</v>
      </c>
      <c r="B27" s="80">
        <f>VLOOKUP($A$27,A3:B23,2)</f>
        <v>0.04</v>
      </c>
    </row>
  </sheetData>
  <mergeCells count="3">
    <mergeCell ref="C1:D12"/>
    <mergeCell ref="C13:D23"/>
    <mergeCell ref="A25:B25"/>
  </mergeCells>
  <printOptions horizontalCentered="1"/>
  <pageMargins left="0.7" right="0.7" top="0.75" bottom="0.75" header="0.3" footer="0.3"/>
  <pageSetup scale="50" orientation="portrait" r:id="rId1"/>
  <headerFooter>
    <oddFooter>&amp;LFinal Test.xlsx
Rate &amp;R04/28/2022
11:55 AM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8D50-040C-41BA-B03F-50E4FA73EEAB}">
  <sheetPr>
    <pageSetUpPr fitToPage="1"/>
  </sheetPr>
  <dimension ref="B1:H107"/>
  <sheetViews>
    <sheetView workbookViewId="0">
      <pane ySplit="14" topLeftCell="A15" activePane="bottomLeft" state="frozen"/>
      <selection pane="bottomLeft" activeCell="H4" sqref="H4"/>
    </sheetView>
  </sheetViews>
  <sheetFormatPr defaultRowHeight="15"/>
  <cols>
    <col min="1" max="1" width="3.28515625" customWidth="1"/>
    <col min="5" max="5" width="12" bestFit="1" customWidth="1"/>
    <col min="6" max="6" width="2.7109375" customWidth="1"/>
    <col min="7" max="7" width="18.28515625" customWidth="1"/>
    <col min="8" max="8" width="18.42578125" customWidth="1"/>
  </cols>
  <sheetData>
    <row r="1" spans="2:8" ht="15.75" thickBot="1"/>
    <row r="2" spans="2:8" ht="16.5" thickBot="1">
      <c r="B2" s="95" t="s">
        <v>47</v>
      </c>
      <c r="C2" s="96"/>
      <c r="D2" s="96"/>
      <c r="E2" s="96"/>
      <c r="F2" s="96"/>
      <c r="G2" s="96"/>
      <c r="H2" s="97"/>
    </row>
    <row r="3" spans="2:8" ht="15.75">
      <c r="B3" s="15" t="s">
        <v>48</v>
      </c>
      <c r="C3" s="15"/>
      <c r="H3" s="68">
        <f>'Statement '!$G$12</f>
        <v>46</v>
      </c>
    </row>
    <row r="4" spans="2:8" ht="15.75">
      <c r="B4" s="15" t="s">
        <v>49</v>
      </c>
      <c r="C4" s="15"/>
      <c r="H4" s="51">
        <f>2%*'Statement '!$G$11*'Statement '!$G$13*(1-0.03*(65-$H$3))</f>
        <v>24596.000000000004</v>
      </c>
    </row>
    <row r="5" spans="2:8" ht="15.75">
      <c r="B5" s="15" t="s">
        <v>50</v>
      </c>
      <c r="C5" s="15"/>
      <c r="H5" s="52">
        <f>VLOOKUP($H$8,Rate!A3:B23,2)</f>
        <v>0.04</v>
      </c>
    </row>
    <row r="6" spans="2:8" ht="14.25" customHeight="1">
      <c r="B6" s="15"/>
      <c r="C6" s="15"/>
    </row>
    <row r="8" spans="2:8" ht="15.75">
      <c r="B8" s="15" t="s">
        <v>57</v>
      </c>
      <c r="H8" s="1">
        <f>Rate!$A$27</f>
        <v>2019</v>
      </c>
    </row>
    <row r="9" spans="2:8" ht="18" customHeight="1">
      <c r="B9" s="15" t="s">
        <v>51</v>
      </c>
      <c r="C9" s="15"/>
      <c r="H9" s="81">
        <f>SUM(H15:H72)</f>
        <v>18.683003252000507</v>
      </c>
    </row>
    <row r="10" spans="2:8" ht="15.75">
      <c r="B10" s="15" t="s">
        <v>52</v>
      </c>
      <c r="C10" s="15"/>
      <c r="H10" s="53">
        <f>IF(H4="",0,H9*H4)</f>
        <v>459527.14798620454</v>
      </c>
    </row>
    <row r="12" spans="2:8" ht="15.75" thickBot="1"/>
    <row r="13" spans="2:8" ht="16.5" thickBot="1">
      <c r="B13" s="98" t="s">
        <v>53</v>
      </c>
      <c r="C13" s="99"/>
      <c r="D13" s="99"/>
      <c r="E13" s="99"/>
      <c r="F13" s="99"/>
      <c r="G13" s="99"/>
      <c r="H13" s="100"/>
    </row>
    <row r="14" spans="2:8" ht="16.5" thickBot="1">
      <c r="B14" s="70" t="s">
        <v>18</v>
      </c>
      <c r="C14" s="70" t="s">
        <v>46</v>
      </c>
      <c r="D14" s="70" t="s">
        <v>54</v>
      </c>
      <c r="E14" s="70" t="s">
        <v>55</v>
      </c>
      <c r="F14" s="74"/>
      <c r="G14" s="69"/>
      <c r="H14" s="75" t="s">
        <v>56</v>
      </c>
    </row>
    <row r="15" spans="2:8">
      <c r="B15" s="1">
        <f>IF(H3="",65,H3)</f>
        <v>46</v>
      </c>
      <c r="C15" s="1">
        <f>IF(B15&gt;120,"",VLOOKUP(B15,Qx!$B$4:$C$119,2))</f>
        <v>1.722E-3</v>
      </c>
      <c r="D15" s="1">
        <f t="shared" ref="D15:D78" si="0">IFERROR(IF(B15="","",1-C15),"")</f>
        <v>0.998278</v>
      </c>
      <c r="E15" s="72">
        <v>1</v>
      </c>
      <c r="F15" s="73"/>
      <c r="G15" s="1"/>
      <c r="H15" s="1">
        <f>IFERROR(IF($H$5="",0,E15/(1+$H$5)^(B15-$B$15)),"")</f>
        <v>1</v>
      </c>
    </row>
    <row r="16" spans="2:8">
      <c r="B16" s="1">
        <f>IF(B15&gt;120,"",B15+1)</f>
        <v>47</v>
      </c>
      <c r="C16" s="1">
        <f>IF(B16&gt;120,"",VLOOKUP(B16,Qx!$B$4:$C$119,2))</f>
        <v>1.8990000000000001E-3</v>
      </c>
      <c r="D16" s="1">
        <f t="shared" si="0"/>
        <v>0.99810100000000002</v>
      </c>
      <c r="E16" s="1">
        <f>IFERROR(IF(B16="","",E15*D15),"")</f>
        <v>0.998278</v>
      </c>
      <c r="F16" s="1"/>
      <c r="G16" s="1"/>
      <c r="H16" s="1">
        <f t="shared" ref="H16:H79" si="1">IFERROR(IF($H$5="",0,E16/(1+$H$5)^(B16-$B$15)),"")</f>
        <v>0.9598826923076923</v>
      </c>
    </row>
    <row r="17" spans="2:8">
      <c r="B17" s="1">
        <f t="shared" ref="B17:B80" si="2">IF(B16&gt;120,"",B16+1)</f>
        <v>48</v>
      </c>
      <c r="C17" s="1">
        <f>IF(B17&gt;120,"",VLOOKUP(B17,Qx!$B$4:$C$119,2))</f>
        <v>2.1020000000000001E-3</v>
      </c>
      <c r="D17" s="1">
        <f t="shared" si="0"/>
        <v>0.99789799999999995</v>
      </c>
      <c r="E17" s="1">
        <f>IFERROR(IF(B17="","",E16*D16),"")</f>
        <v>0.99638227007800007</v>
      </c>
      <c r="F17" s="1"/>
      <c r="G17" s="1"/>
      <c r="H17" s="1">
        <f t="shared" si="1"/>
        <v>0.92121141834134612</v>
      </c>
    </row>
    <row r="18" spans="2:8">
      <c r="B18" s="1">
        <f t="shared" si="2"/>
        <v>49</v>
      </c>
      <c r="C18" s="1">
        <f>IF(B18&gt;120,"",VLOOKUP(B18,Qx!$B$4:$C$119,2))</f>
        <v>2.3259999999999999E-3</v>
      </c>
      <c r="D18" s="1">
        <f t="shared" si="0"/>
        <v>0.99767399999999995</v>
      </c>
      <c r="E18" s="1">
        <f>IFERROR(IF(B18="","",E17*D17),"")</f>
        <v>0.99428787454629608</v>
      </c>
      <c r="F18" s="1"/>
      <c r="G18" s="1"/>
      <c r="H18" s="1">
        <f t="shared" si="1"/>
        <v>0.88391829994230053</v>
      </c>
    </row>
    <row r="19" spans="2:8">
      <c r="B19" s="1">
        <f t="shared" si="2"/>
        <v>50</v>
      </c>
      <c r="C19" s="1">
        <f>IF(B19&gt;120,"",VLOOKUP(B19,Qx!$B$4:$C$119,2))</f>
        <v>2.5790000000000001E-3</v>
      </c>
      <c r="D19" s="1">
        <f t="shared" si="0"/>
        <v>0.997421</v>
      </c>
      <c r="E19" s="1">
        <f t="shared" ref="E19:E64" si="3">IFERROR(IF(B19="","",E18*D18),"")</f>
        <v>0.9919751609501013</v>
      </c>
      <c r="F19" s="1"/>
      <c r="G19" s="1"/>
      <c r="H19" s="1">
        <f t="shared" si="1"/>
        <v>0.84794452497753325</v>
      </c>
    </row>
    <row r="20" spans="2:8">
      <c r="B20" s="1">
        <f t="shared" si="2"/>
        <v>51</v>
      </c>
      <c r="C20" s="1">
        <f>IF(B20&gt;120,"",VLOOKUP(B20,Qx!$B$4:$C$119,2))</f>
        <v>2.872E-3</v>
      </c>
      <c r="D20" s="1">
        <f t="shared" si="0"/>
        <v>0.99712800000000001</v>
      </c>
      <c r="E20" s="1">
        <f t="shared" si="3"/>
        <v>0.98941685701001103</v>
      </c>
      <c r="F20" s="1"/>
      <c r="G20" s="1"/>
      <c r="H20" s="1">
        <f t="shared" si="1"/>
        <v>0.8132285346611694</v>
      </c>
    </row>
    <row r="21" spans="2:8">
      <c r="B21" s="1">
        <f t="shared" si="2"/>
        <v>52</v>
      </c>
      <c r="C21" s="1">
        <f>IF(B21&gt;120,"",VLOOKUP(B21,Qx!$B$4:$C$119,2))</f>
        <v>3.2130000000000001E-3</v>
      </c>
      <c r="D21" s="1">
        <f t="shared" si="0"/>
        <v>0.99678699999999998</v>
      </c>
      <c r="E21" s="1">
        <f t="shared" si="3"/>
        <v>0.98657525179667827</v>
      </c>
      <c r="F21" s="1"/>
      <c r="G21" s="1"/>
      <c r="H21" s="1">
        <f t="shared" si="1"/>
        <v>0.77970475222079083</v>
      </c>
    </row>
    <row r="22" spans="2:8">
      <c r="B22" s="1">
        <f t="shared" si="2"/>
        <v>53</v>
      </c>
      <c r="C22" s="1">
        <f>IF(B22&gt;120,"",VLOOKUP(B22,Qx!$B$4:$C$119,2))</f>
        <v>3.5839999999999999E-3</v>
      </c>
      <c r="D22" s="1">
        <f t="shared" si="0"/>
        <v>0.99641599999999997</v>
      </c>
      <c r="E22" s="1">
        <f t="shared" si="3"/>
        <v>0.98340538551265555</v>
      </c>
      <c r="F22" s="1"/>
      <c r="G22" s="1"/>
      <c r="H22" s="1">
        <f t="shared" si="1"/>
        <v>0.74730727004990916</v>
      </c>
    </row>
    <row r="23" spans="2:8">
      <c r="B23" s="1">
        <f t="shared" si="2"/>
        <v>54</v>
      </c>
      <c r="C23" s="1">
        <f>IF(B23&gt;120,"",VLOOKUP(B23,Qx!$B$4:$C$119,2))</f>
        <v>3.9789999999999999E-3</v>
      </c>
      <c r="D23" s="1">
        <f t="shared" si="0"/>
        <v>0.99602100000000005</v>
      </c>
      <c r="E23" s="1">
        <f t="shared" si="3"/>
        <v>0.97988086061097812</v>
      </c>
      <c r="F23" s="1"/>
      <c r="G23" s="1"/>
      <c r="H23" s="1">
        <f t="shared" si="1"/>
        <v>0.71598934691735594</v>
      </c>
    </row>
    <row r="24" spans="2:8">
      <c r="B24" s="1">
        <f t="shared" si="2"/>
        <v>55</v>
      </c>
      <c r="C24" s="1">
        <f>IF(B24&gt;120,"",VLOOKUP(B24,Qx!$B$4:$C$119,2))</f>
        <v>4.4250000000000001E-3</v>
      </c>
      <c r="D24" s="1">
        <f t="shared" si="0"/>
        <v>0.99557499999999999</v>
      </c>
      <c r="E24" s="1">
        <f t="shared" si="3"/>
        <v>0.97598191466660711</v>
      </c>
      <c r="F24" s="1"/>
      <c r="G24" s="1"/>
      <c r="H24" s="1">
        <f t="shared" si="1"/>
        <v>0.68571194740958819</v>
      </c>
    </row>
    <row r="25" spans="2:8">
      <c r="B25" s="1">
        <f t="shared" si="2"/>
        <v>56</v>
      </c>
      <c r="C25" s="1">
        <f>IF(B25&gt;120,"",VLOOKUP(B25,Qx!$B$4:$C$119,2))</f>
        <v>4.9490000000000003E-3</v>
      </c>
      <c r="D25" s="1">
        <f t="shared" si="0"/>
        <v>0.99505100000000002</v>
      </c>
      <c r="E25" s="1">
        <f t="shared" si="3"/>
        <v>0.97166319469420737</v>
      </c>
      <c r="F25" s="1"/>
      <c r="G25" s="1"/>
      <c r="H25" s="1">
        <f t="shared" si="1"/>
        <v>0.65642083850221222</v>
      </c>
    </row>
    <row r="26" spans="2:8">
      <c r="B26" s="1">
        <f t="shared" si="2"/>
        <v>57</v>
      </c>
      <c r="C26" s="1">
        <f>IF(B26&gt;120,"",VLOOKUP(B26,Qx!$B$4:$C$119,2))</f>
        <v>5.581E-3</v>
      </c>
      <c r="D26" s="1">
        <f t="shared" si="0"/>
        <v>0.99441900000000005</v>
      </c>
      <c r="E26" s="1">
        <f t="shared" si="3"/>
        <v>0.96685443354366574</v>
      </c>
      <c r="F26" s="1"/>
      <c r="G26" s="1"/>
      <c r="H26" s="1">
        <f t="shared" si="1"/>
        <v>0.62805020362737007</v>
      </c>
    </row>
    <row r="27" spans="2:8">
      <c r="B27" s="1">
        <f t="shared" si="2"/>
        <v>58</v>
      </c>
      <c r="C27" s="1">
        <f>IF(B27&gt;120,"",VLOOKUP(B27,Qx!$B$4:$C$119,2))</f>
        <v>6.3E-3</v>
      </c>
      <c r="D27" s="1">
        <f t="shared" si="0"/>
        <v>0.99370000000000003</v>
      </c>
      <c r="E27" s="1">
        <f t="shared" si="3"/>
        <v>0.96145841895005857</v>
      </c>
      <c r="F27" s="1"/>
      <c r="G27" s="1"/>
      <c r="H27" s="1">
        <f t="shared" si="1"/>
        <v>0.60052409177012078</v>
      </c>
    </row>
    <row r="28" spans="2:8">
      <c r="B28" s="1">
        <f t="shared" si="2"/>
        <v>59</v>
      </c>
      <c r="C28" s="1">
        <f>IF(B28&gt;120,"",VLOOKUP(B28,Qx!$B$4:$C$119,2))</f>
        <v>7.0899999999999999E-3</v>
      </c>
      <c r="D28" s="1">
        <f t="shared" si="0"/>
        <v>0.99290999999999996</v>
      </c>
      <c r="E28" s="1">
        <f t="shared" si="3"/>
        <v>0.95540123091067319</v>
      </c>
      <c r="F28" s="1"/>
      <c r="G28" s="1"/>
      <c r="H28" s="1">
        <f t="shared" si="1"/>
        <v>0.57378922114612407</v>
      </c>
    </row>
    <row r="29" spans="2:8">
      <c r="B29" s="1">
        <f t="shared" si="2"/>
        <v>60</v>
      </c>
      <c r="C29" s="1">
        <f>IF(B29&gt;120,"",VLOOKUP(B29,Qx!$B$4:$C$119,2))</f>
        <v>7.9760000000000005E-3</v>
      </c>
      <c r="D29" s="1">
        <f t="shared" si="0"/>
        <v>0.99202400000000002</v>
      </c>
      <c r="E29" s="1">
        <f t="shared" si="3"/>
        <v>0.94862743618351653</v>
      </c>
      <c r="F29" s="1"/>
      <c r="G29" s="1"/>
      <c r="H29" s="1">
        <f t="shared" si="1"/>
        <v>0.5478087072771135</v>
      </c>
    </row>
    <row r="30" spans="2:8">
      <c r="B30" s="1">
        <f t="shared" si="2"/>
        <v>61</v>
      </c>
      <c r="C30" s="1">
        <f>IF(B30&gt;120,"",VLOOKUP(B30,Qx!$B$4:$C$119,2))</f>
        <v>8.9859999999999992E-3</v>
      </c>
      <c r="D30" s="1">
        <f t="shared" si="0"/>
        <v>0.99101399999999995</v>
      </c>
      <c r="E30" s="1">
        <f>IFERROR(IF(B30="","",E29*D29),"")</f>
        <v>0.94106118375251679</v>
      </c>
      <c r="F30" s="1"/>
      <c r="G30" s="1"/>
      <c r="H30" s="1">
        <f t="shared" si="1"/>
        <v>0.52253787021910691</v>
      </c>
    </row>
    <row r="31" spans="2:8">
      <c r="B31" s="1">
        <f t="shared" si="2"/>
        <v>62</v>
      </c>
      <c r="C31" s="1">
        <f>IF(B31&gt;120,"",VLOOKUP(B31,Qx!$B$4:$C$119,2))</f>
        <v>1.0147E-2</v>
      </c>
      <c r="D31" s="1">
        <f t="shared" si="0"/>
        <v>0.98985299999999998</v>
      </c>
      <c r="E31" s="1">
        <f t="shared" si="3"/>
        <v>0.93260480795531664</v>
      </c>
      <c r="F31" s="1"/>
      <c r="G31" s="1"/>
      <c r="H31" s="1">
        <f t="shared" si="1"/>
        <v>0.49792533165126729</v>
      </c>
    </row>
    <row r="32" spans="2:8">
      <c r="B32" s="1">
        <f t="shared" si="2"/>
        <v>63</v>
      </c>
      <c r="C32" s="1">
        <f>IF(B32&gt;120,"",VLOOKUP(B32,Qx!$B$4:$C$119,2))</f>
        <v>1.1471E-2</v>
      </c>
      <c r="D32" s="1">
        <f t="shared" si="0"/>
        <v>0.98852899999999999</v>
      </c>
      <c r="E32" s="1">
        <f t="shared" si="3"/>
        <v>0.92314166696899402</v>
      </c>
      <c r="F32" s="1"/>
      <c r="G32" s="1"/>
      <c r="H32" s="1">
        <f t="shared" si="1"/>
        <v>0.4739162339528864</v>
      </c>
    </row>
    <row r="33" spans="2:8">
      <c r="B33" s="1">
        <f t="shared" si="2"/>
        <v>64</v>
      </c>
      <c r="C33" s="1">
        <f>IF(B33&gt;120,"",VLOOKUP(B33,Qx!$B$4:$C$119,2))</f>
        <v>1.294E-2</v>
      </c>
      <c r="D33" s="1">
        <f t="shared" si="0"/>
        <v>0.98706000000000005</v>
      </c>
      <c r="E33" s="1">
        <f t="shared" si="3"/>
        <v>0.91255230890719263</v>
      </c>
      <c r="F33" s="1"/>
      <c r="G33" s="1"/>
      <c r="H33" s="1">
        <f t="shared" si="1"/>
        <v>0.45046148157039684</v>
      </c>
    </row>
    <row r="34" spans="2:8">
      <c r="B34" s="1">
        <f t="shared" si="2"/>
        <v>65</v>
      </c>
      <c r="C34" s="1">
        <f>IF(B34&gt;120,"",VLOOKUP(B34,Qx!$B$4:$C$119,2))</f>
        <v>1.4534999999999999E-2</v>
      </c>
      <c r="D34" s="1">
        <f t="shared" si="0"/>
        <v>0.98546500000000004</v>
      </c>
      <c r="E34" s="1">
        <f t="shared" si="3"/>
        <v>0.90074388202993361</v>
      </c>
      <c r="F34" s="1"/>
      <c r="G34" s="1"/>
      <c r="H34" s="1">
        <f t="shared" si="1"/>
        <v>0.42753125961430383</v>
      </c>
    </row>
    <row r="35" spans="2:8">
      <c r="B35" s="1">
        <f t="shared" si="2"/>
        <v>66</v>
      </c>
      <c r="C35" s="1">
        <f>IF(B35&gt;120,"",VLOOKUP(B35,Qx!$B$4:$C$119,2))</f>
        <v>1.6239E-2</v>
      </c>
      <c r="D35" s="1">
        <f t="shared" si="0"/>
        <v>0.983761</v>
      </c>
      <c r="E35" s="1">
        <f t="shared" si="3"/>
        <v>0.88765156970462855</v>
      </c>
      <c r="F35" s="1"/>
      <c r="G35" s="1"/>
      <c r="H35" s="1">
        <f t="shared" si="1"/>
        <v>0.40511258918827875</v>
      </c>
    </row>
    <row r="36" spans="2:8">
      <c r="B36" s="1">
        <f t="shared" si="2"/>
        <v>67</v>
      </c>
      <c r="C36" s="1">
        <f>IF(B36&gt;120,"",VLOOKUP(B36,Qx!$B$4:$C$119,2))</f>
        <v>1.8034000000000001E-2</v>
      </c>
      <c r="D36" s="1">
        <f t="shared" si="0"/>
        <v>0.98196600000000001</v>
      </c>
      <c r="E36" s="1">
        <f t="shared" si="3"/>
        <v>0.87323699586419512</v>
      </c>
      <c r="F36" s="1"/>
      <c r="G36" s="1"/>
      <c r="H36" s="1">
        <f t="shared" si="1"/>
        <v>0.38320573639658673</v>
      </c>
    </row>
    <row r="37" spans="2:8">
      <c r="B37" s="1">
        <f t="shared" si="2"/>
        <v>68</v>
      </c>
      <c r="C37" s="1">
        <f>IF(B37&gt;120,"",VLOOKUP(B37,Qx!$B$4:$C$119,2))</f>
        <v>1.9859000000000002E-2</v>
      </c>
      <c r="D37" s="1">
        <f t="shared" si="0"/>
        <v>0.98014100000000004</v>
      </c>
      <c r="E37" s="1">
        <f t="shared" si="3"/>
        <v>0.85748903988078018</v>
      </c>
      <c r="F37" s="1"/>
      <c r="G37" s="1"/>
      <c r="H37" s="1">
        <f t="shared" si="1"/>
        <v>0.36182211937154873</v>
      </c>
    </row>
    <row r="38" spans="2:8">
      <c r="B38" s="1">
        <f t="shared" si="2"/>
        <v>69</v>
      </c>
      <c r="C38" s="1">
        <f>IF(B38&gt;120,"",VLOOKUP(B38,Qx!$B$4:$C$119,2))</f>
        <v>2.1728999999999998E-2</v>
      </c>
      <c r="D38" s="1">
        <f t="shared" si="0"/>
        <v>0.978271</v>
      </c>
      <c r="E38" s="1">
        <f t="shared" si="3"/>
        <v>0.84046016503778775</v>
      </c>
      <c r="F38" s="1"/>
      <c r="G38" s="1"/>
      <c r="H38" s="1">
        <f t="shared" si="1"/>
        <v>0.34099682106052809</v>
      </c>
    </row>
    <row r="39" spans="2:8">
      <c r="B39" s="1">
        <f t="shared" si="2"/>
        <v>70</v>
      </c>
      <c r="C39" s="1">
        <f>IF(B39&gt;120,"",VLOOKUP(B39,Qx!$B$4:$C$119,2))</f>
        <v>2.3730000000000001E-2</v>
      </c>
      <c r="D39" s="1">
        <f t="shared" si="0"/>
        <v>0.97626999999999997</v>
      </c>
      <c r="E39" s="1">
        <f t="shared" si="3"/>
        <v>0.82219780611168169</v>
      </c>
      <c r="F39" s="1"/>
      <c r="G39" s="1"/>
      <c r="H39" s="1">
        <f t="shared" si="1"/>
        <v>0.32075702032279213</v>
      </c>
    </row>
    <row r="40" spans="2:8">
      <c r="B40" s="1">
        <f t="shared" si="2"/>
        <v>71</v>
      </c>
      <c r="C40" s="1">
        <f>IF(B40&gt;120,"",VLOOKUP(B40,Qx!$B$4:$C$119,2))</f>
        <v>2.5950999999999998E-2</v>
      </c>
      <c r="D40" s="1">
        <f t="shared" si="0"/>
        <v>0.97404900000000005</v>
      </c>
      <c r="E40" s="1">
        <f t="shared" si="3"/>
        <v>0.80268705217265146</v>
      </c>
      <c r="F40" s="1"/>
      <c r="G40" s="1"/>
      <c r="H40" s="1">
        <f t="shared" si="1"/>
        <v>0.30110140022166559</v>
      </c>
    </row>
    <row r="41" spans="2:8">
      <c r="B41" s="1">
        <f t="shared" si="2"/>
        <v>72</v>
      </c>
      <c r="C41" s="1">
        <f>IF(B41&gt;120,"",VLOOKUP(B41,Qx!$B$4:$C$119,2))</f>
        <v>2.8480999999999999E-2</v>
      </c>
      <c r="D41" s="1">
        <f t="shared" si="0"/>
        <v>0.97151900000000002</v>
      </c>
      <c r="E41" s="1">
        <f>IFERROR(IF(B41="","",E40*D40),"")</f>
        <v>0.78185652048171905</v>
      </c>
      <c r="F41" s="1"/>
      <c r="G41" s="1"/>
      <c r="H41" s="1">
        <f t="shared" si="1"/>
        <v>0.282007228638955</v>
      </c>
    </row>
    <row r="42" spans="2:8">
      <c r="B42" s="1">
        <f t="shared" si="2"/>
        <v>73</v>
      </c>
      <c r="C42" s="1">
        <f>IF(B42&gt;120,"",VLOOKUP(B42,Qx!$B$4:$C$119,2))</f>
        <v>3.1201E-2</v>
      </c>
      <c r="D42" s="1">
        <f t="shared" si="0"/>
        <v>0.96879899999999997</v>
      </c>
      <c r="E42" s="1">
        <f t="shared" si="3"/>
        <v>0.75958846492187926</v>
      </c>
      <c r="F42" s="1"/>
      <c r="G42" s="1"/>
      <c r="H42" s="1">
        <f t="shared" si="1"/>
        <v>0.26343786611547015</v>
      </c>
    </row>
    <row r="43" spans="2:8">
      <c r="B43" s="1">
        <f t="shared" si="2"/>
        <v>74</v>
      </c>
      <c r="C43" s="1">
        <f>IF(B43&gt;120,"",VLOOKUP(B43,Qx!$B$4:$C$119,2))</f>
        <v>3.4050999999999998E-2</v>
      </c>
      <c r="D43" s="1">
        <f t="shared" si="0"/>
        <v>0.96594899999999995</v>
      </c>
      <c r="E43" s="1">
        <f t="shared" si="3"/>
        <v>0.73588854522785163</v>
      </c>
      <c r="F43" s="1"/>
      <c r="G43" s="1"/>
      <c r="H43" s="1">
        <f t="shared" si="1"/>
        <v>0.24540225120653969</v>
      </c>
    </row>
    <row r="44" spans="2:8">
      <c r="B44" s="1">
        <f t="shared" si="2"/>
        <v>75</v>
      </c>
      <c r="C44" s="1">
        <f>IF(B44&gt;120,"",VLOOKUP(B44,Qx!$B$4:$C$119,2))</f>
        <v>3.7211000000000001E-2</v>
      </c>
      <c r="D44" s="1">
        <f t="shared" si="0"/>
        <v>0.96278900000000001</v>
      </c>
      <c r="E44" s="1">
        <f t="shared" si="3"/>
        <v>0.71083080437429802</v>
      </c>
      <c r="F44" s="1"/>
      <c r="G44" s="1"/>
      <c r="H44" s="1">
        <f t="shared" si="1"/>
        <v>0.22792890302952479</v>
      </c>
    </row>
    <row r="45" spans="2:8">
      <c r="B45" s="1">
        <f t="shared" si="2"/>
        <v>76</v>
      </c>
      <c r="C45" s="1">
        <f>IF(B45&gt;120,"",VLOOKUP(B45,Qx!$B$4:$C$119,2))</f>
        <v>4.0857999999999998E-2</v>
      </c>
      <c r="D45" s="1">
        <f t="shared" si="0"/>
        <v>0.95914200000000005</v>
      </c>
      <c r="E45" s="1">
        <f t="shared" si="3"/>
        <v>0.68438007931272604</v>
      </c>
      <c r="F45" s="1"/>
      <c r="G45" s="1"/>
      <c r="H45" s="1">
        <f t="shared" si="1"/>
        <v>0.21100715444124343</v>
      </c>
    </row>
    <row r="46" spans="2:8">
      <c r="B46" s="1">
        <f t="shared" si="2"/>
        <v>77</v>
      </c>
      <c r="C46" s="1">
        <f>IF(B46&gt;120,"",VLOOKUP(B46,Qx!$B$4:$C$119,2))</f>
        <v>4.5171000000000003E-2</v>
      </c>
      <c r="D46" s="1">
        <f t="shared" si="0"/>
        <v>0.95482900000000004</v>
      </c>
      <c r="E46" s="1">
        <f t="shared" si="3"/>
        <v>0.65641767803216666</v>
      </c>
      <c r="F46" s="1"/>
      <c r="G46" s="1"/>
      <c r="H46" s="1">
        <f t="shared" si="1"/>
        <v>0.19460175396642607</v>
      </c>
    </row>
    <row r="47" spans="2:8">
      <c r="B47" s="1">
        <f t="shared" si="2"/>
        <v>78</v>
      </c>
      <c r="C47" s="1">
        <f>IF(B47&gt;120,"",VLOOKUP(B47,Qx!$B$4:$C$119,2))</f>
        <v>5.0210999999999999E-2</v>
      </c>
      <c r="D47" s="1">
        <f t="shared" si="0"/>
        <v>0.94978899999999999</v>
      </c>
      <c r="E47" s="1">
        <f t="shared" si="3"/>
        <v>0.62676663509777564</v>
      </c>
      <c r="F47" s="1"/>
      <c r="G47" s="1"/>
      <c r="H47" s="1">
        <f t="shared" si="1"/>
        <v>0.17866480590193135</v>
      </c>
    </row>
    <row r="48" spans="2:8">
      <c r="B48" s="1">
        <f t="shared" si="2"/>
        <v>79</v>
      </c>
      <c r="C48" s="1">
        <f>IF(B48&gt;120,"",VLOOKUP(B48,Qx!$B$4:$C$119,2))</f>
        <v>5.5861000000000001E-2</v>
      </c>
      <c r="D48" s="1">
        <f t="shared" si="0"/>
        <v>0.94413899999999995</v>
      </c>
      <c r="E48" s="1">
        <f t="shared" si="3"/>
        <v>0.59529605558288123</v>
      </c>
      <c r="F48" s="1"/>
      <c r="G48" s="1"/>
      <c r="H48" s="1">
        <f t="shared" si="1"/>
        <v>0.16316718012768219</v>
      </c>
    </row>
    <row r="49" spans="2:8">
      <c r="B49" s="1">
        <f t="shared" si="2"/>
        <v>80</v>
      </c>
      <c r="C49" s="1">
        <f>IF(B49&gt;120,"",VLOOKUP(B49,Qx!$B$4:$C$119,2))</f>
        <v>6.2026999999999999E-2</v>
      </c>
      <c r="D49" s="1">
        <f t="shared" si="0"/>
        <v>0.93797299999999995</v>
      </c>
      <c r="E49" s="1">
        <f t="shared" si="3"/>
        <v>0.5620422226219659</v>
      </c>
      <c r="F49" s="1"/>
      <c r="G49" s="1"/>
      <c r="H49" s="1">
        <f t="shared" si="1"/>
        <v>0.14812740219093243</v>
      </c>
    </row>
    <row r="50" spans="2:8">
      <c r="B50" s="1">
        <f t="shared" si="2"/>
        <v>81</v>
      </c>
      <c r="C50" s="1">
        <f>IF(B50&gt;120,"",VLOOKUP(B50,Qx!$B$4:$C$119,2))</f>
        <v>6.8614999999999995E-2</v>
      </c>
      <c r="D50" s="1">
        <f t="shared" si="0"/>
        <v>0.93138500000000002</v>
      </c>
      <c r="E50" s="1">
        <f t="shared" si="3"/>
        <v>0.52718042967939316</v>
      </c>
      <c r="F50" s="1"/>
      <c r="G50" s="1"/>
      <c r="H50" s="1">
        <f t="shared" si="1"/>
        <v>0.1335956767454187</v>
      </c>
    </row>
    <row r="51" spans="2:8">
      <c r="B51" s="1">
        <f t="shared" si="2"/>
        <v>82</v>
      </c>
      <c r="C51" s="1">
        <f>IF(B51&gt;120,"",VLOOKUP(B51,Qx!$B$4:$C$119,2))</f>
        <v>7.5532000000000002E-2</v>
      </c>
      <c r="D51" s="1">
        <f t="shared" si="0"/>
        <v>0.92446799999999996</v>
      </c>
      <c r="E51" s="1">
        <f t="shared" si="3"/>
        <v>0.49100794449694163</v>
      </c>
      <c r="F51" s="1"/>
      <c r="G51" s="1"/>
      <c r="H51" s="1">
        <f t="shared" si="1"/>
        <v>0.11964327825531904</v>
      </c>
    </row>
    <row r="52" spans="2:8">
      <c r="B52" s="1">
        <f t="shared" si="2"/>
        <v>83</v>
      </c>
      <c r="C52" s="1">
        <f>IF(B52&gt;120,"",VLOOKUP(B52,Qx!$B$4:$C$119,2))</f>
        <v>8.251E-2</v>
      </c>
      <c r="D52" s="1">
        <f t="shared" si="0"/>
        <v>0.91749000000000003</v>
      </c>
      <c r="E52" s="1">
        <f t="shared" si="3"/>
        <v>0.45392113243319859</v>
      </c>
      <c r="F52" s="1"/>
      <c r="G52" s="1"/>
      <c r="H52" s="1">
        <f t="shared" si="1"/>
        <v>0.10635229054051754</v>
      </c>
    </row>
    <row r="53" spans="2:8">
      <c r="B53" s="1">
        <f t="shared" si="2"/>
        <v>84</v>
      </c>
      <c r="C53" s="1">
        <f>IF(B53&gt;120,"",VLOOKUP(B53,Qx!$B$4:$C$119,2))</f>
        <v>8.9612999999999998E-2</v>
      </c>
      <c r="D53" s="1">
        <f t="shared" si="0"/>
        <v>0.91038700000000006</v>
      </c>
      <c r="E53" s="1">
        <f>IFERROR(IF(B53="","",E52*D52),"")</f>
        <v>0.41646809979613542</v>
      </c>
      <c r="F53" s="1"/>
      <c r="G53" s="1"/>
      <c r="H53" s="1">
        <f t="shared" si="1"/>
        <v>9.3824195238480249E-2</v>
      </c>
    </row>
    <row r="54" spans="2:8">
      <c r="B54" s="1">
        <f t="shared" si="2"/>
        <v>85</v>
      </c>
      <c r="C54" s="1">
        <f>IF(B54&gt;120,"",VLOOKUP(B54,Qx!$B$4:$C$119,2))</f>
        <v>9.7239999999999993E-2</v>
      </c>
      <c r="D54" s="1">
        <f t="shared" si="0"/>
        <v>0.90276000000000001</v>
      </c>
      <c r="E54" s="1">
        <f t="shared" si="3"/>
        <v>0.37914714396910437</v>
      </c>
      <c r="F54" s="1"/>
      <c r="G54" s="1"/>
      <c r="H54" s="1">
        <f t="shared" si="1"/>
        <v>8.2131084260167631E-2</v>
      </c>
    </row>
    <row r="55" spans="2:8">
      <c r="B55" s="1">
        <f t="shared" si="2"/>
        <v>86</v>
      </c>
      <c r="C55" s="1">
        <f>IF(B55&gt;120,"",VLOOKUP(B55,Qx!$B$4:$C$119,2))</f>
        <v>0.105792</v>
      </c>
      <c r="D55" s="1">
        <f t="shared" si="0"/>
        <v>0.894208</v>
      </c>
      <c r="E55" s="1">
        <f t="shared" si="3"/>
        <v>0.34227887568954868</v>
      </c>
      <c r="F55" s="1"/>
      <c r="G55" s="1"/>
      <c r="H55" s="1">
        <f t="shared" si="1"/>
        <v>7.1292940025681636E-2</v>
      </c>
    </row>
    <row r="56" spans="2:8">
      <c r="B56" s="1">
        <f t="shared" si="2"/>
        <v>87</v>
      </c>
      <c r="C56" s="1">
        <f>IF(B56&gt;120,"",VLOOKUP(B56,Qx!$B$4:$C$119,2))</f>
        <v>0.115671</v>
      </c>
      <c r="D56" s="1">
        <f t="shared" si="0"/>
        <v>0.88432900000000003</v>
      </c>
      <c r="E56" s="1">
        <f t="shared" si="3"/>
        <v>0.30606850887259995</v>
      </c>
      <c r="F56" s="1"/>
      <c r="G56" s="1"/>
      <c r="H56" s="1">
        <f t="shared" si="1"/>
        <v>6.1298766648543015E-2</v>
      </c>
    </row>
    <row r="57" spans="2:8">
      <c r="B57" s="1">
        <f t="shared" si="2"/>
        <v>88</v>
      </c>
      <c r="C57" s="1">
        <f>IF(B57&gt;120,"",VLOOKUP(B57,Qx!$B$4:$C$119,2))</f>
        <v>0.12698000000000001</v>
      </c>
      <c r="D57" s="1">
        <f t="shared" si="0"/>
        <v>0.87302000000000002</v>
      </c>
      <c r="E57" s="1">
        <f t="shared" si="3"/>
        <v>0.27066525838279748</v>
      </c>
      <c r="F57" s="1"/>
      <c r="G57" s="1"/>
      <c r="H57" s="1">
        <f t="shared" si="1"/>
        <v>5.2123343280326348E-2</v>
      </c>
    </row>
    <row r="58" spans="2:8">
      <c r="B58" s="1">
        <f t="shared" si="2"/>
        <v>89</v>
      </c>
      <c r="C58" s="1">
        <f>IF(B58&gt;120,"",VLOOKUP(B58,Qx!$B$4:$C$119,2))</f>
        <v>0.13945199999999999</v>
      </c>
      <c r="D58" s="1">
        <f t="shared" si="0"/>
        <v>0.86054799999999998</v>
      </c>
      <c r="E58" s="1">
        <f t="shared" si="3"/>
        <v>0.23629618387334986</v>
      </c>
      <c r="F58" s="1"/>
      <c r="G58" s="1"/>
      <c r="H58" s="1">
        <f t="shared" si="1"/>
        <v>4.3754539567875485E-2</v>
      </c>
    </row>
    <row r="59" spans="2:8">
      <c r="B59" s="1">
        <f t="shared" si="2"/>
        <v>90</v>
      </c>
      <c r="C59" s="1">
        <f>IF(B59&gt;120,"",VLOOKUP(B59,Qx!$B$4:$C$119,2))</f>
        <v>0.15293100000000001</v>
      </c>
      <c r="D59" s="1">
        <f t="shared" si="0"/>
        <v>0.84706899999999996</v>
      </c>
      <c r="E59" s="1">
        <f t="shared" si="3"/>
        <v>0.20334420843984347</v>
      </c>
      <c r="F59" s="1"/>
      <c r="G59" s="1"/>
      <c r="H59" s="1">
        <f t="shared" si="1"/>
        <v>3.6204693765438563E-2</v>
      </c>
    </row>
    <row r="60" spans="2:8">
      <c r="B60" s="1">
        <f t="shared" si="2"/>
        <v>91</v>
      </c>
      <c r="C60" s="1">
        <f>IF(B60&gt;120,"",VLOOKUP(B60,Qx!$B$4:$C$119,2))</f>
        <v>0.16725999999999999</v>
      </c>
      <c r="D60" s="1">
        <f t="shared" si="0"/>
        <v>0.83274000000000004</v>
      </c>
      <c r="E60" s="1">
        <f t="shared" si="3"/>
        <v>0.17224657529892975</v>
      </c>
      <c r="F60" s="1"/>
      <c r="G60" s="1"/>
      <c r="H60" s="1">
        <f t="shared" si="1"/>
        <v>2.948834013768873E-2</v>
      </c>
    </row>
    <row r="61" spans="2:8">
      <c r="B61" s="1">
        <f t="shared" si="2"/>
        <v>92</v>
      </c>
      <c r="C61" s="1">
        <f>IF(B61&gt;120,"",VLOOKUP(B61,Qx!$B$4:$C$119,2))</f>
        <v>0.182281</v>
      </c>
      <c r="D61" s="1">
        <f t="shared" si="0"/>
        <v>0.81771899999999997</v>
      </c>
      <c r="E61" s="1">
        <f t="shared" si="3"/>
        <v>0.14343661311443076</v>
      </c>
      <c r="F61" s="1"/>
      <c r="G61" s="1"/>
      <c r="H61" s="1">
        <f t="shared" si="1"/>
        <v>2.3611654198325876E-2</v>
      </c>
    </row>
    <row r="62" spans="2:8">
      <c r="B62" s="1">
        <f t="shared" si="2"/>
        <v>93</v>
      </c>
      <c r="C62" s="1">
        <f>IF(B62&gt;120,"",VLOOKUP(B62,Qx!$B$4:$C$119,2))</f>
        <v>0.19839200000000001</v>
      </c>
      <c r="D62" s="1">
        <f t="shared" si="0"/>
        <v>0.80160799999999999</v>
      </c>
      <c r="E62" s="1">
        <f t="shared" si="3"/>
        <v>0.1172908438393192</v>
      </c>
      <c r="F62" s="1"/>
      <c r="G62" s="1"/>
      <c r="H62" s="1">
        <f t="shared" si="1"/>
        <v>1.8565094480193112E-2</v>
      </c>
    </row>
    <row r="63" spans="2:8">
      <c r="B63" s="1">
        <f t="shared" si="2"/>
        <v>94</v>
      </c>
      <c r="C63" s="1">
        <f>IF(B63&gt;120,"",VLOOKUP(B63,Qx!$B$4:$C$119,2))</f>
        <v>0.2157</v>
      </c>
      <c r="D63" s="1">
        <f t="shared" si="0"/>
        <v>0.7843</v>
      </c>
      <c r="E63" s="1">
        <f t="shared" si="3"/>
        <v>9.402127874834898E-2</v>
      </c>
      <c r="F63" s="1"/>
      <c r="G63" s="1"/>
      <c r="H63" s="1">
        <f t="shared" si="1"/>
        <v>1.4309546400075613E-2</v>
      </c>
    </row>
    <row r="64" spans="2:8">
      <c r="B64" s="1">
        <f t="shared" si="2"/>
        <v>95</v>
      </c>
      <c r="C64" s="1">
        <f>IF(B64&gt;120,"",VLOOKUP(B64,Qx!$B$4:$C$119,2))</f>
        <v>0.23360600000000001</v>
      </c>
      <c r="D64" s="1">
        <f t="shared" si="0"/>
        <v>0.76639400000000002</v>
      </c>
      <c r="E64" s="1">
        <f t="shared" si="3"/>
        <v>7.3740888922330106E-2</v>
      </c>
      <c r="F64" s="1"/>
      <c r="G64" s="1"/>
      <c r="H64" s="1">
        <f t="shared" si="1"/>
        <v>1.0791324270749329E-2</v>
      </c>
    </row>
    <row r="65" spans="2:8">
      <c r="B65" s="1">
        <f t="shared" si="2"/>
        <v>96</v>
      </c>
      <c r="C65" s="1">
        <f>IF(B65&gt;120,"",VLOOKUP(B65,Qx!$B$4:$C$119,2))</f>
        <v>0.25151000000000001</v>
      </c>
      <c r="D65" s="1">
        <f t="shared" si="0"/>
        <v>0.74848999999999999</v>
      </c>
      <c r="E65" s="1">
        <f>IFERROR(IF(B65="","",E64*D64),"")</f>
        <v>5.651457482474026E-2</v>
      </c>
      <c r="F65" s="1"/>
      <c r="G65" s="1"/>
      <c r="H65" s="1">
        <f t="shared" si="1"/>
        <v>7.9523136280352513E-3</v>
      </c>
    </row>
    <row r="66" spans="2:8">
      <c r="B66" s="1">
        <f t="shared" si="2"/>
        <v>97</v>
      </c>
      <c r="C66" s="1">
        <f>IF(B66&gt;120,"",VLOOKUP(B66,Qx!$B$4:$C$119,2))</f>
        <v>0.26881500000000003</v>
      </c>
      <c r="D66" s="1">
        <f t="shared" si="0"/>
        <v>0.73118499999999997</v>
      </c>
      <c r="E66" s="1">
        <f>IFERROR(IF(B66="","",E65*D65),"")</f>
        <v>4.2300594110569835E-2</v>
      </c>
      <c r="F66" s="1"/>
      <c r="G66" s="1"/>
      <c r="H66" s="1">
        <f t="shared" si="1"/>
        <v>5.7232954110077927E-3</v>
      </c>
    </row>
    <row r="67" spans="2:8">
      <c r="B67" s="1">
        <f t="shared" si="2"/>
        <v>98</v>
      </c>
      <c r="C67" s="1">
        <f>IF(B67&gt;120,"",VLOOKUP(B67,Qx!$B$4:$C$119,2))</f>
        <v>0.285277</v>
      </c>
      <c r="D67" s="1">
        <f t="shared" si="0"/>
        <v>0.714723</v>
      </c>
      <c r="E67" s="1">
        <f t="shared" ref="E67:E80" si="4">IFERROR(IF(B67="","",E66*D66),"")</f>
        <v>3.0929559904737003E-2</v>
      </c>
      <c r="F67" s="1"/>
      <c r="G67" s="1"/>
      <c r="H67" s="1">
        <f t="shared" si="1"/>
        <v>4.0238343799016661E-3</v>
      </c>
    </row>
    <row r="68" spans="2:8">
      <c r="B68" s="1">
        <f t="shared" si="2"/>
        <v>99</v>
      </c>
      <c r="C68" s="1">
        <f>IF(B68&gt;120,"",VLOOKUP(B68,Qx!$B$4:$C$119,2))</f>
        <v>0.30129800000000001</v>
      </c>
      <c r="D68" s="1">
        <f t="shared" si="0"/>
        <v>0.69870199999999993</v>
      </c>
      <c r="E68" s="1">
        <f t="shared" si="4"/>
        <v>2.2106067843793344E-2</v>
      </c>
      <c r="F68" s="1"/>
      <c r="G68" s="1"/>
      <c r="H68" s="1">
        <f t="shared" si="1"/>
        <v>2.765314403371594E-3</v>
      </c>
    </row>
    <row r="69" spans="2:8">
      <c r="B69" s="1">
        <f t="shared" si="2"/>
        <v>100</v>
      </c>
      <c r="C69" s="1">
        <f>IF(B69&gt;120,"",VLOOKUP(B69,Qx!$B$4:$C$119,2))</f>
        <v>0.31723800000000002</v>
      </c>
      <c r="D69" s="1">
        <f t="shared" si="0"/>
        <v>0.68276199999999998</v>
      </c>
      <c r="E69" s="1">
        <f t="shared" si="4"/>
        <v>1.5445553814594096E-2</v>
      </c>
      <c r="F69" s="1"/>
      <c r="G69" s="1"/>
      <c r="H69" s="1">
        <f t="shared" si="1"/>
        <v>1.8578179848697494E-3</v>
      </c>
    </row>
    <row r="70" spans="2:8">
      <c r="B70" s="1">
        <f t="shared" si="2"/>
        <v>101</v>
      </c>
      <c r="C70" s="1">
        <f>IF(B70&gt;120,"",VLOOKUP(B70,Qx!$B$4:$C$119,2))</f>
        <v>0.33346100000000001</v>
      </c>
      <c r="D70" s="1">
        <f t="shared" si="0"/>
        <v>0.66653899999999999</v>
      </c>
      <c r="E70" s="1">
        <f t="shared" si="4"/>
        <v>1.0545637213559894E-2</v>
      </c>
      <c r="F70" s="1"/>
      <c r="G70" s="1"/>
      <c r="H70" s="1">
        <f t="shared" si="1"/>
        <v>1.2196610797938845E-3</v>
      </c>
    </row>
    <row r="71" spans="2:8">
      <c r="B71" s="1">
        <f t="shared" si="2"/>
        <v>102</v>
      </c>
      <c r="C71" s="1">
        <f>IF(B71&gt;120,"",VLOOKUP(B71,Qx!$B$4:$C$119,2))</f>
        <v>0.35032999999999997</v>
      </c>
      <c r="D71" s="1">
        <f t="shared" si="0"/>
        <v>0.64966999999999997</v>
      </c>
      <c r="E71" s="1">
        <f t="shared" si="4"/>
        <v>7.0290784826889984E-3</v>
      </c>
      <c r="F71" s="1"/>
      <c r="G71" s="1"/>
      <c r="H71" s="1">
        <f t="shared" si="1"/>
        <v>7.8168430429301542E-4</v>
      </c>
    </row>
    <row r="72" spans="2:8">
      <c r="B72" s="1">
        <f t="shared" si="2"/>
        <v>103</v>
      </c>
      <c r="C72" s="1">
        <f>IF(B72&gt;120,"",VLOOKUP(B72,Qx!$B$4:$C$119,2))</f>
        <v>0.36854199999999998</v>
      </c>
      <c r="D72" s="1">
        <f t="shared" si="0"/>
        <v>0.63145800000000007</v>
      </c>
      <c r="E72" s="1">
        <f t="shared" si="4"/>
        <v>4.5665814178485614E-3</v>
      </c>
      <c r="F72" s="1"/>
      <c r="G72" s="1"/>
      <c r="H72" s="1">
        <f t="shared" si="1"/>
        <v>4.883046557404261E-4</v>
      </c>
    </row>
    <row r="73" spans="2:8">
      <c r="B73" s="1">
        <f t="shared" si="2"/>
        <v>104</v>
      </c>
      <c r="C73" s="1">
        <f>IF(B73&gt;120,"",VLOOKUP(B73,Qx!$B$4:$C$119,2))</f>
        <v>0.38785500000000001</v>
      </c>
      <c r="D73" s="1">
        <f t="shared" si="0"/>
        <v>0.61214499999999994</v>
      </c>
      <c r="E73" s="1">
        <f t="shared" si="4"/>
        <v>2.8836043689518171E-3</v>
      </c>
      <c r="F73" s="1"/>
      <c r="G73" s="1"/>
      <c r="H73" s="1">
        <f t="shared" si="1"/>
        <v>2.9648450125436355E-4</v>
      </c>
    </row>
    <row r="74" spans="2:8">
      <c r="B74" s="1">
        <f t="shared" si="2"/>
        <v>105</v>
      </c>
      <c r="C74" s="1">
        <f>IF(B74&gt;120,"",VLOOKUP(B74,Qx!$B$4:$C$119,2))</f>
        <v>0.40722399999999997</v>
      </c>
      <c r="D74" s="1">
        <f t="shared" si="0"/>
        <v>0.59277599999999997</v>
      </c>
      <c r="E74" s="1">
        <f t="shared" si="4"/>
        <v>1.7651839964320098E-3</v>
      </c>
      <c r="F74" s="1"/>
      <c r="G74" s="1"/>
      <c r="H74" s="1">
        <f t="shared" si="1"/>
        <v>1.7451106251956957E-4</v>
      </c>
    </row>
    <row r="75" spans="2:8">
      <c r="B75" s="1">
        <f t="shared" si="2"/>
        <v>106</v>
      </c>
      <c r="C75" s="1">
        <f>IF(B75&gt;120,"",VLOOKUP(B75,Qx!$B$4:$C$119,2))</f>
        <v>0.42559900000000001</v>
      </c>
      <c r="D75" s="1">
        <f t="shared" si="0"/>
        <v>0.57440099999999994</v>
      </c>
      <c r="E75" s="1">
        <f t="shared" si="4"/>
        <v>1.046358708668981E-3</v>
      </c>
      <c r="F75" s="1"/>
      <c r="G75" s="1"/>
      <c r="H75" s="1">
        <f t="shared" si="1"/>
        <v>9.946727845778877E-5</v>
      </c>
    </row>
    <row r="76" spans="2:8">
      <c r="B76" s="1">
        <f t="shared" si="2"/>
        <v>107</v>
      </c>
      <c r="C76" s="1">
        <f>IF(B76&gt;120,"",VLOOKUP(B76,Qx!$B$4:$C$119,2))</f>
        <v>0.44193500000000002</v>
      </c>
      <c r="D76" s="1">
        <f t="shared" si="0"/>
        <v>0.55806500000000003</v>
      </c>
      <c r="E76" s="1">
        <f t="shared" si="4"/>
        <v>6.0102948861817131E-4</v>
      </c>
      <c r="F76" s="1"/>
      <c r="G76" s="1"/>
      <c r="H76" s="1">
        <f t="shared" si="1"/>
        <v>5.4936638666761848E-5</v>
      </c>
    </row>
    <row r="77" spans="2:8">
      <c r="B77" s="1">
        <f t="shared" si="2"/>
        <v>108</v>
      </c>
      <c r="C77" s="1">
        <f>IF(B77&gt;120,"",VLOOKUP(B77,Qx!$B$4:$C$119,2))</f>
        <v>0.45755299999999999</v>
      </c>
      <c r="D77" s="1">
        <f t="shared" si="0"/>
        <v>0.54244700000000001</v>
      </c>
      <c r="E77" s="1">
        <f t="shared" si="4"/>
        <v>3.3541352156569982E-4</v>
      </c>
      <c r="F77" s="1"/>
      <c r="G77" s="1"/>
      <c r="H77" s="1">
        <f t="shared" si="1"/>
        <v>2.9479053132275442E-5</v>
      </c>
    </row>
    <row r="78" spans="2:8">
      <c r="B78" s="1">
        <f t="shared" si="2"/>
        <v>109</v>
      </c>
      <c r="C78" s="1">
        <f>IF(B78&gt;120,"",VLOOKUP(B78,Qx!$B$4:$C$119,2))</f>
        <v>0.47315000000000002</v>
      </c>
      <c r="D78" s="1">
        <f t="shared" si="0"/>
        <v>0.52685000000000004</v>
      </c>
      <c r="E78" s="1">
        <f>IFERROR(IF(B78="","",E77*D77),"")</f>
        <v>1.8194405853274917E-4</v>
      </c>
      <c r="F78" s="1"/>
      <c r="G78" s="1"/>
      <c r="H78" s="1">
        <f t="shared" si="1"/>
        <v>1.5375792244657133E-5</v>
      </c>
    </row>
    <row r="79" spans="2:8">
      <c r="B79" s="1">
        <f t="shared" si="2"/>
        <v>110</v>
      </c>
      <c r="C79" s="1">
        <f>IF(B79&gt;120,"",VLOOKUP(B79,Qx!$B$4:$C$119,2))</f>
        <v>0.48674499999999998</v>
      </c>
      <c r="D79" s="1">
        <f t="shared" ref="D79:D89" si="5">IFERROR(IF(B79="","",1-C79),"")</f>
        <v>0.51325500000000002</v>
      </c>
      <c r="E79" s="1">
        <f t="shared" si="4"/>
        <v>9.5857227237978909E-5</v>
      </c>
      <c r="F79" s="1"/>
      <c r="G79" s="1"/>
      <c r="H79" s="1">
        <f t="shared" si="1"/>
        <v>7.7891693693246254E-6</v>
      </c>
    </row>
    <row r="80" spans="2:8">
      <c r="B80" s="1">
        <f t="shared" si="2"/>
        <v>111</v>
      </c>
      <c r="C80" s="1">
        <f>IF(B80&gt;120,"",VLOOKUP(B80,Qx!$B$4:$C$119,2))</f>
        <v>0.49635600000000002</v>
      </c>
      <c r="D80" s="1">
        <f t="shared" si="5"/>
        <v>0.50364399999999998</v>
      </c>
      <c r="E80" s="1">
        <f t="shared" si="4"/>
        <v>4.9199201166028864E-5</v>
      </c>
      <c r="F80" s="1"/>
      <c r="G80" s="1"/>
      <c r="H80" s="1">
        <f t="shared" ref="H80:H90" si="6">IFERROR(IF($H$5="",0,E80/(1+$H$5)^(B80-$B$15)),"")</f>
        <v>3.8440674275506822E-6</v>
      </c>
    </row>
    <row r="81" spans="2:8">
      <c r="B81" s="1">
        <f t="shared" ref="B81:B93" si="7">IF(B80&gt;120,"",B80+1)</f>
        <v>112</v>
      </c>
      <c r="C81" s="1">
        <f>IF(B81&gt;120,"",VLOOKUP(B81,Qx!$B$4:$C$119,2))</f>
        <v>0.5</v>
      </c>
      <c r="D81" s="1">
        <f t="shared" si="5"/>
        <v>0.5</v>
      </c>
      <c r="E81" s="1">
        <f>IFERROR(IF(B81="","",E80*D80),"")</f>
        <v>2.477888247206344E-5</v>
      </c>
      <c r="F81" s="1"/>
      <c r="G81" s="1"/>
      <c r="H81" s="1">
        <f t="shared" si="6"/>
        <v>1.861578361039746E-6</v>
      </c>
    </row>
    <row r="82" spans="2:8">
      <c r="B82" s="1">
        <f t="shared" si="7"/>
        <v>113</v>
      </c>
      <c r="C82" s="1">
        <f>IF(B82&gt;120,"",VLOOKUP(B82,Qx!$B$4:$C$119,2))</f>
        <v>0.5</v>
      </c>
      <c r="D82" s="1">
        <f t="shared" si="5"/>
        <v>0.5</v>
      </c>
      <c r="E82" s="1">
        <f t="shared" ref="E82:E95" si="8">IFERROR(IF(B82="","",E81*D81),"")</f>
        <v>1.238944123603172E-5</v>
      </c>
      <c r="F82" s="1"/>
      <c r="G82" s="1"/>
      <c r="H82" s="1">
        <f t="shared" si="6"/>
        <v>8.9498959665372411E-7</v>
      </c>
    </row>
    <row r="83" spans="2:8">
      <c r="B83" s="1">
        <f t="shared" si="7"/>
        <v>114</v>
      </c>
      <c r="C83" s="1">
        <f>IF(B83&gt;120,"",VLOOKUP(B83,Qx!$B$4:$C$119,2))</f>
        <v>0.5</v>
      </c>
      <c r="D83" s="1">
        <f t="shared" si="5"/>
        <v>0.5</v>
      </c>
      <c r="E83" s="1">
        <f t="shared" si="8"/>
        <v>6.1947206180158601E-6</v>
      </c>
      <c r="F83" s="1"/>
      <c r="G83" s="1"/>
      <c r="H83" s="1">
        <f t="shared" si="6"/>
        <v>4.30283459929675E-7</v>
      </c>
    </row>
    <row r="84" spans="2:8">
      <c r="B84" s="1">
        <f t="shared" si="7"/>
        <v>115</v>
      </c>
      <c r="C84" s="1">
        <f>IF(B84&gt;120,"",VLOOKUP(B84,Qx!$B$4:$C$119,2))</f>
        <v>0.5</v>
      </c>
      <c r="D84" s="1">
        <f t="shared" si="5"/>
        <v>0.5</v>
      </c>
      <c r="E84" s="1">
        <f t="shared" si="8"/>
        <v>3.09736030900793E-6</v>
      </c>
      <c r="F84" s="1"/>
      <c r="G84" s="1"/>
      <c r="H84" s="1">
        <f t="shared" si="6"/>
        <v>2.0686704804311296E-7</v>
      </c>
    </row>
    <row r="85" spans="2:8">
      <c r="B85" s="1">
        <f t="shared" si="7"/>
        <v>116</v>
      </c>
      <c r="C85" s="1">
        <f>IF(B85&gt;120,"",VLOOKUP(B85,Qx!$B$4:$C$119,2))</f>
        <v>0.5</v>
      </c>
      <c r="D85" s="1">
        <f t="shared" si="5"/>
        <v>0.5</v>
      </c>
      <c r="E85" s="1">
        <f t="shared" si="8"/>
        <v>1.548680154503965E-6</v>
      </c>
      <c r="F85" s="1"/>
      <c r="G85" s="1"/>
      <c r="H85" s="1">
        <f t="shared" si="6"/>
        <v>9.945531155918892E-8</v>
      </c>
    </row>
    <row r="86" spans="2:8">
      <c r="B86" s="1">
        <f t="shared" si="7"/>
        <v>117</v>
      </c>
      <c r="C86" s="1">
        <f>IF(B86&gt;120,"",VLOOKUP(B86,Qx!$B$4:$C$119,2))</f>
        <v>0.5</v>
      </c>
      <c r="D86" s="1">
        <f t="shared" si="5"/>
        <v>0.5</v>
      </c>
      <c r="E86" s="1">
        <f t="shared" si="8"/>
        <v>7.7434007725198251E-7</v>
      </c>
      <c r="F86" s="1"/>
      <c r="G86" s="1"/>
      <c r="H86" s="1">
        <f t="shared" si="6"/>
        <v>4.781505363422545E-8</v>
      </c>
    </row>
    <row r="87" spans="2:8">
      <c r="B87" s="1">
        <f t="shared" si="7"/>
        <v>118</v>
      </c>
      <c r="C87" s="1">
        <f>IF(B87&gt;120,"",VLOOKUP(B87,Qx!$B$4:$C$119,2))</f>
        <v>0.5</v>
      </c>
      <c r="D87" s="1">
        <f t="shared" si="5"/>
        <v>0.5</v>
      </c>
      <c r="E87" s="1">
        <f t="shared" si="8"/>
        <v>3.8717003862599125E-7</v>
      </c>
      <c r="F87" s="1"/>
      <c r="G87" s="1"/>
      <c r="H87" s="1">
        <f t="shared" si="6"/>
        <v>2.2988006554916075E-8</v>
      </c>
    </row>
    <row r="88" spans="2:8">
      <c r="B88" s="1">
        <f t="shared" si="7"/>
        <v>119</v>
      </c>
      <c r="C88" s="1">
        <f>IF(B88&gt;120,"",VLOOKUP(B88,Qx!$B$4:$C$119,2))</f>
        <v>0.5</v>
      </c>
      <c r="D88" s="1">
        <f t="shared" si="5"/>
        <v>0.5</v>
      </c>
      <c r="E88" s="1">
        <f t="shared" si="8"/>
        <v>1.9358501931299563E-7</v>
      </c>
      <c r="F88" s="1"/>
      <c r="G88" s="1"/>
      <c r="H88" s="1">
        <f t="shared" si="6"/>
        <v>1.1051926228325036E-8</v>
      </c>
    </row>
    <row r="89" spans="2:8">
      <c r="B89" s="1">
        <f t="shared" si="7"/>
        <v>120</v>
      </c>
      <c r="C89" s="1">
        <f>IF(B89&gt;120,"",VLOOKUP(B89,Qx!$B$4:$C$119,2))</f>
        <v>1</v>
      </c>
      <c r="D89" s="1">
        <f t="shared" si="5"/>
        <v>0</v>
      </c>
      <c r="E89" s="1">
        <f t="shared" si="8"/>
        <v>9.6792509656497813E-8</v>
      </c>
      <c r="F89" s="1"/>
      <c r="G89" s="1"/>
      <c r="H89" s="1">
        <f t="shared" si="6"/>
        <v>5.3134260713101126E-9</v>
      </c>
    </row>
    <row r="90" spans="2:8">
      <c r="B90" s="1">
        <f t="shared" si="7"/>
        <v>121</v>
      </c>
      <c r="C90" s="1" t="str">
        <f>IF(B90&gt;120,"",VLOOKUP(B90,Qx!$B$4:$C$119,2))</f>
        <v/>
      </c>
      <c r="D90" s="1" t="str">
        <f>IFERROR(IF(B90="","",1-C90),"")</f>
        <v/>
      </c>
      <c r="E90" s="1">
        <f t="shared" si="8"/>
        <v>0</v>
      </c>
      <c r="F90" s="1"/>
      <c r="G90" s="1"/>
      <c r="H90" s="1">
        <f t="shared" si="6"/>
        <v>0</v>
      </c>
    </row>
    <row r="91" spans="2:8">
      <c r="B91" s="1" t="str">
        <f t="shared" si="7"/>
        <v/>
      </c>
      <c r="C91" s="1" t="str">
        <f>IF(B91&gt;120,"",VLOOKUP(B91,[1]Qx!$B$4:$C$119,2))</f>
        <v/>
      </c>
      <c r="D91" s="1" t="str">
        <f t="shared" ref="D91:D107" si="9">IF(B91="","",1-C91)</f>
        <v/>
      </c>
      <c r="E91" s="1" t="str">
        <f t="shared" si="8"/>
        <v/>
      </c>
      <c r="F91" s="1"/>
      <c r="G91" s="1"/>
      <c r="H91" s="1"/>
    </row>
    <row r="92" spans="2:8">
      <c r="B92" s="1" t="str">
        <f t="shared" si="7"/>
        <v/>
      </c>
      <c r="C92" s="1" t="str">
        <f>IF(B92&gt;120,"",VLOOKUP(B92,[1]Qx!$B$4:$C$119,2))</f>
        <v/>
      </c>
      <c r="D92" s="1" t="str">
        <f t="shared" si="9"/>
        <v/>
      </c>
      <c r="E92" s="1" t="str">
        <f t="shared" si="8"/>
        <v/>
      </c>
      <c r="F92" s="1"/>
      <c r="G92" s="1"/>
      <c r="H92" s="1"/>
    </row>
    <row r="93" spans="2:8">
      <c r="B93" s="1" t="str">
        <f t="shared" si="7"/>
        <v/>
      </c>
      <c r="C93" s="1" t="str">
        <f>IF(B93&gt;120,"",VLOOKUP(B93,[1]Qx!$B$4:$C$119,2))</f>
        <v/>
      </c>
      <c r="D93" s="1" t="str">
        <f t="shared" si="9"/>
        <v/>
      </c>
      <c r="E93" s="1" t="str">
        <f>IFERROR(IF(B93="","",E92*D92),"")</f>
        <v/>
      </c>
      <c r="F93" s="1"/>
      <c r="G93" s="1"/>
      <c r="H93" s="1"/>
    </row>
    <row r="94" spans="2:8">
      <c r="B94" s="1" t="str">
        <f t="shared" ref="B94:B107" si="10">IF(B93&gt;120,"",B93+1)</f>
        <v/>
      </c>
      <c r="C94" s="1" t="str">
        <f>IF(B94&gt;120,"",VLOOKUP(B94,[1]Qx!$B$4:$C$119,2))</f>
        <v/>
      </c>
      <c r="D94" s="1" t="str">
        <f t="shared" si="9"/>
        <v/>
      </c>
      <c r="E94" s="1" t="str">
        <f t="shared" si="8"/>
        <v/>
      </c>
      <c r="F94" s="1"/>
      <c r="G94" s="1"/>
      <c r="H94" s="1"/>
    </row>
    <row r="95" spans="2:8">
      <c r="B95" s="1" t="str">
        <f t="shared" si="10"/>
        <v/>
      </c>
      <c r="C95" s="1" t="str">
        <f>IF(B95&gt;120,"",VLOOKUP(B95,[1]Qx!$B$4:$C$119,2))</f>
        <v/>
      </c>
      <c r="D95" s="1" t="str">
        <f t="shared" si="9"/>
        <v/>
      </c>
      <c r="E95" s="1" t="str">
        <f t="shared" si="8"/>
        <v/>
      </c>
      <c r="F95" s="1"/>
      <c r="G95" s="1"/>
      <c r="H95" s="1"/>
    </row>
    <row r="96" spans="2:8">
      <c r="B96" s="1" t="str">
        <f t="shared" si="10"/>
        <v/>
      </c>
      <c r="C96" s="1" t="str">
        <f>IF(B96&gt;120,"",VLOOKUP(B96,[1]Qx!$B$4:$C$119,2))</f>
        <v/>
      </c>
      <c r="D96" s="1" t="str">
        <f t="shared" si="9"/>
        <v/>
      </c>
      <c r="E96" s="1" t="str">
        <f t="shared" ref="E96:E107" si="11">IF(B95="","",E95*D95)</f>
        <v/>
      </c>
      <c r="F96" s="1"/>
      <c r="G96" s="1"/>
      <c r="H96" s="1"/>
    </row>
    <row r="97" spans="2:8">
      <c r="B97" s="1" t="str">
        <f t="shared" si="10"/>
        <v/>
      </c>
      <c r="C97" s="1" t="str">
        <f>IF(B97&gt;120,"",VLOOKUP(B97,[1]Qx!$B$4:$C$119,2))</f>
        <v/>
      </c>
      <c r="D97" s="1" t="str">
        <f t="shared" si="9"/>
        <v/>
      </c>
      <c r="E97" s="1" t="str">
        <f t="shared" si="11"/>
        <v/>
      </c>
      <c r="F97" s="1"/>
      <c r="G97" s="1"/>
      <c r="H97" s="1"/>
    </row>
    <row r="98" spans="2:8">
      <c r="B98" s="1" t="str">
        <f t="shared" si="10"/>
        <v/>
      </c>
      <c r="C98" s="1" t="str">
        <f>IF(B98&gt;120,"",VLOOKUP(B98,[1]Qx!$B$4:$C$119,2))</f>
        <v/>
      </c>
      <c r="D98" s="1" t="str">
        <f t="shared" si="9"/>
        <v/>
      </c>
      <c r="E98" s="1" t="str">
        <f t="shared" si="11"/>
        <v/>
      </c>
      <c r="F98" s="1"/>
      <c r="G98" s="1"/>
      <c r="H98" s="1"/>
    </row>
    <row r="99" spans="2:8">
      <c r="B99" s="1" t="str">
        <f t="shared" si="10"/>
        <v/>
      </c>
      <c r="C99" s="1" t="str">
        <f>IF(B99&gt;120,"",VLOOKUP(B99,[1]Qx!$B$4:$C$119,2))</f>
        <v/>
      </c>
      <c r="D99" s="1" t="str">
        <f t="shared" si="9"/>
        <v/>
      </c>
      <c r="E99" s="1" t="str">
        <f t="shared" si="11"/>
        <v/>
      </c>
      <c r="F99" s="1"/>
      <c r="G99" s="1"/>
      <c r="H99" s="1"/>
    </row>
    <row r="100" spans="2:8">
      <c r="B100" t="str">
        <f t="shared" si="10"/>
        <v/>
      </c>
      <c r="C100" t="str">
        <f>IF(B100&gt;120,"",VLOOKUP(B100,[1]Qx!$B$4:$C$119,2))</f>
        <v/>
      </c>
      <c r="D100" t="str">
        <f t="shared" si="9"/>
        <v/>
      </c>
      <c r="E100" t="str">
        <f t="shared" si="11"/>
        <v/>
      </c>
    </row>
    <row r="101" spans="2:8">
      <c r="B101" t="str">
        <f t="shared" si="10"/>
        <v/>
      </c>
      <c r="C101" t="str">
        <f>IF(B101&gt;120,"",VLOOKUP(B101,[1]Qx!$B$4:$C$119,2))</f>
        <v/>
      </c>
      <c r="D101" t="str">
        <f t="shared" si="9"/>
        <v/>
      </c>
      <c r="E101" t="str">
        <f t="shared" si="11"/>
        <v/>
      </c>
    </row>
    <row r="102" spans="2:8">
      <c r="B102" t="str">
        <f t="shared" si="10"/>
        <v/>
      </c>
      <c r="C102" t="str">
        <f>IF(B102&gt;120,"",VLOOKUP(B102,[1]Qx!$B$4:$C$119,2))</f>
        <v/>
      </c>
      <c r="D102" t="str">
        <f t="shared" si="9"/>
        <v/>
      </c>
      <c r="E102" t="str">
        <f t="shared" si="11"/>
        <v/>
      </c>
    </row>
    <row r="103" spans="2:8">
      <c r="B103" t="str">
        <f t="shared" si="10"/>
        <v/>
      </c>
      <c r="C103" t="str">
        <f>IF(B103&gt;120,"",VLOOKUP(B103,[1]Qx!$B$4:$C$119,2))</f>
        <v/>
      </c>
      <c r="D103" t="str">
        <f t="shared" si="9"/>
        <v/>
      </c>
      <c r="E103" t="str">
        <f t="shared" si="11"/>
        <v/>
      </c>
    </row>
    <row r="104" spans="2:8">
      <c r="B104" t="str">
        <f t="shared" si="10"/>
        <v/>
      </c>
      <c r="C104" t="str">
        <f>IF(B104&gt;120,"",VLOOKUP(B104,[1]Qx!$B$4:$C$119,2))</f>
        <v/>
      </c>
      <c r="D104" t="str">
        <f t="shared" si="9"/>
        <v/>
      </c>
      <c r="E104" t="str">
        <f t="shared" si="11"/>
        <v/>
      </c>
    </row>
    <row r="105" spans="2:8">
      <c r="B105" t="str">
        <f t="shared" si="10"/>
        <v/>
      </c>
      <c r="C105" t="str">
        <f>IF(B105&gt;120,"",VLOOKUP(B105,[1]Qx!$B$4:$C$119,2))</f>
        <v/>
      </c>
      <c r="D105" t="str">
        <f t="shared" si="9"/>
        <v/>
      </c>
      <c r="E105" t="str">
        <f t="shared" si="11"/>
        <v/>
      </c>
    </row>
    <row r="106" spans="2:8">
      <c r="B106" t="str">
        <f t="shared" si="10"/>
        <v/>
      </c>
      <c r="C106" t="str">
        <f>IF(B106&gt;120,"",VLOOKUP(B106,[1]Qx!$B$4:$C$119,2))</f>
        <v/>
      </c>
      <c r="D106" t="str">
        <f t="shared" si="9"/>
        <v/>
      </c>
      <c r="E106" t="str">
        <f t="shared" si="11"/>
        <v/>
      </c>
    </row>
    <row r="107" spans="2:8">
      <c r="B107" t="str">
        <f t="shared" si="10"/>
        <v/>
      </c>
      <c r="C107" t="str">
        <f>IF(B107&gt;120,"",VLOOKUP(B107,[1]Qx!$B$4:$C$119,2))</f>
        <v/>
      </c>
      <c r="D107" t="str">
        <f t="shared" si="9"/>
        <v/>
      </c>
      <c r="E107" t="str">
        <f t="shared" si="11"/>
        <v/>
      </c>
    </row>
  </sheetData>
  <mergeCells count="2">
    <mergeCell ref="B2:H2"/>
    <mergeCell ref="B13:H13"/>
  </mergeCells>
  <printOptions horizontalCentered="1"/>
  <pageMargins left="0.7" right="0.7" top="0.75" bottom="0.75" header="0.3" footer="0.3"/>
  <pageSetup fitToHeight="3" orientation="portrait" r:id="rId1"/>
  <headerFooter>
    <oddFooter>&amp;LFinal Test.xlsx
Annuity&amp;R04/28/2022
11:55 AM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6F56-6AD5-4CDE-AFA5-9F7B2A253C14}">
  <dimension ref="A2:K27"/>
  <sheetViews>
    <sheetView workbookViewId="0">
      <selection activeCell="F6" sqref="F6"/>
    </sheetView>
  </sheetViews>
  <sheetFormatPr defaultRowHeight="15"/>
  <cols>
    <col min="1" max="1" width="20.28515625" bestFit="1" customWidth="1"/>
    <col min="2" max="2" width="20.140625" bestFit="1" customWidth="1"/>
    <col min="3" max="3" width="20.28515625" bestFit="1" customWidth="1"/>
    <col min="4" max="5" width="11.5703125" bestFit="1" customWidth="1"/>
    <col min="6" max="6" width="14" bestFit="1" customWidth="1"/>
    <col min="7" max="7" width="13.85546875" bestFit="1" customWidth="1"/>
    <col min="8" max="8" width="5.42578125" bestFit="1" customWidth="1"/>
    <col min="11" max="11" width="10.7109375" bestFit="1" customWidth="1"/>
  </cols>
  <sheetData>
    <row r="2" spans="2:11" ht="15.75">
      <c r="B2" s="8" t="s">
        <v>20</v>
      </c>
      <c r="G2" s="9">
        <v>43466</v>
      </c>
    </row>
    <row r="3" spans="2:11" ht="15.75" thickBot="1"/>
    <row r="4" spans="2:11" ht="18.75">
      <c r="B4" s="83" t="s">
        <v>17</v>
      </c>
      <c r="C4" s="84"/>
      <c r="D4" s="84"/>
      <c r="E4" s="84"/>
      <c r="F4" s="84"/>
      <c r="G4" s="85"/>
    </row>
    <row r="5" spans="2:11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18</v>
      </c>
      <c r="I5" s="2" t="s">
        <v>19</v>
      </c>
    </row>
    <row r="6" spans="2:11">
      <c r="B6" s="4">
        <v>50001</v>
      </c>
      <c r="C6" s="5" t="str">
        <f>B18</f>
        <v>Roxanne Klendshoj</v>
      </c>
      <c r="D6" s="19">
        <v>110000</v>
      </c>
      <c r="E6" s="19">
        <v>101000</v>
      </c>
      <c r="F6" s="6">
        <v>26363</v>
      </c>
      <c r="G6" s="6">
        <v>33665</v>
      </c>
      <c r="H6" s="10">
        <f>($G$2-F6)/365.25</f>
        <v>46.82546201232033</v>
      </c>
      <c r="I6" s="10">
        <f>($G$2-G6)/365.25</f>
        <v>26.833675564681723</v>
      </c>
    </row>
    <row r="7" spans="2:11">
      <c r="B7" s="4">
        <v>50002</v>
      </c>
      <c r="C7" s="5" t="str">
        <f t="shared" ref="C7:C15" si="0">B19</f>
        <v>Jeanna M Woolley</v>
      </c>
      <c r="D7" s="19">
        <v>99000</v>
      </c>
      <c r="E7" s="19">
        <v>91000</v>
      </c>
      <c r="F7" s="6">
        <v>19785</v>
      </c>
      <c r="G7" s="6">
        <v>42616</v>
      </c>
      <c r="H7" s="10">
        <f t="shared" ref="H7:H15" si="1">($G$2-F7)/365.25</f>
        <v>64.83504449007529</v>
      </c>
      <c r="I7" s="10">
        <f t="shared" ref="I7:I15" si="2">($G$2-G7)/365.25</f>
        <v>2.3271731690622861</v>
      </c>
    </row>
    <row r="8" spans="2:11">
      <c r="B8" s="4">
        <v>50003</v>
      </c>
      <c r="C8" s="5" t="str">
        <f t="shared" si="0"/>
        <v>Jerome Fion Bartho</v>
      </c>
      <c r="D8" s="19">
        <v>98000</v>
      </c>
      <c r="E8" s="19">
        <v>90000</v>
      </c>
      <c r="F8" s="6">
        <v>20584</v>
      </c>
      <c r="G8" s="6">
        <v>37989</v>
      </c>
      <c r="H8" s="10">
        <f t="shared" si="1"/>
        <v>62.647501711156742</v>
      </c>
      <c r="I8" s="10">
        <f t="shared" si="2"/>
        <v>14.99520876112252</v>
      </c>
    </row>
    <row r="9" spans="2:11">
      <c r="B9" s="4">
        <v>50004</v>
      </c>
      <c r="C9" s="5" t="str">
        <f t="shared" si="0"/>
        <v>Scott G Benson</v>
      </c>
      <c r="D9" s="65">
        <v>97000</v>
      </c>
      <c r="E9" s="19">
        <v>89000</v>
      </c>
      <c r="F9" s="6">
        <v>20341</v>
      </c>
      <c r="G9" s="6">
        <v>40825</v>
      </c>
      <c r="H9" s="10">
        <f t="shared" si="1"/>
        <v>63.312799452429843</v>
      </c>
      <c r="I9" s="10">
        <f t="shared" si="2"/>
        <v>7.2306639288158792</v>
      </c>
      <c r="K9" s="3"/>
    </row>
    <row r="10" spans="2:11">
      <c r="B10" s="4">
        <v>50005</v>
      </c>
      <c r="C10" s="5" t="str">
        <f t="shared" si="0"/>
        <v>Diane Aho</v>
      </c>
      <c r="D10" s="19">
        <v>96000</v>
      </c>
      <c r="E10" s="19">
        <v>88000</v>
      </c>
      <c r="F10" s="6">
        <v>26458</v>
      </c>
      <c r="G10" s="6">
        <v>40973</v>
      </c>
      <c r="H10" s="10">
        <f t="shared" si="1"/>
        <v>46.565366187542779</v>
      </c>
      <c r="I10" s="10">
        <f t="shared" si="2"/>
        <v>6.8254620123203287</v>
      </c>
      <c r="K10" s="3"/>
    </row>
    <row r="11" spans="2:11">
      <c r="B11" s="4">
        <v>50006</v>
      </c>
      <c r="C11" s="5" t="str">
        <f t="shared" si="0"/>
        <v>DeeAnn Smith Larson</v>
      </c>
      <c r="D11" s="19">
        <v>95000</v>
      </c>
      <c r="E11" s="19">
        <v>87000</v>
      </c>
      <c r="F11" s="6">
        <v>23072</v>
      </c>
      <c r="G11" s="6">
        <v>36163</v>
      </c>
      <c r="H11" s="10">
        <f t="shared" si="1"/>
        <v>55.835728952772072</v>
      </c>
      <c r="I11" s="10">
        <f t="shared" si="2"/>
        <v>19.994524298425734</v>
      </c>
      <c r="K11" s="3"/>
    </row>
    <row r="12" spans="2:11">
      <c r="B12" s="4">
        <v>50007</v>
      </c>
      <c r="C12" s="5" t="str">
        <f t="shared" si="0"/>
        <v>Susann Nelson</v>
      </c>
      <c r="D12" s="19">
        <v>100000</v>
      </c>
      <c r="E12" s="19">
        <v>92000</v>
      </c>
      <c r="F12" s="6">
        <v>20070</v>
      </c>
      <c r="G12" s="6">
        <v>32743</v>
      </c>
      <c r="H12" s="10">
        <f t="shared" si="1"/>
        <v>64.054757015742638</v>
      </c>
      <c r="I12" s="10">
        <f t="shared" si="2"/>
        <v>29.357973990417523</v>
      </c>
      <c r="K12" s="3"/>
    </row>
    <row r="13" spans="2:11">
      <c r="B13" s="4">
        <v>50008</v>
      </c>
      <c r="C13" s="5" t="str">
        <f t="shared" si="0"/>
        <v>Tracy A Asche</v>
      </c>
      <c r="D13" s="19">
        <v>93000</v>
      </c>
      <c r="E13" s="19">
        <v>85000</v>
      </c>
      <c r="F13" s="6">
        <v>21491</v>
      </c>
      <c r="G13" s="6">
        <v>43078</v>
      </c>
      <c r="H13" s="10">
        <f t="shared" si="1"/>
        <v>60.164271047227928</v>
      </c>
      <c r="I13" s="10">
        <f t="shared" si="2"/>
        <v>1.0622861054072552</v>
      </c>
      <c r="K13" s="3"/>
    </row>
    <row r="14" spans="2:11">
      <c r="B14" s="4">
        <v>50009</v>
      </c>
      <c r="C14" s="5" t="str">
        <f t="shared" si="0"/>
        <v>Robert Lee Carlson</v>
      </c>
      <c r="D14" s="19">
        <v>92000</v>
      </c>
      <c r="E14" s="19">
        <v>84000</v>
      </c>
      <c r="F14" s="6">
        <v>20694</v>
      </c>
      <c r="G14" s="6">
        <v>36767</v>
      </c>
      <c r="H14" s="10">
        <f t="shared" si="1"/>
        <v>62.346338124572213</v>
      </c>
      <c r="I14" s="10">
        <f t="shared" si="2"/>
        <v>18.340862422997947</v>
      </c>
      <c r="K14" s="3"/>
    </row>
    <row r="15" spans="2:11">
      <c r="B15" s="4">
        <v>50010</v>
      </c>
      <c r="C15" s="5" t="str">
        <f t="shared" si="0"/>
        <v>Richard Donovan</v>
      </c>
      <c r="D15" s="19">
        <v>91000</v>
      </c>
      <c r="E15" s="19">
        <v>83000</v>
      </c>
      <c r="F15" s="6">
        <v>22901</v>
      </c>
      <c r="G15" s="6">
        <v>32546</v>
      </c>
      <c r="H15" s="10">
        <f t="shared" si="1"/>
        <v>56.303901437371664</v>
      </c>
      <c r="I15" s="10">
        <f t="shared" si="2"/>
        <v>29.897330595482547</v>
      </c>
      <c r="K15" s="3"/>
    </row>
    <row r="16" spans="2:11">
      <c r="K16" s="3"/>
    </row>
    <row r="17" spans="1:11">
      <c r="K17" s="3"/>
    </row>
    <row r="18" spans="1:11">
      <c r="A18" t="s">
        <v>70</v>
      </c>
      <c r="B18" t="str">
        <f>MID(A18&amp;" "&amp;A18,FIND(",",A18)+2,LEN(A18)-1)</f>
        <v>Roxanne Klendshoj</v>
      </c>
      <c r="K18" s="3"/>
    </row>
    <row r="19" spans="1:11">
      <c r="A19" t="s">
        <v>7</v>
      </c>
      <c r="B19" t="str">
        <f t="shared" ref="B19:B27" si="3">MID(A19&amp;" "&amp;A19,FIND(",",A19)+2,LEN(A19)-1)</f>
        <v>Jeanna M Woolley</v>
      </c>
    </row>
    <row r="20" spans="1:11">
      <c r="A20" t="s">
        <v>71</v>
      </c>
      <c r="B20" t="str">
        <f t="shared" si="3"/>
        <v>Jerome Fion Bartho</v>
      </c>
    </row>
    <row r="21" spans="1:11">
      <c r="A21" t="s">
        <v>72</v>
      </c>
      <c r="B21" t="str">
        <f t="shared" si="3"/>
        <v>Scott G Benson</v>
      </c>
    </row>
    <row r="22" spans="1:11">
      <c r="A22" t="s">
        <v>79</v>
      </c>
      <c r="B22" t="str">
        <f t="shared" si="3"/>
        <v>Diane Aho</v>
      </c>
    </row>
    <row r="23" spans="1:11">
      <c r="A23" t="s">
        <v>73</v>
      </c>
      <c r="B23" t="str">
        <f t="shared" si="3"/>
        <v>DeeAnn Smith Larson</v>
      </c>
    </row>
    <row r="24" spans="1:11">
      <c r="A24" t="s">
        <v>74</v>
      </c>
      <c r="B24" t="str">
        <f t="shared" si="3"/>
        <v>Susann Nelson</v>
      </c>
    </row>
    <row r="25" spans="1:11">
      <c r="A25" t="s">
        <v>75</v>
      </c>
      <c r="B25" t="str">
        <f t="shared" si="3"/>
        <v>Tracy A Asche</v>
      </c>
    </row>
    <row r="26" spans="1:11">
      <c r="A26" t="s">
        <v>76</v>
      </c>
      <c r="B26" t="str">
        <f t="shared" si="3"/>
        <v>Robert Lee Carlson</v>
      </c>
    </row>
    <row r="27" spans="1:11">
      <c r="A27" t="s">
        <v>77</v>
      </c>
      <c r="B27" t="str">
        <f t="shared" si="3"/>
        <v>Richard Donovan</v>
      </c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935-DA7F-4187-A25D-0889E0F4F8AC}">
  <sheetPr>
    <pageSetUpPr fitToPage="1"/>
  </sheetPr>
  <dimension ref="B1:O26"/>
  <sheetViews>
    <sheetView topLeftCell="A7" workbookViewId="0">
      <selection activeCell="G20" sqref="G20:I20"/>
    </sheetView>
  </sheetViews>
  <sheetFormatPr defaultRowHeight="15"/>
  <cols>
    <col min="2" max="2" width="3.7109375" customWidth="1"/>
    <col min="3" max="3" width="33.140625" bestFit="1" customWidth="1"/>
    <col min="7" max="7" width="9.5703125" bestFit="1" customWidth="1"/>
    <col min="10" max="10" width="4.140625" customWidth="1"/>
    <col min="12" max="14" width="9.7109375" bestFit="1" customWidth="1"/>
    <col min="15" max="15" width="9.28515625" customWidth="1"/>
  </cols>
  <sheetData>
    <row r="1" spans="2:15" ht="15.75" thickBot="1"/>
    <row r="2" spans="2:15" ht="15.75" thickBot="1">
      <c r="B2" s="54"/>
      <c r="C2" s="55"/>
      <c r="D2" s="55"/>
      <c r="E2" s="55"/>
      <c r="F2" s="55"/>
      <c r="G2" s="55"/>
      <c r="H2" s="55"/>
      <c r="I2" s="55"/>
      <c r="J2" s="56"/>
    </row>
    <row r="3" spans="2:15" ht="19.5" thickBot="1">
      <c r="B3" s="57"/>
      <c r="C3" s="101" t="s">
        <v>58</v>
      </c>
      <c r="D3" s="102"/>
      <c r="E3" s="102"/>
      <c r="F3" s="102"/>
      <c r="G3" s="102"/>
      <c r="H3" s="102"/>
      <c r="I3" s="103"/>
      <c r="J3" s="61"/>
      <c r="N3" s="3"/>
    </row>
    <row r="4" spans="2:15" ht="15.75" thickBot="1">
      <c r="B4" s="57"/>
      <c r="C4" s="62"/>
      <c r="D4" s="22"/>
      <c r="E4" s="22"/>
      <c r="F4" s="22"/>
      <c r="G4" s="22"/>
      <c r="H4" s="22"/>
      <c r="I4" s="22"/>
      <c r="J4" s="61"/>
    </row>
    <row r="5" spans="2:15" ht="15.75" thickBot="1">
      <c r="B5" s="57"/>
      <c r="C5" s="62" t="s">
        <v>59</v>
      </c>
      <c r="D5" s="22"/>
      <c r="E5" s="22"/>
      <c r="F5" s="22"/>
      <c r="G5" s="107" t="str">
        <f>VLOOKUP($G$26,'Calculations '!B6:I15,2)</f>
        <v>Roxanne Klendshoj</v>
      </c>
      <c r="H5" s="108"/>
      <c r="I5" s="109"/>
      <c r="J5" s="61"/>
    </row>
    <row r="6" spans="2:15" ht="15.75" thickBot="1">
      <c r="B6" s="57"/>
      <c r="C6" s="62"/>
      <c r="D6" s="22"/>
      <c r="E6" s="22"/>
      <c r="F6" s="22"/>
      <c r="G6" s="22"/>
      <c r="H6" s="22"/>
      <c r="I6" s="22"/>
      <c r="J6" s="61"/>
      <c r="L6" s="3"/>
    </row>
    <row r="7" spans="2:15" ht="15.75" thickBot="1">
      <c r="B7" s="57"/>
      <c r="C7" s="62" t="s">
        <v>4</v>
      </c>
      <c r="D7" s="22"/>
      <c r="E7" s="22"/>
      <c r="F7" s="22"/>
      <c r="G7" s="120">
        <f>VLOOKUP($G$26,'Calculations '!$B$6:$I$15,5)</f>
        <v>26363</v>
      </c>
      <c r="H7" s="121"/>
      <c r="I7" s="122"/>
      <c r="J7" s="61"/>
    </row>
    <row r="8" spans="2:15" ht="15.75" thickBot="1">
      <c r="B8" s="57"/>
      <c r="C8" s="62" t="s">
        <v>5</v>
      </c>
      <c r="D8" s="22"/>
      <c r="E8" s="22"/>
      <c r="F8" s="22"/>
      <c r="G8" s="120">
        <f>VLOOKUP($G$26,'Calculations '!$B$6:$I$16,6)</f>
        <v>33665</v>
      </c>
      <c r="H8" s="121"/>
      <c r="I8" s="122"/>
      <c r="J8" s="61"/>
      <c r="M8" s="3"/>
    </row>
    <row r="9" spans="2:15" ht="15.75" thickBot="1">
      <c r="B9" s="57"/>
      <c r="C9" s="63" t="s">
        <v>60</v>
      </c>
      <c r="D9" s="22"/>
      <c r="E9" s="22"/>
      <c r="F9" s="22"/>
      <c r="G9" s="120">
        <f>DATE(YEAR(EDATE(G8,12)),1,1)</f>
        <v>33970</v>
      </c>
      <c r="H9" s="108"/>
      <c r="I9" s="109"/>
      <c r="J9" s="61"/>
      <c r="L9" s="67"/>
      <c r="M9" s="3"/>
    </row>
    <row r="10" spans="2:15" ht="15.75" thickBot="1">
      <c r="B10" s="57"/>
      <c r="C10" s="63" t="s">
        <v>61</v>
      </c>
      <c r="D10" s="22"/>
      <c r="E10" s="22"/>
      <c r="F10" s="22"/>
      <c r="G10" s="120">
        <f>EOMONTH(MAX(EDATE(G7,12*65),EDATE(G8,12*5))-1,0)+1</f>
        <v>50131</v>
      </c>
      <c r="H10" s="108"/>
      <c r="I10" s="109"/>
      <c r="J10" s="61"/>
      <c r="L10" s="66"/>
      <c r="M10" s="3"/>
    </row>
    <row r="11" spans="2:15" ht="15.75" thickBot="1">
      <c r="B11" s="57"/>
      <c r="C11" s="63" t="s">
        <v>2</v>
      </c>
      <c r="D11" s="22"/>
      <c r="E11" s="22"/>
      <c r="F11" s="22"/>
      <c r="G11" s="123">
        <f>VLOOKUP($G$26,'Calculations '!$B$6:$I$15,3)</f>
        <v>110000</v>
      </c>
      <c r="H11" s="124"/>
      <c r="I11" s="125"/>
      <c r="J11" s="61"/>
      <c r="M11" s="3"/>
      <c r="N11" s="3"/>
      <c r="O11" s="66"/>
    </row>
    <row r="12" spans="2:15" ht="15.75" thickBot="1">
      <c r="B12" s="57"/>
      <c r="C12" s="63" t="s">
        <v>62</v>
      </c>
      <c r="D12" s="22"/>
      <c r="E12" s="22"/>
      <c r="F12" s="22"/>
      <c r="G12" s="126">
        <f>EDATE(('Calculations '!G2-VLOOKUP($G$26,'Calculations '!$B$6:$I$15,5))/365.25,0)</f>
        <v>46</v>
      </c>
      <c r="H12" s="127"/>
      <c r="I12" s="128"/>
      <c r="J12" s="61"/>
      <c r="L12" s="3"/>
    </row>
    <row r="13" spans="2:15" ht="15.75" thickBot="1">
      <c r="B13" s="57"/>
      <c r="C13" s="63" t="s">
        <v>63</v>
      </c>
      <c r="D13" s="22"/>
      <c r="E13" s="22"/>
      <c r="F13" s="22"/>
      <c r="G13" s="107">
        <f>(DATEDIF($G$9,'Calculations '!$G$2,"m"))/12</f>
        <v>26</v>
      </c>
      <c r="H13" s="108"/>
      <c r="I13" s="109"/>
      <c r="J13" s="61"/>
    </row>
    <row r="14" spans="2:15" ht="15.75" thickBot="1">
      <c r="B14" s="57"/>
      <c r="C14" s="63" t="s">
        <v>64</v>
      </c>
      <c r="D14" s="22"/>
      <c r="E14" s="22"/>
      <c r="F14" s="22"/>
      <c r="G14" s="110">
        <f>2%*$G$11*$G13</f>
        <v>57200</v>
      </c>
      <c r="H14" s="129"/>
      <c r="I14" s="130"/>
      <c r="J14" s="61"/>
    </row>
    <row r="15" spans="2:15" ht="15.75" thickBot="1">
      <c r="B15" s="57"/>
      <c r="C15" s="63" t="s">
        <v>65</v>
      </c>
      <c r="D15" s="22"/>
      <c r="E15" s="22"/>
      <c r="F15" s="22"/>
      <c r="G15" s="107">
        <f>(1-0.03*(65-$G$12))</f>
        <v>0.43000000000000005</v>
      </c>
      <c r="H15" s="108"/>
      <c r="I15" s="109"/>
      <c r="J15" s="61"/>
      <c r="M15" s="3"/>
    </row>
    <row r="16" spans="2:15" ht="15.75" thickBot="1">
      <c r="B16" s="57"/>
      <c r="C16" s="63" t="s">
        <v>66</v>
      </c>
      <c r="D16" s="22"/>
      <c r="E16" s="22"/>
      <c r="F16" s="22"/>
      <c r="G16" s="110">
        <f>$G$14*$G$15</f>
        <v>24596.000000000004</v>
      </c>
      <c r="H16" s="129"/>
      <c r="I16" s="130"/>
      <c r="J16" s="61"/>
      <c r="M16" s="3"/>
    </row>
    <row r="17" spans="2:14" ht="15.75" thickBot="1">
      <c r="B17" s="57"/>
      <c r="C17" s="63" t="s">
        <v>67</v>
      </c>
      <c r="D17" s="22"/>
      <c r="E17" s="22"/>
      <c r="F17" s="22"/>
      <c r="G17" s="131">
        <f>Annuity!$H$10</f>
        <v>459527.14798620454</v>
      </c>
      <c r="H17" s="132"/>
      <c r="I17" s="133"/>
      <c r="J17" s="61"/>
      <c r="N17" s="1"/>
    </row>
    <row r="18" spans="2:14" ht="15.75" thickBot="1">
      <c r="B18" s="57"/>
      <c r="C18" s="62"/>
      <c r="D18" s="22"/>
      <c r="E18" s="22"/>
      <c r="F18" s="22"/>
      <c r="G18" s="73"/>
      <c r="H18" s="73"/>
      <c r="I18" s="73"/>
      <c r="J18" s="61"/>
    </row>
    <row r="19" spans="2:14" ht="15.75" thickBot="1">
      <c r="B19" s="57"/>
      <c r="C19" s="63" t="s">
        <v>68</v>
      </c>
      <c r="D19" s="22"/>
      <c r="E19" s="22"/>
      <c r="F19" s="22"/>
      <c r="G19" s="110">
        <f>10*G11</f>
        <v>1100000</v>
      </c>
      <c r="H19" s="108"/>
      <c r="I19" s="109"/>
      <c r="J19" s="61"/>
    </row>
    <row r="20" spans="2:14" ht="15.75" thickBot="1">
      <c r="B20" s="57"/>
      <c r="C20" s="63" t="s">
        <v>69</v>
      </c>
      <c r="D20" s="22"/>
      <c r="E20" s="22"/>
      <c r="F20" s="22"/>
      <c r="G20" s="114">
        <f>G17/G19</f>
        <v>0.41775195271473142</v>
      </c>
      <c r="H20" s="115"/>
      <c r="I20" s="116"/>
      <c r="J20" s="61"/>
    </row>
    <row r="21" spans="2:14">
      <c r="B21" s="57"/>
      <c r="C21" s="62"/>
      <c r="D21" s="22"/>
      <c r="E21" s="22"/>
      <c r="F21" s="22"/>
      <c r="G21" s="22"/>
      <c r="H21" s="22"/>
      <c r="I21" s="22"/>
      <c r="J21" s="61"/>
    </row>
    <row r="22" spans="2:14" ht="15.75" thickBot="1">
      <c r="B22" s="57"/>
      <c r="J22" s="61"/>
    </row>
    <row r="23" spans="2:14" ht="16.5" thickBot="1">
      <c r="B23" s="57"/>
      <c r="C23" s="104" t="str">
        <f>" The statement is prepared on " &amp; TEXT(WORKDAY(DATE(Rate!A27,5,1),8),"MMMM DD,YYYY")</f>
        <v xml:space="preserve"> The statement is prepared on May 13,2019</v>
      </c>
      <c r="D23" s="105"/>
      <c r="E23" s="105"/>
      <c r="F23" s="105"/>
      <c r="G23" s="105"/>
      <c r="H23" s="105"/>
      <c r="I23" s="106"/>
      <c r="J23" s="61"/>
    </row>
    <row r="24" spans="2:14" ht="15.75" thickBot="1">
      <c r="B24" s="58"/>
      <c r="C24" s="59"/>
      <c r="D24" s="59"/>
      <c r="E24" s="59"/>
      <c r="F24" s="59"/>
      <c r="G24" s="59"/>
      <c r="H24" s="59"/>
      <c r="I24" s="59"/>
      <c r="J24" s="60"/>
    </row>
    <row r="25" spans="2:14" ht="15.75" thickBot="1"/>
    <row r="26" spans="2:14" ht="16.5" thickBot="1">
      <c r="C26" s="64" t="s">
        <v>78</v>
      </c>
      <c r="G26" s="111">
        <v>50001</v>
      </c>
      <c r="H26" s="112"/>
      <c r="I26" s="113"/>
    </row>
  </sheetData>
  <mergeCells count="17">
    <mergeCell ref="G26:I26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20:I20"/>
    <mergeCell ref="C3:I3"/>
    <mergeCell ref="C23:I23"/>
    <mergeCell ref="G5:I5"/>
    <mergeCell ref="G7:I7"/>
    <mergeCell ref="G8:I8"/>
    <mergeCell ref="G19:I19"/>
  </mergeCells>
  <printOptions horizontalCentered="1"/>
  <pageMargins left="0.7" right="0.7" top="0.75" bottom="0.75" header="0.3" footer="0.3"/>
  <pageSetup scale="85" orientation="portrait" r:id="rId1"/>
  <headerFooter>
    <oddFooter>&amp;LFinal Test.xlsx
Statement&amp;R04/28/2022
11:55 AM</oddFooter>
  </headerFooter>
  <extLst>
    <ext xmlns:x14="http://schemas.microsoft.com/office/spreadsheetml/2009/9/main" uri="{CCE6A557-97BC-4b89-ADB6-D9C93CAAB3DF}">
      <x14:dataValidations xmlns:xm="http://schemas.microsoft.com/office/excel/2006/main" xWindow="672" yWindow="883" count="1">
        <x14:dataValidation type="list" allowBlank="1" showInputMessage="1" showErrorMessage="1" errorTitle="Incorrect Selection:" error="Please Select From Povided List" promptTitle="ID Number:" prompt="Please Select ID from List " xr:uid="{B2894684-A216-4C58-BB6E-013A6EA488AE}">
          <x14:formula1>
            <xm:f>'Calculations '!$B$6:$B$15</xm:f>
          </x14:formula1>
          <xm:sqref>G26:I26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824D-A0B9-4CFD-AFCA-3C0799F6572B}">
  <sheetPr>
    <pageSetUpPr fitToPage="1"/>
  </sheetPr>
  <dimension ref="B2:I37"/>
  <sheetViews>
    <sheetView zoomScaleNormal="100" workbookViewId="0">
      <selection activeCell="I15" sqref="I15"/>
    </sheetView>
  </sheetViews>
  <sheetFormatPr defaultRowHeight="15"/>
  <cols>
    <col min="2" max="2" width="17.28515625" customWidth="1"/>
    <col min="3" max="3" width="12.5703125" customWidth="1"/>
    <col min="4" max="4" width="12.42578125" customWidth="1"/>
    <col min="5" max="5" width="13.7109375" customWidth="1"/>
    <col min="6" max="6" width="12.5703125" customWidth="1"/>
    <col min="7" max="7" width="15.5703125" customWidth="1"/>
    <col min="8" max="8" width="10.85546875" bestFit="1" customWidth="1"/>
    <col min="9" max="9" width="15.140625" bestFit="1" customWidth="1"/>
    <col min="10" max="10" width="10.85546875" bestFit="1" customWidth="1"/>
    <col min="11" max="11" width="20.140625" bestFit="1" customWidth="1"/>
    <col min="12" max="12" width="15.85546875" bestFit="1" customWidth="1"/>
    <col min="13" max="13" width="9.42578125" bestFit="1" customWidth="1"/>
    <col min="14" max="15" width="3" bestFit="1" customWidth="1"/>
    <col min="16" max="16" width="12.42578125" bestFit="1" customWidth="1"/>
    <col min="17" max="20" width="11.28515625" bestFit="1" customWidth="1"/>
  </cols>
  <sheetData>
    <row r="2" spans="2:9" ht="15.75" thickBot="1"/>
    <row r="3" spans="2:9" ht="33" customHeight="1" thickBot="1">
      <c r="B3" s="117" t="s">
        <v>37</v>
      </c>
      <c r="C3" s="118"/>
      <c r="D3" s="118"/>
      <c r="E3" s="118"/>
      <c r="F3" s="118"/>
      <c r="G3" s="119"/>
    </row>
    <row r="5" spans="2:9" ht="15.75" thickBot="1"/>
    <row r="6" spans="2:9" ht="15.75" thickBot="1">
      <c r="B6" s="24"/>
      <c r="C6" s="25" t="s">
        <v>41</v>
      </c>
      <c r="D6" s="26"/>
      <c r="E6" s="26"/>
      <c r="F6" s="26"/>
      <c r="G6" s="27"/>
    </row>
    <row r="7" spans="2:9" ht="15.75" thickBot="1">
      <c r="B7" s="28" t="s">
        <v>36</v>
      </c>
      <c r="C7" s="29" t="s">
        <v>35</v>
      </c>
      <c r="D7" s="29" t="s">
        <v>39</v>
      </c>
      <c r="E7" s="29" t="s">
        <v>42</v>
      </c>
      <c r="F7" s="29" t="s">
        <v>43</v>
      </c>
      <c r="G7" s="30" t="s">
        <v>32</v>
      </c>
    </row>
    <row r="8" spans="2:9">
      <c r="B8" s="31" t="s">
        <v>34</v>
      </c>
      <c r="C8" s="32"/>
      <c r="D8" s="33"/>
      <c r="E8" s="33"/>
      <c r="F8" s="34"/>
      <c r="G8" s="35"/>
    </row>
    <row r="9" spans="2:9">
      <c r="B9" s="36" t="s">
        <v>38</v>
      </c>
      <c r="C9" s="32">
        <v>0</v>
      </c>
      <c r="D9" s="33">
        <v>184000</v>
      </c>
      <c r="E9" s="33">
        <v>0</v>
      </c>
      <c r="F9" s="37">
        <v>211000</v>
      </c>
      <c r="G9" s="38">
        <v>395000</v>
      </c>
      <c r="I9" s="1"/>
    </row>
    <row r="10" spans="2:9" ht="15.75" thickBot="1">
      <c r="B10" s="39" t="s">
        <v>44</v>
      </c>
      <c r="C10" s="40"/>
      <c r="D10" s="41">
        <v>1</v>
      </c>
      <c r="E10" s="41"/>
      <c r="F10" s="42">
        <v>1</v>
      </c>
      <c r="G10" s="43">
        <v>2</v>
      </c>
    </row>
    <row r="11" spans="2:9">
      <c r="B11" s="44" t="s">
        <v>40</v>
      </c>
      <c r="C11" s="45"/>
      <c r="D11" s="46"/>
      <c r="E11" s="46"/>
      <c r="F11" s="34"/>
      <c r="G11" s="35"/>
    </row>
    <row r="12" spans="2:9">
      <c r="B12" s="36" t="s">
        <v>38</v>
      </c>
      <c r="C12" s="32">
        <v>0</v>
      </c>
      <c r="D12" s="33">
        <v>0</v>
      </c>
      <c r="E12" s="33">
        <v>182000</v>
      </c>
      <c r="F12" s="37">
        <v>174000</v>
      </c>
      <c r="G12" s="38">
        <v>356000</v>
      </c>
    </row>
    <row r="13" spans="2:9" ht="15.75" thickBot="1">
      <c r="B13" s="39" t="s">
        <v>44</v>
      </c>
      <c r="C13" s="40"/>
      <c r="D13" s="41"/>
      <c r="E13" s="41">
        <v>1</v>
      </c>
      <c r="F13" s="42">
        <v>1</v>
      </c>
      <c r="G13" s="43">
        <v>2</v>
      </c>
    </row>
    <row r="14" spans="2:9">
      <c r="B14" s="31" t="s">
        <v>33</v>
      </c>
      <c r="C14" s="32"/>
      <c r="D14" s="46"/>
      <c r="E14" s="46"/>
      <c r="F14" s="34"/>
      <c r="G14" s="35"/>
    </row>
    <row r="15" spans="2:9">
      <c r="B15" s="36" t="s">
        <v>38</v>
      </c>
      <c r="C15" s="32">
        <v>368000</v>
      </c>
      <c r="D15" s="33">
        <v>186000</v>
      </c>
      <c r="E15" s="33">
        <v>364000</v>
      </c>
      <c r="F15" s="37">
        <v>192000</v>
      </c>
      <c r="G15" s="38">
        <v>1110000</v>
      </c>
      <c r="H15" s="23"/>
    </row>
    <row r="16" spans="2:9" ht="15.75" thickBot="1">
      <c r="B16" s="39" t="s">
        <v>44</v>
      </c>
      <c r="C16" s="41">
        <v>2</v>
      </c>
      <c r="D16" s="41">
        <v>1</v>
      </c>
      <c r="E16" s="41">
        <v>2</v>
      </c>
      <c r="F16" s="42">
        <v>1</v>
      </c>
      <c r="G16" s="43">
        <v>6</v>
      </c>
    </row>
    <row r="37" ht="15.75" thickBot="1"/>
  </sheetData>
  <mergeCells count="1">
    <mergeCell ref="B3:G3"/>
  </mergeCells>
  <printOptions horizontalCentered="1"/>
  <pageMargins left="0.7" right="0.7" top="0.75" bottom="0.75" header="0.3" footer="0.3"/>
  <pageSetup scale="96" orientation="portrait" r:id="rId2"/>
  <headerFooter>
    <oddFooter>&amp;LFinal Test.xlsx
Pivot Table &amp;R04/28/2022
11:55 AM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31B5-DB4A-4F6B-8EB9-DB21C07348A3}">
  <sheetPr>
    <pageSetUpPr fitToPage="1"/>
  </sheetPr>
  <dimension ref="B2:I15"/>
  <sheetViews>
    <sheetView workbookViewId="0">
      <selection activeCell="E29" sqref="E29"/>
    </sheetView>
  </sheetViews>
  <sheetFormatPr defaultRowHeight="15"/>
  <cols>
    <col min="3" max="3" width="20.28515625" bestFit="1" customWidth="1"/>
    <col min="4" max="5" width="11.5703125" bestFit="1" customWidth="1"/>
    <col min="6" max="6" width="14" bestFit="1" customWidth="1"/>
    <col min="7" max="7" width="13.85546875" bestFit="1" customWidth="1"/>
  </cols>
  <sheetData>
    <row r="2" spans="2:9" ht="15.75">
      <c r="B2" s="8" t="s">
        <v>20</v>
      </c>
      <c r="G2" s="9">
        <v>43466</v>
      </c>
    </row>
    <row r="3" spans="2:9" ht="15.75" thickBot="1"/>
    <row r="4" spans="2:9" ht="18.75">
      <c r="B4" s="83" t="s">
        <v>17</v>
      </c>
      <c r="C4" s="84"/>
      <c r="D4" s="84"/>
      <c r="E4" s="84"/>
      <c r="F4" s="84"/>
      <c r="G4" s="85"/>
    </row>
    <row r="5" spans="2:9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18</v>
      </c>
      <c r="I5" s="2" t="s">
        <v>19</v>
      </c>
    </row>
    <row r="6" spans="2:9">
      <c r="B6" s="4">
        <v>50002</v>
      </c>
      <c r="C6" s="5" t="s">
        <v>8</v>
      </c>
      <c r="D6" s="19">
        <v>99000</v>
      </c>
      <c r="E6" s="19">
        <v>91000</v>
      </c>
      <c r="F6" s="6">
        <v>19785</v>
      </c>
      <c r="G6" s="6">
        <v>42616</v>
      </c>
      <c r="H6" s="10">
        <f t="shared" ref="H6:H15" si="0">($G$2-F6)/365.25</f>
        <v>64.83504449007529</v>
      </c>
      <c r="I6" s="10">
        <f t="shared" ref="I6:I15" si="1">($G$2-G6)/365.25</f>
        <v>2.3271731690622861</v>
      </c>
    </row>
    <row r="7" spans="2:9">
      <c r="B7" s="4">
        <v>50007</v>
      </c>
      <c r="C7" s="5" t="s">
        <v>13</v>
      </c>
      <c r="D7" s="19">
        <v>100000</v>
      </c>
      <c r="E7" s="19">
        <v>92000</v>
      </c>
      <c r="F7" s="6">
        <v>20070</v>
      </c>
      <c r="G7" s="6">
        <v>32743</v>
      </c>
      <c r="H7" s="10">
        <f t="shared" si="0"/>
        <v>64.054757015742638</v>
      </c>
      <c r="I7" s="10">
        <f t="shared" si="1"/>
        <v>29.357973990417523</v>
      </c>
    </row>
    <row r="8" spans="2:9">
      <c r="B8" s="4">
        <v>50004</v>
      </c>
      <c r="C8" s="5" t="s">
        <v>10</v>
      </c>
      <c r="D8" s="19">
        <v>97000</v>
      </c>
      <c r="E8" s="19">
        <v>89000</v>
      </c>
      <c r="F8" s="6">
        <v>20341</v>
      </c>
      <c r="G8" s="6">
        <v>40825</v>
      </c>
      <c r="H8" s="10">
        <f t="shared" si="0"/>
        <v>63.312799452429843</v>
      </c>
      <c r="I8" s="10">
        <f t="shared" si="1"/>
        <v>7.2306639288158792</v>
      </c>
    </row>
    <row r="9" spans="2:9">
      <c r="B9" s="4">
        <v>50003</v>
      </c>
      <c r="C9" s="5" t="s">
        <v>9</v>
      </c>
      <c r="D9" s="19">
        <v>98000</v>
      </c>
      <c r="E9" s="19">
        <v>90000</v>
      </c>
      <c r="F9" s="6">
        <v>20584</v>
      </c>
      <c r="G9" s="6">
        <v>37989</v>
      </c>
      <c r="H9" s="10">
        <f t="shared" si="0"/>
        <v>62.647501711156742</v>
      </c>
      <c r="I9" s="10">
        <f t="shared" si="1"/>
        <v>14.99520876112252</v>
      </c>
    </row>
    <row r="10" spans="2:9">
      <c r="B10" s="4">
        <v>50009</v>
      </c>
      <c r="C10" s="5" t="s">
        <v>15</v>
      </c>
      <c r="D10" s="19">
        <v>92000</v>
      </c>
      <c r="E10" s="19">
        <v>84000</v>
      </c>
      <c r="F10" s="6">
        <v>20694</v>
      </c>
      <c r="G10" s="6">
        <v>36767</v>
      </c>
      <c r="H10" s="10">
        <f t="shared" si="0"/>
        <v>62.346338124572213</v>
      </c>
      <c r="I10" s="10">
        <f t="shared" si="1"/>
        <v>18.340862422997947</v>
      </c>
    </row>
    <row r="11" spans="2:9">
      <c r="B11" s="4">
        <v>50008</v>
      </c>
      <c r="C11" s="5" t="s">
        <v>14</v>
      </c>
      <c r="D11" s="19">
        <v>93000</v>
      </c>
      <c r="E11" s="19">
        <v>85000</v>
      </c>
      <c r="F11" s="6">
        <v>21491</v>
      </c>
      <c r="G11" s="6">
        <v>43078</v>
      </c>
      <c r="H11" s="10">
        <f t="shared" si="0"/>
        <v>60.164271047227928</v>
      </c>
      <c r="I11" s="10">
        <f t="shared" si="1"/>
        <v>1.0622861054072552</v>
      </c>
    </row>
    <row r="12" spans="2:9">
      <c r="B12" s="4">
        <v>50010</v>
      </c>
      <c r="C12" s="5" t="s">
        <v>16</v>
      </c>
      <c r="D12" s="19">
        <v>91000</v>
      </c>
      <c r="E12" s="19">
        <v>83000</v>
      </c>
      <c r="F12" s="6">
        <v>22901</v>
      </c>
      <c r="G12" s="6">
        <v>32546</v>
      </c>
      <c r="H12" s="10">
        <f t="shared" si="0"/>
        <v>56.303901437371664</v>
      </c>
      <c r="I12" s="10">
        <f t="shared" si="1"/>
        <v>29.897330595482547</v>
      </c>
    </row>
    <row r="13" spans="2:9">
      <c r="B13" s="4">
        <v>50006</v>
      </c>
      <c r="C13" s="5" t="s">
        <v>12</v>
      </c>
      <c r="D13" s="19">
        <v>95000</v>
      </c>
      <c r="E13" s="19">
        <v>87000</v>
      </c>
      <c r="F13" s="6">
        <v>23072</v>
      </c>
      <c r="G13" s="6">
        <v>36163</v>
      </c>
      <c r="H13" s="10">
        <f t="shared" si="0"/>
        <v>55.835728952772072</v>
      </c>
      <c r="I13" s="10">
        <f t="shared" si="1"/>
        <v>19.994524298425734</v>
      </c>
    </row>
    <row r="14" spans="2:9">
      <c r="B14" s="4">
        <v>50001</v>
      </c>
      <c r="C14" s="5" t="s">
        <v>6</v>
      </c>
      <c r="D14" s="19">
        <v>110000</v>
      </c>
      <c r="E14" s="19">
        <v>101000</v>
      </c>
      <c r="F14" s="6">
        <v>26363</v>
      </c>
      <c r="G14" s="6">
        <v>33665</v>
      </c>
      <c r="H14" s="10">
        <f t="shared" si="0"/>
        <v>46.82546201232033</v>
      </c>
      <c r="I14" s="10">
        <f t="shared" si="1"/>
        <v>26.833675564681723</v>
      </c>
    </row>
    <row r="15" spans="2:9">
      <c r="B15" s="11">
        <v>50005</v>
      </c>
      <c r="C15" s="12" t="s">
        <v>80</v>
      </c>
      <c r="D15" s="20">
        <v>96000</v>
      </c>
      <c r="E15" s="20">
        <v>88000</v>
      </c>
      <c r="F15" s="13">
        <v>26458</v>
      </c>
      <c r="G15" s="13">
        <v>40973</v>
      </c>
      <c r="H15" s="14">
        <f t="shared" si="0"/>
        <v>46.565366187542779</v>
      </c>
      <c r="I15" s="14">
        <f t="shared" si="1"/>
        <v>6.8254620123203287</v>
      </c>
    </row>
  </sheetData>
  <sortState xmlns:xlrd2="http://schemas.microsoft.com/office/spreadsheetml/2017/richdata2" ref="B5:I15">
    <sortCondition descending="1" ref="H5:H15"/>
    <sortCondition ref="C5:C15"/>
  </sortState>
  <mergeCells count="1">
    <mergeCell ref="B4:G4"/>
  </mergeCells>
  <printOptions horizontalCentered="1"/>
  <pageMargins left="0.7" right="0.7" top="0.75" bottom="0.75" header="0.3" footer="0.3"/>
  <pageSetup scale="83" orientation="portrait" r:id="rId1"/>
  <headerFooter>
    <oddFooter>&amp;LFinal Test.xlsx
Sort DB&amp;R04/28/2022
11:55 AM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B8B-89AE-4A0E-A86F-CCD19CA6905E}">
  <sheetPr>
    <pageSetUpPr fitToPage="1"/>
  </sheetPr>
  <dimension ref="B2:I19"/>
  <sheetViews>
    <sheetView workbookViewId="0">
      <selection activeCell="E29" sqref="E29"/>
    </sheetView>
  </sheetViews>
  <sheetFormatPr defaultRowHeight="15"/>
  <cols>
    <col min="2" max="2" width="22.85546875" bestFit="1" customWidth="1"/>
    <col min="3" max="3" width="20.28515625" bestFit="1" customWidth="1"/>
    <col min="4" max="4" width="22" bestFit="1" customWidth="1"/>
    <col min="5" max="5" width="15.140625" bestFit="1" customWidth="1"/>
    <col min="6" max="6" width="18.5703125" bestFit="1" customWidth="1"/>
    <col min="7" max="7" width="18.42578125" bestFit="1" customWidth="1"/>
    <col min="8" max="8" width="10" bestFit="1" customWidth="1"/>
    <col min="9" max="9" width="13.42578125" bestFit="1" customWidth="1"/>
  </cols>
  <sheetData>
    <row r="2" spans="2:9" ht="15.75">
      <c r="B2" s="8" t="s">
        <v>20</v>
      </c>
      <c r="G2" s="9">
        <v>43466</v>
      </c>
    </row>
    <row r="4" spans="2:9" ht="15.75">
      <c r="B4" s="8" t="s">
        <v>21</v>
      </c>
      <c r="D4" s="16" t="s">
        <v>22</v>
      </c>
      <c r="E4" s="7">
        <f>SUBTOTAL(3,B10:B19)</f>
        <v>10</v>
      </c>
      <c r="F4" s="16" t="s">
        <v>23</v>
      </c>
      <c r="G4" s="17">
        <f>SUBTOTAL(4,H10:H19)</f>
        <v>64.83504449007529</v>
      </c>
    </row>
    <row r="5" spans="2:9">
      <c r="D5" s="16" t="s">
        <v>26</v>
      </c>
      <c r="E5" s="18">
        <f>SUBTOTAL(109,D10:D19)</f>
        <v>971000</v>
      </c>
      <c r="F5" s="16" t="s">
        <v>24</v>
      </c>
      <c r="G5" s="17">
        <f>SUBTOTAL(5,H10:H19)</f>
        <v>46.565366187542779</v>
      </c>
    </row>
    <row r="6" spans="2:9">
      <c r="D6" s="16" t="s">
        <v>27</v>
      </c>
      <c r="E6" s="18">
        <f>SUBTOTAL(101,D10:D19)</f>
        <v>97100</v>
      </c>
      <c r="F6" s="16" t="s">
        <v>25</v>
      </c>
      <c r="G6" s="17">
        <f>SUBTOTAL(101,I10:I19)</f>
        <v>15.686516084873375</v>
      </c>
    </row>
    <row r="7" spans="2:9" ht="15.75" thickBot="1"/>
    <row r="8" spans="2:9" ht="18.75">
      <c r="B8" s="83" t="s">
        <v>17</v>
      </c>
      <c r="C8" s="84"/>
      <c r="D8" s="84"/>
      <c r="E8" s="84"/>
      <c r="F8" s="84"/>
      <c r="G8" s="85"/>
    </row>
    <row r="9" spans="2:9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18</v>
      </c>
      <c r="I9" s="2" t="s">
        <v>19</v>
      </c>
    </row>
    <row r="10" spans="2:9">
      <c r="B10" s="4">
        <v>50001</v>
      </c>
      <c r="C10" s="5" t="s">
        <v>6</v>
      </c>
      <c r="D10" s="19">
        <v>110000</v>
      </c>
      <c r="E10" s="19">
        <v>101000</v>
      </c>
      <c r="F10" s="6">
        <v>26363</v>
      </c>
      <c r="G10" s="6">
        <v>33665</v>
      </c>
      <c r="H10" s="10">
        <f>($G$2-F10)/365.25</f>
        <v>46.82546201232033</v>
      </c>
      <c r="I10" s="10">
        <f>($G$2-G10)/365.25</f>
        <v>26.833675564681723</v>
      </c>
    </row>
    <row r="11" spans="2:9">
      <c r="B11" s="4">
        <v>50002</v>
      </c>
      <c r="C11" s="5" t="s">
        <v>8</v>
      </c>
      <c r="D11" s="19">
        <v>99000</v>
      </c>
      <c r="E11" s="19">
        <v>91000</v>
      </c>
      <c r="F11" s="6">
        <v>19785</v>
      </c>
      <c r="G11" s="6">
        <v>42616</v>
      </c>
      <c r="H11" s="10">
        <f t="shared" ref="H11:I19" si="0">($G$2-F11)/365.25</f>
        <v>64.83504449007529</v>
      </c>
      <c r="I11" s="10">
        <f t="shared" si="0"/>
        <v>2.3271731690622861</v>
      </c>
    </row>
    <row r="12" spans="2:9">
      <c r="B12" s="4">
        <v>50003</v>
      </c>
      <c r="C12" s="5" t="s">
        <v>9</v>
      </c>
      <c r="D12" s="19">
        <v>98000</v>
      </c>
      <c r="E12" s="19">
        <v>90000</v>
      </c>
      <c r="F12" s="6">
        <v>20584</v>
      </c>
      <c r="G12" s="6">
        <v>37989</v>
      </c>
      <c r="H12" s="10">
        <f t="shared" si="0"/>
        <v>62.647501711156742</v>
      </c>
      <c r="I12" s="10">
        <f t="shared" si="0"/>
        <v>14.99520876112252</v>
      </c>
    </row>
    <row r="13" spans="2:9">
      <c r="B13" s="4">
        <v>50004</v>
      </c>
      <c r="C13" s="5" t="s">
        <v>10</v>
      </c>
      <c r="D13" s="19">
        <v>97000</v>
      </c>
      <c r="E13" s="19">
        <v>89000</v>
      </c>
      <c r="F13" s="6">
        <v>20341</v>
      </c>
      <c r="G13" s="6">
        <v>40825</v>
      </c>
      <c r="H13" s="10">
        <f t="shared" si="0"/>
        <v>63.312799452429843</v>
      </c>
      <c r="I13" s="10">
        <f t="shared" si="0"/>
        <v>7.2306639288158792</v>
      </c>
    </row>
    <row r="14" spans="2:9">
      <c r="B14" s="4">
        <v>50005</v>
      </c>
      <c r="C14" s="5" t="s">
        <v>80</v>
      </c>
      <c r="D14" s="19">
        <v>96000</v>
      </c>
      <c r="E14" s="19">
        <v>88000</v>
      </c>
      <c r="F14" s="6">
        <v>26458</v>
      </c>
      <c r="G14" s="6">
        <v>40973</v>
      </c>
      <c r="H14" s="10">
        <f t="shared" si="0"/>
        <v>46.565366187542779</v>
      </c>
      <c r="I14" s="10">
        <f t="shared" si="0"/>
        <v>6.8254620123203287</v>
      </c>
    </row>
    <row r="15" spans="2:9">
      <c r="B15" s="4">
        <v>50006</v>
      </c>
      <c r="C15" s="5" t="s">
        <v>12</v>
      </c>
      <c r="D15" s="19">
        <v>95000</v>
      </c>
      <c r="E15" s="19">
        <v>87000</v>
      </c>
      <c r="F15" s="6">
        <v>23072</v>
      </c>
      <c r="G15" s="6">
        <v>36163</v>
      </c>
      <c r="H15" s="10">
        <f t="shared" si="0"/>
        <v>55.835728952772072</v>
      </c>
      <c r="I15" s="10">
        <f t="shared" si="0"/>
        <v>19.994524298425734</v>
      </c>
    </row>
    <row r="16" spans="2:9">
      <c r="B16" s="4">
        <v>50007</v>
      </c>
      <c r="C16" s="5" t="s">
        <v>13</v>
      </c>
      <c r="D16" s="19">
        <v>100000</v>
      </c>
      <c r="E16" s="19">
        <v>92000</v>
      </c>
      <c r="F16" s="6">
        <v>20070</v>
      </c>
      <c r="G16" s="6">
        <v>32743</v>
      </c>
      <c r="H16" s="10">
        <f t="shared" si="0"/>
        <v>64.054757015742638</v>
      </c>
      <c r="I16" s="10">
        <f t="shared" si="0"/>
        <v>29.357973990417523</v>
      </c>
    </row>
    <row r="17" spans="2:9">
      <c r="B17" s="4">
        <v>50008</v>
      </c>
      <c r="C17" s="5" t="s">
        <v>14</v>
      </c>
      <c r="D17" s="19">
        <v>93000</v>
      </c>
      <c r="E17" s="19">
        <v>85000</v>
      </c>
      <c r="F17" s="6">
        <v>21491</v>
      </c>
      <c r="G17" s="6">
        <v>43078</v>
      </c>
      <c r="H17" s="10">
        <f t="shared" si="0"/>
        <v>60.164271047227928</v>
      </c>
      <c r="I17" s="10">
        <f t="shared" si="0"/>
        <v>1.0622861054072552</v>
      </c>
    </row>
    <row r="18" spans="2:9">
      <c r="B18" s="4">
        <v>50009</v>
      </c>
      <c r="C18" s="5" t="s">
        <v>15</v>
      </c>
      <c r="D18" s="19">
        <v>92000</v>
      </c>
      <c r="E18" s="19">
        <v>84000</v>
      </c>
      <c r="F18" s="6">
        <v>20694</v>
      </c>
      <c r="G18" s="6">
        <v>36767</v>
      </c>
      <c r="H18" s="10">
        <f t="shared" si="0"/>
        <v>62.346338124572213</v>
      </c>
      <c r="I18" s="10">
        <f t="shared" si="0"/>
        <v>18.340862422997947</v>
      </c>
    </row>
    <row r="19" spans="2:9">
      <c r="B19" s="4">
        <v>50010</v>
      </c>
      <c r="C19" s="5" t="s">
        <v>16</v>
      </c>
      <c r="D19" s="19">
        <v>91000</v>
      </c>
      <c r="E19" s="19">
        <v>83000</v>
      </c>
      <c r="F19" s="6">
        <v>22901</v>
      </c>
      <c r="G19" s="6">
        <v>32546</v>
      </c>
      <c r="H19" s="10">
        <f t="shared" si="0"/>
        <v>56.303901437371664</v>
      </c>
      <c r="I19" s="10">
        <f t="shared" si="0"/>
        <v>29.897330595482547</v>
      </c>
    </row>
  </sheetData>
  <autoFilter ref="B9:I19" xr:uid="{4951AB8B-89AE-4A0E-A86F-CCD19CA6905E}"/>
  <mergeCells count="1">
    <mergeCell ref="B8:G8"/>
  </mergeCells>
  <printOptions horizontalCentered="1"/>
  <pageMargins left="0.7" right="0.7" top="0.75" bottom="0.75" header="0.3" footer="0.3"/>
  <pageSetup scale="60" orientation="portrait" r:id="rId1"/>
  <headerFooter>
    <oddFooter>&amp;LFinal Test.xlsx
Filter DB&amp;R04/28/2022
11:55 AM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8182-E787-4AD6-A257-0A6F29548A25}">
  <sheetPr filterMode="1">
    <pageSetUpPr fitToPage="1"/>
  </sheetPr>
  <dimension ref="B1:J15"/>
  <sheetViews>
    <sheetView workbookViewId="0">
      <selection activeCell="E29" sqref="E29"/>
    </sheetView>
  </sheetViews>
  <sheetFormatPr defaultRowHeight="15"/>
  <cols>
    <col min="3" max="3" width="20.28515625" bestFit="1" customWidth="1"/>
    <col min="4" max="4" width="11.7109375" bestFit="1" customWidth="1"/>
    <col min="5" max="5" width="15.140625" bestFit="1" customWidth="1"/>
    <col min="6" max="6" width="18.5703125" bestFit="1" customWidth="1"/>
    <col min="7" max="7" width="18.42578125" bestFit="1" customWidth="1"/>
    <col min="8" max="8" width="16.140625" bestFit="1" customWidth="1"/>
  </cols>
  <sheetData>
    <row r="1" spans="2:10">
      <c r="H1" t="s">
        <v>28</v>
      </c>
      <c r="I1" s="2" t="s">
        <v>2</v>
      </c>
      <c r="J1" s="2" t="s">
        <v>18</v>
      </c>
    </row>
    <row r="2" spans="2:10" ht="15.75">
      <c r="B2" s="8" t="s">
        <v>20</v>
      </c>
      <c r="G2" s="9">
        <v>43466</v>
      </c>
      <c r="I2" t="s">
        <v>29</v>
      </c>
      <c r="J2" t="s">
        <v>30</v>
      </c>
    </row>
    <row r="3" spans="2:10" ht="15.75" thickBot="1">
      <c r="I3" t="s">
        <v>29</v>
      </c>
      <c r="J3" t="s">
        <v>31</v>
      </c>
    </row>
    <row r="4" spans="2:10" ht="18.75">
      <c r="B4" s="83" t="s">
        <v>17</v>
      </c>
      <c r="C4" s="84"/>
      <c r="D4" s="84"/>
      <c r="E4" s="84"/>
      <c r="F4" s="84"/>
      <c r="G4" s="85"/>
    </row>
    <row r="5" spans="2:10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18</v>
      </c>
      <c r="I5" s="2" t="s">
        <v>19</v>
      </c>
    </row>
    <row r="6" spans="2:10" hidden="1">
      <c r="B6" s="4">
        <v>50001</v>
      </c>
      <c r="C6" s="5" t="s">
        <v>6</v>
      </c>
      <c r="D6" s="21">
        <v>110000</v>
      </c>
      <c r="E6" s="21">
        <v>101000</v>
      </c>
      <c r="F6" s="6">
        <v>26363</v>
      </c>
      <c r="G6" s="6">
        <v>33665</v>
      </c>
      <c r="H6" s="10">
        <f>($G$2-F6)/365.25</f>
        <v>46.82546201232033</v>
      </c>
      <c r="I6" s="10">
        <f>($G$2-G6)/365.25</f>
        <v>26.833675564681723</v>
      </c>
    </row>
    <row r="7" spans="2:10">
      <c r="B7" s="4">
        <v>50002</v>
      </c>
      <c r="C7" s="5" t="s">
        <v>8</v>
      </c>
      <c r="D7" s="21">
        <v>99000</v>
      </c>
      <c r="E7" s="21">
        <v>91000</v>
      </c>
      <c r="F7" s="6">
        <v>19785</v>
      </c>
      <c r="G7" s="6">
        <v>42616</v>
      </c>
      <c r="H7" s="10">
        <f t="shared" ref="H7:I15" si="0">($G$2-F7)/365.25</f>
        <v>64.83504449007529</v>
      </c>
      <c r="I7" s="10">
        <f t="shared" si="0"/>
        <v>2.3271731690622861</v>
      </c>
    </row>
    <row r="8" spans="2:10">
      <c r="B8" s="4">
        <v>50003</v>
      </c>
      <c r="C8" s="5" t="s">
        <v>9</v>
      </c>
      <c r="D8" s="21">
        <v>98000</v>
      </c>
      <c r="E8" s="21">
        <v>90000</v>
      </c>
      <c r="F8" s="6">
        <v>20584</v>
      </c>
      <c r="G8" s="6">
        <v>37989</v>
      </c>
      <c r="H8" s="10">
        <f t="shared" si="0"/>
        <v>62.647501711156742</v>
      </c>
      <c r="I8" s="10">
        <f t="shared" si="0"/>
        <v>14.99520876112252</v>
      </c>
    </row>
    <row r="9" spans="2:10">
      <c r="B9" s="4">
        <v>50004</v>
      </c>
      <c r="C9" s="5" t="s">
        <v>10</v>
      </c>
      <c r="D9" s="21">
        <v>97000</v>
      </c>
      <c r="E9" s="21">
        <v>89000</v>
      </c>
      <c r="F9" s="6">
        <v>20341</v>
      </c>
      <c r="G9" s="6">
        <v>40825</v>
      </c>
      <c r="H9" s="10">
        <f t="shared" si="0"/>
        <v>63.312799452429843</v>
      </c>
      <c r="I9" s="10">
        <f t="shared" si="0"/>
        <v>7.2306639288158792</v>
      </c>
    </row>
    <row r="10" spans="2:10" hidden="1">
      <c r="B10" s="4">
        <v>50005</v>
      </c>
      <c r="C10" s="5" t="s">
        <v>11</v>
      </c>
      <c r="D10" s="21">
        <v>96000</v>
      </c>
      <c r="E10" s="21">
        <v>88000</v>
      </c>
      <c r="F10" s="6">
        <v>26458</v>
      </c>
      <c r="G10" s="6">
        <v>40973</v>
      </c>
      <c r="H10" s="10">
        <f t="shared" si="0"/>
        <v>46.565366187542779</v>
      </c>
      <c r="I10" s="10">
        <f t="shared" si="0"/>
        <v>6.8254620123203287</v>
      </c>
    </row>
    <row r="11" spans="2:10">
      <c r="B11" s="4">
        <v>50006</v>
      </c>
      <c r="C11" s="5" t="s">
        <v>12</v>
      </c>
      <c r="D11" s="21">
        <v>95000</v>
      </c>
      <c r="E11" s="21">
        <v>87000</v>
      </c>
      <c r="F11" s="6">
        <v>23072</v>
      </c>
      <c r="G11" s="6">
        <v>36163</v>
      </c>
      <c r="H11" s="10">
        <f t="shared" si="0"/>
        <v>55.835728952772072</v>
      </c>
      <c r="I11" s="10">
        <f t="shared" si="0"/>
        <v>19.994524298425734</v>
      </c>
    </row>
    <row r="12" spans="2:10">
      <c r="B12" s="4">
        <v>50007</v>
      </c>
      <c r="C12" s="5" t="s">
        <v>13</v>
      </c>
      <c r="D12" s="21">
        <v>100000</v>
      </c>
      <c r="E12" s="21">
        <v>92000</v>
      </c>
      <c r="F12" s="6">
        <v>20070</v>
      </c>
      <c r="G12" s="6">
        <v>32743</v>
      </c>
      <c r="H12" s="10">
        <f t="shared" si="0"/>
        <v>64.054757015742638</v>
      </c>
      <c r="I12" s="10">
        <f t="shared" si="0"/>
        <v>29.357973990417523</v>
      </c>
    </row>
    <row r="13" spans="2:10">
      <c r="B13" s="4">
        <v>50008</v>
      </c>
      <c r="C13" s="5" t="s">
        <v>14</v>
      </c>
      <c r="D13" s="21">
        <v>93000</v>
      </c>
      <c r="E13" s="21">
        <v>85000</v>
      </c>
      <c r="F13" s="6">
        <v>21491</v>
      </c>
      <c r="G13" s="6">
        <v>43078</v>
      </c>
      <c r="H13" s="10">
        <f t="shared" si="0"/>
        <v>60.164271047227928</v>
      </c>
      <c r="I13" s="10">
        <f t="shared" si="0"/>
        <v>1.0622861054072552</v>
      </c>
    </row>
    <row r="14" spans="2:10">
      <c r="B14" s="4">
        <v>50009</v>
      </c>
      <c r="C14" s="5" t="s">
        <v>15</v>
      </c>
      <c r="D14" s="21">
        <v>92000</v>
      </c>
      <c r="E14" s="21">
        <v>84000</v>
      </c>
      <c r="F14" s="6">
        <v>20694</v>
      </c>
      <c r="G14" s="6">
        <v>36767</v>
      </c>
      <c r="H14" s="10">
        <f t="shared" si="0"/>
        <v>62.346338124572213</v>
      </c>
      <c r="I14" s="10">
        <f t="shared" si="0"/>
        <v>18.340862422997947</v>
      </c>
    </row>
    <row r="15" spans="2:10">
      <c r="B15" s="4">
        <v>50010</v>
      </c>
      <c r="C15" s="5" t="s">
        <v>16</v>
      </c>
      <c r="D15" s="21">
        <v>91000</v>
      </c>
      <c r="E15" s="21">
        <v>83000</v>
      </c>
      <c r="F15" s="6">
        <v>22901</v>
      </c>
      <c r="G15" s="6">
        <v>32546</v>
      </c>
      <c r="H15" s="10">
        <f t="shared" si="0"/>
        <v>56.303901437371664</v>
      </c>
      <c r="I15" s="10">
        <f t="shared" si="0"/>
        <v>29.897330595482547</v>
      </c>
    </row>
  </sheetData>
  <mergeCells count="1">
    <mergeCell ref="B4:G4"/>
  </mergeCells>
  <printOptions horizontalCentered="1"/>
  <pageMargins left="0.7" right="0.7" top="0.75" bottom="0.75" header="0.3" footer="0.3"/>
  <pageSetup scale="66" orientation="portrait" r:id="rId1"/>
  <headerFooter>
    <oddFooter>&amp;LFinal Test.xlsx
Filter Advanced &amp;R04/28/2022
11:55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Record</vt:lpstr>
      <vt:lpstr>Qx</vt:lpstr>
      <vt:lpstr>Rate</vt:lpstr>
      <vt:lpstr>Annuity</vt:lpstr>
      <vt:lpstr>Calculations </vt:lpstr>
      <vt:lpstr>Statement </vt:lpstr>
      <vt:lpstr>Pivot Table </vt:lpstr>
      <vt:lpstr>Sort DB</vt:lpstr>
      <vt:lpstr>Filter DB</vt:lpstr>
      <vt:lpstr>Filter Advanced</vt:lpstr>
      <vt:lpstr>'Filter Advanced'!Criteria</vt:lpstr>
      <vt:lpstr>Annuity!Print_Titles</vt:lpstr>
      <vt:lpstr>Qx!Print_Titles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2022-04-29T18:03:17Z</cp:lastPrinted>
  <dcterms:created xsi:type="dcterms:W3CDTF">2022-04-28T13:20:20Z</dcterms:created>
  <dcterms:modified xsi:type="dcterms:W3CDTF">2022-04-29T18:03:22Z</dcterms:modified>
</cp:coreProperties>
</file>