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65" yWindow="1410" windowWidth="10500" windowHeight="4665" tabRatio="599" activeTab="2"/>
  </bookViews>
  <sheets>
    <sheet name="Calculation(Single FB)" sheetId="1" r:id="rId1"/>
    <sheet name="Part List &amp; Schematic(SingleFB)" sheetId="2" r:id="rId2"/>
    <sheet name="Calculation(Dual FB)" sheetId="21" r:id="rId3"/>
    <sheet name="Part List &amp; Schematic(Dual FB)" sheetId="25" r:id="rId4"/>
    <sheet name="msc" sheetId="16" state="hidden" r:id="rId5"/>
    <sheet name="Protection Mode" sheetId="18" r:id="rId6"/>
  </sheets>
  <definedNames>
    <definedName name="OLE_LINK1" localSheetId="5">'Protection Mode'!$C$2</definedName>
    <definedName name="_xlnm.Print_Area" localSheetId="2">'Calculation(Dual FB)'!$A$1:$F$355</definedName>
    <definedName name="_xlnm.Print_Area" localSheetId="0">'Calculation(Single FB)'!$A$1:$F$346</definedName>
    <definedName name="_xlnm.Print_Area" localSheetId="3">'Part List &amp; Schematic(Dual FB)'!$A$1:$J$71</definedName>
    <definedName name="_xlnm.Print_Area" localSheetId="1">'Part List &amp; Schematic(SingleFB)'!$A$1:$J$71</definedName>
  </definedNames>
  <calcPr calcId="145621"/>
</workbook>
</file>

<file path=xl/calcChain.xml><?xml version="1.0" encoding="utf-8"?>
<calcChain xmlns="http://schemas.openxmlformats.org/spreadsheetml/2006/main">
  <c r="F24" i="21" l="1"/>
  <c r="F25" i="1"/>
  <c r="F230" i="1" l="1"/>
  <c r="F251" i="21"/>
  <c r="F249" i="21" l="1"/>
  <c r="F139" i="21" l="1"/>
  <c r="F28" i="1" l="1"/>
  <c r="F96" i="1" l="1"/>
  <c r="F97" i="1" s="1"/>
  <c r="F100" i="1" l="1"/>
  <c r="F27" i="21"/>
  <c r="F32" i="21" l="1"/>
  <c r="C5" i="25" l="1"/>
  <c r="C4" i="25"/>
  <c r="C3" i="25"/>
  <c r="C2" i="25"/>
  <c r="C55" i="2"/>
  <c r="A55" i="2"/>
  <c r="A56" i="2" s="1"/>
  <c r="E43" i="25"/>
  <c r="E42" i="25"/>
  <c r="C62" i="25"/>
  <c r="C61" i="25"/>
  <c r="C60" i="25"/>
  <c r="C58" i="25"/>
  <c r="C57" i="25"/>
  <c r="A56" i="25"/>
  <c r="C55" i="25"/>
  <c r="A55" i="25"/>
  <c r="C54" i="25"/>
  <c r="C50" i="25"/>
  <c r="C44" i="25"/>
  <c r="C43" i="25"/>
  <c r="C42" i="25"/>
  <c r="C38" i="25"/>
  <c r="C29" i="25"/>
  <c r="C28" i="25"/>
  <c r="C27" i="25"/>
  <c r="C25" i="25"/>
  <c r="C24" i="25"/>
  <c r="C23" i="25"/>
  <c r="C22" i="25"/>
  <c r="C21" i="25"/>
  <c r="C16" i="25"/>
  <c r="C13" i="25"/>
  <c r="C12" i="25"/>
  <c r="C10" i="25"/>
  <c r="C59" i="25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7" i="25" l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F181" i="1"/>
  <c r="F240" i="1" l="1"/>
  <c r="F263" i="21"/>
  <c r="F248" i="21"/>
  <c r="F247" i="21"/>
  <c r="F250" i="21" l="1"/>
  <c r="F236" i="21"/>
  <c r="F234" i="21"/>
  <c r="F350" i="21" s="1"/>
  <c r="F238" i="21"/>
  <c r="F355" i="21"/>
  <c r="F354" i="21"/>
  <c r="F353" i="21"/>
  <c r="F352" i="21"/>
  <c r="F351" i="21"/>
  <c r="F348" i="21"/>
  <c r="F347" i="21"/>
  <c r="F345" i="21"/>
  <c r="F344" i="21"/>
  <c r="F343" i="21"/>
  <c r="F342" i="21"/>
  <c r="F341" i="21"/>
  <c r="F340" i="21"/>
  <c r="F339" i="21"/>
  <c r="F338" i="21"/>
  <c r="F337" i="21"/>
  <c r="F336" i="21"/>
  <c r="F331" i="21"/>
  <c r="F329" i="21"/>
  <c r="F328" i="21"/>
  <c r="F327" i="21"/>
  <c r="F326" i="21"/>
  <c r="F325" i="21"/>
  <c r="F324" i="21"/>
  <c r="F323" i="21"/>
  <c r="F322" i="21"/>
  <c r="F306" i="21"/>
  <c r="F305" i="21"/>
  <c r="F301" i="21"/>
  <c r="F300" i="21"/>
  <c r="F297" i="21"/>
  <c r="F295" i="21"/>
  <c r="F294" i="21"/>
  <c r="F291" i="21"/>
  <c r="F290" i="21"/>
  <c r="F296" i="21" s="1"/>
  <c r="F286" i="21"/>
  <c r="F284" i="21"/>
  <c r="F282" i="21"/>
  <c r="F280" i="21"/>
  <c r="F279" i="21"/>
  <c r="F283" i="21" s="1"/>
  <c r="F271" i="21"/>
  <c r="F274" i="21" s="1"/>
  <c r="F254" i="21"/>
  <c r="F256" i="21" s="1"/>
  <c r="F253" i="21"/>
  <c r="F255" i="21" s="1"/>
  <c r="F245" i="21"/>
  <c r="F240" i="21"/>
  <c r="F217" i="21"/>
  <c r="F218" i="21" s="1"/>
  <c r="F185" i="21"/>
  <c r="F180" i="21"/>
  <c r="F172" i="21"/>
  <c r="F170" i="21"/>
  <c r="F165" i="21"/>
  <c r="F159" i="21"/>
  <c r="F152" i="21"/>
  <c r="F150" i="21"/>
  <c r="F145" i="21"/>
  <c r="F109" i="21"/>
  <c r="F113" i="21" s="1"/>
  <c r="F95" i="21"/>
  <c r="F75" i="21"/>
  <c r="F310" i="21" s="1"/>
  <c r="F69" i="21"/>
  <c r="F67" i="21"/>
  <c r="F63" i="21"/>
  <c r="F62" i="21"/>
  <c r="F61" i="21"/>
  <c r="F98" i="21" s="1"/>
  <c r="F60" i="21"/>
  <c r="F319" i="21" s="1"/>
  <c r="F59" i="21"/>
  <c r="F58" i="21"/>
  <c r="F318" i="21" s="1"/>
  <c r="F57" i="21"/>
  <c r="F317" i="21" s="1"/>
  <c r="F40" i="21"/>
  <c r="F42" i="21" s="1"/>
  <c r="F39" i="21"/>
  <c r="F37" i="21"/>
  <c r="F302" i="21" s="1"/>
  <c r="F131" i="21"/>
  <c r="F293" i="21" l="1"/>
  <c r="F99" i="21"/>
  <c r="F100" i="21" s="1"/>
  <c r="F101" i="21" s="1"/>
  <c r="F332" i="21" s="1"/>
  <c r="F96" i="21"/>
  <c r="F71" i="21"/>
  <c r="F211" i="21"/>
  <c r="D10" i="25"/>
  <c r="F252" i="21"/>
  <c r="F112" i="21"/>
  <c r="F104" i="21" s="1"/>
  <c r="F105" i="21" s="1"/>
  <c r="F106" i="21" s="1"/>
  <c r="F126" i="21"/>
  <c r="F134" i="21"/>
  <c r="D31" i="25" s="1"/>
  <c r="F130" i="21"/>
  <c r="D34" i="25" s="1"/>
  <c r="F257" i="21"/>
  <c r="F265" i="21" s="1"/>
  <c r="F285" i="21"/>
  <c r="F349" i="21"/>
  <c r="F304" i="21"/>
  <c r="F90" i="21"/>
  <c r="F91" i="21" s="1"/>
  <c r="F92" i="21" s="1"/>
  <c r="F110" i="21"/>
  <c r="F192" i="21" s="1"/>
  <c r="F43" i="21"/>
  <c r="F73" i="21"/>
  <c r="F220" i="21" s="1"/>
  <c r="F120" i="21"/>
  <c r="F127" i="21"/>
  <c r="D33" i="25" s="1"/>
  <c r="F38" i="2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C28" i="2"/>
  <c r="C22" i="2"/>
  <c r="G96" i="21" l="1"/>
  <c r="F114" i="21"/>
  <c r="F115" i="21" s="1"/>
  <c r="F333" i="21" s="1"/>
  <c r="F188" i="21"/>
  <c r="E35" i="25"/>
  <c r="E7" i="25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F191" i="21"/>
  <c r="G110" i="21"/>
  <c r="F190" i="21"/>
  <c r="F46" i="21"/>
  <c r="F41" i="21"/>
  <c r="C16" i="2"/>
  <c r="F303" i="21" l="1"/>
  <c r="F207" i="21"/>
  <c r="F44" i="21"/>
  <c r="F50" i="21" s="1"/>
  <c r="F49" i="21"/>
  <c r="F51" i="21" l="1"/>
  <c r="F52" i="21" s="1"/>
  <c r="F321" i="21"/>
  <c r="C65" i="25" s="1"/>
  <c r="F118" i="21"/>
  <c r="F288" i="1"/>
  <c r="F277" i="1"/>
  <c r="F285" i="1"/>
  <c r="F273" i="1"/>
  <c r="F275" i="1"/>
  <c r="F78" i="21" l="1"/>
  <c r="G75" i="21" s="1"/>
  <c r="F81" i="21"/>
  <c r="C48" i="25" s="1"/>
  <c r="F54" i="21"/>
  <c r="F212" i="21"/>
  <c r="F213" i="21" s="1"/>
  <c r="F132" i="21"/>
  <c r="F167" i="21" s="1"/>
  <c r="F174" i="21" s="1"/>
  <c r="F128" i="21"/>
  <c r="F65" i="21"/>
  <c r="F53" i="21"/>
  <c r="F76" i="21" s="1"/>
  <c r="F308" i="21"/>
  <c r="F121" i="21"/>
  <c r="F201" i="21"/>
  <c r="F330" i="21"/>
  <c r="F123" i="21"/>
  <c r="F281" i="1"/>
  <c r="F287" i="1" s="1"/>
  <c r="F270" i="1"/>
  <c r="F276" i="1" s="1"/>
  <c r="F262" i="1"/>
  <c r="G78" i="21" l="1"/>
  <c r="F320" i="21"/>
  <c r="F208" i="21"/>
  <c r="F209" i="21" s="1"/>
  <c r="F312" i="21" s="1"/>
  <c r="F147" i="21"/>
  <c r="F154" i="21" s="1"/>
  <c r="F307" i="21" s="1"/>
  <c r="F193" i="21"/>
  <c r="F97" i="21"/>
  <c r="G97" i="21" s="1"/>
  <c r="F129" i="21"/>
  <c r="F82" i="21"/>
  <c r="F48" i="25" s="1"/>
  <c r="F77" i="21"/>
  <c r="G77" i="21" s="1"/>
  <c r="F309" i="21"/>
  <c r="F133" i="21"/>
  <c r="F346" i="21"/>
  <c r="F84" i="21"/>
  <c r="F258" i="21" s="1"/>
  <c r="F259" i="21" s="1"/>
  <c r="F260" i="21" s="1"/>
  <c r="F274" i="1"/>
  <c r="F216" i="1"/>
  <c r="F261" i="21" l="1"/>
  <c r="E34" i="25"/>
  <c r="F195" i="21"/>
  <c r="E33" i="25"/>
  <c r="F194" i="21"/>
  <c r="F138" i="21"/>
  <c r="F198" i="21"/>
  <c r="F111" i="21"/>
  <c r="G111" i="21" s="1"/>
  <c r="F199" i="21"/>
  <c r="F158" i="21"/>
  <c r="F186" i="1"/>
  <c r="F70" i="1"/>
  <c r="F68" i="1"/>
  <c r="F196" i="21" l="1"/>
  <c r="F222" i="21" s="1"/>
  <c r="F313" i="21" s="1"/>
  <c r="F76" i="1"/>
  <c r="F72" i="1" s="1"/>
  <c r="F311" i="21" l="1"/>
  <c r="F224" i="21"/>
  <c r="F314" i="21" s="1"/>
  <c r="F286" i="1"/>
  <c r="F282" i="1"/>
  <c r="C12" i="2" l="1"/>
  <c r="C13" i="2" l="1"/>
  <c r="F265" i="1" l="1"/>
  <c r="C54" i="2" l="1"/>
  <c r="C50" i="2" l="1"/>
  <c r="E43" i="2"/>
  <c r="E42" i="2"/>
  <c r="C43" i="2"/>
  <c r="C29" i="2" l="1"/>
  <c r="C27" i="2"/>
  <c r="C5" i="2"/>
  <c r="C4" i="2"/>
  <c r="F284" i="1" l="1"/>
  <c r="F271" i="1" l="1"/>
  <c r="F335" i="1" l="1"/>
  <c r="F339" i="1"/>
  <c r="F338" i="1"/>
  <c r="F334" i="1"/>
  <c r="F333" i="1"/>
  <c r="F332" i="1"/>
  <c r="F331" i="1"/>
  <c r="F330" i="1"/>
  <c r="F329" i="1"/>
  <c r="F328" i="1"/>
  <c r="F319" i="1"/>
  <c r="F173" i="1" l="1"/>
  <c r="F171" i="1"/>
  <c r="F166" i="1"/>
  <c r="F153" i="1"/>
  <c r="F146" i="1" l="1"/>
  <c r="F160" i="1"/>
  <c r="F140" i="1"/>
  <c r="F127" i="1" l="1"/>
  <c r="F33" i="1"/>
  <c r="F132" i="1" l="1"/>
  <c r="F336" i="1" l="1"/>
  <c r="C38" i="2" l="1"/>
  <c r="C3" i="2" l="1"/>
  <c r="C2" i="2"/>
  <c r="F237" i="1"/>
  <c r="C44" i="2" l="1"/>
  <c r="C42" i="2" l="1"/>
  <c r="C23" i="2"/>
  <c r="F232" i="1" l="1"/>
  <c r="F151" i="1"/>
  <c r="F41" i="1"/>
  <c r="F64" i="1"/>
  <c r="F60" i="1"/>
  <c r="F61" i="1"/>
  <c r="F63" i="1"/>
  <c r="F62" i="1"/>
  <c r="F99" i="1" s="1"/>
  <c r="F101" i="1" s="1"/>
  <c r="F102" i="1" s="1"/>
  <c r="F59" i="1"/>
  <c r="F58" i="1"/>
  <c r="F244" i="1"/>
  <c r="F38" i="1" l="1"/>
  <c r="C10" i="2"/>
  <c r="F317" i="1"/>
  <c r="F315" i="1"/>
  <c r="F254" i="1"/>
  <c r="F245" i="1"/>
  <c r="F242" i="1"/>
  <c r="F243" i="1" s="1"/>
  <c r="F241" i="1"/>
  <c r="F239" i="1"/>
  <c r="F217" i="1"/>
  <c r="F74" i="1" l="1"/>
  <c r="F219" i="1" s="1"/>
  <c r="F91" i="1" l="1"/>
  <c r="F43" i="1"/>
  <c r="F40" i="1"/>
  <c r="F210" i="1" s="1"/>
  <c r="F308" i="1"/>
  <c r="F309" i="1"/>
  <c r="F110" i="1"/>
  <c r="F340" i="1"/>
  <c r="F247" i="1"/>
  <c r="F291" i="1"/>
  <c r="F292" i="1"/>
  <c r="F296" i="1"/>
  <c r="F297" i="1"/>
  <c r="F301" i="1"/>
  <c r="F313" i="1"/>
  <c r="F314" i="1"/>
  <c r="F316" i="1"/>
  <c r="F318" i="1"/>
  <c r="F320" i="1"/>
  <c r="F322" i="1"/>
  <c r="F327" i="1"/>
  <c r="F341" i="1"/>
  <c r="F342" i="1"/>
  <c r="F343" i="1"/>
  <c r="F344" i="1"/>
  <c r="F345" i="1"/>
  <c r="F346" i="1"/>
  <c r="C24" i="2"/>
  <c r="C25" i="2"/>
  <c r="C21" i="2"/>
  <c r="C60" i="2"/>
  <c r="C62" i="2"/>
  <c r="C57" i="2"/>
  <c r="C58" i="2"/>
  <c r="C59" i="2"/>
  <c r="F121" i="1" l="1"/>
  <c r="F114" i="1"/>
  <c r="F111" i="1"/>
  <c r="F192" i="1" s="1"/>
  <c r="F135" i="1"/>
  <c r="D31" i="2" s="1"/>
  <c r="F131" i="1"/>
  <c r="D34" i="2" s="1"/>
  <c r="F128" i="1"/>
  <c r="D33" i="2" s="1"/>
  <c r="F191" i="1"/>
  <c r="D10" i="2"/>
  <c r="F295" i="1"/>
  <c r="F39" i="1"/>
  <c r="F44" i="1"/>
  <c r="F293" i="1"/>
  <c r="F92" i="1"/>
  <c r="F93" i="1" s="1"/>
  <c r="F310" i="1"/>
  <c r="F113" i="1"/>
  <c r="F189" i="1" l="1"/>
  <c r="E41" i="25"/>
  <c r="F105" i="1"/>
  <c r="F106" i="1" s="1"/>
  <c r="F107" i="1" s="1"/>
  <c r="F115" i="1"/>
  <c r="F47" i="1"/>
  <c r="F42" i="1"/>
  <c r="F206" i="1" s="1"/>
  <c r="E7" i="2"/>
  <c r="E35" i="2"/>
  <c r="E41" i="2"/>
  <c r="F323" i="1"/>
  <c r="G97" i="1"/>
  <c r="F50" i="1" l="1"/>
  <c r="F116" i="1"/>
  <c r="F324" i="1" s="1"/>
  <c r="F294" i="1"/>
  <c r="F45" i="1"/>
  <c r="F51" i="1" s="1"/>
  <c r="G111" i="1"/>
  <c r="F119" i="1" l="1"/>
  <c r="F312" i="1"/>
  <c r="F52" i="1"/>
  <c r="F53" i="1" s="1"/>
  <c r="F211" i="1" l="1"/>
  <c r="F133" i="1"/>
  <c r="F122" i="1"/>
  <c r="F79" i="1"/>
  <c r="C65" i="2"/>
  <c r="F55" i="1"/>
  <c r="F98" i="1" s="1"/>
  <c r="F54" i="1"/>
  <c r="F78" i="1" s="1"/>
  <c r="F207" i="1" l="1"/>
  <c r="F208" i="1" s="1"/>
  <c r="F303" i="1" s="1"/>
  <c r="F193" i="1"/>
  <c r="F212" i="1"/>
  <c r="F129" i="1"/>
  <c r="F148" i="1" s="1"/>
  <c r="F155" i="1" s="1"/>
  <c r="F168" i="1"/>
  <c r="F175" i="1" s="1"/>
  <c r="F124" i="1"/>
  <c r="F200" i="1"/>
  <c r="F82" i="1"/>
  <c r="F321" i="1"/>
  <c r="F299" i="1"/>
  <c r="F66" i="1"/>
  <c r="F83" i="1" l="1"/>
  <c r="F48" i="2" s="1"/>
  <c r="F85" i="1"/>
  <c r="G79" i="1"/>
  <c r="F77" i="1"/>
  <c r="G78" i="1" s="1"/>
  <c r="G76" i="1"/>
  <c r="C48" i="2"/>
  <c r="F337" i="1"/>
  <c r="F246" i="1"/>
  <c r="F248" i="1" s="1"/>
  <c r="F256" i="1" s="1"/>
  <c r="G98" i="1"/>
  <c r="F311" i="1"/>
  <c r="F249" i="1" l="1"/>
  <c r="F250" i="1" s="1"/>
  <c r="F251" i="1" s="1"/>
  <c r="F252" i="1" s="1"/>
  <c r="F134" i="1"/>
  <c r="E34" i="2" s="1"/>
  <c r="F130" i="1"/>
  <c r="F298" i="1"/>
  <c r="F300" i="1"/>
  <c r="F139" i="1" l="1"/>
  <c r="F194" i="1"/>
  <c r="F195" i="1" s="1"/>
  <c r="F197" i="1"/>
  <c r="F159" i="1"/>
  <c r="F198" i="1"/>
  <c r="F112" i="1"/>
  <c r="G112" i="1" s="1"/>
  <c r="E33" i="2"/>
  <c r="F221" i="1" l="1"/>
  <c r="F223" i="1" s="1"/>
  <c r="F305" i="1" s="1"/>
  <c r="F302" i="1"/>
  <c r="F304" i="1" l="1"/>
</calcChain>
</file>

<file path=xl/comments1.xml><?xml version="1.0" encoding="utf-8"?>
<comments xmlns="http://schemas.openxmlformats.org/spreadsheetml/2006/main">
  <authors>
    <author>Kling_26414</author>
    <author>Siemens AG</author>
    <author>Kyaw Zin Min (IFAP DC PMM APS SE1)</author>
    <author>Kyaw Zin Min (IFAP DC PMM AE)</author>
  </authors>
  <commentList>
    <comment ref="F38" authorId="0">
      <text>
        <r>
          <rPr>
            <sz val="10"/>
            <color indexed="81"/>
            <rFont val="Tahoma"/>
            <family val="2"/>
          </rPr>
          <t>Line Input Power</t>
        </r>
      </text>
    </comment>
    <comment ref="F39" authorId="0">
      <text>
        <r>
          <rPr>
            <sz val="10"/>
            <color indexed="81"/>
            <rFont val="Tahoma"/>
            <family val="2"/>
          </rPr>
          <t>Root Mean Square Line Current through the Input Bridge Rectifier</t>
        </r>
      </text>
    </comment>
    <comment ref="F40" authorId="0">
      <text>
        <r>
          <rPr>
            <sz val="10"/>
            <color indexed="81"/>
            <rFont val="Tahoma"/>
            <family val="2"/>
          </rPr>
          <t>Maximum DC Input Voltage</t>
        </r>
      </text>
    </comment>
    <comment ref="F41" authorId="0">
      <text>
        <r>
          <rPr>
            <sz val="8"/>
            <color indexed="81"/>
            <rFont val="Tahoma"/>
            <family val="2"/>
          </rPr>
          <t xml:space="preserve">Minimum DC Input Voltage
</t>
        </r>
        <r>
          <rPr>
            <sz val="10"/>
            <color indexed="81"/>
            <rFont val="Tahoma"/>
            <family val="2"/>
          </rPr>
          <t>(includes Ripple Voltage)</t>
        </r>
      </text>
    </comment>
    <comment ref="F42" authorId="0">
      <text>
        <r>
          <rPr>
            <sz val="10"/>
            <color indexed="81"/>
            <rFont val="Tahoma"/>
            <family val="2"/>
          </rPr>
          <t>Minimum DC Input Voltage
(without Ripple Voltage)</t>
        </r>
      </text>
    </comment>
    <comment ref="F43" authorId="0">
      <text>
        <r>
          <rPr>
            <sz val="10"/>
            <color indexed="81"/>
            <rFont val="Tahoma"/>
            <family val="2"/>
          </rPr>
          <t>Discharging Time of
Input Capacitor</t>
        </r>
      </text>
    </comment>
    <comment ref="F44" authorId="0">
      <text>
        <r>
          <rPr>
            <sz val="10"/>
            <color indexed="81"/>
            <rFont val="Tahoma"/>
            <family val="2"/>
          </rPr>
          <t>Discharging Energie (Input Capacitor)</t>
        </r>
      </text>
    </comment>
    <comment ref="F45" authorId="1">
      <text>
        <r>
          <rPr>
            <sz val="10"/>
            <color indexed="81"/>
            <rFont val="Tahoma"/>
            <family val="2"/>
          </rPr>
          <t>max. Duty Cycle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sz val="8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>Calculated Capacity of Input Capacitor</t>
        </r>
      </text>
    </comment>
    <comment ref="F48" authorId="0">
      <text>
        <r>
          <rPr>
            <b/>
            <sz val="10"/>
            <color indexed="81"/>
            <rFont val="Tahoma"/>
            <family val="2"/>
          </rPr>
          <t>Choose the next standard value of the calculated Input Capacitor from cell F43
Alternatively a rule of thumb for choosing Cin can be applied
Input AC voltage        Factor
115V                        2μF/W
230V                        1μF/W
85V~270V                 2~3μF/W
Cin=Pin Max× Factor
e.g., Cin=31.25×2=62.5μF(choose 68μF)
350BXW100MEFR18X25(100uF 350V 18x25 Rubycon 2 in series)</t>
        </r>
      </text>
    </comment>
    <comment ref="F50" authorId="0">
      <text>
        <r>
          <rPr>
            <sz val="10"/>
            <color indexed="81"/>
            <rFont val="Tahoma"/>
            <family val="2"/>
          </rPr>
          <t>Calculated Primary Inductance value</t>
        </r>
      </text>
    </comment>
    <comment ref="F57" authorId="0">
      <text>
        <r>
          <rPr>
            <sz val="10"/>
            <color indexed="81"/>
            <rFont val="Tahoma"/>
            <family val="2"/>
          </rPr>
          <t>The output power determines the right core type. Choose your core type (table on the right side) and put in the number .
For new core, select 10 &amp;  key in the parameters at column10</t>
        </r>
      </text>
    </comment>
    <comment ref="F66" authorId="0">
      <text>
        <r>
          <rPr>
            <sz val="10"/>
            <color indexed="81"/>
            <rFont val="Tahoma"/>
            <family val="2"/>
          </rPr>
          <t>Calculated number of primary turns</t>
        </r>
      </text>
    </comment>
    <comment ref="F67" authorId="0">
      <text>
        <r>
          <rPr>
            <sz val="10"/>
            <color indexed="81"/>
            <rFont val="Tahoma"/>
            <family val="2"/>
          </rPr>
          <t>Vary this value (only integer and greater than or equal of the calculated value in cell F65) to adjust your number of secondary (F67) and auxiliary (F69) turns (nearly integer).</t>
        </r>
      </text>
    </comment>
    <comment ref="F68" authorId="0">
      <text>
        <r>
          <rPr>
            <sz val="10"/>
            <color indexed="81"/>
            <rFont val="Tahoma"/>
            <family val="2"/>
          </rPr>
          <t>Calculated number of secondary turns</t>
        </r>
      </text>
    </comment>
    <comment ref="F69" authorId="0">
      <text>
        <r>
          <rPr>
            <sz val="10"/>
            <color indexed="81"/>
            <rFont val="Tahoma"/>
            <family val="2"/>
          </rPr>
          <t>Choose the next integer value close to the value in cell F87 (≥F67)</t>
        </r>
      </text>
    </comment>
    <comment ref="F70" authorId="0">
      <text>
        <r>
          <rPr>
            <sz val="10"/>
            <color indexed="81"/>
            <rFont val="Tahoma"/>
            <family val="2"/>
          </rPr>
          <t>Calculated number of secondary turns</t>
        </r>
      </text>
    </comment>
    <comment ref="F71" authorId="0">
      <text>
        <r>
          <rPr>
            <sz val="10"/>
            <color indexed="81"/>
            <rFont val="Tahoma"/>
            <family val="2"/>
          </rPr>
          <t>Choose the next integer value close to the value in cell F87 (≥F67)</t>
        </r>
      </text>
    </comment>
    <comment ref="F72" authorId="0">
      <text>
        <r>
          <rPr>
            <sz val="10"/>
            <color indexed="81"/>
            <rFont val="Tahoma"/>
            <family val="2"/>
          </rPr>
          <t>Calculated number of auxiliary turns</t>
        </r>
      </text>
    </comment>
    <comment ref="F73" authorId="0">
      <text>
        <r>
          <rPr>
            <sz val="10"/>
            <color indexed="81"/>
            <rFont val="Tahoma"/>
            <family val="2"/>
          </rPr>
          <t>Choose the next integer value close to the value in cell F69</t>
        </r>
      </text>
    </comment>
    <comment ref="F79" authorId="0">
      <text>
        <r>
          <rPr>
            <b/>
            <u/>
            <sz val="10"/>
            <color indexed="81"/>
            <rFont val="Tahoma"/>
            <family val="2"/>
          </rPr>
          <t>Calculation:
In case of an error message:</t>
        </r>
        <r>
          <rPr>
            <u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Only a maximum of 0,31 T is recommended for N87 material.</t>
        </r>
        <r>
          <rPr>
            <u/>
            <sz val="10"/>
            <color indexed="81"/>
            <rFont val="Tahoma"/>
            <family val="2"/>
          </rPr>
          <t xml:space="preserve">
</t>
        </r>
        <r>
          <rPr>
            <b/>
            <u/>
            <sz val="10"/>
            <color indexed="81"/>
            <rFont val="Tahoma"/>
            <family val="2"/>
          </rPr>
          <t>Solution:</t>
        </r>
        <r>
          <rPr>
            <u/>
            <sz val="10"/>
            <color indexed="81"/>
            <rFont val="Tahoma"/>
            <family val="2"/>
          </rPr>
          <t xml:space="preserve">
A</t>
        </r>
        <r>
          <rPr>
            <sz val="10"/>
            <color indexed="81"/>
            <rFont val="Tahoma"/>
            <family val="2"/>
          </rPr>
          <t>djust with number of primary turns in cell F66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87" authorId="0">
      <text>
        <r>
          <rPr>
            <sz val="10"/>
            <color indexed="81"/>
            <rFont val="Tahoma"/>
            <family val="2"/>
          </rPr>
          <t>European safety standard
M = 4 mm for single isolated
and
M = 0 for tripple isolated wire</t>
        </r>
      </text>
    </comment>
    <comment ref="F88" authorId="0">
      <text>
        <r>
          <rPr>
            <sz val="10"/>
            <color indexed="81"/>
            <rFont val="Tahoma"/>
            <family val="2"/>
          </rPr>
          <t xml:space="preserve">Normaly: 0,2 ... 0,4
</t>
        </r>
      </text>
    </comment>
    <comment ref="F90" authorId="0">
      <text>
        <r>
          <rPr>
            <sz val="10"/>
            <color indexed="81"/>
            <rFont val="Tahoma"/>
            <family val="2"/>
          </rPr>
          <t>Tabular value, use normaly a dual insulated wire. The insulation thickness is the difference of the maximum value and the minimum value of the insulation.</t>
        </r>
      </text>
    </comment>
    <comment ref="F93" authorId="0">
      <text>
        <r>
          <rPr>
            <b/>
            <u/>
            <sz val="10"/>
            <color indexed="81"/>
            <rFont val="Tahoma"/>
            <family val="2"/>
          </rPr>
          <t>Pre - Calculation:</t>
        </r>
        <r>
          <rPr>
            <b/>
            <sz val="10"/>
            <color indexed="81"/>
            <rFont val="Tahoma"/>
            <family val="2"/>
          </rPr>
          <t xml:space="preserve">
American Wire Gauge (AWG)</t>
        </r>
        <r>
          <rPr>
            <sz val="10"/>
            <color indexed="81"/>
            <rFont val="Tahoma"/>
            <family val="2"/>
          </rPr>
          <t xml:space="preserve">
Pre - Calculation (based on cell 89)</t>
        </r>
      </text>
    </comment>
    <comment ref="F94" authorId="0">
      <text>
        <r>
          <rPr>
            <b/>
            <u/>
            <sz val="10"/>
            <color indexed="81"/>
            <rFont val="Tahoma"/>
            <family val="2"/>
          </rPr>
          <t>Post - Calculation:</t>
        </r>
        <r>
          <rPr>
            <b/>
            <sz val="10"/>
            <color indexed="81"/>
            <rFont val="Tahoma"/>
            <family val="2"/>
          </rPr>
          <t xml:space="preserve">
American Wire Gauge</t>
        </r>
        <r>
          <rPr>
            <sz val="10"/>
            <color indexed="81"/>
            <rFont val="Tahoma"/>
            <family val="2"/>
          </rPr>
          <t xml:space="preserve">
Choose the next integer value close to AWG in cell 90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4" authorId="0">
      <text>
        <r>
          <rPr>
            <sz val="10"/>
            <color indexed="81"/>
            <rFont val="Tahoma"/>
            <family val="2"/>
          </rPr>
          <t>Tabular value, use normaly a dual insulated wire. The insulation thickness is the difference of the maximum value and the minimum value of the insulation.
In case of using a tripple isolated wire set 0,1.</t>
        </r>
      </text>
    </comment>
    <comment ref="F107" authorId="0">
      <text>
        <r>
          <rPr>
            <b/>
            <u/>
            <sz val="10"/>
            <color indexed="81"/>
            <rFont val="Tahoma"/>
            <family val="2"/>
          </rPr>
          <t>Pre - Calculation:</t>
        </r>
        <r>
          <rPr>
            <sz val="10"/>
            <color indexed="81"/>
            <rFont val="Tahoma"/>
            <family val="2"/>
          </rPr>
          <t xml:space="preserve">
American Wire Gauge (AWG)
Pre - Calculation (based on cell 102)</t>
        </r>
      </text>
    </comment>
    <comment ref="F108" authorId="0">
      <text>
        <r>
          <rPr>
            <sz val="10"/>
            <color indexed="81"/>
            <rFont val="Tahoma"/>
            <family val="2"/>
          </rPr>
          <t>Post - Calculation:
American Wire Gauge
Choose the next integer value close to AWG in cell  F103</t>
        </r>
      </text>
    </comment>
    <comment ref="F109" authorId="0">
      <text>
        <r>
          <rPr>
            <sz val="10"/>
            <color indexed="81"/>
            <rFont val="Tahoma"/>
            <family val="2"/>
          </rPr>
          <t>In case of a high current, you need more than one wire, choose here the number of parallel wires</t>
        </r>
      </text>
    </comment>
    <comment ref="F110" authorId="0">
      <text>
        <r>
          <rPr>
            <b/>
            <u/>
            <sz val="10"/>
            <color indexed="81"/>
            <rFont val="Tahoma"/>
            <family val="2"/>
          </rPr>
          <t>Post - Calculation:</t>
        </r>
        <r>
          <rPr>
            <sz val="10"/>
            <color indexed="81"/>
            <rFont val="Tahoma"/>
            <family val="2"/>
          </rPr>
          <t xml:space="preserve">
Calculated diameter based on the choosen AWG in cell 104</t>
        </r>
      </text>
    </comment>
    <comment ref="F111" authorId="0">
      <text>
        <r>
          <rPr>
            <sz val="10"/>
            <color indexed="81"/>
            <rFont val="Tahoma"/>
            <family val="2"/>
          </rPr>
          <t>In case of an error message, choose an othervalue of AWG in cell F139</t>
        </r>
      </text>
    </comment>
    <comment ref="F112" authorId="0">
      <text>
        <r>
          <rPr>
            <sz val="10"/>
            <color indexed="81"/>
            <rFont val="Tahoma"/>
            <family val="2"/>
          </rPr>
          <t>In case of an error message, choose more parallel wire in cell F102</t>
        </r>
      </text>
    </comment>
    <comment ref="F118" authorId="0">
      <text>
        <r>
          <rPr>
            <sz val="10"/>
            <color indexed="81"/>
            <rFont val="Tahoma"/>
            <family val="2"/>
          </rPr>
          <t>Standard: 2 ... 10%</t>
        </r>
      </text>
    </comment>
    <comment ref="F123" authorId="0">
      <text>
        <r>
          <rPr>
            <sz val="10"/>
            <color indexed="81"/>
            <rFont val="Tahoma"/>
            <family val="2"/>
          </rPr>
          <t>Choosen capacitor (data sheet)</t>
        </r>
      </text>
    </comment>
    <comment ref="F125" authorId="0">
      <text>
        <r>
          <rPr>
            <sz val="10"/>
            <color indexed="81"/>
            <rFont val="Tahoma"/>
            <family val="2"/>
          </rPr>
          <t>Chosen resistor (data sheet)</t>
        </r>
      </text>
    </comment>
    <comment ref="F130" authorId="0">
      <text>
        <r>
          <rPr>
            <sz val="10"/>
            <color indexed="81"/>
            <rFont val="Tahoma"/>
            <family val="2"/>
          </rPr>
          <t>Secondary RMS current through the output diode D2</t>
        </r>
      </text>
    </comment>
    <comment ref="F134" authorId="0">
      <text>
        <r>
          <rPr>
            <sz val="10"/>
            <color indexed="81"/>
            <rFont val="Tahoma"/>
            <family val="2"/>
          </rPr>
          <t>Secondary RMS current through the output diode D2</t>
        </r>
      </text>
    </comment>
    <comment ref="F137" authorId="0">
      <text>
        <r>
          <rPr>
            <sz val="10"/>
            <color indexed="81"/>
            <rFont val="Tahoma"/>
            <family val="2"/>
          </rPr>
          <t>Depends on load, normaly variations in a range of dVout = 0,5V</t>
        </r>
      </text>
    </comment>
    <comment ref="F138" authorId="0">
      <text>
        <r>
          <rPr>
            <sz val="10"/>
            <color indexed="81"/>
            <rFont val="Tahoma"/>
            <family val="2"/>
          </rPr>
          <t>Number of cycles before the regulation works, normaly: 5 ... 20 times</t>
        </r>
      </text>
    </comment>
    <comment ref="F139" authorId="1">
      <text>
        <r>
          <rPr>
            <sz val="10"/>
            <color indexed="81"/>
            <rFont val="Tahoma"/>
            <family val="2"/>
          </rPr>
          <t>Ripple Current Rating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42" authorId="0">
      <text>
        <r>
          <rPr>
            <sz val="10"/>
            <color indexed="81"/>
            <rFont val="Tahoma"/>
            <family val="2"/>
          </rPr>
          <t>Choosen capacitor (data sheet)
16ZLH1000MEFC10X16(Rubycon 1000µF/16V(10X16)
EPCOS (B41889A4108M)</t>
        </r>
      </text>
    </comment>
    <comment ref="F143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Zmax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and not ESRmax @ 120 Hz</t>
        </r>
      </text>
    </comment>
    <comment ref="F144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Iacmax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</t>
        </r>
      </text>
    </comment>
    <comment ref="F145" authorId="0">
      <text>
        <r>
          <rPr>
            <sz val="10"/>
            <color indexed="81"/>
            <rFont val="Tahoma"/>
            <family val="2"/>
          </rPr>
          <t>The value of the Isrms (cell F123) determine the number of the parallel capacitors.
The maximum current of one capacitor, look at the data book of Aluminium Elektrolytic Capacitors.</t>
        </r>
      </text>
    </comment>
    <comment ref="F149" authorId="0">
      <text>
        <r>
          <rPr>
            <sz val="10"/>
            <color indexed="81"/>
            <rFont val="Tahoma"/>
            <family val="2"/>
          </rPr>
          <t>Choosen inductor (data sheet)
WE
744 746 202  2
2.2uH/4.3A
6X8.5mm
2.5mm</t>
        </r>
      </text>
    </comment>
    <comment ref="F152" authorId="0">
      <text>
        <r>
          <rPr>
            <sz val="10"/>
            <color indexed="81"/>
            <rFont val="Tahoma"/>
            <family val="2"/>
          </rPr>
          <t>Standard capacitor
16ZLH470MEFC8X11.5
(Rubycon 470µF/16V(8X11.5)</t>
        </r>
      </text>
    </comment>
    <comment ref="F153" authorId="0">
      <text>
        <r>
          <rPr>
            <sz val="10"/>
            <color indexed="81"/>
            <rFont val="Tahoma"/>
            <family val="2"/>
          </rPr>
          <t>LC-Filter Corner frequency</t>
        </r>
      </text>
    </comment>
    <comment ref="F157" authorId="0">
      <text>
        <r>
          <rPr>
            <sz val="10"/>
            <color indexed="81"/>
            <rFont val="Tahoma"/>
            <family val="2"/>
          </rPr>
          <t>Depends on load, normaly variations in a range of dVout = 0,5V</t>
        </r>
      </text>
    </comment>
    <comment ref="F158" authorId="0">
      <text>
        <r>
          <rPr>
            <sz val="10"/>
            <color indexed="81"/>
            <rFont val="Tahoma"/>
            <family val="2"/>
          </rPr>
          <t>Number of cycles before the regulation works, normaly: 5 ... 20 times</t>
        </r>
      </text>
    </comment>
    <comment ref="F159" authorId="1">
      <text>
        <r>
          <rPr>
            <sz val="10"/>
            <color indexed="81"/>
            <rFont val="Tahoma"/>
            <family val="2"/>
          </rPr>
          <t>Ripple Current Rating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2" authorId="0">
      <text>
        <r>
          <rPr>
            <sz val="10"/>
            <color indexed="81"/>
            <rFont val="Tahoma"/>
            <family val="2"/>
          </rPr>
          <t>Choosen capacitor (data sheet)
10ZLH330MEFC6.3X11
(Rubycon330µF/10V(6.3X11)</t>
        </r>
      </text>
    </comment>
    <comment ref="F163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Zmax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and not ESRmax @ 120 Hz</t>
        </r>
      </text>
    </comment>
    <comment ref="F164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Iacmax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</t>
        </r>
      </text>
    </comment>
    <comment ref="F165" authorId="0">
      <text>
        <r>
          <rPr>
            <sz val="10"/>
            <color indexed="81"/>
            <rFont val="Tahoma"/>
            <family val="2"/>
          </rPr>
          <t>The value of the Isrms (cell F123) determine the number of the parallel capacitors.
The maximum current of one capacitor, look at the data book of Aluminium Elektrolytic Capacitors.</t>
        </r>
      </text>
    </comment>
    <comment ref="F169" authorId="0">
      <text>
        <r>
          <rPr>
            <sz val="10"/>
            <color indexed="81"/>
            <rFont val="Tahoma"/>
            <family val="2"/>
          </rPr>
          <t>Choosen inductor (data sheet)
WE
744 746 204  7
4.7uH/3.7A
6X8.5mm
2.5mm</t>
        </r>
      </text>
    </comment>
    <comment ref="F172" authorId="0">
      <text>
        <r>
          <rPr>
            <sz val="10"/>
            <color indexed="81"/>
            <rFont val="Tahoma"/>
            <family val="2"/>
          </rPr>
          <t>Standard capacitor
10ZLH330MEFC6.3X11
(Rubycon330µF/10V(6.3X11)</t>
        </r>
      </text>
    </comment>
    <comment ref="F173" authorId="0">
      <text>
        <r>
          <rPr>
            <sz val="10"/>
            <color indexed="81"/>
            <rFont val="Tahoma"/>
            <family val="2"/>
          </rPr>
          <t>LC-Filter Corner frequency</t>
        </r>
      </text>
    </comment>
    <comment ref="F181" authorId="0">
      <text>
        <r>
          <rPr>
            <sz val="10"/>
            <color indexed="81"/>
            <rFont val="Tahoma"/>
            <family val="2"/>
          </rPr>
          <t>Capacity of the Vcc - Capacitor</t>
        </r>
      </text>
    </comment>
    <comment ref="F182" authorId="2">
      <text>
        <r>
          <rPr>
            <sz val="10"/>
            <color indexed="81"/>
            <rFont val="Tahoma"/>
            <family val="2"/>
          </rPr>
          <t>Choose the next Standard Value (≥) of the calculated Capacitor  from  cell F150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F202" authorId="1">
      <text>
        <r>
          <rPr>
            <b/>
            <sz val="10"/>
            <color indexed="81"/>
            <rFont val="Tahoma"/>
            <family val="2"/>
          </rPr>
          <t xml:space="preserve">Rdson is depending on CoolMOS Transistor: </t>
        </r>
        <r>
          <rPr>
            <sz val="10"/>
            <color indexed="81"/>
            <rFont val="Tahoma"/>
            <family val="2"/>
          </rPr>
          <t xml:space="preserve">
the value can be taken from datasheet</t>
        </r>
      </text>
    </comment>
    <comment ref="F203" authorId="0">
      <text>
        <r>
          <rPr>
            <b/>
            <sz val="10"/>
            <color indexed="81"/>
            <rFont val="Tahoma"/>
            <family val="2"/>
          </rPr>
          <t>Co(er) is depending on the CoolMOS Transistor:</t>
        </r>
        <r>
          <rPr>
            <sz val="10"/>
            <color indexed="81"/>
            <rFont val="Tahoma"/>
            <family val="2"/>
          </rPr>
          <t xml:space="preserve">
the value can be taken from datasheet</t>
        </r>
      </text>
    </comment>
    <comment ref="F204" authorId="0">
      <text>
        <r>
          <rPr>
            <b/>
            <sz val="10"/>
            <color indexed="81"/>
            <rFont val="Tahoma"/>
            <family val="2"/>
          </rPr>
          <t>Cext depending on external parasitics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214" authorId="0">
      <text>
        <r>
          <rPr>
            <b/>
            <sz val="10"/>
            <color indexed="81"/>
            <rFont val="Tahoma"/>
            <family val="2"/>
          </rPr>
          <t>Mosfet losses
taken from Vacmin (F210) or Vacmax (F214) result</t>
        </r>
      </text>
    </comment>
    <comment ref="F215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In case NO Heat Sink, typical thermal Resistance in [K/W]:
DIP-8=90
DIP-7=96
DSO-16/12=110
85K/W with 232mm2,2 OZ copper area at drain</t>
        </r>
      </text>
    </comment>
    <comment ref="F227" authorId="0">
      <text>
        <r>
          <rPr>
            <sz val="10"/>
            <color indexed="81"/>
            <rFont val="Tahoma"/>
            <family val="2"/>
          </rPr>
          <t>Data Sheet 10mA, you have the possibility to choose a higher value</t>
        </r>
      </text>
    </comment>
    <comment ref="F229" authorId="0">
      <text>
        <r>
          <rPr>
            <sz val="10"/>
            <color indexed="81"/>
            <rFont val="Tahoma"/>
            <family val="2"/>
          </rPr>
          <t>You can choose the cross over frequency</t>
        </r>
      </text>
    </comment>
    <comment ref="F231" authorId="0">
      <text>
        <r>
          <rPr>
            <sz val="10"/>
            <color indexed="81"/>
            <rFont val="Tahoma"/>
            <family val="2"/>
          </rPr>
          <t>Choose the next Standard Value of the calculated Resistor from cell F197</t>
        </r>
      </text>
    </comment>
    <comment ref="F233" authorId="0">
      <text>
        <r>
          <rPr>
            <sz val="10"/>
            <color indexed="81"/>
            <rFont val="Tahoma"/>
            <family val="2"/>
          </rPr>
          <t>Choose the next Standard Value (≥) of the calculated Resistor from cell F201</t>
        </r>
      </text>
    </comment>
    <comment ref="F238" authorId="0">
      <text>
        <r>
          <rPr>
            <sz val="10"/>
            <color indexed="81"/>
            <rFont val="Tahoma"/>
            <family val="2"/>
          </rPr>
          <t>Choose the next Standard Value (</t>
        </r>
        <r>
          <rPr>
            <sz val="10"/>
            <color indexed="81"/>
            <rFont val="Mathcad UniMath"/>
            <family val="3"/>
          </rPr>
          <t>≤)</t>
        </r>
        <r>
          <rPr>
            <sz val="10"/>
            <color indexed="81"/>
            <rFont val="Tahoma"/>
            <family val="2"/>
          </rPr>
          <t xml:space="preserve"> of the calculated Resistor from cell F206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53" authorId="0">
      <text>
        <r>
          <rPr>
            <sz val="10"/>
            <color indexed="81"/>
            <rFont val="Tahoma"/>
            <family val="2"/>
          </rPr>
          <t>Round to the next standard value.</t>
        </r>
      </text>
    </comment>
    <comment ref="F255" authorId="0">
      <text>
        <r>
          <rPr>
            <sz val="10"/>
            <color indexed="81"/>
            <rFont val="Tahoma"/>
            <family val="2"/>
          </rPr>
          <t>Choose the next Standard Value of the calculated Capacitor from cell F221</t>
        </r>
      </text>
    </comment>
    <comment ref="F257" authorId="0">
      <text>
        <r>
          <rPr>
            <sz val="10"/>
            <color indexed="81"/>
            <rFont val="Tahoma"/>
            <family val="2"/>
          </rPr>
          <t>Choose the next Standard Value of the calculated Capacitor from cell F223</t>
        </r>
      </text>
    </comment>
    <comment ref="F261" authorId="2">
      <text>
        <r>
          <rPr>
            <b/>
            <sz val="9"/>
            <color indexed="81"/>
            <rFont val="Tahoma"/>
            <family val="2"/>
          </rPr>
          <t>Choose from datasheet</t>
        </r>
      </text>
    </comment>
    <comment ref="F263" authorId="2">
      <text>
        <r>
          <rPr>
            <b/>
            <sz val="9"/>
            <color indexed="81"/>
            <rFont val="Tahoma"/>
            <family val="2"/>
          </rPr>
          <t>Choose the next Standard Value of the calculated Resistor from cell F265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4" authorId="2">
      <text>
        <r>
          <rPr>
            <sz val="9"/>
            <color indexed="81"/>
            <rFont val="Tahoma"/>
            <family val="2"/>
          </rPr>
          <t xml:space="preserve">
start with a few hundred kHz for initial estimation and later by measurement value  on board</t>
        </r>
      </text>
    </comment>
    <comment ref="F266" authorId="3">
      <text>
        <r>
          <rPr>
            <b/>
            <sz val="9"/>
            <color indexed="81"/>
            <rFont val="Tahoma"/>
            <family val="2"/>
          </rPr>
          <t>Kyaw Zin Min (IFAP DC PMM AE):</t>
        </r>
        <r>
          <rPr>
            <sz val="9"/>
            <color indexed="81"/>
            <rFont val="Tahoma"/>
            <family val="2"/>
          </rPr>
          <t xml:space="preserve">
Choose lower than calculated value and  Vzcd at Max line no load&gt;100mV</t>
        </r>
      </text>
    </comment>
    <comment ref="F272" authorId="2">
      <text>
        <r>
          <rPr>
            <b/>
            <sz val="9"/>
            <color indexed="81"/>
            <rFont val="Tahoma"/>
            <family val="2"/>
          </rPr>
          <t xml:space="preserve">Chosen value should be ≥ of the calculated value  at cell F293.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3" authorId="2">
      <text>
        <r>
          <rPr>
            <b/>
            <sz val="9"/>
            <color indexed="81"/>
            <rFont val="Tahoma"/>
            <family val="2"/>
          </rPr>
          <t xml:space="preserve">Chosen value should be ≥ of the calculated value  at cell F303.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Kling_26414</author>
    <author>Kyaw Zin Min (IFAP DC PMM APS SE1)</author>
    <author>Siemens AG</author>
  </authors>
  <commentList>
    <comment ref="F47" authorId="0">
      <text>
        <r>
          <rPr>
            <b/>
            <sz val="10"/>
            <color indexed="81"/>
            <rFont val="Tahoma"/>
            <family val="2"/>
          </rPr>
          <t>Choose the next standard value of the calculated Input Capacitor from cell F43
Alternatively a rule of thumb for choosing Cin can be applied
Input AC voltage        Factor
115V                        2μF/W
230V                        1μF/W
85V~270V                 2~3μF/W
Cin=Pin Max× Factor
e.g., Cin=31.25×2=62.5μF(choose 68μF)
350BXW100MEFR18X25(100uF 350V 18x25 Rubycon 2 in series)</t>
        </r>
      </text>
    </comment>
    <comment ref="F56" authorId="0">
      <text>
        <r>
          <rPr>
            <sz val="10"/>
            <color indexed="81"/>
            <rFont val="Tahoma"/>
            <family val="2"/>
          </rPr>
          <t>The output power determines the right core type. Choose your core type (table on the right side) and put in the number .
For new core, select 10 &amp;  key in the parameters at column10</t>
        </r>
      </text>
    </comment>
    <comment ref="F66" authorId="0">
      <text>
        <r>
          <rPr>
            <sz val="10"/>
            <color indexed="81"/>
            <rFont val="Tahoma"/>
            <family val="2"/>
          </rPr>
          <t>Vary this value (only integer and greater than or equal of the calculated value in cell F65) to adjust your number of secondary (F67) and auxiliary (F69) turns (nearly integer).</t>
        </r>
      </text>
    </comment>
    <comment ref="F68" authorId="0">
      <text>
        <r>
          <rPr>
            <sz val="10"/>
            <color indexed="81"/>
            <rFont val="Tahoma"/>
            <family val="2"/>
          </rPr>
          <t>Choose the next integer value close to the value in cell F87 (≥F67)</t>
        </r>
      </text>
    </comment>
    <comment ref="F70" authorId="0">
      <text>
        <r>
          <rPr>
            <sz val="10"/>
            <color indexed="81"/>
            <rFont val="Tahoma"/>
            <family val="2"/>
          </rPr>
          <t>Choose the next integer value close to the value in cell F87 (≥F67)</t>
        </r>
      </text>
    </comment>
    <comment ref="F72" authorId="0">
      <text>
        <r>
          <rPr>
            <sz val="10"/>
            <color indexed="81"/>
            <rFont val="Tahoma"/>
            <family val="2"/>
          </rPr>
          <t>Choose the next integer value close to the value in cell F69</t>
        </r>
      </text>
    </comment>
    <comment ref="F86" authorId="0">
      <text>
        <r>
          <rPr>
            <sz val="10"/>
            <color indexed="81"/>
            <rFont val="Tahoma"/>
            <family val="2"/>
          </rPr>
          <t>European safety standard
M = 4 mm for single isolated
and
M = 0 for tripple isolated wire</t>
        </r>
      </text>
    </comment>
    <comment ref="F87" authorId="0">
      <text>
        <r>
          <rPr>
            <sz val="10"/>
            <color indexed="81"/>
            <rFont val="Tahoma"/>
            <family val="2"/>
          </rPr>
          <t xml:space="preserve">Normaly: 0,2 ... 0,4
</t>
        </r>
      </text>
    </comment>
    <comment ref="F89" authorId="0">
      <text>
        <r>
          <rPr>
            <sz val="10"/>
            <color indexed="81"/>
            <rFont val="Tahoma"/>
            <family val="2"/>
          </rPr>
          <t>Tabular value, use normaly a dual insulated wire. The insulation thickness is the difference of the maximum value and the minimum value of the insulation.</t>
        </r>
      </text>
    </comment>
    <comment ref="F93" authorId="0">
      <text>
        <r>
          <rPr>
            <b/>
            <u/>
            <sz val="10"/>
            <color indexed="81"/>
            <rFont val="Tahoma"/>
            <family val="2"/>
          </rPr>
          <t>Post - Calculation:</t>
        </r>
        <r>
          <rPr>
            <b/>
            <sz val="10"/>
            <color indexed="81"/>
            <rFont val="Tahoma"/>
            <family val="2"/>
          </rPr>
          <t xml:space="preserve">
American Wire Gauge</t>
        </r>
        <r>
          <rPr>
            <sz val="10"/>
            <color indexed="81"/>
            <rFont val="Tahoma"/>
            <family val="2"/>
          </rPr>
          <t xml:space="preserve">
Choose the next integer value close to AWG in cell 90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3" authorId="0">
      <text>
        <r>
          <rPr>
            <sz val="10"/>
            <color indexed="81"/>
            <rFont val="Tahoma"/>
            <family val="2"/>
          </rPr>
          <t>Tabular value, use normaly a dual insulated wire. The insulation thickness is the difference of the maximum value and the minimum value of the insulation.
In case of using a tripple isolated wire set 0,1.</t>
        </r>
      </text>
    </comment>
    <comment ref="F107" authorId="0">
      <text>
        <r>
          <rPr>
            <sz val="10"/>
            <color indexed="81"/>
            <rFont val="Tahoma"/>
            <family val="2"/>
          </rPr>
          <t>Post - Calculation:
American Wire Gauge
Choose the next integer value close to AWG in cell  F103</t>
        </r>
      </text>
    </comment>
    <comment ref="F108" authorId="0">
      <text>
        <r>
          <rPr>
            <sz val="10"/>
            <color indexed="81"/>
            <rFont val="Tahoma"/>
            <family val="2"/>
          </rPr>
          <t>In case of a high current, you need more than one wire, choose here the number of parallel wires</t>
        </r>
      </text>
    </comment>
    <comment ref="F117" authorId="0">
      <text>
        <r>
          <rPr>
            <sz val="10"/>
            <color indexed="81"/>
            <rFont val="Tahoma"/>
            <family val="2"/>
          </rPr>
          <t>Standard: 2 ... 10%</t>
        </r>
      </text>
    </comment>
    <comment ref="F122" authorId="0">
      <text>
        <r>
          <rPr>
            <sz val="10"/>
            <color indexed="81"/>
            <rFont val="Tahoma"/>
            <family val="2"/>
          </rPr>
          <t>Choosen capacitor (data sheet)</t>
        </r>
      </text>
    </comment>
    <comment ref="F124" authorId="0">
      <text>
        <r>
          <rPr>
            <sz val="10"/>
            <color indexed="81"/>
            <rFont val="Tahoma"/>
            <family val="2"/>
          </rPr>
          <t>Chosen resistor (data sheet)</t>
        </r>
      </text>
    </comment>
    <comment ref="F136" authorId="0">
      <text>
        <r>
          <rPr>
            <sz val="10"/>
            <color indexed="81"/>
            <rFont val="Tahoma"/>
            <family val="2"/>
          </rPr>
          <t>Depends on load, normaly variations in a range of dVout = 0,5V</t>
        </r>
      </text>
    </comment>
    <comment ref="F137" authorId="0">
      <text>
        <r>
          <rPr>
            <sz val="10"/>
            <color indexed="81"/>
            <rFont val="Tahoma"/>
            <family val="2"/>
          </rPr>
          <t>Number of cycles before the regulation works, normaly: 5 ... 20 times</t>
        </r>
      </text>
    </comment>
    <comment ref="F141" authorId="0">
      <text>
        <r>
          <rPr>
            <sz val="10"/>
            <color indexed="81"/>
            <rFont val="Tahoma"/>
            <family val="2"/>
          </rPr>
          <t>Choosen capacitor (data sheet)
16ZLH1000MEFC10X16(Rubycon 1000µF/16V(10X16)
EPCOS (B41889A4108M)</t>
        </r>
      </text>
    </comment>
    <comment ref="F142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Zmax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and not ESRmax @ 120 Hz</t>
        </r>
      </text>
    </comment>
    <comment ref="F143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Iacmax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</t>
        </r>
      </text>
    </comment>
    <comment ref="F144" authorId="0">
      <text>
        <r>
          <rPr>
            <sz val="10"/>
            <color indexed="81"/>
            <rFont val="Tahoma"/>
            <family val="2"/>
          </rPr>
          <t>The value of the Isrms (cell F123) determine the number of the parallel capacitors.
The maximum current of one capacitor, look at the data book of Aluminium Elektrolytic Capacitors.</t>
        </r>
      </text>
    </comment>
    <comment ref="F148" authorId="0">
      <text>
        <r>
          <rPr>
            <sz val="10"/>
            <color indexed="81"/>
            <rFont val="Tahoma"/>
            <family val="2"/>
          </rPr>
          <t>Choosen inductor (data sheet)
WE
744 746 202  2
2.2uH/4.3A
6X8.5mm
2.5mm</t>
        </r>
      </text>
    </comment>
    <comment ref="F151" authorId="0">
      <text>
        <r>
          <rPr>
            <sz val="10"/>
            <color indexed="81"/>
            <rFont val="Tahoma"/>
            <family val="2"/>
          </rPr>
          <t>Standard capacitor
16ZLH470MEFC8X11.5
(Rubycon 470µF/16V(8X11.5)</t>
        </r>
      </text>
    </comment>
    <comment ref="F156" authorId="0">
      <text>
        <r>
          <rPr>
            <sz val="10"/>
            <color indexed="81"/>
            <rFont val="Tahoma"/>
            <family val="2"/>
          </rPr>
          <t>Depends on load, normaly variations in a range of dVout = 0,5V</t>
        </r>
      </text>
    </comment>
    <comment ref="F157" authorId="0">
      <text>
        <r>
          <rPr>
            <sz val="10"/>
            <color indexed="81"/>
            <rFont val="Tahoma"/>
            <family val="2"/>
          </rPr>
          <t>Number of cycles before the regulation works, normaly: 5 ... 20 times</t>
        </r>
      </text>
    </comment>
    <comment ref="F161" authorId="0">
      <text>
        <r>
          <rPr>
            <sz val="10"/>
            <color indexed="81"/>
            <rFont val="Tahoma"/>
            <family val="2"/>
          </rPr>
          <t>Choosen capacitor (data sheet)
10ZLH330MEFC6.3X11
(Rubycon330µF/10V(6.3X11)</t>
        </r>
      </text>
    </comment>
    <comment ref="F162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Zmax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and not ESRmax @ 120 Hz</t>
        </r>
      </text>
    </comment>
    <comment ref="F163" authorId="0">
      <text>
        <r>
          <rPr>
            <sz val="10"/>
            <color indexed="81"/>
            <rFont val="Tahoma"/>
            <family val="2"/>
          </rPr>
          <t xml:space="preserve">Use </t>
        </r>
        <r>
          <rPr>
            <b/>
            <sz val="10"/>
            <color indexed="81"/>
            <rFont val="Tahoma"/>
            <family val="2"/>
          </rPr>
          <t>Iacmax</t>
        </r>
        <r>
          <rPr>
            <sz val="10"/>
            <color indexed="81"/>
            <rFont val="Tahoma"/>
            <family val="2"/>
          </rPr>
          <t xml:space="preserve"> from data sheet @ </t>
        </r>
        <r>
          <rPr>
            <b/>
            <sz val="10"/>
            <color indexed="81"/>
            <rFont val="Tahoma"/>
            <family val="2"/>
          </rPr>
          <t>100kHz</t>
        </r>
        <r>
          <rPr>
            <sz val="10"/>
            <color indexed="81"/>
            <rFont val="Tahoma"/>
            <family val="2"/>
          </rPr>
          <t xml:space="preserve"> </t>
        </r>
      </text>
    </comment>
    <comment ref="F164" authorId="0">
      <text>
        <r>
          <rPr>
            <sz val="10"/>
            <color indexed="81"/>
            <rFont val="Tahoma"/>
            <family val="2"/>
          </rPr>
          <t>The value of the Isrms (cell F123) determine the number of the parallel capacitors.
The maximum current of one capacitor, look at the data book of Aluminium Elektrolytic Capacitors.</t>
        </r>
      </text>
    </comment>
    <comment ref="F168" authorId="0">
      <text>
        <r>
          <rPr>
            <sz val="10"/>
            <color indexed="81"/>
            <rFont val="Tahoma"/>
            <family val="2"/>
          </rPr>
          <t>Choosen inductor (data sheet)
WE
744 746 204  7
4.7uH/3.7A
6X8.5mm
2.5mm</t>
        </r>
      </text>
    </comment>
    <comment ref="F171" authorId="0">
      <text>
        <r>
          <rPr>
            <sz val="10"/>
            <color indexed="81"/>
            <rFont val="Tahoma"/>
            <family val="2"/>
          </rPr>
          <t>Standard capacitor
10ZLH330MEFC6.3X11
(Rubycon330µF/10V(6.3X11)</t>
        </r>
      </text>
    </comment>
    <comment ref="F181" authorId="1">
      <text>
        <r>
          <rPr>
            <sz val="10"/>
            <color indexed="81"/>
            <rFont val="Tahoma"/>
            <family val="2"/>
          </rPr>
          <t>Choose the next Standard Value (≥) of the calculated Capacitor  from  cell F150</t>
        </r>
        <r>
          <rPr>
            <sz val="9"/>
            <color indexed="81"/>
            <rFont val="Tahoma"/>
            <family val="2"/>
          </rPr>
          <t xml:space="preserve">
 </t>
        </r>
      </text>
    </comment>
    <comment ref="F203" authorId="2">
      <text>
        <r>
          <rPr>
            <b/>
            <sz val="10"/>
            <color indexed="81"/>
            <rFont val="Tahoma"/>
            <family val="2"/>
          </rPr>
          <t xml:space="preserve">Rdson is depending on CoolMOS Transistor: </t>
        </r>
        <r>
          <rPr>
            <sz val="10"/>
            <color indexed="81"/>
            <rFont val="Tahoma"/>
            <family val="2"/>
          </rPr>
          <t xml:space="preserve">
the value can be taken from datasheet</t>
        </r>
      </text>
    </comment>
    <comment ref="F204" authorId="0">
      <text>
        <r>
          <rPr>
            <b/>
            <sz val="10"/>
            <color indexed="81"/>
            <rFont val="Tahoma"/>
            <family val="2"/>
          </rPr>
          <t>Co(er) is depending on the CoolMOS Transistor:</t>
        </r>
        <r>
          <rPr>
            <sz val="10"/>
            <color indexed="81"/>
            <rFont val="Tahoma"/>
            <family val="2"/>
          </rPr>
          <t xml:space="preserve">
the value can be taken from datasheet</t>
        </r>
      </text>
    </comment>
    <comment ref="F205" authorId="0">
      <text>
        <r>
          <rPr>
            <b/>
            <sz val="10"/>
            <color indexed="81"/>
            <rFont val="Tahoma"/>
            <family val="2"/>
          </rPr>
          <t>Cext depending on external parasitics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228" authorId="0">
      <text>
        <r>
          <rPr>
            <sz val="10"/>
            <color indexed="81"/>
            <rFont val="Tahoma"/>
            <family val="2"/>
          </rPr>
          <t>Data Sheet 10mA, you have the possibility to choose a higher value</t>
        </r>
      </text>
    </comment>
    <comment ref="F233" authorId="0">
      <text>
        <r>
          <rPr>
            <sz val="10"/>
            <color indexed="81"/>
            <rFont val="Tahoma"/>
            <family val="2"/>
          </rPr>
          <t>You can choose the cross over frequency</t>
        </r>
      </text>
    </comment>
    <comment ref="F235" authorId="0">
      <text>
        <r>
          <rPr>
            <sz val="10"/>
            <color indexed="81"/>
            <rFont val="Tahoma"/>
            <family val="2"/>
          </rPr>
          <t xml:space="preserve">Choose the nearest Standard Value of the calculated Resistor from cell F232
</t>
        </r>
      </text>
    </comment>
    <comment ref="F237" authorId="0">
      <text>
        <r>
          <rPr>
            <sz val="10"/>
            <color indexed="81"/>
            <rFont val="Tahoma"/>
            <family val="2"/>
          </rPr>
          <t>Choose the nearest Standard Value of the calculated Resistor from cell F233</t>
        </r>
      </text>
    </comment>
    <comment ref="F238" authorId="0">
      <text>
        <r>
          <rPr>
            <sz val="10"/>
            <color indexed="81"/>
            <rFont val="Tahoma"/>
            <family val="2"/>
          </rPr>
          <t>Choose the next Standard Value of the calculated Resistor from cell F197</t>
        </r>
      </text>
    </comment>
    <comment ref="F239" authorId="0">
      <text>
        <r>
          <rPr>
            <sz val="10"/>
            <color indexed="81"/>
            <rFont val="Tahoma"/>
            <family val="2"/>
          </rPr>
          <t>hoose the nearest Standard Value of the calculated Resistor from cell F234</t>
        </r>
      </text>
    </comment>
    <comment ref="F241" authorId="0">
      <text>
        <r>
          <rPr>
            <sz val="10"/>
            <color indexed="81"/>
            <rFont val="Tahoma"/>
            <family val="2"/>
          </rPr>
          <t>Choose the next Standard Value (≥) of the calculated Resistor from cell F201</t>
        </r>
      </text>
    </comment>
    <comment ref="F246" authorId="0">
      <text>
        <r>
          <rPr>
            <sz val="10"/>
            <color indexed="81"/>
            <rFont val="Tahoma"/>
            <family val="2"/>
          </rPr>
          <t>Choose the next Standard Value (</t>
        </r>
        <r>
          <rPr>
            <sz val="10"/>
            <color indexed="81"/>
            <rFont val="Mathcad UniMath"/>
            <family val="3"/>
          </rPr>
          <t>≤)</t>
        </r>
        <r>
          <rPr>
            <sz val="10"/>
            <color indexed="81"/>
            <rFont val="Tahoma"/>
            <family val="2"/>
          </rPr>
          <t xml:space="preserve"> of the calculated Resistor from cell F206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62" authorId="0">
      <text>
        <r>
          <rPr>
            <sz val="10"/>
            <color indexed="81"/>
            <rFont val="Tahoma"/>
            <family val="2"/>
          </rPr>
          <t>Round to the next standard value.</t>
        </r>
      </text>
    </comment>
    <comment ref="F264" authorId="0">
      <text>
        <r>
          <rPr>
            <sz val="10"/>
            <color indexed="81"/>
            <rFont val="Tahoma"/>
            <family val="2"/>
          </rPr>
          <t>Choose the next Standard Value of the calculated Capacitor from cell F221</t>
        </r>
      </text>
    </comment>
    <comment ref="F266" authorId="0">
      <text>
        <r>
          <rPr>
            <sz val="10"/>
            <color indexed="81"/>
            <rFont val="Tahoma"/>
            <family val="2"/>
          </rPr>
          <t>Choose the next Standard Value of the calculated Capacitor from cell F223</t>
        </r>
      </text>
    </comment>
    <comment ref="F270" authorId="1">
      <text>
        <r>
          <rPr>
            <b/>
            <sz val="9"/>
            <color indexed="81"/>
            <rFont val="Tahoma"/>
            <family val="2"/>
          </rPr>
          <t>Choose from datasheet</t>
        </r>
      </text>
    </comment>
    <comment ref="F272" authorId="1">
      <text>
        <r>
          <rPr>
            <b/>
            <sz val="9"/>
            <color indexed="81"/>
            <rFont val="Tahoma"/>
            <family val="2"/>
          </rPr>
          <t>Choose the next Standard Value of the calculated Resistor from cell F265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3" authorId="1">
      <text>
        <r>
          <rPr>
            <sz val="9"/>
            <color indexed="81"/>
            <rFont val="Tahoma"/>
            <family val="2"/>
          </rPr>
          <t xml:space="preserve">
start with a few hundred kHz for initial estimation and later by measurement value  on board</t>
        </r>
      </text>
    </comment>
    <comment ref="F281" authorId="1">
      <text>
        <r>
          <rPr>
            <b/>
            <sz val="9"/>
            <color indexed="81"/>
            <rFont val="Tahoma"/>
            <family val="2"/>
          </rPr>
          <t xml:space="preserve">Chosen value should be ≥ of the calculated value  at cell F293.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2" authorId="1">
      <text>
        <r>
          <rPr>
            <b/>
            <sz val="9"/>
            <color indexed="81"/>
            <rFont val="Tahoma"/>
            <family val="2"/>
          </rPr>
          <t xml:space="preserve">Chosen value should be ≥ of the calculated value  at cell F303.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<sst xmlns="http://schemas.openxmlformats.org/spreadsheetml/2006/main" count="2546" uniqueCount="730">
  <si>
    <t>Read design results in green coloured cells</t>
  </si>
  <si>
    <t>Unit</t>
  </si>
  <si>
    <t>Value</t>
  </si>
  <si>
    <t>Input</t>
  </si>
  <si>
    <t>[V]</t>
  </si>
  <si>
    <t xml:space="preserve"> </t>
  </si>
  <si>
    <t>Output Voltage</t>
  </si>
  <si>
    <t>[W]</t>
  </si>
  <si>
    <t>Efficency</t>
  </si>
  <si>
    <t>Reflected Output Voltage</t>
  </si>
  <si>
    <t>[Hz]</t>
  </si>
  <si>
    <t>result</t>
  </si>
  <si>
    <t>[uF]</t>
  </si>
  <si>
    <t>[A]</t>
  </si>
  <si>
    <t>[ms]</t>
  </si>
  <si>
    <t>[Ws]</t>
  </si>
  <si>
    <t>[H]</t>
  </si>
  <si>
    <t>select core type</t>
  </si>
  <si>
    <t>E25/13/7</t>
  </si>
  <si>
    <t>E30/15/7</t>
  </si>
  <si>
    <t>E32/16/9</t>
  </si>
  <si>
    <t>E36/18/11</t>
  </si>
  <si>
    <t>E42/21/15</t>
  </si>
  <si>
    <t>[mm]</t>
  </si>
  <si>
    <t>BW</t>
  </si>
  <si>
    <r>
      <t>A</t>
    </r>
    <r>
      <rPr>
        <vertAlign val="subscript"/>
        <sz val="12"/>
        <rFont val="Arial"/>
        <family val="2"/>
      </rPr>
      <t>N</t>
    </r>
  </si>
  <si>
    <r>
      <t>[mm</t>
    </r>
    <r>
      <rPr>
        <vertAlign val="superscript"/>
        <sz val="12"/>
        <rFont val="Arial"/>
        <family val="2"/>
      </rPr>
      <t>2</t>
    </r>
    <r>
      <rPr>
        <sz val="10"/>
        <rFont val="Arial"/>
        <family val="2"/>
      </rPr>
      <t>]</t>
    </r>
  </si>
  <si>
    <t>Ae</t>
  </si>
  <si>
    <t xml:space="preserve"> [mm²]</t>
  </si>
  <si>
    <t>[T]</t>
  </si>
  <si>
    <r>
      <t>B</t>
    </r>
    <r>
      <rPr>
        <vertAlign val="subscript"/>
        <sz val="12"/>
        <rFont val="Arial"/>
        <family val="2"/>
      </rPr>
      <t>max</t>
    </r>
  </si>
  <si>
    <t xml:space="preserve">  </t>
  </si>
  <si>
    <t>turns</t>
  </si>
  <si>
    <t>choose number of primary turns</t>
  </si>
  <si>
    <t>choose number of secondary turns</t>
  </si>
  <si>
    <t>M</t>
  </si>
  <si>
    <t>Margin according to safety standard</t>
  </si>
  <si>
    <t>Copper space factor</t>
  </si>
  <si>
    <t>Primary</t>
  </si>
  <si>
    <t>INS</t>
  </si>
  <si>
    <t>Insulation thickness</t>
  </si>
  <si>
    <t>[mm²]</t>
  </si>
  <si>
    <t>AWG</t>
  </si>
  <si>
    <t>selected Wire Size</t>
  </si>
  <si>
    <r>
      <t>[mm</t>
    </r>
    <r>
      <rPr>
        <vertAlign val="superscript"/>
        <sz val="12"/>
        <rFont val="Arial"/>
        <family val="2"/>
      </rPr>
      <t>2</t>
    </r>
    <r>
      <rPr>
        <sz val="10"/>
        <rFont val="Arial"/>
        <family val="2"/>
      </rPr>
      <t>]</t>
    </r>
  </si>
  <si>
    <r>
      <t>[A/mm</t>
    </r>
    <r>
      <rPr>
        <vertAlign val="superscript"/>
        <sz val="12"/>
        <rFont val="Arial"/>
        <family val="2"/>
      </rPr>
      <t>2</t>
    </r>
    <r>
      <rPr>
        <sz val="10"/>
        <rFont val="Arial"/>
        <family val="2"/>
      </rPr>
      <t>]</t>
    </r>
  </si>
  <si>
    <t>turns/layer</t>
  </si>
  <si>
    <t>layers</t>
  </si>
  <si>
    <t>Secondary</t>
  </si>
  <si>
    <t>np</t>
  </si>
  <si>
    <t>Number of parallel Wire</t>
  </si>
  <si>
    <t>Leakage Inductance</t>
  </si>
  <si>
    <t>[nF]</t>
  </si>
  <si>
    <t>[kOhm]</t>
  </si>
  <si>
    <t>selected output capacitor value</t>
  </si>
  <si>
    <t>ESR</t>
  </si>
  <si>
    <t>[Ohm]</t>
  </si>
  <si>
    <t>[Khz]</t>
  </si>
  <si>
    <t>[uH]</t>
  </si>
  <si>
    <t>selected output inductance value</t>
  </si>
  <si>
    <t>[mV]</t>
  </si>
  <si>
    <t>Input diode bridge</t>
  </si>
  <si>
    <t>Transformer copper losses</t>
  </si>
  <si>
    <t>[mOhm]</t>
  </si>
  <si>
    <t>[mW]</t>
  </si>
  <si>
    <t>Output rectifier diode</t>
  </si>
  <si>
    <t>MOSFET losses @ Vacmin + Pmax</t>
  </si>
  <si>
    <t>[pF]</t>
  </si>
  <si>
    <t>MOSFET Losses</t>
  </si>
  <si>
    <t>Controller Losses</t>
  </si>
  <si>
    <t>Sum of losses</t>
  </si>
  <si>
    <t>Efficiency</t>
  </si>
  <si>
    <t>Electrical</t>
  </si>
  <si>
    <t>Minimum AC Voltage</t>
  </si>
  <si>
    <t>Maximum AC Voltage</t>
  </si>
  <si>
    <t>Maximum Input Current</t>
  </si>
  <si>
    <t>Minimum DC Voltage</t>
  </si>
  <si>
    <t>Maximum DC Voltage</t>
  </si>
  <si>
    <t>Maximum Output Power</t>
  </si>
  <si>
    <t>Output Ripple Voltage</t>
  </si>
  <si>
    <t>Inductor Peak Current</t>
  </si>
  <si>
    <t>Maximum Duty Cycle</t>
  </si>
  <si>
    <t>Copper Losses</t>
  </si>
  <si>
    <t>Sum Losses</t>
  </si>
  <si>
    <t>Transformer</t>
  </si>
  <si>
    <t>Core Type</t>
  </si>
  <si>
    <t>Effective Core Area</t>
  </si>
  <si>
    <t>[mT]</t>
  </si>
  <si>
    <t>Inductance</t>
  </si>
  <si>
    <t>Magin</t>
  </si>
  <si>
    <t>Primary Turns</t>
  </si>
  <si>
    <t>Primary Copper Wire Size</t>
  </si>
  <si>
    <t>Secondary Copper Wire Size</t>
  </si>
  <si>
    <t>Number of parallel secondary Wires</t>
  </si>
  <si>
    <t>Turns Ratio</t>
  </si>
  <si>
    <t>Primary Layers</t>
  </si>
  <si>
    <t>Secondary Layers</t>
  </si>
  <si>
    <t>Components</t>
  </si>
  <si>
    <t>Input Capacitor</t>
  </si>
  <si>
    <t>Output Capacitor</t>
  </si>
  <si>
    <t>[%]</t>
  </si>
  <si>
    <r>
      <t>R</t>
    </r>
    <r>
      <rPr>
        <b/>
        <vertAlign val="subscript"/>
        <sz val="12"/>
        <rFont val="Arial"/>
        <family val="2"/>
      </rPr>
      <t>DSON</t>
    </r>
    <r>
      <rPr>
        <b/>
        <sz val="10"/>
        <rFont val="Arial"/>
        <family val="2"/>
      </rPr>
      <t xml:space="preserve"> from datasheet </t>
    </r>
  </si>
  <si>
    <t>Number of parallel capacitors</t>
  </si>
  <si>
    <t>Number of clock periods</t>
  </si>
  <si>
    <t>Enter design variables in yellow coloured cells</t>
  </si>
  <si>
    <t>Core Material</t>
  </si>
  <si>
    <t>select input capacitor</t>
  </si>
  <si>
    <t>Eq 2</t>
  </si>
  <si>
    <t>Eq 4</t>
  </si>
  <si>
    <t>Eq 3</t>
  </si>
  <si>
    <t>Eq 6</t>
  </si>
  <si>
    <t>Eq 7</t>
  </si>
  <si>
    <t>Eq 14</t>
  </si>
  <si>
    <t>Eq 15</t>
  </si>
  <si>
    <t>Eq 23</t>
  </si>
  <si>
    <t>Eq 24</t>
  </si>
  <si>
    <t>Eq 35</t>
  </si>
  <si>
    <t>Eq 36</t>
  </si>
  <si>
    <t>Eq 39</t>
  </si>
  <si>
    <t>Auxiliary Turns</t>
  </si>
  <si>
    <t>choose number of auxiliary turns</t>
  </si>
  <si>
    <t>Eq 27</t>
  </si>
  <si>
    <t>Eq 28</t>
  </si>
  <si>
    <t>Eq 42</t>
  </si>
  <si>
    <t>Eq 44</t>
  </si>
  <si>
    <t>[mA]</t>
  </si>
  <si>
    <t>minimum current for TL431 reference</t>
  </si>
  <si>
    <t>maximum current for optocoupler diode</t>
  </si>
  <si>
    <t>2nd resistor of TL431 voltage divider</t>
  </si>
  <si>
    <t>[V/A]</t>
  </si>
  <si>
    <t>fg</t>
  </si>
  <si>
    <t>[kHz]</t>
  </si>
  <si>
    <t>0 db crossover frequency</t>
  </si>
  <si>
    <t>[db]</t>
  </si>
  <si>
    <t>Gr</t>
  </si>
  <si>
    <t>Eq 51</t>
  </si>
  <si>
    <t>Eq 52</t>
  </si>
  <si>
    <t>Eq 53</t>
  </si>
  <si>
    <t>Eq 57</t>
  </si>
  <si>
    <t>Eq 58</t>
  </si>
  <si>
    <t>Eq 59</t>
  </si>
  <si>
    <t>Eq 60</t>
  </si>
  <si>
    <t>Regulator component</t>
  </si>
  <si>
    <t>Project:</t>
  </si>
  <si>
    <t>Date:</t>
  </si>
  <si>
    <t xml:space="preserve">Application:  </t>
  </si>
  <si>
    <t>Rth</t>
  </si>
  <si>
    <t>[°K/W]</t>
  </si>
  <si>
    <t>[°K]</t>
  </si>
  <si>
    <t>°C</t>
  </si>
  <si>
    <t>Max. ambiant temperature</t>
  </si>
  <si>
    <r>
      <t>V</t>
    </r>
    <r>
      <rPr>
        <vertAlign val="subscript"/>
        <sz val="10"/>
        <rFont val="Arial"/>
        <family val="2"/>
      </rPr>
      <t>Ripple 1</t>
    </r>
  </si>
  <si>
    <r>
      <t>P</t>
    </r>
    <r>
      <rPr>
        <vertAlign val="subscript"/>
        <sz val="10"/>
        <rFont val="Arial"/>
        <family val="2"/>
      </rPr>
      <t>Losses</t>
    </r>
  </si>
  <si>
    <r>
      <t>N</t>
    </r>
    <r>
      <rPr>
        <vertAlign val="subscript"/>
        <sz val="10"/>
        <rFont val="Arial"/>
        <family val="2"/>
      </rPr>
      <t>P</t>
    </r>
  </si>
  <si>
    <t>Sense Resistor</t>
  </si>
  <si>
    <t>Tjmax</t>
  </si>
  <si>
    <r>
      <t>C</t>
    </r>
    <r>
      <rPr>
        <vertAlign val="subscript"/>
        <sz val="10"/>
        <rFont val="Arial"/>
        <family val="2"/>
      </rPr>
      <t>VCC</t>
    </r>
  </si>
  <si>
    <r>
      <t>N</t>
    </r>
    <r>
      <rPr>
        <b/>
        <vertAlign val="subscript"/>
        <sz val="10"/>
        <rFont val="Arial"/>
        <family val="2"/>
      </rPr>
      <t>P</t>
    </r>
  </si>
  <si>
    <t>MOSFET losses @ Vacmax + Pmax</t>
  </si>
  <si>
    <t xml:space="preserve">MOSFET </t>
  </si>
  <si>
    <t>ETD29/16/10</t>
  </si>
  <si>
    <r>
      <t>V</t>
    </r>
    <r>
      <rPr>
        <vertAlign val="subscript"/>
        <sz val="10"/>
        <rFont val="Arial"/>
        <family val="2"/>
      </rPr>
      <t>Ripple 2</t>
    </r>
  </si>
  <si>
    <t xml:space="preserve">Temperature Calculation </t>
  </si>
  <si>
    <t>Calculation of losses</t>
  </si>
  <si>
    <t>BR1</t>
  </si>
  <si>
    <t>C13</t>
  </si>
  <si>
    <t>F1</t>
  </si>
  <si>
    <t>IC11</t>
  </si>
  <si>
    <t>C22</t>
  </si>
  <si>
    <t>[Arms]</t>
  </si>
  <si>
    <t>Iacmax value from datasheet @ 100kHz</t>
  </si>
  <si>
    <t>ESR (Zmax) value from datasheet @ 100kHz</t>
  </si>
  <si>
    <t>Pcond</t>
  </si>
  <si>
    <t xml:space="preserve">Co(er) from datasheet </t>
  </si>
  <si>
    <t>Eq 21</t>
  </si>
  <si>
    <t>Eq 65</t>
  </si>
  <si>
    <r>
      <t>V</t>
    </r>
    <r>
      <rPr>
        <vertAlign val="subscript"/>
        <sz val="10"/>
        <rFont val="Arial"/>
        <family val="2"/>
      </rPr>
      <t>Clamp</t>
    </r>
  </si>
  <si>
    <t>Eq 45</t>
  </si>
  <si>
    <t>Eq 46</t>
  </si>
  <si>
    <t>Eq 66</t>
  </si>
  <si>
    <t>Eq 67</t>
  </si>
  <si>
    <t>Eq 68</t>
  </si>
  <si>
    <t>Eq 70</t>
  </si>
  <si>
    <t>Clamping Resistor</t>
  </si>
  <si>
    <t>Clamping Capacitor</t>
  </si>
  <si>
    <t>Enter MOSFET losses</t>
  </si>
  <si>
    <t>Enter thermal resistance junction - ambient</t>
  </si>
  <si>
    <t>Co(er)</t>
  </si>
  <si>
    <t>LC Filter Capacitor</t>
  </si>
  <si>
    <t>LC Filter Inductor</t>
  </si>
  <si>
    <t>VCC Capacitor</t>
  </si>
  <si>
    <t>fs(Hz)</t>
  </si>
  <si>
    <r>
      <t>V</t>
    </r>
    <r>
      <rPr>
        <b/>
        <vertAlign val="subscript"/>
        <sz val="12"/>
        <rFont val="Arial"/>
        <family val="2"/>
      </rPr>
      <t>(BR)DSS</t>
    </r>
    <r>
      <rPr>
        <b/>
        <sz val="12"/>
        <rFont val="Arial"/>
        <family val="2"/>
      </rPr>
      <t>(V)</t>
    </r>
  </si>
  <si>
    <t>Current sense threshold value from datasheet</t>
  </si>
  <si>
    <r>
      <t>V</t>
    </r>
    <r>
      <rPr>
        <b/>
        <vertAlign val="subscript"/>
        <sz val="12"/>
        <rFont val="Arial"/>
        <family val="2"/>
      </rPr>
      <t>csth</t>
    </r>
    <r>
      <rPr>
        <b/>
        <sz val="12"/>
        <rFont val="Arial"/>
        <family val="2"/>
      </rPr>
      <t>(V)</t>
    </r>
  </si>
  <si>
    <r>
      <t>A</t>
    </r>
    <r>
      <rPr>
        <b/>
        <vertAlign val="subscript"/>
        <sz val="12"/>
        <rFont val="Arial"/>
        <family val="2"/>
      </rPr>
      <t>V</t>
    </r>
  </si>
  <si>
    <t>PWM-OP Gain from datasheet</t>
  </si>
  <si>
    <t>Soft-Start Time</t>
  </si>
  <si>
    <t xml:space="preserve"> Choosen Soft-Start Time from datasheet</t>
  </si>
  <si>
    <t xml:space="preserve"> Choosen VVCChys from datasheet</t>
  </si>
  <si>
    <r>
      <t>t</t>
    </r>
    <r>
      <rPr>
        <b/>
        <vertAlign val="subscript"/>
        <sz val="12"/>
        <rFont val="Arial"/>
        <family val="2"/>
      </rPr>
      <t>SS</t>
    </r>
    <r>
      <rPr>
        <b/>
        <sz val="12"/>
        <rFont val="Arial"/>
        <family val="2"/>
      </rPr>
      <t xml:space="preserve"> (mS)</t>
    </r>
  </si>
  <si>
    <r>
      <t>V</t>
    </r>
    <r>
      <rPr>
        <b/>
        <vertAlign val="subscript"/>
        <sz val="12"/>
        <rFont val="Arial"/>
        <family val="2"/>
      </rPr>
      <t xml:space="preserve">VCChys </t>
    </r>
    <r>
      <rPr>
        <b/>
        <sz val="12"/>
        <rFont val="Arial"/>
        <family val="2"/>
      </rPr>
      <t>(V)</t>
    </r>
  </si>
  <si>
    <r>
      <t>V</t>
    </r>
    <r>
      <rPr>
        <b/>
        <vertAlign val="subscript"/>
        <sz val="12"/>
        <rFont val="Arial"/>
        <family val="2"/>
      </rPr>
      <t>REF</t>
    </r>
    <r>
      <rPr>
        <b/>
        <sz val="10"/>
        <rFont val="Arial"/>
        <family val="2"/>
      </rPr>
      <t xml:space="preserve"> from datasheet </t>
    </r>
  </si>
  <si>
    <r>
      <t>R</t>
    </r>
    <r>
      <rPr>
        <b/>
        <vertAlign val="subscript"/>
        <sz val="12"/>
        <rFont val="Arial"/>
        <family val="2"/>
      </rPr>
      <t>FB</t>
    </r>
    <r>
      <rPr>
        <b/>
        <sz val="10"/>
        <rFont val="Arial"/>
        <family val="2"/>
      </rPr>
      <t xml:space="preserve"> from datasheet </t>
    </r>
  </si>
  <si>
    <t>N87</t>
  </si>
  <si>
    <t>C24</t>
  </si>
  <si>
    <t>R26</t>
  </si>
  <si>
    <t>R25</t>
  </si>
  <si>
    <t>R22</t>
  </si>
  <si>
    <t>R23</t>
  </si>
  <si>
    <t>R24</t>
  </si>
  <si>
    <t>C26</t>
  </si>
  <si>
    <t>C25</t>
  </si>
  <si>
    <t>L21</t>
  </si>
  <si>
    <t>C16</t>
  </si>
  <si>
    <t>R14</t>
  </si>
  <si>
    <t>R11</t>
  </si>
  <si>
    <t>C15</t>
  </si>
  <si>
    <t>C26[nF]</t>
  </si>
  <si>
    <t>C25 [nF]</t>
  </si>
  <si>
    <t>C13 [µF]</t>
  </si>
  <si>
    <t>C16 [µF]</t>
  </si>
  <si>
    <t>C22 [µF]</t>
  </si>
  <si>
    <t>C18</t>
  </si>
  <si>
    <t>C11</t>
  </si>
  <si>
    <t>C24 [µF]</t>
  </si>
  <si>
    <t>C15 [nF]</t>
  </si>
  <si>
    <t>C17</t>
  </si>
  <si>
    <t xml:space="preserve">D21 </t>
  </si>
  <si>
    <t>D12</t>
  </si>
  <si>
    <t>D11</t>
  </si>
  <si>
    <t>IC12</t>
  </si>
  <si>
    <t>SFH617A-3</t>
  </si>
  <si>
    <t>IC21</t>
  </si>
  <si>
    <t>L21 [µH]</t>
  </si>
  <si>
    <t>L11</t>
  </si>
  <si>
    <r>
      <t>V</t>
    </r>
    <r>
      <rPr>
        <b/>
        <vertAlign val="subscript"/>
        <sz val="10"/>
        <rFont val="Arial"/>
        <family val="2"/>
      </rPr>
      <t>Out Ripple</t>
    </r>
  </si>
  <si>
    <r>
      <t>f</t>
    </r>
    <r>
      <rPr>
        <b/>
        <vertAlign val="subscript"/>
        <sz val="10"/>
        <rFont val="Arial"/>
        <family val="2"/>
      </rPr>
      <t>AC</t>
    </r>
  </si>
  <si>
    <r>
      <t>T</t>
    </r>
    <r>
      <rPr>
        <b/>
        <vertAlign val="subscript"/>
        <sz val="10"/>
        <rFont val="Arial"/>
        <family val="2"/>
      </rPr>
      <t>a</t>
    </r>
  </si>
  <si>
    <r>
      <t>T</t>
    </r>
    <r>
      <rPr>
        <vertAlign val="subscript"/>
        <sz val="10"/>
        <rFont val="Arial"/>
        <family val="2"/>
      </rPr>
      <t>D</t>
    </r>
  </si>
  <si>
    <r>
      <t>L</t>
    </r>
    <r>
      <rPr>
        <vertAlign val="subscript"/>
        <sz val="10"/>
        <rFont val="Arial"/>
        <family val="2"/>
      </rPr>
      <t>P</t>
    </r>
  </si>
  <si>
    <r>
      <t>V</t>
    </r>
    <r>
      <rPr>
        <vertAlign val="subscript"/>
        <sz val="10"/>
        <rFont val="Arial"/>
        <family val="2"/>
      </rPr>
      <t>R</t>
    </r>
  </si>
  <si>
    <r>
      <t>V</t>
    </r>
    <r>
      <rPr>
        <b/>
        <vertAlign val="subscript"/>
        <sz val="10"/>
        <rFont val="Arial"/>
        <family val="2"/>
      </rPr>
      <t>csth</t>
    </r>
  </si>
  <si>
    <r>
      <t>A</t>
    </r>
    <r>
      <rPr>
        <b/>
        <vertAlign val="subscript"/>
        <sz val="10"/>
        <rFont val="Arial"/>
        <family val="2"/>
      </rPr>
      <t>V</t>
    </r>
  </si>
  <si>
    <r>
      <t>Z</t>
    </r>
    <r>
      <rPr>
        <vertAlign val="subscript"/>
        <sz val="10"/>
        <rFont val="Arial"/>
        <family val="2"/>
      </rPr>
      <t>PWM</t>
    </r>
  </si>
  <si>
    <r>
      <t>f</t>
    </r>
    <r>
      <rPr>
        <b/>
        <vertAlign val="subscript"/>
        <sz val="10"/>
        <rFont val="Arial"/>
        <family val="2"/>
      </rPr>
      <t>Cu</t>
    </r>
  </si>
  <si>
    <r>
      <t>L</t>
    </r>
    <r>
      <rPr>
        <vertAlign val="subscript"/>
        <sz val="10"/>
        <rFont val="Arial"/>
        <family val="2"/>
      </rPr>
      <t>LK</t>
    </r>
  </si>
  <si>
    <r>
      <t>n</t>
    </r>
    <r>
      <rPr>
        <b/>
        <vertAlign val="subscript"/>
        <sz val="10"/>
        <rFont val="Arial"/>
        <family val="2"/>
      </rPr>
      <t>cp</t>
    </r>
  </si>
  <si>
    <r>
      <t>I</t>
    </r>
    <r>
      <rPr>
        <vertAlign val="subscript"/>
        <sz val="10"/>
        <rFont val="Arial"/>
        <family val="2"/>
      </rPr>
      <t>Ripple</t>
    </r>
  </si>
  <si>
    <r>
      <t>I</t>
    </r>
    <r>
      <rPr>
        <b/>
        <vertAlign val="subscript"/>
        <sz val="10"/>
        <rFont val="Arial"/>
        <family val="2"/>
      </rPr>
      <t>acmax</t>
    </r>
  </si>
  <si>
    <r>
      <t>n</t>
    </r>
    <r>
      <rPr>
        <b/>
        <vertAlign val="subscript"/>
        <sz val="10"/>
        <rFont val="Arial"/>
        <family val="2"/>
      </rPr>
      <t>c</t>
    </r>
  </si>
  <si>
    <r>
      <t>f</t>
    </r>
    <r>
      <rPr>
        <vertAlign val="subscript"/>
        <sz val="10"/>
        <rFont val="Arial"/>
        <family val="2"/>
      </rPr>
      <t>LC</t>
    </r>
  </si>
  <si>
    <r>
      <t>t</t>
    </r>
    <r>
      <rPr>
        <b/>
        <vertAlign val="subscript"/>
        <sz val="10"/>
        <rFont val="Arial"/>
        <family val="2"/>
      </rPr>
      <t>softstart</t>
    </r>
  </si>
  <si>
    <r>
      <t>V</t>
    </r>
    <r>
      <rPr>
        <b/>
        <vertAlign val="subscript"/>
        <sz val="10"/>
        <rFont val="Arial"/>
        <family val="2"/>
      </rPr>
      <t>VCChys</t>
    </r>
  </si>
  <si>
    <r>
      <t>P</t>
    </r>
    <r>
      <rPr>
        <vertAlign val="subscript"/>
        <sz val="10"/>
        <rFont val="Arial"/>
        <family val="2"/>
      </rPr>
      <t>DIN</t>
    </r>
  </si>
  <si>
    <r>
      <t>R</t>
    </r>
    <r>
      <rPr>
        <vertAlign val="subscript"/>
        <sz val="10"/>
        <rFont val="Arial"/>
        <family val="2"/>
      </rPr>
      <t>PCu</t>
    </r>
  </si>
  <si>
    <r>
      <t>R</t>
    </r>
    <r>
      <rPr>
        <vertAlign val="subscript"/>
        <sz val="10"/>
        <rFont val="Arial"/>
        <family val="2"/>
      </rPr>
      <t>SCu</t>
    </r>
  </si>
  <si>
    <r>
      <t>P</t>
    </r>
    <r>
      <rPr>
        <vertAlign val="subscript"/>
        <sz val="10"/>
        <rFont val="Arial"/>
        <family val="2"/>
      </rPr>
      <t>PCu</t>
    </r>
  </si>
  <si>
    <r>
      <t>P</t>
    </r>
    <r>
      <rPr>
        <vertAlign val="subscript"/>
        <sz val="10"/>
        <rFont val="Arial"/>
        <family val="2"/>
      </rPr>
      <t>SCu</t>
    </r>
  </si>
  <si>
    <r>
      <t>P</t>
    </r>
    <r>
      <rPr>
        <vertAlign val="subscript"/>
        <sz val="10"/>
        <rFont val="Arial"/>
        <family val="2"/>
      </rPr>
      <t>Cu</t>
    </r>
  </si>
  <si>
    <r>
      <t>R</t>
    </r>
    <r>
      <rPr>
        <b/>
        <vertAlign val="subscript"/>
        <sz val="10"/>
        <rFont val="Arial"/>
        <family val="2"/>
      </rPr>
      <t>DSON</t>
    </r>
    <r>
      <rPr>
        <b/>
        <sz val="10"/>
        <rFont val="Arial"/>
        <family val="2"/>
      </rPr>
      <t xml:space="preserve"> @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=125°C</t>
    </r>
  </si>
  <si>
    <r>
      <t>P</t>
    </r>
    <r>
      <rPr>
        <vertAlign val="subscript"/>
        <sz val="10"/>
        <rFont val="Arial"/>
        <family val="2"/>
      </rPr>
      <t>SON</t>
    </r>
  </si>
  <si>
    <r>
      <t>K</t>
    </r>
    <r>
      <rPr>
        <vertAlign val="subscript"/>
        <sz val="10"/>
        <rFont val="Arial"/>
        <family val="2"/>
      </rPr>
      <t>FB</t>
    </r>
  </si>
  <si>
    <r>
      <t>G</t>
    </r>
    <r>
      <rPr>
        <vertAlign val="subscript"/>
        <sz val="10"/>
        <rFont val="Arial"/>
        <family val="2"/>
      </rPr>
      <t>FB</t>
    </r>
  </si>
  <si>
    <r>
      <t>K</t>
    </r>
    <r>
      <rPr>
        <vertAlign val="subscript"/>
        <sz val="10"/>
        <rFont val="Arial"/>
        <family val="2"/>
      </rPr>
      <t>VD</t>
    </r>
  </si>
  <si>
    <r>
      <t>G</t>
    </r>
    <r>
      <rPr>
        <vertAlign val="subscript"/>
        <sz val="10"/>
        <rFont val="Arial"/>
        <family val="2"/>
      </rPr>
      <t>VD</t>
    </r>
  </si>
  <si>
    <r>
      <t>|F</t>
    </r>
    <r>
      <rPr>
        <vertAlign val="subscript"/>
        <sz val="10"/>
        <rFont val="Arial"/>
        <family val="2"/>
      </rPr>
      <t>PWR</t>
    </r>
    <r>
      <rPr>
        <sz val="10"/>
        <rFont val="Arial"/>
        <family val="2"/>
      </rPr>
      <t>(fg)|</t>
    </r>
  </si>
  <si>
    <r>
      <t>G</t>
    </r>
    <r>
      <rPr>
        <vertAlign val="subscript"/>
        <sz val="10"/>
        <rFont val="Arial"/>
        <family val="2"/>
      </rPr>
      <t>PWR</t>
    </r>
    <r>
      <rPr>
        <sz val="10"/>
        <rFont val="Arial"/>
        <family val="2"/>
      </rPr>
      <t>(fg)</t>
    </r>
  </si>
  <si>
    <t>C12</t>
  </si>
  <si>
    <t>C110</t>
  </si>
  <si>
    <t>C21</t>
  </si>
  <si>
    <t>600V</t>
  </si>
  <si>
    <t>50V</t>
  </si>
  <si>
    <t>100nF</t>
  </si>
  <si>
    <t>1nF</t>
  </si>
  <si>
    <t>35V</t>
  </si>
  <si>
    <t>305Vac</t>
  </si>
  <si>
    <t xml:space="preserve">Fuse </t>
  </si>
  <si>
    <t>R13</t>
  </si>
  <si>
    <t>R21</t>
  </si>
  <si>
    <t>TR1 [µH]</t>
  </si>
  <si>
    <t>Designator[unit]</t>
  </si>
  <si>
    <t>No.</t>
  </si>
  <si>
    <t>Part List &amp; Schematic</t>
  </si>
  <si>
    <t>Value/Part Name</t>
  </si>
  <si>
    <t>Eq 32</t>
  </si>
  <si>
    <t>R14 [Ω]</t>
  </si>
  <si>
    <t>R22 [kΩ]</t>
  </si>
  <si>
    <t>R23 [kΩ]</t>
  </si>
  <si>
    <t>R24 [kΩ]</t>
  </si>
  <si>
    <t>R25 [kΩ]</t>
  </si>
  <si>
    <t>R26 [kΩ]</t>
  </si>
  <si>
    <r>
      <t>V</t>
    </r>
    <r>
      <rPr>
        <b/>
        <vertAlign val="subscript"/>
        <sz val="10"/>
        <rFont val="Arial"/>
        <family val="2"/>
      </rPr>
      <t>AC Max</t>
    </r>
  </si>
  <si>
    <r>
      <t>V</t>
    </r>
    <r>
      <rPr>
        <b/>
        <vertAlign val="subscript"/>
        <sz val="10"/>
        <rFont val="Arial"/>
        <family val="2"/>
      </rPr>
      <t>AC Min</t>
    </r>
  </si>
  <si>
    <t>Maximum AC input voltage</t>
  </si>
  <si>
    <t>Minimum AC input voltage</t>
  </si>
  <si>
    <t>Output ripple voltage</t>
  </si>
  <si>
    <t>Nominal output power</t>
  </si>
  <si>
    <t>Minimum output power</t>
  </si>
  <si>
    <t>η</t>
  </si>
  <si>
    <t>Line frequency</t>
  </si>
  <si>
    <r>
      <t>P</t>
    </r>
    <r>
      <rPr>
        <b/>
        <vertAlign val="subscript"/>
        <sz val="10"/>
        <rFont val="Arial"/>
        <family val="2"/>
      </rPr>
      <t>Out Max</t>
    </r>
  </si>
  <si>
    <r>
      <t>P</t>
    </r>
    <r>
      <rPr>
        <b/>
        <vertAlign val="subscript"/>
        <sz val="10"/>
        <rFont val="Arial"/>
        <family val="2"/>
      </rPr>
      <t>Out Nor</t>
    </r>
  </si>
  <si>
    <r>
      <t>P</t>
    </r>
    <r>
      <rPr>
        <b/>
        <vertAlign val="subscript"/>
        <sz val="10"/>
        <rFont val="Arial"/>
        <family val="2"/>
      </rPr>
      <t>Out Min</t>
    </r>
  </si>
  <si>
    <r>
      <t>V</t>
    </r>
    <r>
      <rPr>
        <b/>
        <vertAlign val="subscript"/>
        <sz val="10"/>
        <rFont val="Arial"/>
        <family val="2"/>
      </rPr>
      <t>R</t>
    </r>
  </si>
  <si>
    <t>Reflection voltage</t>
  </si>
  <si>
    <t>[°C]</t>
  </si>
  <si>
    <t>Equation numbers are according to the Application Note</t>
  </si>
  <si>
    <r>
      <t>V</t>
    </r>
    <r>
      <rPr>
        <b/>
        <vertAlign val="subscript"/>
        <sz val="10"/>
        <rFont val="Arial"/>
        <family val="2"/>
      </rPr>
      <t>DS Max</t>
    </r>
  </si>
  <si>
    <r>
      <t>V</t>
    </r>
    <r>
      <rPr>
        <b/>
        <vertAlign val="subscript"/>
        <sz val="10"/>
        <rFont val="Arial"/>
        <family val="2"/>
      </rPr>
      <t>DC Ripple</t>
    </r>
  </si>
  <si>
    <r>
      <t>V</t>
    </r>
    <r>
      <rPr>
        <b/>
        <vertAlign val="subscript"/>
        <sz val="10"/>
        <rFont val="Arial"/>
        <family val="2"/>
      </rPr>
      <t>F Vcc</t>
    </r>
  </si>
  <si>
    <t>Vcc Voltage</t>
  </si>
  <si>
    <r>
      <t>V</t>
    </r>
    <r>
      <rPr>
        <b/>
        <vertAlign val="subscript"/>
        <sz val="10"/>
        <rFont val="Arial"/>
        <family val="2"/>
      </rPr>
      <t>Vcc</t>
    </r>
  </si>
  <si>
    <t>Diode bridge(BR1)</t>
  </si>
  <si>
    <r>
      <t>I</t>
    </r>
    <r>
      <rPr>
        <vertAlign val="subscript"/>
        <sz val="10"/>
        <rFont val="Arial"/>
        <family val="2"/>
      </rPr>
      <t>AC RMS</t>
    </r>
  </si>
  <si>
    <r>
      <t>V</t>
    </r>
    <r>
      <rPr>
        <vertAlign val="subscript"/>
        <sz val="10"/>
        <rFont val="Arial"/>
        <family val="2"/>
      </rPr>
      <t>DC Min</t>
    </r>
  </si>
  <si>
    <r>
      <t>V</t>
    </r>
    <r>
      <rPr>
        <vertAlign val="subscript"/>
        <sz val="10"/>
        <rFont val="Arial"/>
        <family val="2"/>
      </rPr>
      <t>DC Max Pk</t>
    </r>
  </si>
  <si>
    <r>
      <t>V</t>
    </r>
    <r>
      <rPr>
        <vertAlign val="subscript"/>
        <sz val="10"/>
        <rFont val="Arial"/>
        <family val="2"/>
      </rPr>
      <t>DC Min Pk</t>
    </r>
  </si>
  <si>
    <r>
      <t>W</t>
    </r>
    <r>
      <rPr>
        <vertAlign val="subscript"/>
        <sz val="10"/>
        <rFont val="Arial"/>
        <family val="2"/>
      </rPr>
      <t>In</t>
    </r>
  </si>
  <si>
    <t>Transformer(TR1)</t>
  </si>
  <si>
    <r>
      <t>I</t>
    </r>
    <r>
      <rPr>
        <vertAlign val="subscript"/>
        <sz val="10"/>
        <rFont val="Arial"/>
        <family val="2"/>
      </rPr>
      <t>P Max</t>
    </r>
  </si>
  <si>
    <r>
      <t>I</t>
    </r>
    <r>
      <rPr>
        <vertAlign val="subscript"/>
        <sz val="10"/>
        <rFont val="Arial"/>
        <family val="2"/>
      </rPr>
      <t>P RMS</t>
    </r>
  </si>
  <si>
    <r>
      <t>I</t>
    </r>
    <r>
      <rPr>
        <vertAlign val="subscript"/>
        <sz val="10"/>
        <rFont val="Arial"/>
        <family val="2"/>
      </rPr>
      <t>AV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</si>
  <si>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I</t>
    </r>
  </si>
  <si>
    <r>
      <t>I</t>
    </r>
    <r>
      <rPr>
        <vertAlign val="subscript"/>
        <sz val="10"/>
        <rFont val="Arial"/>
        <family val="2"/>
      </rPr>
      <t>Valley</t>
    </r>
  </si>
  <si>
    <t>Current sense resistor(R14)</t>
  </si>
  <si>
    <t>Eq 13</t>
  </si>
  <si>
    <r>
      <t>N</t>
    </r>
    <r>
      <rPr>
        <vertAlign val="subscript"/>
        <sz val="10"/>
        <rFont val="Arial"/>
        <family val="2"/>
      </rPr>
      <t>Vcc</t>
    </r>
  </si>
  <si>
    <r>
      <t>N</t>
    </r>
    <r>
      <rPr>
        <b/>
        <vertAlign val="subscript"/>
        <sz val="10"/>
        <rFont val="Arial"/>
        <family val="2"/>
      </rPr>
      <t>Vcc</t>
    </r>
  </si>
  <si>
    <r>
      <t>V</t>
    </r>
    <r>
      <rPr>
        <vertAlign val="subscript"/>
        <sz val="10"/>
        <rFont val="Arial"/>
        <family val="2"/>
      </rPr>
      <t>Vcc</t>
    </r>
  </si>
  <si>
    <t>Eq 19</t>
  </si>
  <si>
    <t>Eq 20</t>
  </si>
  <si>
    <t>Post calculation</t>
  </si>
  <si>
    <r>
      <t>A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(Area of Primary Wire)</t>
    </r>
  </si>
  <si>
    <t>Sp(Primary Current Density)</t>
  </si>
  <si>
    <r>
      <t>BW</t>
    </r>
    <r>
      <rPr>
        <vertAlign val="subscript"/>
        <sz val="10"/>
        <rFont val="Arial"/>
        <family val="2"/>
      </rPr>
      <t xml:space="preserve">E </t>
    </r>
    <r>
      <rPr>
        <sz val="10"/>
        <rFont val="Arial"/>
        <family val="2"/>
      </rPr>
      <t>(Effective Bobbin Width)</t>
    </r>
  </si>
  <si>
    <r>
      <t>Od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(Diameter of Primary Wire including insulation)</t>
    </r>
  </si>
  <si>
    <r>
      <t>Ln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(Primary Layers)</t>
    </r>
  </si>
  <si>
    <r>
      <t>A</t>
    </r>
    <r>
      <rPr>
        <vertAlign val="subscript"/>
        <sz val="10"/>
        <rFont val="Arial"/>
        <family val="2"/>
      </rPr>
      <t xml:space="preserve">S </t>
    </r>
    <r>
      <rPr>
        <sz val="10"/>
        <rFont val="Arial"/>
        <family val="2"/>
      </rPr>
      <t>(Area of Secondary Wire)</t>
    </r>
  </si>
  <si>
    <t>dia(Diameter of Secondary Wire)</t>
  </si>
  <si>
    <r>
      <t>S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(Secondary Current Density)</t>
    </r>
  </si>
  <si>
    <r>
      <t>Od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(Diameter of Secondary Wire including insulation)</t>
    </r>
  </si>
  <si>
    <r>
      <t>Ln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(Secondary Layers)</t>
    </r>
  </si>
  <si>
    <r>
      <t>NL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(Max. Secondary Turns/Layer)</t>
    </r>
  </si>
  <si>
    <r>
      <t>NL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(Max. Primary Turns/Layer)</t>
    </r>
  </si>
  <si>
    <t>Select core type</t>
  </si>
  <si>
    <t>Winding calculation</t>
  </si>
  <si>
    <t>RCD clamper circuit(D11,R11 &amp; C15)</t>
  </si>
  <si>
    <t>Zero frequency of output capacitor(C22 &amp; C23) and associated ESR</t>
  </si>
  <si>
    <t>Transformer winding design</t>
  </si>
  <si>
    <r>
      <t>l</t>
    </r>
    <r>
      <rPr>
        <vertAlign val="subscript"/>
        <sz val="10"/>
        <rFont val="Arial"/>
        <family val="2"/>
      </rPr>
      <t>N</t>
    </r>
  </si>
  <si>
    <t>Eq 47</t>
  </si>
  <si>
    <t>RCD clamper circuit</t>
  </si>
  <si>
    <t>Controller</t>
  </si>
  <si>
    <t>Calculation of the regulation loop(R22,R23,R24,R25,R26,C25,C26)</t>
  </si>
  <si>
    <t>selected value of R24</t>
  </si>
  <si>
    <t>selected value of C26</t>
  </si>
  <si>
    <t>selected value of C25</t>
  </si>
  <si>
    <t>Voltage divider</t>
  </si>
  <si>
    <r>
      <t>[mm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</si>
  <si>
    <t>Maximum Flux Density</t>
  </si>
  <si>
    <t>layer</t>
  </si>
  <si>
    <t xml:space="preserve">Forward voltage of output diode(D21) </t>
  </si>
  <si>
    <t xml:space="preserve">Forward voltage of Vcc diode(D12) </t>
  </si>
  <si>
    <t>Input capacitor(C13)</t>
  </si>
  <si>
    <r>
      <t>D</t>
    </r>
    <r>
      <rPr>
        <vertAlign val="subscript"/>
        <sz val="10"/>
        <rFont val="Arial"/>
        <family val="2"/>
      </rPr>
      <t>Max</t>
    </r>
  </si>
  <si>
    <t>Eq 1</t>
  </si>
  <si>
    <r>
      <t>P</t>
    </r>
    <r>
      <rPr>
        <vertAlign val="subscript"/>
        <sz val="10"/>
        <rFont val="Arial"/>
        <family val="2"/>
      </rPr>
      <t>In Max</t>
    </r>
  </si>
  <si>
    <r>
      <t>P</t>
    </r>
    <r>
      <rPr>
        <vertAlign val="subscript"/>
        <sz val="10"/>
        <rFont val="Arial"/>
        <family val="2"/>
      </rPr>
      <t>SR</t>
    </r>
  </si>
  <si>
    <r>
      <t>D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>'</t>
    </r>
  </si>
  <si>
    <r>
      <t>BW</t>
    </r>
    <r>
      <rPr>
        <vertAlign val="subscript"/>
        <sz val="10"/>
        <rFont val="Arial"/>
        <family val="2"/>
      </rPr>
      <t xml:space="preserve">e </t>
    </r>
    <r>
      <rPr>
        <sz val="10"/>
        <rFont val="Arial"/>
        <family val="2"/>
      </rPr>
      <t>(Effective Bobbin Width)</t>
    </r>
  </si>
  <si>
    <r>
      <t>Leakage Inducatnce in % of L</t>
    </r>
    <r>
      <rPr>
        <b/>
        <vertAlign val="subscript"/>
        <sz val="10"/>
        <rFont val="Arial"/>
        <family val="2"/>
      </rPr>
      <t>P</t>
    </r>
  </si>
  <si>
    <r>
      <t>C</t>
    </r>
    <r>
      <rPr>
        <vertAlign val="subscript"/>
        <sz val="10"/>
        <rFont val="Arial"/>
        <family val="2"/>
      </rPr>
      <t>clamp</t>
    </r>
    <r>
      <rPr>
        <sz val="10"/>
        <rFont val="Arial"/>
        <family val="2"/>
      </rPr>
      <t>(C15)</t>
    </r>
  </si>
  <si>
    <r>
      <t>R</t>
    </r>
    <r>
      <rPr>
        <vertAlign val="subscript"/>
        <sz val="10"/>
        <rFont val="Arial"/>
        <family val="2"/>
      </rPr>
      <t>clamp</t>
    </r>
    <r>
      <rPr>
        <sz val="10"/>
        <rFont val="Arial"/>
        <family val="2"/>
      </rPr>
      <t>(R11)</t>
    </r>
  </si>
  <si>
    <r>
      <t>f</t>
    </r>
    <r>
      <rPr>
        <b/>
        <vertAlign val="subscript"/>
        <sz val="10"/>
        <rFont val="Arial"/>
        <family val="2"/>
      </rPr>
      <t>S</t>
    </r>
  </si>
  <si>
    <r>
      <t>f</t>
    </r>
    <r>
      <rPr>
        <vertAlign val="subscript"/>
        <sz val="10"/>
        <rFont val="Arial"/>
        <family val="2"/>
      </rPr>
      <t>ZCOut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</si>
  <si>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Out</t>
    </r>
  </si>
  <si>
    <r>
      <t>C</t>
    </r>
    <r>
      <rPr>
        <vertAlign val="subscript"/>
        <sz val="10"/>
        <rFont val="Arial"/>
        <family val="2"/>
      </rPr>
      <t>Out</t>
    </r>
  </si>
  <si>
    <t>Ripple voltage 2nd. stage</t>
  </si>
  <si>
    <t>selected LC filter inductor value</t>
  </si>
  <si>
    <t xml:space="preserve"> [uF]</t>
  </si>
  <si>
    <t>(eff. copper area of primary)</t>
  </si>
  <si>
    <t>(eff. copper area of secondary)</t>
  </si>
  <si>
    <r>
      <rPr>
        <sz val="10"/>
        <rFont val="Calibri"/>
        <family val="2"/>
      </rPr>
      <t>Δ</t>
    </r>
    <r>
      <rPr>
        <sz val="10"/>
        <rFont val="Arial"/>
        <family val="2"/>
      </rPr>
      <t>T</t>
    </r>
  </si>
  <si>
    <r>
      <t>R</t>
    </r>
    <r>
      <rPr>
        <vertAlign val="subscript"/>
        <sz val="10"/>
        <rFont val="Arial"/>
        <family val="2"/>
      </rPr>
      <t>LH</t>
    </r>
  </si>
  <si>
    <r>
      <t>R</t>
    </r>
    <r>
      <rPr>
        <vertAlign val="subscript"/>
        <sz val="10"/>
        <rFont val="Arial"/>
        <family val="2"/>
      </rPr>
      <t>LL</t>
    </r>
  </si>
  <si>
    <r>
      <t>f</t>
    </r>
    <r>
      <rPr>
        <vertAlign val="subscript"/>
        <sz val="10"/>
        <rFont val="Arial"/>
        <family val="2"/>
      </rPr>
      <t>OH</t>
    </r>
  </si>
  <si>
    <r>
      <t>f</t>
    </r>
    <r>
      <rPr>
        <vertAlign val="subscript"/>
        <sz val="10"/>
        <rFont val="Arial"/>
        <family val="2"/>
      </rPr>
      <t>OL</t>
    </r>
  </si>
  <si>
    <r>
      <t>f</t>
    </r>
    <r>
      <rPr>
        <vertAlign val="subscript"/>
        <sz val="10"/>
        <rFont val="Arial"/>
        <family val="2"/>
      </rPr>
      <t>OM</t>
    </r>
  </si>
  <si>
    <r>
      <t>R</t>
    </r>
    <r>
      <rPr>
        <vertAlign val="subscript"/>
        <sz val="10"/>
        <rFont val="Arial"/>
        <family val="2"/>
      </rPr>
      <t>Sense</t>
    </r>
    <r>
      <rPr>
        <sz val="10"/>
        <rFont val="Arial"/>
        <family val="2"/>
      </rPr>
      <t>(R14)</t>
    </r>
  </si>
  <si>
    <t>Eq 10</t>
  </si>
  <si>
    <t>Eq11</t>
  </si>
  <si>
    <r>
      <t>C</t>
    </r>
    <r>
      <rPr>
        <vertAlign val="subscript"/>
        <sz val="10"/>
        <rFont val="Arial"/>
        <family val="2"/>
      </rPr>
      <t>In</t>
    </r>
    <r>
      <rPr>
        <sz val="10"/>
        <rFont val="Arial"/>
        <family val="2"/>
      </rPr>
      <t xml:space="preserve"> (C13)</t>
    </r>
  </si>
  <si>
    <r>
      <t>C</t>
    </r>
    <r>
      <rPr>
        <b/>
        <vertAlign val="subscript"/>
        <sz val="10"/>
        <rFont val="Arial"/>
        <family val="2"/>
      </rPr>
      <t>In</t>
    </r>
    <r>
      <rPr>
        <b/>
        <sz val="10"/>
        <rFont val="Arial"/>
        <family val="2"/>
      </rPr>
      <t xml:space="preserve"> (C13)</t>
    </r>
  </si>
  <si>
    <t>Eq 8</t>
  </si>
  <si>
    <t>Eq 12</t>
  </si>
  <si>
    <t>Eq 16</t>
  </si>
  <si>
    <t>Eq 17</t>
  </si>
  <si>
    <t>Eq 25</t>
  </si>
  <si>
    <r>
      <t>B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</t>
    </r>
  </si>
  <si>
    <t>Maximum flux density</t>
  </si>
  <si>
    <r>
      <t>A</t>
    </r>
    <r>
      <rPr>
        <vertAlign val="subscript"/>
        <sz val="10"/>
        <rFont val="Arial"/>
        <family val="2"/>
      </rPr>
      <t>e</t>
    </r>
  </si>
  <si>
    <t>Effective magnetic cross section</t>
  </si>
  <si>
    <t>Bobbin width</t>
  </si>
  <si>
    <r>
      <t>A</t>
    </r>
    <r>
      <rPr>
        <vertAlign val="subscript"/>
        <sz val="10"/>
        <rFont val="Arial"/>
        <family val="2"/>
      </rPr>
      <t>N</t>
    </r>
  </si>
  <si>
    <t>Winding cross section</t>
  </si>
  <si>
    <r>
      <t>l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 xml:space="preserve"> </t>
    </r>
  </si>
  <si>
    <t>Average length of turn</t>
  </si>
  <si>
    <t>Eq 22</t>
  </si>
  <si>
    <t>Eq 94</t>
  </si>
  <si>
    <t>d(Diameter of Primary Wire)</t>
  </si>
  <si>
    <t>Eq 37</t>
  </si>
  <si>
    <t>Eq 38</t>
  </si>
  <si>
    <t>Eq 30</t>
  </si>
  <si>
    <t>Eq 40</t>
  </si>
  <si>
    <t>Eq 41</t>
  </si>
  <si>
    <t>Eq 33</t>
  </si>
  <si>
    <t>d(Diameter of Secondary Wire)</t>
  </si>
  <si>
    <t>Eq 29</t>
  </si>
  <si>
    <r>
      <t>V</t>
    </r>
    <r>
      <rPr>
        <vertAlign val="subscript"/>
        <sz val="10"/>
        <rFont val="Arial"/>
        <family val="2"/>
      </rPr>
      <t>RDiode</t>
    </r>
    <r>
      <rPr>
        <sz val="10"/>
        <rFont val="Arial"/>
        <family val="2"/>
      </rPr>
      <t>(for Vcc diode)</t>
    </r>
  </si>
  <si>
    <t>Eq 43a</t>
  </si>
  <si>
    <t>Eq 43b</t>
  </si>
  <si>
    <t>Eq 50</t>
  </si>
  <si>
    <t>Eq 49</t>
  </si>
  <si>
    <t>Eq 54</t>
  </si>
  <si>
    <t>Eq 55</t>
  </si>
  <si>
    <t>select Vcc capacitor</t>
  </si>
  <si>
    <r>
      <t>C</t>
    </r>
    <r>
      <rPr>
        <b/>
        <vertAlign val="subscript"/>
        <sz val="10"/>
        <rFont val="Arial"/>
        <family val="2"/>
      </rPr>
      <t>Vcc</t>
    </r>
    <r>
      <rPr>
        <b/>
        <sz val="10"/>
        <rFont val="Arial"/>
        <family val="2"/>
      </rPr>
      <t xml:space="preserve"> (C16)</t>
    </r>
  </si>
  <si>
    <t>Vcc Capacitor(C16) and start up time</t>
  </si>
  <si>
    <t>Eq 61</t>
  </si>
  <si>
    <t>Eq 62</t>
  </si>
  <si>
    <t>Eq 63</t>
  </si>
  <si>
    <t>Eq 69</t>
  </si>
  <si>
    <t>Eq 74</t>
  </si>
  <si>
    <t>Eq 75</t>
  </si>
  <si>
    <t>Eq 77</t>
  </si>
  <si>
    <t>Eq 78</t>
  </si>
  <si>
    <t xml:space="preserve">Efficiency after Losses </t>
  </si>
  <si>
    <r>
      <t>η</t>
    </r>
    <r>
      <rPr>
        <vertAlign val="subscript"/>
        <sz val="10"/>
        <rFont val="Arial"/>
        <family val="2"/>
      </rPr>
      <t>L</t>
    </r>
  </si>
  <si>
    <t>Eq 81</t>
  </si>
  <si>
    <t>selected value of R25</t>
  </si>
  <si>
    <t>Eq 82</t>
  </si>
  <si>
    <t>selected value of R22</t>
  </si>
  <si>
    <t>Eq 83</t>
  </si>
  <si>
    <t>selected value of R23</t>
  </si>
  <si>
    <t>Eq 84</t>
  </si>
  <si>
    <r>
      <t>V</t>
    </r>
    <r>
      <rPr>
        <vertAlign val="subscript"/>
        <sz val="10"/>
        <rFont val="Arial"/>
        <family val="2"/>
      </rPr>
      <t>Out_RL</t>
    </r>
  </si>
  <si>
    <t>Eq 85</t>
  </si>
  <si>
    <t>Eq 86</t>
  </si>
  <si>
    <t>Eq 87</t>
  </si>
  <si>
    <t>Eq 88</t>
  </si>
  <si>
    <t>Eq 89</t>
  </si>
  <si>
    <t>Eq 90</t>
  </si>
  <si>
    <t>Eq 91</t>
  </si>
  <si>
    <t>Eq 92</t>
  </si>
  <si>
    <t>Eq 93</t>
  </si>
  <si>
    <t>Eq 95</t>
  </si>
  <si>
    <t>Eq 96</t>
  </si>
  <si>
    <t>Eq 99</t>
  </si>
  <si>
    <t>Eq 100</t>
  </si>
  <si>
    <t>Eq 101</t>
  </si>
  <si>
    <t>Eq 102</t>
  </si>
  <si>
    <t>Calculating the needed capacitance for the output LC-Filter(C24)</t>
  </si>
  <si>
    <r>
      <t>C</t>
    </r>
    <r>
      <rPr>
        <vertAlign val="subscript"/>
        <sz val="10"/>
        <rFont val="Arial"/>
        <family val="2"/>
      </rPr>
      <t>LC</t>
    </r>
    <r>
      <rPr>
        <sz val="10"/>
        <rFont val="Arial"/>
        <family val="2"/>
      </rPr>
      <t>(C24)</t>
    </r>
  </si>
  <si>
    <r>
      <t>L</t>
    </r>
    <r>
      <rPr>
        <b/>
        <vertAlign val="subscript"/>
        <sz val="10"/>
        <rFont val="Arial"/>
        <family val="2"/>
      </rPr>
      <t>out</t>
    </r>
    <r>
      <rPr>
        <b/>
        <sz val="10"/>
        <rFont val="Arial"/>
        <family val="2"/>
      </rPr>
      <t>(L21)</t>
    </r>
  </si>
  <si>
    <r>
      <t>selected C</t>
    </r>
    <r>
      <rPr>
        <b/>
        <vertAlign val="subscript"/>
        <sz val="10"/>
        <rFont val="Arial"/>
        <family val="2"/>
      </rPr>
      <t xml:space="preserve">clamp </t>
    </r>
    <r>
      <rPr>
        <b/>
        <sz val="10"/>
        <rFont val="Arial"/>
        <family val="2"/>
      </rPr>
      <t>capacitor value</t>
    </r>
  </si>
  <si>
    <r>
      <t>C</t>
    </r>
    <r>
      <rPr>
        <b/>
        <vertAlign val="subscript"/>
        <sz val="10"/>
        <rFont val="Arial"/>
        <family val="2"/>
      </rPr>
      <t>clamp</t>
    </r>
    <r>
      <rPr>
        <b/>
        <sz val="10"/>
        <rFont val="Arial"/>
        <family val="2"/>
      </rPr>
      <t>(C15)</t>
    </r>
  </si>
  <si>
    <r>
      <t>selected R</t>
    </r>
    <r>
      <rPr>
        <b/>
        <vertAlign val="subscript"/>
        <sz val="10"/>
        <rFont val="Arial"/>
        <family val="2"/>
      </rPr>
      <t>clamp</t>
    </r>
    <r>
      <rPr>
        <b/>
        <sz val="10"/>
        <rFont val="Arial"/>
        <family val="2"/>
      </rPr>
      <t xml:space="preserve"> value</t>
    </r>
  </si>
  <si>
    <r>
      <t>R</t>
    </r>
    <r>
      <rPr>
        <b/>
        <vertAlign val="subscript"/>
        <sz val="10"/>
        <rFont val="Arial"/>
        <family val="2"/>
      </rPr>
      <t>clamp</t>
    </r>
    <r>
      <rPr>
        <b/>
        <sz val="10"/>
        <rFont val="Arial"/>
        <family val="2"/>
      </rPr>
      <t>(R11)</t>
    </r>
  </si>
  <si>
    <r>
      <t>P</t>
    </r>
    <r>
      <rPr>
        <vertAlign val="subscript"/>
        <sz val="10"/>
        <rFont val="Arial"/>
        <family val="2"/>
      </rPr>
      <t>Clamper</t>
    </r>
  </si>
  <si>
    <t>Optocoupler gain</t>
  </si>
  <si>
    <t>CoolSET:</t>
  </si>
  <si>
    <t xml:space="preserve">Low line min Switching frequency </t>
  </si>
  <si>
    <t>Auxiliary supply voltage(Eq 21)</t>
  </si>
  <si>
    <t>EE20/10/6</t>
  </si>
  <si>
    <t>TP4A(TDG)</t>
  </si>
  <si>
    <t>selected value of R15</t>
  </si>
  <si>
    <r>
      <t>V</t>
    </r>
    <r>
      <rPr>
        <b/>
        <vertAlign val="subscript"/>
        <sz val="12"/>
        <rFont val="Arial"/>
        <family val="2"/>
      </rPr>
      <t>ZC_OVP_MIN</t>
    </r>
    <r>
      <rPr>
        <b/>
        <sz val="10"/>
        <rFont val="Arial"/>
        <family val="2"/>
      </rPr>
      <t xml:space="preserve"> from datasheet </t>
    </r>
  </si>
  <si>
    <r>
      <t>Designed V</t>
    </r>
    <r>
      <rPr>
        <b/>
        <vertAlign val="subscript"/>
        <sz val="10"/>
        <rFont val="Arial"/>
        <family val="2"/>
      </rPr>
      <t>OUT_OVP</t>
    </r>
  </si>
  <si>
    <r>
      <t>C</t>
    </r>
    <r>
      <rPr>
        <vertAlign val="subscript"/>
        <sz val="10"/>
        <rFont val="Arial"/>
        <family val="2"/>
      </rPr>
      <t>ZC</t>
    </r>
    <r>
      <rPr>
        <sz val="10"/>
        <rFont val="Arial"/>
        <family val="2"/>
      </rPr>
      <t>(C19)</t>
    </r>
  </si>
  <si>
    <r>
      <t>f</t>
    </r>
    <r>
      <rPr>
        <b/>
        <vertAlign val="subscript"/>
        <sz val="10"/>
        <rFont val="Arial"/>
        <family val="2"/>
      </rPr>
      <t>OSC2</t>
    </r>
    <r>
      <rPr>
        <b/>
        <sz val="10"/>
        <rFont val="Arial"/>
        <family val="2"/>
      </rPr>
      <t xml:space="preserve"> by measurement</t>
    </r>
  </si>
  <si>
    <t>C19 [pF]</t>
  </si>
  <si>
    <t>ZC Capacitor</t>
  </si>
  <si>
    <t>C19</t>
  </si>
  <si>
    <t>R15</t>
  </si>
  <si>
    <t>Failure condition</t>
  </si>
  <si>
    <t>Protection Mode</t>
  </si>
  <si>
    <t>Auto Restart</t>
  </si>
  <si>
    <t>Output Over Voltage</t>
  </si>
  <si>
    <t>`</t>
  </si>
  <si>
    <t>(V)</t>
  </si>
  <si>
    <t>(W)</t>
  </si>
  <si>
    <t>D22</t>
  </si>
  <si>
    <t>VAR</t>
  </si>
  <si>
    <t>Connector(L N)</t>
  </si>
  <si>
    <t>R14A [Ω]</t>
  </si>
  <si>
    <t>2W</t>
  </si>
  <si>
    <t>R15 [kΩ]</t>
  </si>
  <si>
    <t>Part No.</t>
  </si>
  <si>
    <t>Manufacturer</t>
  </si>
  <si>
    <t>300Vac</t>
  </si>
  <si>
    <t>Test Point</t>
  </si>
  <si>
    <t>ICE5QR4780AZ</t>
  </si>
  <si>
    <t>Revision:</t>
  </si>
  <si>
    <t>Output voltage 2</t>
  </si>
  <si>
    <t>Output voltage 1</t>
  </si>
  <si>
    <t xml:space="preserve">Forward voltage of output diode(D22) </t>
  </si>
  <si>
    <r>
      <t>V</t>
    </r>
    <r>
      <rPr>
        <b/>
        <vertAlign val="subscript"/>
        <sz val="10"/>
        <rFont val="Arial"/>
        <family val="2"/>
      </rPr>
      <t>Out1</t>
    </r>
  </si>
  <si>
    <r>
      <t>V</t>
    </r>
    <r>
      <rPr>
        <b/>
        <vertAlign val="subscript"/>
        <sz val="10"/>
        <rFont val="Arial"/>
        <family val="2"/>
      </rPr>
      <t>F Out1</t>
    </r>
  </si>
  <si>
    <r>
      <t>V</t>
    </r>
    <r>
      <rPr>
        <b/>
        <vertAlign val="subscript"/>
        <sz val="10"/>
        <rFont val="Arial"/>
        <family val="2"/>
      </rPr>
      <t>Out2</t>
    </r>
  </si>
  <si>
    <r>
      <t>V</t>
    </r>
    <r>
      <rPr>
        <b/>
        <vertAlign val="subscript"/>
        <sz val="10"/>
        <rFont val="Arial"/>
        <family val="2"/>
      </rPr>
      <t>F Out2</t>
    </r>
  </si>
  <si>
    <t>Output currnet 1</t>
  </si>
  <si>
    <r>
      <t>I</t>
    </r>
    <r>
      <rPr>
        <b/>
        <vertAlign val="subscript"/>
        <sz val="10"/>
        <rFont val="Arial"/>
        <family val="2"/>
      </rPr>
      <t>Out1</t>
    </r>
  </si>
  <si>
    <t>Output currnet 2</t>
  </si>
  <si>
    <r>
      <t>I</t>
    </r>
    <r>
      <rPr>
        <b/>
        <vertAlign val="subscript"/>
        <sz val="10"/>
        <rFont val="Arial"/>
        <family val="2"/>
      </rPr>
      <t>Out2</t>
    </r>
  </si>
  <si>
    <r>
      <t>N</t>
    </r>
    <r>
      <rPr>
        <vertAlign val="subscript"/>
        <sz val="10"/>
        <rFont val="Arial"/>
        <family val="2"/>
      </rPr>
      <t>S1</t>
    </r>
  </si>
  <si>
    <r>
      <t>N</t>
    </r>
    <r>
      <rPr>
        <b/>
        <vertAlign val="subscript"/>
        <sz val="10"/>
        <rFont val="Arial"/>
        <family val="2"/>
      </rPr>
      <t>S1</t>
    </r>
  </si>
  <si>
    <r>
      <t>N</t>
    </r>
    <r>
      <rPr>
        <vertAlign val="subscript"/>
        <sz val="10"/>
        <rFont val="Arial"/>
        <family val="2"/>
      </rPr>
      <t>S2</t>
    </r>
  </si>
  <si>
    <r>
      <t>N</t>
    </r>
    <r>
      <rPr>
        <b/>
        <vertAlign val="subscript"/>
        <sz val="10"/>
        <rFont val="Arial"/>
        <family val="2"/>
      </rPr>
      <t>S2</t>
    </r>
  </si>
  <si>
    <r>
      <t>CoolSET</t>
    </r>
    <r>
      <rPr>
        <b/>
        <vertAlign val="superscript"/>
        <sz val="10"/>
        <rFont val="Arial"/>
        <family val="2"/>
      </rPr>
      <t>TM</t>
    </r>
    <r>
      <rPr>
        <b/>
        <sz val="10"/>
        <rFont val="Arial"/>
        <family val="2"/>
      </rPr>
      <t xml:space="preserve"> -Q5</t>
    </r>
  </si>
  <si>
    <r>
      <t>V</t>
    </r>
    <r>
      <rPr>
        <vertAlign val="subscript"/>
        <sz val="10"/>
        <rFont val="Arial"/>
        <family val="2"/>
      </rPr>
      <t>RDiode1</t>
    </r>
    <r>
      <rPr>
        <sz val="10"/>
        <rFont val="Arial"/>
        <family val="2"/>
      </rPr>
      <t>(for output diode D21)</t>
    </r>
  </si>
  <si>
    <r>
      <t>V</t>
    </r>
    <r>
      <rPr>
        <vertAlign val="subscript"/>
        <sz val="10"/>
        <rFont val="Arial"/>
        <family val="2"/>
      </rPr>
      <t>RDiode2</t>
    </r>
    <r>
      <rPr>
        <sz val="10"/>
        <rFont val="Arial"/>
        <family val="2"/>
      </rPr>
      <t>(for output diode D22)</t>
    </r>
  </si>
  <si>
    <t>Output &amp; Vcc diode(D21, D22 &amp; D12)</t>
  </si>
  <si>
    <t>C28</t>
  </si>
  <si>
    <t>Max voltage overshoot at output capacitor(C22, C23)</t>
  </si>
  <si>
    <t>Max voltage overshoot at output capacitor(C28, C29)</t>
  </si>
  <si>
    <t>Output capacitor(C22 &amp; C23)</t>
  </si>
  <si>
    <t>Output capacitor(C28 &amp; C29)</t>
  </si>
  <si>
    <t>Zero frequency of Output capacitor(C28 &amp; C29) and associated ESR</t>
  </si>
  <si>
    <t>Ripple voltage 1st. stage</t>
  </si>
  <si>
    <r>
      <t>L</t>
    </r>
    <r>
      <rPr>
        <b/>
        <vertAlign val="subscript"/>
        <sz val="10"/>
        <rFont val="Arial"/>
        <family val="2"/>
      </rPr>
      <t>out</t>
    </r>
    <r>
      <rPr>
        <b/>
        <sz val="10"/>
        <rFont val="Arial"/>
        <family val="2"/>
      </rPr>
      <t>(L22)</t>
    </r>
  </si>
  <si>
    <t>CLC(C210)</t>
  </si>
  <si>
    <r>
      <t>select V</t>
    </r>
    <r>
      <rPr>
        <b/>
        <vertAlign val="subscript"/>
        <sz val="10"/>
        <rFont val="Arial"/>
        <family val="2"/>
      </rPr>
      <t>VCC,STG</t>
    </r>
    <r>
      <rPr>
        <b/>
        <sz val="10"/>
        <rFont val="Arial"/>
        <family val="2"/>
      </rPr>
      <t xml:space="preserve"> from datasheet</t>
    </r>
  </si>
  <si>
    <r>
      <t>V</t>
    </r>
    <r>
      <rPr>
        <b/>
        <vertAlign val="subscript"/>
        <sz val="10"/>
        <rFont val="Arial"/>
        <family val="2"/>
      </rPr>
      <t>VCC,STG</t>
    </r>
  </si>
  <si>
    <r>
      <t>I</t>
    </r>
    <r>
      <rPr>
        <b/>
        <vertAlign val="subscript"/>
        <sz val="10"/>
        <rFont val="Arial"/>
        <family val="2"/>
      </rPr>
      <t>VCC,Charge1</t>
    </r>
  </si>
  <si>
    <r>
      <t>select I</t>
    </r>
    <r>
      <rPr>
        <b/>
        <vertAlign val="subscript"/>
        <sz val="10"/>
        <rFont val="Arial"/>
        <family val="2"/>
      </rPr>
      <t>VCC,Charge1</t>
    </r>
    <r>
      <rPr>
        <b/>
        <sz val="10"/>
        <rFont val="Arial"/>
        <family val="2"/>
      </rPr>
      <t xml:space="preserve"> from datasheet</t>
    </r>
  </si>
  <si>
    <r>
      <t>select V</t>
    </r>
    <r>
      <rPr>
        <b/>
        <vertAlign val="subscript"/>
        <sz val="10"/>
        <rFont val="Arial"/>
        <family val="2"/>
      </rPr>
      <t>VCC,ON</t>
    </r>
    <r>
      <rPr>
        <b/>
        <sz val="10"/>
        <rFont val="Arial"/>
        <family val="2"/>
      </rPr>
      <t xml:space="preserve"> from datasheet</t>
    </r>
  </si>
  <si>
    <r>
      <t>V</t>
    </r>
    <r>
      <rPr>
        <b/>
        <vertAlign val="subscript"/>
        <sz val="10"/>
        <rFont val="Arial"/>
        <family val="2"/>
      </rPr>
      <t>VCC,ON</t>
    </r>
  </si>
  <si>
    <r>
      <t>P</t>
    </r>
    <r>
      <rPr>
        <vertAlign val="subscript"/>
        <sz val="10"/>
        <rFont val="Arial"/>
        <family val="2"/>
      </rPr>
      <t>Out DIODE</t>
    </r>
    <r>
      <rPr>
        <sz val="10"/>
        <rFont val="Arial"/>
        <family val="2"/>
      </rPr>
      <t xml:space="preserve"> (D21)</t>
    </r>
  </si>
  <si>
    <r>
      <t>P</t>
    </r>
    <r>
      <rPr>
        <vertAlign val="subscript"/>
        <sz val="10"/>
        <rFont val="Arial"/>
        <family val="2"/>
      </rPr>
      <t>Out DIODE</t>
    </r>
    <r>
      <rPr>
        <sz val="10"/>
        <rFont val="Arial"/>
        <family val="2"/>
      </rPr>
      <t xml:space="preserve"> (D22)</t>
    </r>
  </si>
  <si>
    <r>
      <t>V</t>
    </r>
    <r>
      <rPr>
        <b/>
        <vertAlign val="subscript"/>
        <sz val="12"/>
        <rFont val="Arial"/>
        <family val="2"/>
      </rPr>
      <t>FB,OLP</t>
    </r>
    <r>
      <rPr>
        <b/>
        <sz val="10"/>
        <rFont val="Arial"/>
        <family val="2"/>
      </rPr>
      <t xml:space="preserve"> from datasheet(overload/openloop detection limit at FB pin)</t>
    </r>
  </si>
  <si>
    <r>
      <t>R</t>
    </r>
    <r>
      <rPr>
        <b/>
        <vertAlign val="subscript"/>
        <sz val="12"/>
        <rFont val="Arial"/>
        <family val="2"/>
      </rPr>
      <t>ZCD_MIN</t>
    </r>
    <r>
      <rPr>
        <b/>
        <sz val="10"/>
        <rFont val="Arial"/>
        <family val="2"/>
      </rPr>
      <t xml:space="preserve"> from datasheet </t>
    </r>
  </si>
  <si>
    <r>
      <t>R</t>
    </r>
    <r>
      <rPr>
        <b/>
        <vertAlign val="subscript"/>
        <sz val="10"/>
        <rFont val="Arial"/>
        <family val="2"/>
      </rPr>
      <t>ZC</t>
    </r>
    <r>
      <rPr>
        <b/>
        <sz val="10"/>
        <rFont val="Arial"/>
        <family val="2"/>
      </rPr>
      <t>(R15)</t>
    </r>
  </si>
  <si>
    <r>
      <t>I</t>
    </r>
    <r>
      <rPr>
        <vertAlign val="subscript"/>
        <sz val="10"/>
        <rFont val="Arial"/>
        <family val="2"/>
      </rPr>
      <t>KAmin</t>
    </r>
  </si>
  <si>
    <r>
      <t>I</t>
    </r>
    <r>
      <rPr>
        <vertAlign val="subscript"/>
        <sz val="10"/>
        <rFont val="Arial"/>
        <family val="2"/>
      </rPr>
      <t>Fmax</t>
    </r>
  </si>
  <si>
    <r>
      <t>V</t>
    </r>
    <r>
      <rPr>
        <vertAlign val="subscript"/>
        <sz val="10"/>
        <rFont val="Arial"/>
        <family val="2"/>
      </rPr>
      <t>REF</t>
    </r>
  </si>
  <si>
    <r>
      <t>V</t>
    </r>
    <r>
      <rPr>
        <vertAlign val="subscript"/>
        <sz val="10"/>
        <rFont val="Arial"/>
        <family val="2"/>
      </rPr>
      <t>FB,OLP</t>
    </r>
  </si>
  <si>
    <r>
      <t>R</t>
    </r>
    <r>
      <rPr>
        <vertAlign val="subscript"/>
        <sz val="10"/>
        <rFont val="Arial"/>
        <family val="2"/>
      </rPr>
      <t>FB</t>
    </r>
  </si>
  <si>
    <r>
      <t>V</t>
    </r>
    <r>
      <rPr>
        <vertAlign val="subscript"/>
        <sz val="10"/>
        <rFont val="Arial"/>
        <family val="2"/>
      </rPr>
      <t>OUT_OVP</t>
    </r>
  </si>
  <si>
    <r>
      <t>V</t>
    </r>
    <r>
      <rPr>
        <vertAlign val="subscript"/>
        <sz val="10"/>
        <rFont val="Arial"/>
        <family val="2"/>
      </rPr>
      <t>ZC_OVP_MIN</t>
    </r>
  </si>
  <si>
    <r>
      <t>R</t>
    </r>
    <r>
      <rPr>
        <vertAlign val="subscript"/>
        <sz val="10"/>
        <rFont val="Arial"/>
        <family val="2"/>
      </rPr>
      <t>ZCD</t>
    </r>
  </si>
  <si>
    <r>
      <t>f</t>
    </r>
    <r>
      <rPr>
        <vertAlign val="subscript"/>
        <sz val="10"/>
        <rFont val="Arial"/>
        <family val="2"/>
      </rPr>
      <t>OSC2</t>
    </r>
    <r>
      <rPr>
        <sz val="10"/>
        <rFont val="Arial"/>
        <family val="2"/>
      </rPr>
      <t xml:space="preserve"> </t>
    </r>
  </si>
  <si>
    <r>
      <t>Secondary Turns(N</t>
    </r>
    <r>
      <rPr>
        <vertAlign val="subscript"/>
        <sz val="10"/>
        <rFont val="Arial"/>
        <family val="2"/>
      </rPr>
      <t>S1</t>
    </r>
    <r>
      <rPr>
        <sz val="10"/>
        <rFont val="Arial"/>
        <family val="2"/>
      </rPr>
      <t>)</t>
    </r>
  </si>
  <si>
    <r>
      <t>Secondary Turns(N</t>
    </r>
    <r>
      <rPr>
        <vertAlign val="subscript"/>
        <sz val="10"/>
        <rFont val="Arial"/>
        <family val="2"/>
      </rPr>
      <t>S2</t>
    </r>
    <r>
      <rPr>
        <sz val="10"/>
        <rFont val="Arial"/>
        <family val="2"/>
      </rPr>
      <t>)</t>
    </r>
  </si>
  <si>
    <r>
      <t>C</t>
    </r>
    <r>
      <rPr>
        <b/>
        <vertAlign val="subscript"/>
        <sz val="10"/>
        <rFont val="Arial"/>
        <family val="2"/>
      </rPr>
      <t>LC</t>
    </r>
    <r>
      <rPr>
        <b/>
        <sz val="10"/>
        <rFont val="Arial"/>
        <family val="2"/>
      </rPr>
      <t>(C24)</t>
    </r>
  </si>
  <si>
    <t>C210</t>
  </si>
  <si>
    <t>L22</t>
  </si>
  <si>
    <t>ZC Resistor</t>
  </si>
  <si>
    <r>
      <t>selected value of C</t>
    </r>
    <r>
      <rPr>
        <b/>
        <vertAlign val="subscript"/>
        <sz val="10"/>
        <rFont val="Arial"/>
        <family val="2"/>
      </rPr>
      <t>ZC</t>
    </r>
    <r>
      <rPr>
        <b/>
        <sz val="10"/>
        <rFont val="Arial"/>
        <family val="2"/>
      </rPr>
      <t>(C19)</t>
    </r>
  </si>
  <si>
    <r>
      <t>[</t>
    </r>
    <r>
      <rPr>
        <sz val="10"/>
        <rFont val="Calibri"/>
        <family val="2"/>
      </rPr>
      <t>Ω</t>
    </r>
    <r>
      <rPr>
        <sz val="10"/>
        <rFont val="Arial"/>
        <family val="2"/>
      </rPr>
      <t>]</t>
    </r>
  </si>
  <si>
    <r>
      <t>[V</t>
    </r>
    <r>
      <rPr>
        <vertAlign val="subscript"/>
        <sz val="10"/>
        <rFont val="Arial"/>
        <family val="2"/>
      </rPr>
      <t>AC</t>
    </r>
    <r>
      <rPr>
        <sz val="10"/>
        <rFont val="Arial"/>
        <family val="2"/>
      </rPr>
      <t>]</t>
    </r>
  </si>
  <si>
    <t xml:space="preserve">Zero crossing detuction &amp; output OVP calculation </t>
  </si>
  <si>
    <r>
      <t>R</t>
    </r>
    <r>
      <rPr>
        <b/>
        <vertAlign val="subscript"/>
        <sz val="10"/>
        <rFont val="Arial"/>
        <family val="2"/>
      </rPr>
      <t>I1</t>
    </r>
    <r>
      <rPr>
        <b/>
        <sz val="10"/>
        <rFont val="Arial"/>
        <family val="2"/>
      </rPr>
      <t>(R18)</t>
    </r>
  </si>
  <si>
    <r>
      <t>R</t>
    </r>
    <r>
      <rPr>
        <b/>
        <vertAlign val="subscript"/>
        <sz val="10"/>
        <rFont val="Arial"/>
        <family val="2"/>
      </rPr>
      <t>I2</t>
    </r>
    <r>
      <rPr>
        <b/>
        <sz val="10"/>
        <rFont val="Arial"/>
        <family val="2"/>
      </rPr>
      <t>(R19)</t>
    </r>
  </si>
  <si>
    <r>
      <t>selected value of R19(R</t>
    </r>
    <r>
      <rPr>
        <b/>
        <vertAlign val="subscript"/>
        <sz val="10"/>
        <rFont val="Arial"/>
        <family val="2"/>
      </rPr>
      <t>I2</t>
    </r>
    <r>
      <rPr>
        <b/>
        <sz val="10"/>
        <rFont val="Arial"/>
        <family val="2"/>
      </rPr>
      <t>)</t>
    </r>
  </si>
  <si>
    <r>
      <t>R</t>
    </r>
    <r>
      <rPr>
        <vertAlign val="subscript"/>
        <sz val="10"/>
        <color rgb="FF7030A0"/>
        <rFont val="Arial"/>
        <family val="2"/>
      </rPr>
      <t>I2</t>
    </r>
    <r>
      <rPr>
        <sz val="10"/>
        <color rgb="FF7030A0"/>
        <rFont val="Arial"/>
        <family val="2"/>
      </rPr>
      <t>(R19)</t>
    </r>
  </si>
  <si>
    <r>
      <t>[</t>
    </r>
    <r>
      <rPr>
        <sz val="10"/>
        <color rgb="FF7030A0"/>
        <rFont val="Calibri"/>
        <family val="2"/>
      </rPr>
      <t>Ω</t>
    </r>
    <r>
      <rPr>
        <sz val="10"/>
        <color rgb="FF7030A0"/>
        <rFont val="Arial"/>
        <family val="2"/>
      </rPr>
      <t>]</t>
    </r>
  </si>
  <si>
    <r>
      <t>[V</t>
    </r>
    <r>
      <rPr>
        <vertAlign val="subscript"/>
        <sz val="10"/>
        <color rgb="FF7030A0"/>
        <rFont val="Arial"/>
        <family val="2"/>
      </rPr>
      <t>AC</t>
    </r>
    <r>
      <rPr>
        <sz val="10"/>
        <color rgb="FF7030A0"/>
        <rFont val="Arial"/>
        <family val="2"/>
      </rPr>
      <t>]</t>
    </r>
  </si>
  <si>
    <r>
      <t>R</t>
    </r>
    <r>
      <rPr>
        <vertAlign val="subscript"/>
        <sz val="10"/>
        <color rgb="FF7030A0"/>
        <rFont val="Arial"/>
        <family val="2"/>
      </rPr>
      <t>ZC</t>
    </r>
    <r>
      <rPr>
        <sz val="10"/>
        <color rgb="FF7030A0"/>
        <rFont val="Arial"/>
        <family val="2"/>
      </rPr>
      <t>(R15)</t>
    </r>
  </si>
  <si>
    <r>
      <t>I</t>
    </r>
    <r>
      <rPr>
        <b/>
        <vertAlign val="subscript"/>
        <sz val="10"/>
        <color rgb="FF7030A0"/>
        <rFont val="Arial"/>
        <family val="2"/>
      </rPr>
      <t>VCC,Normal</t>
    </r>
    <r>
      <rPr>
        <b/>
        <sz val="10"/>
        <color rgb="FF7030A0"/>
        <rFont val="Arial"/>
        <family val="2"/>
      </rPr>
      <t>xV</t>
    </r>
    <r>
      <rPr>
        <b/>
        <vertAlign val="subscript"/>
        <sz val="10"/>
        <color rgb="FF7030A0"/>
        <rFont val="Arial"/>
        <family val="2"/>
      </rPr>
      <t>VCC</t>
    </r>
  </si>
  <si>
    <r>
      <t>t</t>
    </r>
    <r>
      <rPr>
        <vertAlign val="subscript"/>
        <sz val="10"/>
        <color rgb="FF7030A0"/>
        <rFont val="Arial"/>
        <family val="2"/>
      </rPr>
      <t>StartUp</t>
    </r>
  </si>
  <si>
    <r>
      <t>K</t>
    </r>
    <r>
      <rPr>
        <vertAlign val="subscript"/>
        <sz val="10"/>
        <color rgb="FF7030A0"/>
        <rFont val="Arial"/>
        <family val="2"/>
      </rPr>
      <t xml:space="preserve">L2 </t>
    </r>
    <r>
      <rPr>
        <sz val="10"/>
        <color rgb="FF7030A0"/>
        <rFont val="Arial"/>
        <family val="2"/>
      </rPr>
      <t>(load factor)</t>
    </r>
  </si>
  <si>
    <r>
      <t>I</t>
    </r>
    <r>
      <rPr>
        <vertAlign val="subscript"/>
        <sz val="10"/>
        <color rgb="FF7030A0"/>
        <rFont val="Arial"/>
        <family val="2"/>
      </rPr>
      <t>S Max2</t>
    </r>
  </si>
  <si>
    <r>
      <t>I</t>
    </r>
    <r>
      <rPr>
        <vertAlign val="subscript"/>
        <sz val="10"/>
        <color rgb="FF7030A0"/>
        <rFont val="Arial"/>
        <family val="2"/>
      </rPr>
      <t>S RMS2</t>
    </r>
  </si>
  <si>
    <r>
      <t>I</t>
    </r>
    <r>
      <rPr>
        <vertAlign val="subscript"/>
        <sz val="10"/>
        <color rgb="FF7030A0"/>
        <rFont val="Arial"/>
        <family val="2"/>
      </rPr>
      <t>S Max1</t>
    </r>
  </si>
  <si>
    <r>
      <t>I</t>
    </r>
    <r>
      <rPr>
        <vertAlign val="subscript"/>
        <sz val="10"/>
        <color rgb="FF7030A0"/>
        <rFont val="Arial"/>
        <family val="2"/>
      </rPr>
      <t>S RMS1</t>
    </r>
  </si>
  <si>
    <r>
      <t>K</t>
    </r>
    <r>
      <rPr>
        <vertAlign val="subscript"/>
        <sz val="10"/>
        <color rgb="FF7030A0"/>
        <rFont val="Arial"/>
        <family val="2"/>
      </rPr>
      <t xml:space="preserve">L1 </t>
    </r>
    <r>
      <rPr>
        <sz val="10"/>
        <color rgb="FF7030A0"/>
        <rFont val="Arial"/>
        <family val="2"/>
      </rPr>
      <t>(load factor)</t>
    </r>
  </si>
  <si>
    <r>
      <t>Brownin voltage(V</t>
    </r>
    <r>
      <rPr>
        <vertAlign val="subscript"/>
        <sz val="10"/>
        <color rgb="FF7030A0"/>
        <rFont val="Arial"/>
        <family val="2"/>
      </rPr>
      <t>Brownin_AC</t>
    </r>
    <r>
      <rPr>
        <sz val="10"/>
        <color rgb="FF7030A0"/>
        <rFont val="Arial"/>
        <family val="2"/>
      </rPr>
      <t>)</t>
    </r>
  </si>
  <si>
    <r>
      <t>Line over voltage(V</t>
    </r>
    <r>
      <rPr>
        <vertAlign val="subscript"/>
        <sz val="10"/>
        <rFont val="Arial"/>
        <family val="2"/>
      </rPr>
      <t>OVP_AC</t>
    </r>
    <r>
      <rPr>
        <sz val="10"/>
        <rFont val="Arial"/>
        <family val="2"/>
      </rPr>
      <t>)</t>
    </r>
  </si>
  <si>
    <t>500V</t>
  </si>
  <si>
    <t>Footprint</t>
  </si>
  <si>
    <t>C111</t>
  </si>
  <si>
    <r>
      <t>(A</t>
    </r>
    <r>
      <rPr>
        <b/>
        <vertAlign val="subscript"/>
        <sz val="10"/>
        <rFont val="Source Sans Pro"/>
        <family val="2"/>
      </rPr>
      <t>rms</t>
    </r>
    <r>
      <rPr>
        <b/>
        <sz val="10"/>
        <rFont val="Source Sans Pro"/>
        <family val="2"/>
      </rPr>
      <t>)</t>
    </r>
  </si>
  <si>
    <t>R11 [kΩ]</t>
  </si>
  <si>
    <t>C27</t>
  </si>
  <si>
    <t>C28 [µF]</t>
  </si>
  <si>
    <t>C210 [µF]</t>
  </si>
  <si>
    <t>D13</t>
  </si>
  <si>
    <t>HS21</t>
  </si>
  <si>
    <t>HS22</t>
  </si>
  <si>
    <t>L22 [µH]</t>
  </si>
  <si>
    <t>R17 [kΩ]</t>
  </si>
  <si>
    <t>R12 [Ω]</t>
  </si>
  <si>
    <t>R12A [Ω]</t>
  </si>
  <si>
    <t>Description</t>
  </si>
  <si>
    <t>R25A [kΩ]</t>
  </si>
  <si>
    <t>SA1, SA2</t>
  </si>
  <si>
    <t>R27</t>
  </si>
  <si>
    <t>TL431BVLPG</t>
  </si>
  <si>
    <t>Connector(+12V Com),
Connector(+5V Com)</t>
  </si>
  <si>
    <t>CoolSET Q5</t>
  </si>
  <si>
    <t>ICE5QRxxxxA(Z)(G)</t>
  </si>
  <si>
    <t>Normal Mode</t>
  </si>
  <si>
    <t>Burst Mode</t>
  </si>
  <si>
    <t xml:space="preserve">Line Over Voltage </t>
  </si>
  <si>
    <t>√</t>
  </si>
  <si>
    <t>x</t>
  </si>
  <si>
    <t>Odd Skip Auto Restart</t>
  </si>
  <si>
    <t>Over Load</t>
  </si>
  <si>
    <t>Over Temperature</t>
  </si>
  <si>
    <t>CS Short to GND</t>
  </si>
  <si>
    <r>
      <t>V</t>
    </r>
    <r>
      <rPr>
        <vertAlign val="subscript"/>
        <sz val="10"/>
        <color rgb="FF000000"/>
        <rFont val="Source Sans Pro"/>
        <family val="2"/>
      </rPr>
      <t>CC</t>
    </r>
    <r>
      <rPr>
        <sz val="10"/>
        <color rgb="FF000000"/>
        <rFont val="Source Sans Pro"/>
        <family val="2"/>
      </rPr>
      <t xml:space="preserve"> Over Voltage</t>
    </r>
  </si>
  <si>
    <r>
      <t>V</t>
    </r>
    <r>
      <rPr>
        <vertAlign val="subscript"/>
        <sz val="10"/>
        <color rgb="FF000000"/>
        <rFont val="Source Sans Pro"/>
        <family val="2"/>
      </rPr>
      <t>CC</t>
    </r>
    <r>
      <rPr>
        <sz val="10"/>
        <color rgb="FF000000"/>
        <rFont val="Source Sans Pro"/>
        <family val="2"/>
      </rPr>
      <t xml:space="preserve"> Under Voltage</t>
    </r>
  </si>
  <si>
    <t>Burst On</t>
  </si>
  <si>
    <t>Burst Off</t>
  </si>
  <si>
    <r>
      <t>V</t>
    </r>
    <r>
      <rPr>
        <vertAlign val="subscript"/>
        <sz val="10"/>
        <rFont val="Source Sans Pro"/>
        <family val="2"/>
      </rPr>
      <t xml:space="preserve">VINLOVP </t>
    </r>
    <r>
      <rPr>
        <sz val="10"/>
        <rFont val="Source Sans Pro"/>
        <family val="2"/>
      </rPr>
      <t xml:space="preserve">&gt; 2.9 V and last for 250 μs </t>
    </r>
  </si>
  <si>
    <t>BrownOut</t>
  </si>
  <si>
    <r>
      <t>V</t>
    </r>
    <r>
      <rPr>
        <vertAlign val="subscript"/>
        <sz val="10"/>
        <rFont val="Source Sans Pro"/>
        <family val="2"/>
      </rPr>
      <t xml:space="preserve">VINLOVP </t>
    </r>
    <r>
      <rPr>
        <sz val="10"/>
        <rFont val="Source Sans Pro"/>
        <family val="2"/>
      </rPr>
      <t xml:space="preserve">&lt; 0.40 V and last for 250 μs </t>
    </r>
  </si>
  <si>
    <t xml:space="preserve"> Vcc &lt; 10 V &amp; last for 50 μs</t>
  </si>
  <si>
    <r>
      <t>V</t>
    </r>
    <r>
      <rPr>
        <vertAlign val="subscript"/>
        <sz val="10"/>
        <rFont val="Source Sans Pro"/>
        <family val="2"/>
      </rPr>
      <t>ZCD,OVP</t>
    </r>
    <r>
      <rPr>
        <sz val="10"/>
        <rFont val="Source Sans Pro"/>
        <family val="2"/>
      </rPr>
      <t xml:space="preserve"> &gt; 2 V &amp; last for 10 consecutive gate pulse </t>
    </r>
  </si>
  <si>
    <r>
      <t>T</t>
    </r>
    <r>
      <rPr>
        <vertAlign val="subscript"/>
        <sz val="10"/>
        <rFont val="Source Sans Pro"/>
        <family val="2"/>
      </rPr>
      <t>J</t>
    </r>
    <r>
      <rPr>
        <sz val="10"/>
        <rFont val="Source Sans Pro"/>
        <family val="2"/>
      </rPr>
      <t xml:space="preserve"> &gt; 140°C (40°C Hysteresis to reset OTP)</t>
    </r>
  </si>
  <si>
    <t>Protection Function</t>
  </si>
  <si>
    <r>
      <rPr>
        <sz val="10"/>
        <rFont val="Calibri"/>
        <family val="2"/>
      </rPr>
      <t>≥</t>
    </r>
    <r>
      <rPr>
        <sz val="10"/>
        <rFont val="Source Sans Pro"/>
        <family val="2"/>
      </rPr>
      <t>700V</t>
    </r>
  </si>
  <si>
    <t>[Ω]</t>
  </si>
  <si>
    <t>0.22µF, X cap</t>
  </si>
  <si>
    <t>C14</t>
  </si>
  <si>
    <t>1nF, Y cap</t>
  </si>
  <si>
    <t>Non switch Auto Restart</t>
  </si>
  <si>
    <r>
      <t>V</t>
    </r>
    <r>
      <rPr>
        <vertAlign val="subscript"/>
        <sz val="10"/>
        <rFont val="Source Sans Pro"/>
        <family val="2"/>
      </rPr>
      <t>CS,STG</t>
    </r>
    <r>
      <rPr>
        <sz val="10"/>
        <rFont val="Source Sans Pro"/>
        <family val="2"/>
      </rPr>
      <t xml:space="preserve"> &lt; 0.1 V and last for 5 </t>
    </r>
    <r>
      <rPr>
        <sz val="10"/>
        <rFont val="Calibri"/>
        <family val="2"/>
      </rPr>
      <t>µ</t>
    </r>
    <r>
      <rPr>
        <sz val="10"/>
        <rFont val="Source Sans Pro"/>
        <family val="2"/>
      </rPr>
      <t xml:space="preserve">s and 3 consecutive gate pulse </t>
    </r>
  </si>
  <si>
    <r>
      <t>V</t>
    </r>
    <r>
      <rPr>
        <vertAlign val="subscript"/>
        <sz val="10"/>
        <rFont val="Source Sans Pro"/>
        <family val="2"/>
      </rPr>
      <t>FB,OLP</t>
    </r>
    <r>
      <rPr>
        <sz val="10"/>
        <rFont val="Source Sans Pro"/>
        <family val="2"/>
      </rPr>
      <t xml:space="preserve"> &gt; 2.75 V &amp; last for 30 ms </t>
    </r>
  </si>
  <si>
    <r>
      <t>R</t>
    </r>
    <r>
      <rPr>
        <b/>
        <vertAlign val="subscript"/>
        <sz val="10"/>
        <rFont val="Cambria"/>
        <family val="1"/>
      </rPr>
      <t>I1</t>
    </r>
    <r>
      <rPr>
        <b/>
        <sz val="10"/>
        <rFont val="Cambria"/>
        <family val="1"/>
      </rPr>
      <t>(R18)</t>
    </r>
  </si>
  <si>
    <r>
      <t>Brownin voltage(V</t>
    </r>
    <r>
      <rPr>
        <vertAlign val="subscript"/>
        <sz val="10"/>
        <rFont val="Cambria"/>
        <family val="1"/>
      </rPr>
      <t>OVP_AC</t>
    </r>
    <r>
      <rPr>
        <sz val="10"/>
        <rFont val="Cambria"/>
        <family val="1"/>
      </rPr>
      <t>)</t>
    </r>
  </si>
  <si>
    <r>
      <t>[V</t>
    </r>
    <r>
      <rPr>
        <vertAlign val="subscript"/>
        <sz val="10"/>
        <rFont val="Cambria"/>
        <family val="1"/>
      </rPr>
      <t>AC</t>
    </r>
    <r>
      <rPr>
        <sz val="10"/>
        <rFont val="Cambria"/>
        <family val="1"/>
      </rPr>
      <t>]</t>
    </r>
  </si>
  <si>
    <r>
      <t>R</t>
    </r>
    <r>
      <rPr>
        <vertAlign val="subscript"/>
        <sz val="10"/>
        <color rgb="FF7030A0"/>
        <rFont val="Cambria"/>
        <family val="1"/>
      </rPr>
      <t>I2</t>
    </r>
    <r>
      <rPr>
        <sz val="10"/>
        <color rgb="FF7030A0"/>
        <rFont val="Cambria"/>
        <family val="1"/>
      </rPr>
      <t>(R19)</t>
    </r>
  </si>
  <si>
    <r>
      <t>selected value of R19(R</t>
    </r>
    <r>
      <rPr>
        <b/>
        <vertAlign val="subscript"/>
        <sz val="10"/>
        <rFont val="Cambria"/>
        <family val="1"/>
      </rPr>
      <t>I2</t>
    </r>
    <r>
      <rPr>
        <b/>
        <sz val="10"/>
        <rFont val="Cambria"/>
        <family val="1"/>
      </rPr>
      <t>)</t>
    </r>
  </si>
  <si>
    <r>
      <t>R</t>
    </r>
    <r>
      <rPr>
        <b/>
        <vertAlign val="subscript"/>
        <sz val="10"/>
        <rFont val="Cambria"/>
        <family val="1"/>
      </rPr>
      <t>I2</t>
    </r>
    <r>
      <rPr>
        <b/>
        <sz val="10"/>
        <rFont val="Cambria"/>
        <family val="1"/>
      </rPr>
      <t>(R19)</t>
    </r>
  </si>
  <si>
    <r>
      <t>[V</t>
    </r>
    <r>
      <rPr>
        <vertAlign val="subscript"/>
        <sz val="10"/>
        <color rgb="FF7030A0"/>
        <rFont val="Cambria"/>
        <family val="1"/>
      </rPr>
      <t>AC</t>
    </r>
    <r>
      <rPr>
        <sz val="10"/>
        <color rgb="FF7030A0"/>
        <rFont val="Cambria"/>
        <family val="1"/>
      </rPr>
      <t>]</t>
    </r>
  </si>
  <si>
    <r>
      <t>Line over voltage(V</t>
    </r>
    <r>
      <rPr>
        <vertAlign val="subscript"/>
        <sz val="10"/>
        <color rgb="FF7030A0"/>
        <rFont val="Cambria"/>
        <family val="1"/>
      </rPr>
      <t>OVP_AC</t>
    </r>
    <r>
      <rPr>
        <sz val="10"/>
        <color rgb="FF7030A0"/>
        <rFont val="Cambria"/>
        <family val="1"/>
      </rPr>
      <t>)</t>
    </r>
  </si>
  <si>
    <t xml:space="preserve">Bus capacitor(C13) DC ripple voltage </t>
  </si>
  <si>
    <r>
      <t>C</t>
    </r>
    <r>
      <rPr>
        <b/>
        <vertAlign val="subscript"/>
        <sz val="10"/>
        <rFont val="Arial"/>
        <family val="2"/>
      </rPr>
      <t>DS</t>
    </r>
  </si>
  <si>
    <r>
      <t>G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(200%)</t>
    </r>
  </si>
  <si>
    <r>
      <t xml:space="preserve"> Choosen I</t>
    </r>
    <r>
      <rPr>
        <b/>
        <vertAlign val="subscript"/>
        <sz val="10"/>
        <rFont val="Arial"/>
        <family val="2"/>
      </rPr>
      <t xml:space="preserve">VCC,Charge3 </t>
    </r>
    <r>
      <rPr>
        <b/>
        <sz val="10"/>
        <rFont val="Arial"/>
        <family val="2"/>
      </rPr>
      <t>from datasheet</t>
    </r>
  </si>
  <si>
    <r>
      <t>I</t>
    </r>
    <r>
      <rPr>
        <b/>
        <vertAlign val="subscript"/>
        <sz val="10"/>
        <rFont val="Arial"/>
        <family val="2"/>
      </rPr>
      <t>VCC,Charge3</t>
    </r>
  </si>
  <si>
    <t xml:space="preserve">External drain to source capacitance of MOSFET </t>
  </si>
  <si>
    <t>Eq 103</t>
  </si>
  <si>
    <t>Eq 104</t>
  </si>
  <si>
    <r>
      <t>Brownout voltage for full load which consider V</t>
    </r>
    <r>
      <rPr>
        <vertAlign val="subscript"/>
        <sz val="10"/>
        <color rgb="FF7030A0"/>
        <rFont val="Arial"/>
        <family val="2"/>
      </rPr>
      <t>DC RIPPLE</t>
    </r>
    <r>
      <rPr>
        <sz val="10"/>
        <color rgb="FF7030A0"/>
        <rFont val="Arial"/>
        <family val="2"/>
      </rPr>
      <t>(V</t>
    </r>
    <r>
      <rPr>
        <vertAlign val="subscript"/>
        <sz val="10"/>
        <color rgb="FF7030A0"/>
        <rFont val="Arial"/>
        <family val="2"/>
      </rPr>
      <t>Brownout_AC</t>
    </r>
    <r>
      <rPr>
        <sz val="10"/>
        <color rgb="FF7030A0"/>
        <rFont val="Arial"/>
        <family val="2"/>
      </rPr>
      <t>)</t>
    </r>
  </si>
  <si>
    <r>
      <t>Brownout voltage for light load which negelect V</t>
    </r>
    <r>
      <rPr>
        <vertAlign val="subscript"/>
        <sz val="10"/>
        <color rgb="FF7030A0"/>
        <rFont val="Arial"/>
        <family val="2"/>
      </rPr>
      <t>DC RIPPLE</t>
    </r>
    <r>
      <rPr>
        <sz val="10"/>
        <color rgb="FF7030A0"/>
        <rFont val="Arial"/>
        <family val="2"/>
      </rPr>
      <t>(V</t>
    </r>
    <r>
      <rPr>
        <vertAlign val="subscript"/>
        <sz val="10"/>
        <color rgb="FF7030A0"/>
        <rFont val="Arial"/>
        <family val="2"/>
      </rPr>
      <t>Brownout_AC</t>
    </r>
    <r>
      <rPr>
        <sz val="10"/>
        <color rgb="FF7030A0"/>
        <rFont val="Arial"/>
        <family val="2"/>
      </rPr>
      <t>)</t>
    </r>
  </si>
  <si>
    <t>Line OVP is the first priority and its associated Brownout, Brownin and Line selection</t>
  </si>
  <si>
    <t>Brownout is the first priority and its associated Line OVP and Line selection</t>
  </si>
  <si>
    <r>
      <t>Line selection threshold with V</t>
    </r>
    <r>
      <rPr>
        <vertAlign val="subscript"/>
        <sz val="10"/>
        <color rgb="FF7030A0"/>
        <rFont val="Arial"/>
        <family val="2"/>
      </rPr>
      <t>DC RIPPLE</t>
    </r>
    <r>
      <rPr>
        <sz val="10"/>
        <color rgb="FF7030A0"/>
        <rFont val="Arial"/>
        <family val="2"/>
      </rPr>
      <t xml:space="preserve"> (V</t>
    </r>
    <r>
      <rPr>
        <vertAlign val="subscript"/>
        <sz val="10"/>
        <color rgb="FF7030A0"/>
        <rFont val="Arial"/>
        <family val="2"/>
      </rPr>
      <t>VIN</t>
    </r>
    <r>
      <rPr>
        <sz val="10"/>
        <color rgb="FF7030A0"/>
        <rFont val="Arial"/>
        <family val="2"/>
      </rPr>
      <t>=1.52V)</t>
    </r>
  </si>
  <si>
    <r>
      <t>Line selection threshold without V</t>
    </r>
    <r>
      <rPr>
        <vertAlign val="subscript"/>
        <sz val="10"/>
        <color rgb="FF7030A0"/>
        <rFont val="Arial"/>
        <family val="2"/>
      </rPr>
      <t>DC RIPPLE</t>
    </r>
    <r>
      <rPr>
        <sz val="10"/>
        <color rgb="FF7030A0"/>
        <rFont val="Arial"/>
        <family val="2"/>
      </rPr>
      <t xml:space="preserve"> (V</t>
    </r>
    <r>
      <rPr>
        <vertAlign val="subscript"/>
        <sz val="10"/>
        <color rgb="FF7030A0"/>
        <rFont val="Arial"/>
        <family val="2"/>
      </rPr>
      <t>VIN</t>
    </r>
    <r>
      <rPr>
        <sz val="10"/>
        <color rgb="FF7030A0"/>
        <rFont val="Arial"/>
        <family val="2"/>
      </rPr>
      <t>=1.52V)</t>
    </r>
  </si>
  <si>
    <t>Eq 106</t>
  </si>
  <si>
    <t>Eq 107</t>
  </si>
  <si>
    <t>Eq 108</t>
  </si>
  <si>
    <t>Eq 18</t>
  </si>
  <si>
    <t>Eq 26</t>
  </si>
  <si>
    <t>Eq 56A</t>
  </si>
  <si>
    <t>Eq 56B</t>
  </si>
  <si>
    <t>Eq 105A</t>
  </si>
  <si>
    <t>Eq 105B</t>
  </si>
  <si>
    <t>Eq 114</t>
  </si>
  <si>
    <t>C112</t>
  </si>
  <si>
    <t>C23[µF]</t>
  </si>
  <si>
    <t>C29 [µF]</t>
  </si>
  <si>
    <t>ZD11</t>
  </si>
  <si>
    <t>Calculation of the regulation loop(R22,R23,R24,R25,R25A,R26,C25,C26)</t>
  </si>
  <si>
    <t>current for feedback resistor R26</t>
  </si>
  <si>
    <r>
      <t>I</t>
    </r>
    <r>
      <rPr>
        <vertAlign val="subscript"/>
        <sz val="10"/>
        <rFont val="Arial"/>
        <family val="2"/>
      </rPr>
      <t>R26</t>
    </r>
  </si>
  <si>
    <t>TL431 reference voltage</t>
  </si>
  <si>
    <r>
      <t>V</t>
    </r>
    <r>
      <rPr>
        <vertAlign val="subscript"/>
        <sz val="10"/>
        <rFont val="Arial"/>
        <family val="2"/>
      </rPr>
      <t>REF_TL</t>
    </r>
  </si>
  <si>
    <t>Eq 112</t>
  </si>
  <si>
    <r>
      <t>W</t>
    </r>
    <r>
      <rPr>
        <vertAlign val="subscript"/>
        <sz val="10"/>
        <rFont val="Arial"/>
        <family val="2"/>
      </rPr>
      <t>1</t>
    </r>
  </si>
  <si>
    <r>
      <t>W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</si>
  <si>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weighted factor of V</t>
    </r>
    <r>
      <rPr>
        <b/>
        <vertAlign val="subscript"/>
        <sz val="10"/>
        <rFont val="Arial"/>
        <family val="2"/>
      </rPr>
      <t>Out1</t>
    </r>
    <r>
      <rPr>
        <b/>
        <sz val="10"/>
        <rFont val="Arial"/>
        <family val="2"/>
      </rPr>
      <t xml:space="preserve"> (important factor of V</t>
    </r>
    <r>
      <rPr>
        <b/>
        <vertAlign val="subscript"/>
        <sz val="10"/>
        <rFont val="Arial"/>
        <family val="2"/>
      </rPr>
      <t>Out1</t>
    </r>
    <r>
      <rPr>
        <b/>
        <sz val="10"/>
        <rFont val="Arial"/>
        <family val="2"/>
      </rPr>
      <t>)</t>
    </r>
  </si>
  <si>
    <r>
      <t>weighted factor of V</t>
    </r>
    <r>
      <rPr>
        <b/>
        <vertAlign val="subscript"/>
        <sz val="10"/>
        <rFont val="Arial"/>
        <family val="2"/>
      </rPr>
      <t>Out2</t>
    </r>
    <r>
      <rPr>
        <b/>
        <sz val="10"/>
        <rFont val="Arial"/>
        <family val="2"/>
      </rPr>
      <t xml:space="preserve"> (important factor of V</t>
    </r>
    <r>
      <rPr>
        <b/>
        <vertAlign val="subscript"/>
        <sz val="10"/>
        <rFont val="Arial"/>
        <family val="2"/>
      </rPr>
      <t>Out2</t>
    </r>
    <r>
      <rPr>
        <b/>
        <sz val="10"/>
        <rFont val="Arial"/>
        <family val="2"/>
      </rPr>
      <t>)</t>
    </r>
  </si>
  <si>
    <t>Eq 112A</t>
  </si>
  <si>
    <t>Eq 112B</t>
  </si>
  <si>
    <t>R25A</t>
  </si>
  <si>
    <t>selected value of R25A</t>
  </si>
  <si>
    <r>
      <t>V</t>
    </r>
    <r>
      <rPr>
        <vertAlign val="subscript"/>
        <sz val="10"/>
        <rFont val="Arial"/>
        <family val="2"/>
      </rPr>
      <t>Out1_RL</t>
    </r>
  </si>
  <si>
    <r>
      <t>V</t>
    </r>
    <r>
      <rPr>
        <vertAlign val="subscript"/>
        <sz val="10"/>
        <rFont val="Arial"/>
        <family val="2"/>
      </rPr>
      <t>Out2_RL</t>
    </r>
  </si>
  <si>
    <t>Calculating the needed capacitance for the output LC-Filter(C210)</t>
  </si>
  <si>
    <r>
      <t>C</t>
    </r>
    <r>
      <rPr>
        <vertAlign val="subscript"/>
        <sz val="10"/>
        <rFont val="Arial"/>
        <family val="2"/>
      </rPr>
      <t>LC</t>
    </r>
    <r>
      <rPr>
        <sz val="10"/>
        <rFont val="Arial"/>
        <family val="2"/>
      </rPr>
      <t>(C210)</t>
    </r>
  </si>
  <si>
    <t>0.1µF, X cap</t>
  </si>
  <si>
    <t>R16 [MΩ]</t>
  </si>
  <si>
    <t>R18 [MΩ]</t>
  </si>
  <si>
    <t>R19 [Ω](LOVP is 1st Priority)</t>
  </si>
  <si>
    <t>R19 [Ω](BrownOut is 1st Priority)</t>
  </si>
  <si>
    <r>
      <t>I</t>
    </r>
    <r>
      <rPr>
        <b/>
        <vertAlign val="subscript"/>
        <sz val="12"/>
        <rFont val="Arial"/>
        <family val="2"/>
      </rPr>
      <t xml:space="preserve">VCC,Charge3_max </t>
    </r>
    <r>
      <rPr>
        <b/>
        <sz val="12"/>
        <rFont val="Arial"/>
        <family val="2"/>
      </rPr>
      <t>(mA)</t>
    </r>
  </si>
  <si>
    <t>Drain to source capacitance of MOSFET (including Co(er) of MOSFET)</t>
  </si>
  <si>
    <r>
      <t>C</t>
    </r>
    <r>
      <rPr>
        <b/>
        <vertAlign val="subscript"/>
        <sz val="10"/>
        <rFont val="Arial"/>
        <family val="2"/>
      </rPr>
      <t>DS</t>
    </r>
    <r>
      <rPr>
        <b/>
        <sz val="10"/>
        <rFont val="Arial"/>
        <family val="2"/>
      </rPr>
      <t>+Co</t>
    </r>
    <r>
      <rPr>
        <b/>
        <vertAlign val="subscript"/>
        <sz val="10"/>
        <rFont val="Arial"/>
        <family val="2"/>
      </rPr>
      <t>(er)</t>
    </r>
  </si>
  <si>
    <t>ER28/17</t>
  </si>
  <si>
    <t>ER28/14</t>
  </si>
  <si>
    <r>
      <t>85~300(320)V</t>
    </r>
    <r>
      <rPr>
        <b/>
        <vertAlign val="subscript"/>
        <sz val="10"/>
        <rFont val="Arial"/>
        <family val="2"/>
      </rPr>
      <t>AC</t>
    </r>
    <r>
      <rPr>
        <b/>
        <sz val="10"/>
        <rFont val="Arial"/>
        <family val="2"/>
      </rPr>
      <t xml:space="preserve"> and (12Vx1.25A+5Vx0.2A=16W) Dual Output </t>
    </r>
    <r>
      <rPr>
        <b/>
        <sz val="10"/>
        <color rgb="FFFF0000"/>
        <rFont val="Arial"/>
        <family val="2"/>
      </rPr>
      <t>Dual FB</t>
    </r>
  </si>
  <si>
    <r>
      <t>85~300(320)V</t>
    </r>
    <r>
      <rPr>
        <b/>
        <vertAlign val="subscript"/>
        <sz val="10"/>
        <rFont val="Arial"/>
        <family val="2"/>
      </rPr>
      <t>AC</t>
    </r>
    <r>
      <rPr>
        <b/>
        <sz val="10"/>
        <rFont val="Arial"/>
        <family val="2"/>
      </rPr>
      <t xml:space="preserve"> and (12Vx1.25A+5Vx0.2A=16W) Single Output </t>
    </r>
    <r>
      <rPr>
        <b/>
        <sz val="10"/>
        <color rgb="FFFF0000"/>
        <rFont val="Arial"/>
        <family val="2"/>
      </rPr>
      <t>Single FB</t>
    </r>
  </si>
  <si>
    <t>Design procedure for Quasi-Resonant flyback converter using Q5 Coolset 5QRxxxxAx(Version 1.1)</t>
  </si>
  <si>
    <t xml:space="preserve"> Vcc &gt; 25.5 V &amp; last for 50 μs</t>
  </si>
  <si>
    <t>User Defined Core</t>
  </si>
  <si>
    <r>
      <t>G</t>
    </r>
    <r>
      <rPr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</si>
  <si>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FDiode1</t>
    </r>
  </si>
  <si>
    <r>
      <t>V</t>
    </r>
    <r>
      <rPr>
        <b/>
        <vertAlign val="subscript"/>
        <sz val="10"/>
        <rFont val="Arial"/>
        <family val="2"/>
      </rPr>
      <t>FDiode2</t>
    </r>
  </si>
  <si>
    <r>
      <t>V</t>
    </r>
    <r>
      <rPr>
        <b/>
        <vertAlign val="subscript"/>
        <sz val="10"/>
        <rFont val="Arial"/>
        <family val="2"/>
      </rPr>
      <t>FDiodeVcc</t>
    </r>
  </si>
  <si>
    <r>
      <t>I</t>
    </r>
    <r>
      <rPr>
        <vertAlign val="subscript"/>
        <sz val="10"/>
        <rFont val="Arial"/>
        <family val="2"/>
      </rPr>
      <t>Ripple1</t>
    </r>
  </si>
  <si>
    <r>
      <t>C</t>
    </r>
    <r>
      <rPr>
        <vertAlign val="subscript"/>
        <sz val="10"/>
        <rFont val="Arial"/>
        <family val="2"/>
      </rPr>
      <t>Out1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</si>
  <si>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Out1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</si>
  <si>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Out2</t>
    </r>
  </si>
  <si>
    <r>
      <t>I</t>
    </r>
    <r>
      <rPr>
        <vertAlign val="subscript"/>
        <sz val="10"/>
        <rFont val="Arial"/>
        <family val="2"/>
      </rPr>
      <t>Ripple2</t>
    </r>
  </si>
  <si>
    <r>
      <t>C</t>
    </r>
    <r>
      <rPr>
        <vertAlign val="subscript"/>
        <sz val="10"/>
        <rFont val="Arial"/>
        <family val="2"/>
      </rPr>
      <t>Out2</t>
    </r>
  </si>
  <si>
    <r>
      <t>f</t>
    </r>
    <r>
      <rPr>
        <vertAlign val="subscript"/>
        <sz val="10"/>
        <rFont val="Arial"/>
        <family val="2"/>
      </rPr>
      <t>ZCOut1</t>
    </r>
  </si>
  <si>
    <r>
      <t>f</t>
    </r>
    <r>
      <rPr>
        <vertAlign val="subscript"/>
        <sz val="10"/>
        <rFont val="Arial"/>
        <family val="2"/>
      </rPr>
      <t>LC1</t>
    </r>
  </si>
  <si>
    <r>
      <t>C</t>
    </r>
    <r>
      <rPr>
        <vertAlign val="subscript"/>
        <sz val="10"/>
        <rFont val="Arial"/>
        <family val="2"/>
      </rPr>
      <t>LC1</t>
    </r>
    <r>
      <rPr>
        <sz val="10"/>
        <rFont val="Arial"/>
        <family val="2"/>
      </rPr>
      <t>(C24)</t>
    </r>
  </si>
  <si>
    <r>
      <t>C</t>
    </r>
    <r>
      <rPr>
        <b/>
        <vertAlign val="subscript"/>
        <sz val="10"/>
        <rFont val="Arial"/>
        <family val="2"/>
      </rPr>
      <t>LC1</t>
    </r>
    <r>
      <rPr>
        <b/>
        <sz val="10"/>
        <rFont val="Arial"/>
        <family val="2"/>
      </rPr>
      <t>(C24)</t>
    </r>
  </si>
  <si>
    <r>
      <t>L</t>
    </r>
    <r>
      <rPr>
        <b/>
        <vertAlign val="subscript"/>
        <sz val="10"/>
        <rFont val="Arial"/>
        <family val="2"/>
      </rPr>
      <t>out1</t>
    </r>
    <r>
      <rPr>
        <b/>
        <sz val="10"/>
        <rFont val="Arial"/>
        <family val="2"/>
      </rPr>
      <t>(L21)</t>
    </r>
  </si>
  <si>
    <r>
      <t>f</t>
    </r>
    <r>
      <rPr>
        <vertAlign val="subscript"/>
        <sz val="10"/>
        <rFont val="Arial"/>
        <family val="2"/>
      </rPr>
      <t>ZCOut2</t>
    </r>
  </si>
  <si>
    <r>
      <t>L</t>
    </r>
    <r>
      <rPr>
        <b/>
        <vertAlign val="subscript"/>
        <sz val="10"/>
        <rFont val="Arial"/>
        <family val="2"/>
      </rPr>
      <t>out2</t>
    </r>
    <r>
      <rPr>
        <b/>
        <sz val="10"/>
        <rFont val="Arial"/>
        <family val="2"/>
      </rPr>
      <t>(L22)</t>
    </r>
  </si>
  <si>
    <r>
      <t>f</t>
    </r>
    <r>
      <rPr>
        <vertAlign val="subscript"/>
        <sz val="10"/>
        <rFont val="Arial"/>
        <family val="2"/>
      </rPr>
      <t>LC2</t>
    </r>
  </si>
  <si>
    <r>
      <t>C</t>
    </r>
    <r>
      <rPr>
        <b/>
        <vertAlign val="subscript"/>
        <sz val="10"/>
        <rFont val="Arial"/>
        <family val="2"/>
      </rPr>
      <t>LC2</t>
    </r>
    <r>
      <rPr>
        <b/>
        <sz val="10"/>
        <rFont val="Arial"/>
        <family val="2"/>
      </rPr>
      <t>(C210)</t>
    </r>
  </si>
  <si>
    <r>
      <t>C</t>
    </r>
    <r>
      <rPr>
        <vertAlign val="subscript"/>
        <sz val="10"/>
        <rFont val="Arial"/>
        <family val="2"/>
      </rPr>
      <t>LC2</t>
    </r>
    <r>
      <rPr>
        <sz val="10"/>
        <rFont val="Arial"/>
        <family val="2"/>
      </rPr>
      <t>(C210)</t>
    </r>
  </si>
  <si>
    <r>
      <t>R</t>
    </r>
    <r>
      <rPr>
        <vertAlign val="subscript"/>
        <sz val="10"/>
        <rFont val="Arial"/>
        <family val="2"/>
      </rPr>
      <t>SCu1</t>
    </r>
  </si>
  <si>
    <r>
      <t>R</t>
    </r>
    <r>
      <rPr>
        <vertAlign val="subscript"/>
        <sz val="10"/>
        <rFont val="Arial"/>
        <family val="2"/>
      </rPr>
      <t>SCu2</t>
    </r>
  </si>
  <si>
    <r>
      <t>P</t>
    </r>
    <r>
      <rPr>
        <vertAlign val="subscript"/>
        <sz val="10"/>
        <rFont val="Arial"/>
        <family val="2"/>
      </rPr>
      <t>SCu1</t>
    </r>
  </si>
  <si>
    <r>
      <t>P</t>
    </r>
    <r>
      <rPr>
        <vertAlign val="subscript"/>
        <sz val="10"/>
        <rFont val="Arial"/>
        <family val="2"/>
      </rPr>
      <t>SCu2</t>
    </r>
  </si>
  <si>
    <r>
      <t>P</t>
    </r>
    <r>
      <rPr>
        <vertAlign val="subscript"/>
        <sz val="10"/>
        <rFont val="Arial"/>
        <family val="2"/>
      </rPr>
      <t>Out DIODE1</t>
    </r>
    <r>
      <rPr>
        <sz val="10"/>
        <rFont val="Arial"/>
        <family val="2"/>
      </rPr>
      <t xml:space="preserve"> (D21)</t>
    </r>
  </si>
  <si>
    <r>
      <t>P</t>
    </r>
    <r>
      <rPr>
        <vertAlign val="subscript"/>
        <sz val="10"/>
        <rFont val="Arial"/>
        <family val="2"/>
      </rPr>
      <t>Out DIODE2</t>
    </r>
    <r>
      <rPr>
        <sz val="10"/>
        <rFont val="Arial"/>
        <family val="2"/>
      </rPr>
      <t>(D22)</t>
    </r>
  </si>
  <si>
    <r>
      <t>G</t>
    </r>
    <r>
      <rPr>
        <b/>
        <vertAlign val="subscript"/>
        <sz val="10"/>
        <rFont val="Arial"/>
        <family val="2"/>
      </rPr>
      <t>PWM</t>
    </r>
  </si>
  <si>
    <t xml:space="preserve">Maximum output power for startup, transient response and Over Load Protection </t>
  </si>
  <si>
    <r>
      <t>CoolSET</t>
    </r>
    <r>
      <rPr>
        <b/>
        <vertAlign val="superscript"/>
        <sz val="10"/>
        <rFont val="Arial"/>
        <family val="2"/>
      </rPr>
      <t>TM</t>
    </r>
  </si>
  <si>
    <t>Targeted Max. Drain Source voltage</t>
  </si>
  <si>
    <r>
      <t>CoolSET</t>
    </r>
    <r>
      <rPr>
        <b/>
        <vertAlign val="superscript"/>
        <sz val="10"/>
        <rFont val="Arial"/>
        <family val="2"/>
      </rPr>
      <t>TM</t>
    </r>
    <r>
      <rPr>
        <b/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</si>
</sst>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0E+00"/>
    <numFmt numFmtId="167" formatCode="0.0"/>
    <numFmt numFmtId="168" formatCode="[$-F800]dddd\,\ mmmm\ dd\,\ yyyy"/>
    <numFmt numFmtId="169" formatCode="0.000E+00"/>
    <numFmt numFmtId="170" formatCode="0.000000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0"/>
      <name val="Arial"/>
      <family val="2"/>
    </font>
    <font>
      <vertAlign val="subscript"/>
      <sz val="12"/>
      <name val="Arial"/>
      <family val="2"/>
    </font>
    <font>
      <b/>
      <vertAlign val="subscript"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1"/>
      <name val="Tahoma"/>
      <family val="2"/>
    </font>
    <font>
      <b/>
      <sz val="10"/>
      <name val="Mathcad UniMath"/>
      <family val="3"/>
    </font>
    <font>
      <vertAlign val="superscript"/>
      <sz val="10"/>
      <name val="Arial"/>
      <family val="2"/>
    </font>
    <font>
      <b/>
      <sz val="10"/>
      <name val="Calibri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b/>
      <u/>
      <sz val="10"/>
      <color indexed="81"/>
      <name val="Tahoma"/>
      <family val="2"/>
    </font>
    <font>
      <u/>
      <sz val="10"/>
      <color indexed="81"/>
      <name val="Tahoma"/>
      <family val="2"/>
    </font>
    <font>
      <sz val="10"/>
      <color indexed="81"/>
      <name val="Mathcad UniMath"/>
      <family val="3"/>
    </font>
    <font>
      <b/>
      <sz val="9"/>
      <color indexed="81"/>
      <name val="Tahoma"/>
      <family val="2"/>
    </font>
    <font>
      <b/>
      <vertAlign val="superscript"/>
      <sz val="10"/>
      <name val="Arial"/>
      <family val="2"/>
    </font>
    <font>
      <b/>
      <sz val="10"/>
      <color rgb="FFC00000"/>
      <name val="Arial"/>
      <family val="2"/>
    </font>
    <font>
      <i/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vertAlign val="subscript"/>
      <sz val="10"/>
      <color rgb="FF7030A0"/>
      <name val="Arial"/>
      <family val="2"/>
    </font>
    <font>
      <sz val="10"/>
      <color rgb="FF7030A0"/>
      <name val="Calibri"/>
      <family val="2"/>
    </font>
    <font>
      <b/>
      <vertAlign val="subscript"/>
      <sz val="10"/>
      <color rgb="FF7030A0"/>
      <name val="Arial"/>
      <family val="2"/>
    </font>
    <font>
      <b/>
      <sz val="10"/>
      <name val="Source Sans Pro"/>
      <family val="2"/>
    </font>
    <font>
      <sz val="10"/>
      <name val="Source Sans Pro"/>
      <family val="2"/>
    </font>
    <font>
      <b/>
      <vertAlign val="subscript"/>
      <sz val="10"/>
      <name val="Source Sans Pro"/>
      <family val="2"/>
    </font>
    <font>
      <b/>
      <sz val="10"/>
      <color indexed="10"/>
      <name val="Source Sans Pro"/>
      <family val="2"/>
    </font>
    <font>
      <sz val="10"/>
      <color indexed="8"/>
      <name val="Source Sans Pro"/>
      <family val="2"/>
    </font>
    <font>
      <b/>
      <sz val="10"/>
      <color rgb="FFFF0000"/>
      <name val="Source Sans Pro"/>
      <family val="2"/>
    </font>
    <font>
      <sz val="10"/>
      <color rgb="FF000000"/>
      <name val="Source Sans Pro"/>
      <family val="2"/>
    </font>
    <font>
      <vertAlign val="subscript"/>
      <sz val="10"/>
      <color rgb="FF000000"/>
      <name val="Source Sans Pro"/>
      <family val="2"/>
    </font>
    <font>
      <vertAlign val="subscript"/>
      <sz val="10"/>
      <name val="Source Sans Pro"/>
      <family val="2"/>
    </font>
    <font>
      <b/>
      <sz val="10"/>
      <color rgb="FF7030A0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b/>
      <vertAlign val="subscript"/>
      <sz val="10"/>
      <name val="Cambria"/>
      <family val="1"/>
    </font>
    <font>
      <vertAlign val="subscript"/>
      <sz val="10"/>
      <name val="Cambria"/>
      <family val="1"/>
    </font>
    <font>
      <i/>
      <sz val="10"/>
      <color rgb="FF7030A0"/>
      <name val="Cambria"/>
      <family val="1"/>
    </font>
    <font>
      <sz val="10"/>
      <color rgb="FF7030A0"/>
      <name val="Cambria"/>
      <family val="1"/>
    </font>
    <font>
      <vertAlign val="subscript"/>
      <sz val="10"/>
      <color rgb="FF7030A0"/>
      <name val="Cambria"/>
      <family val="1"/>
    </font>
    <font>
      <sz val="10"/>
      <color rgb="FFFF0000"/>
      <name val="Source Sans Pro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6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5" fillId="0" borderId="0"/>
    <xf numFmtId="0" fontId="6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2">
    <xf numFmtId="0" fontId="0" fillId="0" borderId="0" xfId="0"/>
    <xf numFmtId="0" fontId="0" fillId="0" borderId="0" xfId="0" applyFill="1"/>
    <xf numFmtId="0" fontId="17" fillId="0" borderId="0" xfId="0" applyFont="1"/>
    <xf numFmtId="0" fontId="0" fillId="0" borderId="0" xfId="0" applyAlignment="1">
      <alignment vertical="center"/>
    </xf>
    <xf numFmtId="167" fontId="9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8" fillId="5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2" fontId="9" fillId="3" borderId="10" xfId="0" applyNumberFormat="1" applyFon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2" fontId="0" fillId="3" borderId="11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7" fillId="0" borderId="0" xfId="0" applyFont="1" applyFill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3" borderId="12" xfId="0" quotePrefix="1" applyNumberFormat="1" applyFill="1" applyBorder="1" applyAlignment="1" applyProtection="1">
      <alignment horizontal="center" vertical="center"/>
      <protection hidden="1"/>
    </xf>
    <xf numFmtId="1" fontId="0" fillId="0" borderId="0" xfId="0" applyNumberForma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left" vertical="center"/>
    </xf>
    <xf numFmtId="2" fontId="7" fillId="3" borderId="10" xfId="0" applyNumberFormat="1" applyFont="1" applyFill="1" applyBorder="1" applyAlignment="1" applyProtection="1">
      <alignment horizontal="center" vertical="center"/>
      <protection hidden="1"/>
    </xf>
    <xf numFmtId="164" fontId="18" fillId="0" borderId="0" xfId="0" applyNumberFormat="1" applyFon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167" fontId="7" fillId="3" borderId="12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>
      <alignment horizontal="center" vertical="center"/>
    </xf>
    <xf numFmtId="0" fontId="7" fillId="6" borderId="9" xfId="0" applyFon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Alignment="1">
      <alignment horizontal="center" vertical="center"/>
    </xf>
    <xf numFmtId="2" fontId="18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1" fontId="9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 applyProtection="1">
      <alignment horizontal="center" vertical="center"/>
      <protection hidden="1"/>
    </xf>
    <xf numFmtId="1" fontId="0" fillId="0" borderId="0" xfId="0" applyNumberFormat="1" applyFill="1" applyBorder="1" applyAlignment="1" applyProtection="1">
      <alignment horizontal="center" vertical="center"/>
      <protection hidden="1"/>
    </xf>
    <xf numFmtId="0" fontId="9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17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Fill="1" applyBorder="1" applyAlignment="1" applyProtection="1">
      <alignment horizontal="center" vertical="center"/>
      <protection hidden="1"/>
    </xf>
    <xf numFmtId="1" fontId="9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17" xfId="0" applyBorder="1" applyAlignment="1">
      <alignment horizontal="left"/>
    </xf>
    <xf numFmtId="0" fontId="0" fillId="0" borderId="17" xfId="0" applyBorder="1"/>
    <xf numFmtId="0" fontId="7" fillId="7" borderId="0" xfId="0" applyFont="1" applyFill="1" applyAlignment="1">
      <alignment vertical="center"/>
    </xf>
    <xf numFmtId="0" fontId="0" fillId="0" borderId="0" xfId="0" applyBorder="1"/>
    <xf numFmtId="0" fontId="26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17" xfId="0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/>
    <xf numFmtId="0" fontId="24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right" vertical="center"/>
    </xf>
    <xf numFmtId="0" fontId="17" fillId="0" borderId="0" xfId="0" applyFont="1" applyFill="1"/>
    <xf numFmtId="0" fontId="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28" fillId="7" borderId="0" xfId="0" applyFont="1" applyFill="1" applyAlignment="1">
      <alignment horizontal="left" vertical="center"/>
    </xf>
    <xf numFmtId="2" fontId="0" fillId="9" borderId="9" xfId="0" applyNumberFormat="1" applyFill="1" applyBorder="1" applyAlignment="1" applyProtection="1">
      <alignment horizontal="center" vertical="center"/>
      <protection hidden="1"/>
    </xf>
    <xf numFmtId="0" fontId="9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7" fillId="7" borderId="12" xfId="0" applyNumberFormat="1" applyFont="1" applyFill="1" applyBorder="1" applyAlignment="1" applyProtection="1">
      <alignment horizontal="center" vertical="center"/>
      <protection locked="0"/>
    </xf>
    <xf numFmtId="0" fontId="7" fillId="9" borderId="0" xfId="0" applyFont="1" applyFill="1" applyAlignment="1">
      <alignment horizontal="left" vertical="center"/>
    </xf>
    <xf numFmtId="0" fontId="14" fillId="0" borderId="12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vertical="center"/>
    </xf>
    <xf numFmtId="0" fontId="19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Alignment="1">
      <alignment horizontal="center" vertical="center"/>
    </xf>
    <xf numFmtId="0" fontId="7" fillId="9" borderId="9" xfId="0" quotePrefix="1" applyFont="1" applyFill="1" applyBorder="1" applyAlignment="1" applyProtection="1">
      <alignment horizontal="center" vertical="center"/>
      <protection hidden="1"/>
    </xf>
    <xf numFmtId="0" fontId="9" fillId="9" borderId="0" xfId="0" quotePrefix="1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2" fontId="0" fillId="9" borderId="12" xfId="0" applyNumberFormat="1" applyFill="1" applyBorder="1" applyAlignment="1" applyProtection="1">
      <alignment horizontal="center" vertical="center"/>
      <protection hidden="1"/>
    </xf>
    <xf numFmtId="1" fontId="7" fillId="7" borderId="12" xfId="0" applyNumberFormat="1" applyFont="1" applyFill="1" applyBorder="1" applyAlignment="1" applyProtection="1">
      <alignment horizontal="center" vertical="center"/>
      <protection locked="0"/>
    </xf>
    <xf numFmtId="2" fontId="0" fillId="9" borderId="12" xfId="0" quotePrefix="1" applyNumberFormat="1" applyFill="1" applyBorder="1" applyAlignment="1" applyProtection="1">
      <alignment horizontal="center" vertical="center"/>
      <protection hidden="1"/>
    </xf>
    <xf numFmtId="0" fontId="7" fillId="7" borderId="0" xfId="0" quotePrefix="1" applyFont="1" applyFill="1" applyAlignment="1">
      <alignment horizontal="left" vertical="center"/>
    </xf>
    <xf numFmtId="0" fontId="3" fillId="9" borderId="0" xfId="0" applyFont="1" applyFill="1" applyAlignment="1">
      <alignment vertical="center"/>
    </xf>
    <xf numFmtId="0" fontId="0" fillId="9" borderId="0" xfId="0" quotePrefix="1" applyFill="1" applyAlignment="1">
      <alignment horizontal="left" vertical="center"/>
    </xf>
    <xf numFmtId="0" fontId="7" fillId="9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 applyProtection="1">
      <alignment horizontal="center" vertical="center"/>
      <protection hidden="1"/>
    </xf>
    <xf numFmtId="11" fontId="9" fillId="9" borderId="0" xfId="0" applyNumberFormat="1" applyFont="1" applyFill="1" applyBorder="1" applyAlignment="1" applyProtection="1">
      <alignment horizontal="center" vertical="center"/>
      <protection hidden="1"/>
    </xf>
    <xf numFmtId="167" fontId="9" fillId="9" borderId="10" xfId="0" applyNumberFormat="1" applyFont="1" applyFill="1" applyBorder="1" applyAlignment="1" applyProtection="1">
      <alignment horizontal="center" vertical="center"/>
      <protection hidden="1"/>
    </xf>
    <xf numFmtId="167" fontId="9" fillId="9" borderId="11" xfId="0" applyNumberFormat="1" applyFont="1" applyFill="1" applyBorder="1" applyAlignment="1" applyProtection="1">
      <alignment horizontal="center" vertical="center"/>
      <protection hidden="1"/>
    </xf>
    <xf numFmtId="167" fontId="0" fillId="9" borderId="9" xfId="0" applyNumberFormat="1" applyFill="1" applyBorder="1" applyAlignment="1" applyProtection="1">
      <alignment horizontal="center" vertical="center"/>
      <protection hidden="1"/>
    </xf>
    <xf numFmtId="2" fontId="0" fillId="9" borderId="10" xfId="0" applyNumberFormat="1" applyFill="1" applyBorder="1" applyAlignment="1" applyProtection="1">
      <alignment horizontal="center" vertical="center"/>
      <protection hidden="1"/>
    </xf>
    <xf numFmtId="2" fontId="0" fillId="9" borderId="11" xfId="0" applyNumberFormat="1" applyFill="1" applyBorder="1" applyAlignment="1" applyProtection="1">
      <alignment horizontal="center" vertical="center"/>
      <protection hidden="1"/>
    </xf>
    <xf numFmtId="1" fontId="0" fillId="9" borderId="12" xfId="0" applyNumberFormat="1" applyFill="1" applyBorder="1" applyAlignment="1" applyProtection="1">
      <alignment horizontal="center" vertical="center"/>
      <protection hidden="1"/>
    </xf>
    <xf numFmtId="167" fontId="0" fillId="9" borderId="0" xfId="0" applyNumberFormat="1" applyFill="1" applyAlignment="1" applyProtection="1">
      <alignment horizontal="center" vertical="center"/>
      <protection hidden="1"/>
    </xf>
    <xf numFmtId="2" fontId="0" fillId="7" borderId="12" xfId="0" applyNumberFormat="1" applyFill="1" applyBorder="1" applyAlignment="1" applyProtection="1">
      <alignment horizontal="center" vertical="center"/>
      <protection locked="0" hidden="1"/>
    </xf>
    <xf numFmtId="164" fontId="0" fillId="9" borderId="12" xfId="0" applyNumberFormat="1" applyFill="1" applyBorder="1" applyAlignment="1" applyProtection="1">
      <alignment horizontal="center" vertical="center"/>
      <protection hidden="1"/>
    </xf>
    <xf numFmtId="0" fontId="9" fillId="9" borderId="2" xfId="0" applyFont="1" applyFill="1" applyBorder="1"/>
    <xf numFmtId="0" fontId="9" fillId="9" borderId="0" xfId="0" applyFont="1" applyFill="1" applyBorder="1"/>
    <xf numFmtId="0" fontId="9" fillId="9" borderId="7" xfId="0" applyFont="1" applyFill="1" applyBorder="1"/>
    <xf numFmtId="0" fontId="9" fillId="9" borderId="2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9" borderId="10" xfId="0" quotePrefix="1" applyFont="1" applyFill="1" applyBorder="1" applyAlignment="1" applyProtection="1">
      <alignment horizontal="center" vertical="center"/>
      <protection hidden="1"/>
    </xf>
    <xf numFmtId="0" fontId="7" fillId="9" borderId="11" xfId="0" quotePrefix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>
      <alignment vertical="justify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8" borderId="0" xfId="0" applyFont="1" applyFill="1" applyAlignment="1">
      <alignment vertical="center"/>
    </xf>
    <xf numFmtId="167" fontId="0" fillId="9" borderId="11" xfId="0" applyNumberFormat="1" applyFill="1" applyBorder="1" applyAlignment="1" applyProtection="1">
      <alignment horizontal="center" vertical="center"/>
      <protection hidden="1"/>
    </xf>
    <xf numFmtId="0" fontId="25" fillId="0" borderId="0" xfId="0" applyFont="1" applyAlignment="1">
      <alignment vertical="center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7" fillId="3" borderId="11" xfId="0" applyNumberFormat="1" applyFont="1" applyFill="1" applyBorder="1" applyAlignment="1" applyProtection="1">
      <alignment horizontal="center" vertical="center"/>
      <protection hidden="1"/>
    </xf>
    <xf numFmtId="1" fontId="9" fillId="9" borderId="11" xfId="0" applyNumberFormat="1" applyFont="1" applyFill="1" applyBorder="1" applyAlignment="1" applyProtection="1">
      <alignment horizontal="center" vertical="center"/>
      <protection hidden="1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167" fontId="9" fillId="3" borderId="10" xfId="0" applyNumberFormat="1" applyFont="1" applyFill="1" applyBorder="1" applyAlignment="1" applyProtection="1">
      <alignment horizontal="center" vertical="center"/>
      <protection hidden="1"/>
    </xf>
    <xf numFmtId="1" fontId="9" fillId="3" borderId="11" xfId="0" applyNumberFormat="1" applyFont="1" applyFill="1" applyBorder="1" applyAlignment="1" applyProtection="1">
      <alignment horizontal="center" vertical="center"/>
      <protection hidden="1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9" fillId="9" borderId="10" xfId="0" applyNumberFormat="1" applyFont="1" applyFill="1" applyBorder="1" applyAlignment="1" applyProtection="1">
      <alignment horizontal="center" vertical="center"/>
      <protection hidden="1"/>
    </xf>
    <xf numFmtId="0" fontId="0" fillId="8" borderId="0" xfId="0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14" xfId="0" applyFill="1" applyBorder="1" applyAlignment="1" applyProtection="1">
      <alignment horizontal="center" vertical="center"/>
      <protection locked="0"/>
    </xf>
    <xf numFmtId="0" fontId="9" fillId="4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67" fontId="0" fillId="7" borderId="9" xfId="0" applyNumberFormat="1" applyFill="1" applyBorder="1" applyAlignment="1" applyProtection="1">
      <alignment horizontal="center" vertical="center"/>
      <protection locked="0" hidden="1"/>
    </xf>
    <xf numFmtId="0" fontId="25" fillId="0" borderId="0" xfId="0" applyFont="1" applyBorder="1" applyAlignment="1">
      <alignment vertical="center"/>
    </xf>
    <xf numFmtId="0" fontId="7" fillId="0" borderId="0" xfId="0" applyFont="1"/>
    <xf numFmtId="0" fontId="9" fillId="9" borderId="1" xfId="0" applyFont="1" applyFill="1" applyBorder="1"/>
    <xf numFmtId="1" fontId="7" fillId="9" borderId="3" xfId="0" applyNumberFormat="1" applyFont="1" applyFill="1" applyBorder="1" applyAlignment="1">
      <alignment horizontal="center"/>
    </xf>
    <xf numFmtId="0" fontId="9" fillId="9" borderId="4" xfId="0" applyFont="1" applyFill="1" applyBorder="1"/>
    <xf numFmtId="1" fontId="7" fillId="9" borderId="5" xfId="0" applyNumberFormat="1" applyFont="1" applyFill="1" applyBorder="1" applyAlignment="1">
      <alignment horizontal="center"/>
    </xf>
    <xf numFmtId="2" fontId="7" fillId="9" borderId="5" xfId="0" applyNumberFormat="1" applyFont="1" applyFill="1" applyBorder="1" applyAlignment="1">
      <alignment horizontal="center"/>
    </xf>
    <xf numFmtId="167" fontId="7" fillId="9" borderId="5" xfId="0" applyNumberFormat="1" applyFont="1" applyFill="1" applyBorder="1" applyAlignment="1">
      <alignment horizontal="center"/>
    </xf>
    <xf numFmtId="0" fontId="9" fillId="9" borderId="6" xfId="0" applyFont="1" applyFill="1" applyBorder="1"/>
    <xf numFmtId="2" fontId="7" fillId="9" borderId="8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1" fontId="7" fillId="9" borderId="8" xfId="0" applyNumberFormat="1" applyFont="1" applyFill="1" applyBorder="1" applyAlignment="1">
      <alignment horizontal="center"/>
    </xf>
    <xf numFmtId="167" fontId="7" fillId="9" borderId="3" xfId="0" applyNumberFormat="1" applyFont="1" applyFill="1" applyBorder="1" applyAlignment="1">
      <alignment horizontal="center"/>
    </xf>
    <xf numFmtId="2" fontId="9" fillId="9" borderId="9" xfId="0" applyNumberFormat="1" applyFont="1" applyFill="1" applyBorder="1" applyAlignment="1" applyProtection="1">
      <alignment horizontal="center" vertical="center"/>
      <protection hidden="1"/>
    </xf>
    <xf numFmtId="165" fontId="0" fillId="3" borderId="10" xfId="0" applyNumberFormat="1" applyFill="1" applyBorder="1" applyAlignment="1" applyProtection="1">
      <alignment horizontal="center" vertical="center"/>
      <protection hidden="1"/>
    </xf>
    <xf numFmtId="165" fontId="0" fillId="9" borderId="10" xfId="0" applyNumberFormat="1" applyFill="1" applyBorder="1" applyAlignment="1" applyProtection="1">
      <alignment horizontal="center" vertical="center"/>
      <protection hidden="1"/>
    </xf>
    <xf numFmtId="165" fontId="0" fillId="9" borderId="11" xfId="0" applyNumberFormat="1" applyFill="1" applyBorder="1" applyAlignment="1" applyProtection="1">
      <alignment horizontal="center" vertical="center"/>
      <protection hidden="1"/>
    </xf>
    <xf numFmtId="165" fontId="0" fillId="9" borderId="0" xfId="0" applyNumberFormat="1" applyFill="1" applyAlignment="1" applyProtection="1">
      <alignment horizontal="center" vertical="center"/>
      <protection hidden="1"/>
    </xf>
    <xf numFmtId="165" fontId="0" fillId="9" borderId="12" xfId="0" applyNumberFormat="1" applyFill="1" applyBorder="1" applyAlignment="1" applyProtection="1">
      <alignment horizontal="center" vertical="center"/>
      <protection hidden="1"/>
    </xf>
    <xf numFmtId="2" fontId="9" fillId="3" borderId="9" xfId="0" applyNumberFormat="1" applyFont="1" applyFill="1" applyBorder="1" applyAlignment="1" applyProtection="1">
      <alignment horizontal="center" vertical="center"/>
      <protection hidden="1"/>
    </xf>
    <xf numFmtId="164" fontId="9" fillId="3" borderId="10" xfId="0" applyNumberFormat="1" applyFont="1" applyFill="1" applyBorder="1" applyAlignment="1" applyProtection="1">
      <alignment horizontal="center" vertical="center"/>
      <protection hidden="1"/>
    </xf>
    <xf numFmtId="0" fontId="3" fillId="8" borderId="15" xfId="0" applyFont="1" applyFill="1" applyBorder="1" applyAlignment="1">
      <alignment vertical="center"/>
    </xf>
    <xf numFmtId="0" fontId="7" fillId="8" borderId="26" xfId="0" applyFont="1" applyFill="1" applyBorder="1" applyAlignment="1">
      <alignment vertical="center"/>
    </xf>
    <xf numFmtId="0" fontId="7" fillId="8" borderId="26" xfId="0" applyFont="1" applyFill="1" applyBorder="1" applyAlignment="1">
      <alignment horizontal="left" vertical="center"/>
    </xf>
    <xf numFmtId="0" fontId="0" fillId="8" borderId="26" xfId="0" applyFill="1" applyBorder="1" applyAlignment="1">
      <alignment horizontal="center" vertical="center"/>
    </xf>
    <xf numFmtId="0" fontId="7" fillId="8" borderId="16" xfId="0" applyFont="1" applyFill="1" applyBorder="1" applyAlignment="1" applyProtection="1">
      <alignment horizontal="center" vertical="center"/>
      <protection locked="0"/>
    </xf>
    <xf numFmtId="2" fontId="7" fillId="3" borderId="9" xfId="0" applyNumberFormat="1" applyFont="1" applyFill="1" applyBorder="1" applyAlignment="1" applyProtection="1">
      <alignment horizontal="center" vertical="center"/>
      <protection hidden="1"/>
    </xf>
    <xf numFmtId="164" fontId="7" fillId="3" borderId="11" xfId="0" applyNumberFormat="1" applyFont="1" applyFill="1" applyBorder="1" applyAlignment="1" applyProtection="1">
      <alignment horizontal="center" vertical="center"/>
      <protection hidden="1"/>
    </xf>
    <xf numFmtId="165" fontId="25" fillId="0" borderId="0" xfId="0" applyNumberFormat="1" applyFont="1" applyAlignment="1">
      <alignment vertical="center"/>
    </xf>
    <xf numFmtId="2" fontId="0" fillId="0" borderId="0" xfId="0" applyNumberFormat="1" applyFill="1" applyAlignment="1" applyProtection="1">
      <alignment vertical="center"/>
      <protection locked="0"/>
    </xf>
    <xf numFmtId="167" fontId="7" fillId="9" borderId="12" xfId="0" applyNumberFormat="1" applyFont="1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>
      <alignment horizontal="left"/>
    </xf>
    <xf numFmtId="2" fontId="3" fillId="9" borderId="12" xfId="0" applyNumberFormat="1" applyFont="1" applyFill="1" applyBorder="1" applyAlignment="1" applyProtection="1">
      <alignment horizontal="center" vertical="center"/>
      <protection locked="0"/>
    </xf>
    <xf numFmtId="0" fontId="6" fillId="9" borderId="0" xfId="0" applyFont="1" applyFill="1" applyAlignment="1">
      <alignment vertical="center"/>
    </xf>
    <xf numFmtId="0" fontId="3" fillId="7" borderId="0" xfId="0" applyFont="1" applyFill="1" applyBorder="1" applyAlignment="1">
      <alignment vertical="center"/>
    </xf>
    <xf numFmtId="0" fontId="6" fillId="9" borderId="4" xfId="0" applyFont="1" applyFill="1" applyBorder="1"/>
    <xf numFmtId="0" fontId="6" fillId="9" borderId="0" xfId="0" applyFont="1" applyFill="1" applyBorder="1" applyAlignment="1">
      <alignment horizontal="center"/>
    </xf>
    <xf numFmtId="169" fontId="0" fillId="3" borderId="9" xfId="0" applyNumberFormat="1" applyFill="1" applyBorder="1" applyAlignment="1" applyProtection="1">
      <alignment horizontal="center" vertical="center"/>
      <protection hidden="1"/>
    </xf>
    <xf numFmtId="0" fontId="3" fillId="9" borderId="12" xfId="0" applyFont="1" applyFill="1" applyBorder="1" applyAlignment="1" applyProtection="1">
      <alignment horizontal="center" vertical="center"/>
      <protection locked="0"/>
    </xf>
    <xf numFmtId="0" fontId="6" fillId="9" borderId="0" xfId="0" quotePrefix="1" applyFont="1" applyFill="1" applyAlignment="1">
      <alignment horizontal="left" vertical="center"/>
    </xf>
    <xf numFmtId="0" fontId="3" fillId="7" borderId="0" xfId="0" quotePrefix="1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9" fillId="8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 applyProtection="1">
      <alignment horizontal="center" vertical="center"/>
      <protection hidden="1"/>
    </xf>
    <xf numFmtId="0" fontId="0" fillId="0" borderId="0" xfId="0" applyFill="1"/>
    <xf numFmtId="0" fontId="17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17" fillId="0" borderId="0" xfId="0" applyFont="1" applyFill="1"/>
    <xf numFmtId="0" fontId="6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3" fillId="7" borderId="12" xfId="0" applyFont="1" applyFill="1" applyBorder="1" applyAlignment="1" applyProtection="1">
      <alignment horizontal="center" vertical="center"/>
      <protection locked="0"/>
    </xf>
    <xf numFmtId="2" fontId="0" fillId="9" borderId="12" xfId="0" applyNumberFormat="1" applyFill="1" applyBorder="1" applyAlignment="1" applyProtection="1">
      <alignment horizontal="center" vertical="center"/>
      <protection hidden="1"/>
    </xf>
    <xf numFmtId="2" fontId="0" fillId="9" borderId="0" xfId="0" applyNumberFormat="1" applyFill="1" applyAlignment="1" applyProtection="1">
      <alignment horizontal="center" vertical="center"/>
      <protection hidden="1"/>
    </xf>
    <xf numFmtId="167" fontId="0" fillId="9" borderId="0" xfId="0" applyNumberFormat="1" applyFill="1" applyAlignment="1" applyProtection="1">
      <alignment horizontal="center" vertical="center"/>
      <protection hidden="1"/>
    </xf>
    <xf numFmtId="0" fontId="6" fillId="9" borderId="0" xfId="0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6" fillId="9" borderId="4" xfId="0" applyFont="1" applyFill="1" applyBorder="1"/>
    <xf numFmtId="0" fontId="3" fillId="7" borderId="0" xfId="0" applyFont="1" applyFill="1" applyBorder="1" applyAlignment="1">
      <alignment vertical="center"/>
    </xf>
    <xf numFmtId="1" fontId="38" fillId="9" borderId="5" xfId="0" applyNumberFormat="1" applyFont="1" applyFill="1" applyBorder="1" applyAlignment="1">
      <alignment horizontal="center"/>
    </xf>
    <xf numFmtId="0" fontId="4" fillId="7" borderId="0" xfId="0" applyFont="1" applyFill="1" applyAlignment="1">
      <alignment vertical="center"/>
    </xf>
    <xf numFmtId="1" fontId="0" fillId="7" borderId="12" xfId="0" applyNumberFormat="1" applyFill="1" applyBorder="1" applyAlignment="1" applyProtection="1">
      <alignment horizontal="center" vertical="center"/>
      <protection hidden="1"/>
    </xf>
    <xf numFmtId="0" fontId="6" fillId="0" borderId="0" xfId="1" applyFill="1" applyAlignment="1">
      <alignment vertical="center"/>
    </xf>
    <xf numFmtId="0" fontId="6" fillId="0" borderId="0" xfId="1" applyFont="1" applyFill="1" applyAlignment="1">
      <alignment vertical="center"/>
    </xf>
    <xf numFmtId="0" fontId="6" fillId="7" borderId="0" xfId="1" applyFont="1" applyFill="1" applyAlignment="1">
      <alignment vertical="center"/>
    </xf>
    <xf numFmtId="0" fontId="25" fillId="0" borderId="0" xfId="1" applyFont="1" applyBorder="1" applyAlignment="1">
      <alignment vertical="center"/>
    </xf>
    <xf numFmtId="0" fontId="3" fillId="7" borderId="0" xfId="1" applyFont="1" applyFill="1" applyAlignment="1">
      <alignment vertical="center"/>
    </xf>
    <xf numFmtId="0" fontId="6" fillId="7" borderId="0" xfId="1" applyFont="1" applyFill="1" applyAlignment="1">
      <alignment horizontal="center" vertical="center"/>
    </xf>
    <xf numFmtId="0" fontId="3" fillId="7" borderId="12" xfId="1" applyFont="1" applyFill="1" applyBorder="1" applyAlignment="1" applyProtection="1">
      <alignment horizontal="center" vertical="center"/>
      <protection locked="0"/>
    </xf>
    <xf numFmtId="0" fontId="6" fillId="7" borderId="0" xfId="1" applyFill="1" applyBorder="1" applyAlignment="1">
      <alignment vertical="center"/>
    </xf>
    <xf numFmtId="0" fontId="39" fillId="9" borderId="0" xfId="1" applyFont="1" applyFill="1" applyAlignment="1">
      <alignment vertical="center"/>
    </xf>
    <xf numFmtId="0" fontId="40" fillId="9" borderId="0" xfId="1" applyFont="1" applyFill="1" applyBorder="1" applyAlignment="1">
      <alignment vertical="center"/>
    </xf>
    <xf numFmtId="0" fontId="41" fillId="9" borderId="0" xfId="1" applyFont="1" applyFill="1" applyAlignment="1">
      <alignment vertical="center"/>
    </xf>
    <xf numFmtId="0" fontId="41" fillId="9" borderId="0" xfId="1" applyFont="1" applyFill="1" applyAlignment="1">
      <alignment horizontal="center" vertical="center"/>
    </xf>
    <xf numFmtId="0" fontId="39" fillId="9" borderId="0" xfId="0" applyFont="1" applyFill="1" applyAlignment="1">
      <alignment vertical="center"/>
    </xf>
    <xf numFmtId="0" fontId="41" fillId="9" borderId="0" xfId="0" applyFont="1" applyFill="1" applyAlignment="1">
      <alignment vertical="center"/>
    </xf>
    <xf numFmtId="0" fontId="41" fillId="9" borderId="0" xfId="0" applyFont="1" applyFill="1" applyAlignment="1">
      <alignment horizontal="center" vertical="center"/>
    </xf>
    <xf numFmtId="2" fontId="41" fillId="9" borderId="12" xfId="0" applyNumberFormat="1" applyFont="1" applyFill="1" applyBorder="1" applyAlignment="1" applyProtection="1">
      <alignment horizontal="center" vertical="center"/>
      <protection hidden="1"/>
    </xf>
    <xf numFmtId="0" fontId="40" fillId="9" borderId="0" xfId="0" applyFont="1" applyFill="1" applyAlignment="1">
      <alignment vertical="center"/>
    </xf>
    <xf numFmtId="165" fontId="41" fillId="9" borderId="0" xfId="0" applyNumberFormat="1" applyFont="1" applyFill="1" applyAlignment="1" applyProtection="1">
      <alignment horizontal="center" vertical="center"/>
      <protection hidden="1"/>
    </xf>
    <xf numFmtId="0" fontId="40" fillId="9" borderId="0" xfId="0" applyFont="1" applyFill="1" applyAlignment="1">
      <alignment horizontal="left" vertical="center"/>
    </xf>
    <xf numFmtId="164" fontId="41" fillId="9" borderId="12" xfId="0" applyNumberFormat="1" applyFont="1" applyFill="1" applyBorder="1" applyAlignment="1" applyProtection="1">
      <alignment horizontal="center" vertical="center"/>
      <protection hidden="1"/>
    </xf>
    <xf numFmtId="2" fontId="41" fillId="9" borderId="9" xfId="0" applyNumberFormat="1" applyFont="1" applyFill="1" applyBorder="1" applyAlignment="1" applyProtection="1">
      <alignment horizontal="center" vertical="center"/>
      <protection hidden="1"/>
    </xf>
    <xf numFmtId="2" fontId="41" fillId="9" borderId="10" xfId="0" applyNumberFormat="1" applyFont="1" applyFill="1" applyBorder="1" applyAlignment="1" applyProtection="1">
      <alignment horizontal="center" vertical="center"/>
      <protection hidden="1"/>
    </xf>
    <xf numFmtId="3" fontId="3" fillId="7" borderId="12" xfId="1" applyNumberFormat="1" applyFont="1" applyFill="1" applyBorder="1" applyAlignment="1" applyProtection="1">
      <alignment horizontal="center" vertical="center"/>
      <protection locked="0"/>
    </xf>
    <xf numFmtId="3" fontId="41" fillId="9" borderId="12" xfId="1" applyNumberFormat="1" applyFont="1" applyFill="1" applyBorder="1" applyAlignment="1" applyProtection="1">
      <alignment horizontal="center" vertical="center"/>
      <protection hidden="1"/>
    </xf>
    <xf numFmtId="1" fontId="41" fillId="9" borderId="12" xfId="1" applyNumberFormat="1" applyFont="1" applyFill="1" applyBorder="1" applyAlignment="1" applyProtection="1">
      <alignment horizontal="center" vertical="center"/>
      <protection hidden="1"/>
    </xf>
    <xf numFmtId="0" fontId="6" fillId="7" borderId="0" xfId="1" applyFont="1" applyFill="1" applyAlignment="1">
      <alignment horizontal="center" vertical="center"/>
    </xf>
    <xf numFmtId="0" fontId="3" fillId="7" borderId="12" xfId="1" applyFont="1" applyFill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left"/>
    </xf>
    <xf numFmtId="0" fontId="46" fillId="0" borderId="0" xfId="0" applyFont="1"/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5" fillId="0" borderId="0" xfId="0" applyFont="1" applyFill="1" applyBorder="1" applyAlignment="1">
      <alignment vertical="center"/>
    </xf>
    <xf numFmtId="0" fontId="45" fillId="0" borderId="0" xfId="0" applyFont="1" applyBorder="1" applyAlignment="1">
      <alignment horizontal="left"/>
    </xf>
    <xf numFmtId="0" fontId="45" fillId="0" borderId="0" xfId="0" applyFont="1" applyBorder="1" applyAlignment="1">
      <alignment horizontal="center"/>
    </xf>
    <xf numFmtId="14" fontId="45" fillId="0" borderId="0" xfId="0" applyNumberFormat="1" applyFont="1" applyAlignment="1">
      <alignment horizontal="center"/>
    </xf>
    <xf numFmtId="0" fontId="45" fillId="0" borderId="12" xfId="0" applyFont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46" fillId="0" borderId="18" xfId="0" applyFont="1" applyBorder="1" applyAlignment="1">
      <alignment horizontal="center" vertical="center"/>
    </xf>
    <xf numFmtId="0" fontId="46" fillId="0" borderId="18" xfId="0" applyFont="1" applyBorder="1" applyAlignment="1">
      <alignment horizontal="left" vertical="center"/>
    </xf>
    <xf numFmtId="2" fontId="48" fillId="0" borderId="18" xfId="0" applyNumberFormat="1" applyFont="1" applyBorder="1" applyAlignment="1">
      <alignment horizontal="left" vertical="center"/>
    </xf>
    <xf numFmtId="0" fontId="46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left" vertical="center"/>
    </xf>
    <xf numFmtId="2" fontId="48" fillId="0" borderId="17" xfId="0" applyNumberFormat="1" applyFont="1" applyBorder="1" applyAlignment="1">
      <alignment horizontal="left" vertical="center"/>
    </xf>
    <xf numFmtId="0" fontId="46" fillId="0" borderId="17" xfId="0" applyFont="1" applyBorder="1" applyAlignment="1">
      <alignment vertical="center"/>
    </xf>
    <xf numFmtId="0" fontId="48" fillId="0" borderId="17" xfId="0" applyFont="1" applyBorder="1" applyAlignment="1">
      <alignment horizontal="left" vertical="center"/>
    </xf>
    <xf numFmtId="1" fontId="48" fillId="0" borderId="17" xfId="0" applyNumberFormat="1" applyFont="1" applyBorder="1" applyAlignment="1">
      <alignment horizontal="left" vertical="center"/>
    </xf>
    <xf numFmtId="167" fontId="48" fillId="0" borderId="17" xfId="0" applyNumberFormat="1" applyFont="1" applyBorder="1" applyAlignment="1">
      <alignment horizontal="left" vertical="center"/>
    </xf>
    <xf numFmtId="0" fontId="46" fillId="0" borderId="17" xfId="0" applyFont="1" applyBorder="1" applyAlignment="1">
      <alignment vertical="center" wrapText="1"/>
    </xf>
    <xf numFmtId="1" fontId="48" fillId="8" borderId="19" xfId="0" applyNumberFormat="1" applyFont="1" applyFill="1" applyBorder="1" applyAlignment="1">
      <alignment horizontal="left" vertical="center" wrapText="1"/>
    </xf>
    <xf numFmtId="0" fontId="46" fillId="0" borderId="19" xfId="0" applyFont="1" applyBorder="1" applyAlignment="1">
      <alignment horizontal="left" vertical="center"/>
    </xf>
    <xf numFmtId="0" fontId="46" fillId="8" borderId="17" xfId="0" applyFont="1" applyFill="1" applyBorder="1" applyAlignment="1">
      <alignment vertical="center"/>
    </xf>
    <xf numFmtId="0" fontId="49" fillId="0" borderId="17" xfId="0" applyFont="1" applyBorder="1" applyAlignment="1">
      <alignment horizontal="left" vertical="center"/>
    </xf>
    <xf numFmtId="2" fontId="46" fillId="8" borderId="17" xfId="0" applyNumberFormat="1" applyFont="1" applyFill="1" applyBorder="1" applyAlignment="1">
      <alignment vertical="center"/>
    </xf>
    <xf numFmtId="0" fontId="45" fillId="0" borderId="14" xfId="0" applyFont="1" applyBorder="1" applyAlignment="1">
      <alignment horizontal="left"/>
    </xf>
    <xf numFmtId="0" fontId="46" fillId="8" borderId="17" xfId="0" applyFont="1" applyFill="1" applyBorder="1" applyAlignment="1">
      <alignment horizontal="left" vertical="center"/>
    </xf>
    <xf numFmtId="0" fontId="50" fillId="8" borderId="17" xfId="0" applyFont="1" applyFill="1" applyBorder="1" applyAlignment="1">
      <alignment horizontal="left" vertical="center"/>
    </xf>
    <xf numFmtId="0" fontId="50" fillId="0" borderId="17" xfId="0" applyFont="1" applyBorder="1" applyAlignment="1">
      <alignment horizontal="left" vertical="center"/>
    </xf>
    <xf numFmtId="0" fontId="46" fillId="0" borderId="0" xfId="0" applyFont="1" applyAlignment="1">
      <alignment vertical="center"/>
    </xf>
    <xf numFmtId="0" fontId="49" fillId="0" borderId="17" xfId="0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17" xfId="0" applyFont="1" applyBorder="1" applyAlignment="1">
      <alignment horizontal="center" vertical="center" wrapText="1"/>
    </xf>
    <xf numFmtId="0" fontId="51" fillId="0" borderId="17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51" fillId="0" borderId="27" xfId="0" applyFont="1" applyBorder="1" applyAlignment="1">
      <alignment vertical="center" wrapText="1"/>
    </xf>
    <xf numFmtId="0" fontId="46" fillId="0" borderId="0" xfId="0" applyFont="1" applyBorder="1"/>
    <xf numFmtId="0" fontId="46" fillId="0" borderId="28" xfId="0" applyFont="1" applyBorder="1" applyAlignment="1">
      <alignment horizontal="center" vertical="center" wrapText="1"/>
    </xf>
    <xf numFmtId="0" fontId="46" fillId="8" borderId="17" xfId="0" applyNumberFormat="1" applyFont="1" applyFill="1" applyBorder="1" applyAlignment="1">
      <alignment vertical="center"/>
    </xf>
    <xf numFmtId="0" fontId="46" fillId="8" borderId="17" xfId="0" applyFont="1" applyFill="1" applyBorder="1" applyAlignment="1">
      <alignment vertical="center" wrapText="1"/>
    </xf>
    <xf numFmtId="0" fontId="46" fillId="8" borderId="17" xfId="0" applyNumberFormat="1" applyFont="1" applyFill="1" applyBorder="1" applyAlignment="1">
      <alignment vertical="center" wrapText="1"/>
    </xf>
    <xf numFmtId="0" fontId="46" fillId="0" borderId="17" xfId="0" quotePrefix="1" applyFont="1" applyFill="1" applyBorder="1" applyAlignment="1">
      <alignment vertical="center"/>
    </xf>
    <xf numFmtId="1" fontId="46" fillId="0" borderId="17" xfId="0" quotePrefix="1" applyNumberFormat="1" applyFont="1" applyFill="1" applyBorder="1" applyAlignment="1">
      <alignment horizontal="left" vertical="center"/>
    </xf>
    <xf numFmtId="0" fontId="46" fillId="0" borderId="17" xfId="0" quotePrefix="1" applyNumberFormat="1" applyFont="1" applyFill="1" applyBorder="1" applyAlignment="1">
      <alignment horizontal="left" vertical="center"/>
    </xf>
    <xf numFmtId="0" fontId="46" fillId="0" borderId="17" xfId="0" quotePrefix="1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2" fontId="48" fillId="8" borderId="17" xfId="0" applyNumberFormat="1" applyFont="1" applyFill="1" applyBorder="1" applyAlignment="1">
      <alignment horizontal="left" vertical="center"/>
    </xf>
    <xf numFmtId="0" fontId="55" fillId="0" borderId="0" xfId="1" applyFont="1" applyFill="1" applyAlignment="1">
      <alignment vertical="center"/>
    </xf>
    <xf numFmtId="0" fontId="56" fillId="7" borderId="0" xfId="1" applyFont="1" applyFill="1" applyAlignment="1">
      <alignment vertical="center"/>
    </xf>
    <xf numFmtId="0" fontId="55" fillId="7" borderId="0" xfId="1" applyFont="1" applyFill="1" applyBorder="1" applyAlignment="1">
      <alignment vertical="center"/>
    </xf>
    <xf numFmtId="0" fontId="55" fillId="7" borderId="0" xfId="1" applyFont="1" applyFill="1" applyAlignment="1">
      <alignment horizontal="center" vertical="center"/>
    </xf>
    <xf numFmtId="3" fontId="56" fillId="7" borderId="12" xfId="1" applyNumberFormat="1" applyFont="1" applyFill="1" applyBorder="1" applyAlignment="1" applyProtection="1">
      <alignment horizontal="center" vertical="center"/>
      <protection locked="0"/>
    </xf>
    <xf numFmtId="0" fontId="55" fillId="7" borderId="0" xfId="1" applyFont="1" applyFill="1" applyAlignment="1">
      <alignment vertical="center"/>
    </xf>
    <xf numFmtId="0" fontId="56" fillId="7" borderId="12" xfId="1" applyFont="1" applyFill="1" applyBorder="1" applyAlignment="1" applyProtection="1">
      <alignment horizontal="center" vertical="center"/>
      <protection locked="0"/>
    </xf>
    <xf numFmtId="0" fontId="59" fillId="9" borderId="0" xfId="1" applyFont="1" applyFill="1" applyAlignment="1">
      <alignment vertical="center"/>
    </xf>
    <xf numFmtId="0" fontId="60" fillId="9" borderId="0" xfId="1" applyFont="1" applyFill="1" applyAlignment="1">
      <alignment vertical="center"/>
    </xf>
    <xf numFmtId="0" fontId="60" fillId="9" borderId="0" xfId="1" applyFont="1" applyFill="1" applyAlignment="1">
      <alignment horizontal="center" vertical="center"/>
    </xf>
    <xf numFmtId="3" fontId="60" fillId="9" borderId="12" xfId="1" applyNumberFormat="1" applyFont="1" applyFill="1" applyBorder="1" applyAlignment="1" applyProtection="1">
      <alignment horizontal="center" vertical="center"/>
      <protection hidden="1"/>
    </xf>
    <xf numFmtId="1" fontId="60" fillId="9" borderId="12" xfId="1" applyNumberFormat="1" applyFont="1" applyFill="1" applyBorder="1" applyAlignment="1" applyProtection="1">
      <alignment horizontal="center" vertical="center"/>
      <protection hidden="1"/>
    </xf>
    <xf numFmtId="165" fontId="9" fillId="3" borderId="11" xfId="0" applyNumberFormat="1" applyFont="1" applyFill="1" applyBorder="1" applyAlignment="1" applyProtection="1">
      <alignment horizontal="center" vertical="center"/>
      <protection hidden="1"/>
    </xf>
    <xf numFmtId="0" fontId="3" fillId="9" borderId="0" xfId="0" applyFont="1" applyFill="1" applyAlignment="1">
      <alignment horizontal="left" vertical="center"/>
    </xf>
    <xf numFmtId="0" fontId="0" fillId="0" borderId="0" xfId="0" applyAlignment="1"/>
    <xf numFmtId="2" fontId="7" fillId="6" borderId="12" xfId="0" applyNumberFormat="1" applyFont="1" applyFill="1" applyBorder="1" applyAlignment="1" applyProtection="1">
      <alignment horizontal="center"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hidden="1"/>
    </xf>
    <xf numFmtId="167" fontId="0" fillId="3" borderId="10" xfId="0" applyNumberFormat="1" applyFill="1" applyBorder="1" applyAlignment="1" applyProtection="1">
      <alignment horizontal="center" vertical="center"/>
      <protection hidden="1"/>
    </xf>
    <xf numFmtId="170" fontId="0" fillId="9" borderId="0" xfId="0" applyNumberFormat="1" applyFill="1" applyAlignment="1" applyProtection="1">
      <alignment horizontal="center" vertical="center"/>
      <protection hidden="1"/>
    </xf>
    <xf numFmtId="0" fontId="41" fillId="0" borderId="0" xfId="1" applyFont="1" applyFill="1" applyAlignment="1">
      <alignment vertical="center"/>
    </xf>
    <xf numFmtId="1" fontId="41" fillId="0" borderId="0" xfId="1" applyNumberFormat="1" applyFont="1" applyFill="1" applyBorder="1" applyAlignment="1" applyProtection="1">
      <alignment horizontal="center" vertical="center"/>
      <protection hidden="1"/>
    </xf>
    <xf numFmtId="0" fontId="59" fillId="0" borderId="0" xfId="1" applyFont="1" applyFill="1" applyAlignment="1">
      <alignment vertical="center"/>
    </xf>
    <xf numFmtId="0" fontId="54" fillId="0" borderId="0" xfId="1" applyFont="1" applyFill="1" applyBorder="1" applyAlignment="1">
      <alignment vertical="center"/>
    </xf>
    <xf numFmtId="0" fontId="60" fillId="0" borderId="0" xfId="1" applyFont="1" applyFill="1" applyAlignment="1">
      <alignment horizontal="center" vertical="center"/>
    </xf>
    <xf numFmtId="0" fontId="46" fillId="0" borderId="17" xfId="0" applyFont="1" applyFill="1" applyBorder="1" applyAlignment="1">
      <alignment horizontal="left" vertical="center"/>
    </xf>
    <xf numFmtId="2" fontId="48" fillId="0" borderId="17" xfId="0" applyNumberFormat="1" applyFont="1" applyFill="1" applyBorder="1" applyAlignment="1">
      <alignment horizontal="left" vertical="center"/>
    </xf>
    <xf numFmtId="0" fontId="46" fillId="0" borderId="17" xfId="0" applyFont="1" applyFill="1" applyBorder="1" applyAlignment="1">
      <alignment vertical="center"/>
    </xf>
    <xf numFmtId="0" fontId="46" fillId="0" borderId="17" xfId="0" applyNumberFormat="1" applyFont="1" applyFill="1" applyBorder="1" applyAlignment="1">
      <alignment vertical="center"/>
    </xf>
    <xf numFmtId="0" fontId="46" fillId="0" borderId="17" xfId="0" quotePrefix="1" applyNumberFormat="1" applyFont="1" applyFill="1" applyBorder="1" applyAlignment="1">
      <alignment vertical="center"/>
    </xf>
    <xf numFmtId="0" fontId="48" fillId="0" borderId="17" xfId="0" applyFont="1" applyFill="1" applyBorder="1" applyAlignment="1">
      <alignment horizontal="left" vertical="center"/>
    </xf>
    <xf numFmtId="1" fontId="48" fillId="0" borderId="17" xfId="0" applyNumberFormat="1" applyFont="1" applyFill="1" applyBorder="1" applyAlignment="1">
      <alignment horizontal="left" vertical="center"/>
    </xf>
    <xf numFmtId="167" fontId="48" fillId="0" borderId="17" xfId="0" applyNumberFormat="1" applyFont="1" applyFill="1" applyBorder="1" applyAlignment="1">
      <alignment horizontal="left" vertical="center"/>
    </xf>
    <xf numFmtId="167" fontId="46" fillId="0" borderId="17" xfId="0" applyNumberFormat="1" applyFont="1" applyFill="1" applyBorder="1" applyAlignment="1">
      <alignment vertical="center"/>
    </xf>
    <xf numFmtId="167" fontId="50" fillId="0" borderId="17" xfId="0" applyNumberFormat="1" applyFont="1" applyFill="1" applyBorder="1" applyAlignment="1">
      <alignment horizontal="left" vertical="center"/>
    </xf>
    <xf numFmtId="0" fontId="46" fillId="0" borderId="17" xfId="0" applyNumberFormat="1" applyFont="1" applyFill="1" applyBorder="1" applyAlignment="1">
      <alignment horizontal="left" vertical="center"/>
    </xf>
    <xf numFmtId="167" fontId="45" fillId="0" borderId="17" xfId="0" applyNumberFormat="1" applyFont="1" applyFill="1" applyBorder="1" applyAlignment="1">
      <alignment horizontal="left" vertical="center"/>
    </xf>
    <xf numFmtId="2" fontId="46" fillId="0" borderId="17" xfId="0" applyNumberFormat="1" applyFont="1" applyFill="1" applyBorder="1" applyAlignment="1">
      <alignment vertical="center"/>
    </xf>
    <xf numFmtId="0" fontId="46" fillId="0" borderId="17" xfId="0" quotePrefix="1" applyNumberFormat="1" applyFont="1" applyFill="1" applyBorder="1" applyAlignment="1">
      <alignment horizontal="left" vertical="center" wrapText="1"/>
    </xf>
    <xf numFmtId="0" fontId="46" fillId="0" borderId="17" xfId="0" applyFont="1" applyFill="1" applyBorder="1" applyAlignment="1">
      <alignment horizontal="left" vertical="center" wrapText="1"/>
    </xf>
    <xf numFmtId="2" fontId="48" fillId="0" borderId="17" xfId="0" applyNumberFormat="1" applyFont="1" applyFill="1" applyBorder="1" applyAlignment="1">
      <alignment vertical="center"/>
    </xf>
    <xf numFmtId="0" fontId="46" fillId="0" borderId="17" xfId="0" applyNumberFormat="1" applyFont="1" applyFill="1" applyBorder="1" applyAlignment="1">
      <alignment horizontal="left" vertical="center" wrapText="1"/>
    </xf>
    <xf numFmtId="2" fontId="46" fillId="0" borderId="17" xfId="0" applyNumberFormat="1" applyFont="1" applyFill="1" applyBorder="1" applyAlignment="1">
      <alignment vertical="center" wrapText="1"/>
    </xf>
    <xf numFmtId="1" fontId="46" fillId="0" borderId="17" xfId="0" applyNumberFormat="1" applyFont="1" applyFill="1" applyBorder="1" applyAlignment="1">
      <alignment horizontal="left" vertical="center"/>
    </xf>
    <xf numFmtId="2" fontId="45" fillId="0" borderId="17" xfId="0" applyNumberFormat="1" applyFont="1" applyFill="1" applyBorder="1" applyAlignment="1">
      <alignment horizontal="left" vertical="center"/>
    </xf>
    <xf numFmtId="0" fontId="46" fillId="0" borderId="17" xfId="0" applyNumberFormat="1" applyFont="1" applyFill="1" applyBorder="1" applyAlignment="1">
      <alignment horizontal="left"/>
    </xf>
    <xf numFmtId="3" fontId="62" fillId="0" borderId="17" xfId="0" applyNumberFormat="1" applyFont="1" applyFill="1" applyBorder="1" applyAlignment="1">
      <alignment horizontal="left" vertical="center"/>
    </xf>
    <xf numFmtId="0" fontId="50" fillId="0" borderId="17" xfId="0" applyFont="1" applyFill="1" applyBorder="1"/>
    <xf numFmtId="0" fontId="46" fillId="0" borderId="17" xfId="0" applyFont="1" applyFill="1" applyBorder="1"/>
    <xf numFmtId="1" fontId="46" fillId="0" borderId="17" xfId="0" applyNumberFormat="1" applyFont="1" applyFill="1" applyBorder="1" applyAlignment="1">
      <alignment vertical="center"/>
    </xf>
    <xf numFmtId="0" fontId="46" fillId="0" borderId="17" xfId="0" applyFont="1" applyFill="1" applyBorder="1" applyAlignment="1">
      <alignment vertical="center" wrapText="1"/>
    </xf>
    <xf numFmtId="0" fontId="46" fillId="0" borderId="17" xfId="0" applyNumberFormat="1" applyFont="1" applyFill="1" applyBorder="1" applyAlignment="1">
      <alignment vertical="center" wrapText="1"/>
    </xf>
    <xf numFmtId="0" fontId="7" fillId="9" borderId="12" xfId="0" applyFont="1" applyFill="1" applyBorder="1" applyAlignment="1" applyProtection="1">
      <alignment horizontal="center" vertical="center"/>
      <protection locked="0"/>
    </xf>
    <xf numFmtId="2" fontId="7" fillId="9" borderId="12" xfId="0" applyNumberFormat="1" applyFont="1" applyFill="1" applyBorder="1" applyAlignment="1" applyProtection="1">
      <alignment horizontal="center" vertical="center"/>
      <protection hidden="1"/>
    </xf>
    <xf numFmtId="0" fontId="3" fillId="9" borderId="0" xfId="0" applyFont="1" applyFill="1" applyAlignment="1">
      <alignment horizontal="left" vertical="center"/>
    </xf>
    <xf numFmtId="0" fontId="4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6" fillId="3" borderId="9" xfId="0" applyNumberFormat="1" applyFont="1" applyFill="1" applyBorder="1" applyAlignment="1" applyProtection="1">
      <alignment horizontal="center" vertical="center"/>
      <protection hidden="1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2" fontId="3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8" borderId="0" xfId="1" applyFill="1" applyBorder="1" applyAlignment="1" applyProtection="1">
      <alignment horizontal="center" vertical="center"/>
      <protection locked="0"/>
    </xf>
    <xf numFmtId="0" fontId="6" fillId="8" borderId="23" xfId="1" applyFill="1" applyBorder="1" applyAlignment="1" applyProtection="1">
      <alignment horizontal="center" vertical="center"/>
      <protection locked="0"/>
    </xf>
    <xf numFmtId="0" fontId="6" fillId="8" borderId="14" xfId="1" applyFill="1" applyBorder="1" applyAlignment="1" applyProtection="1">
      <alignment horizontal="center" vertical="center"/>
      <protection locked="0"/>
    </xf>
    <xf numFmtId="0" fontId="6" fillId="8" borderId="25" xfId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7" borderId="0" xfId="1" applyFont="1" applyFill="1" applyAlignment="1">
      <alignment vertical="center"/>
    </xf>
    <xf numFmtId="0" fontId="6" fillId="7" borderId="0" xfId="1" applyFont="1" applyFill="1" applyAlignment="1">
      <alignment horizontal="center" vertical="center"/>
    </xf>
    <xf numFmtId="0" fontId="3" fillId="7" borderId="9" xfId="1" applyFont="1" applyFill="1" applyBorder="1" applyAlignment="1" applyProtection="1">
      <alignment horizontal="center" vertical="center"/>
      <protection locked="0"/>
    </xf>
    <xf numFmtId="0" fontId="3" fillId="7" borderId="12" xfId="0" applyNumberFormat="1" applyFont="1" applyFill="1" applyBorder="1" applyAlignment="1" applyProtection="1">
      <alignment horizontal="center" vertical="center"/>
      <protection locked="0"/>
    </xf>
    <xf numFmtId="0" fontId="3" fillId="7" borderId="1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10" borderId="13" xfId="0" quotePrefix="1" applyFont="1" applyFill="1" applyBorder="1" applyAlignment="1">
      <alignment horizontal="center" vertical="center"/>
    </xf>
    <xf numFmtId="0" fontId="7" fillId="10" borderId="13" xfId="0" quotePrefix="1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3" xfId="0" applyFont="1" applyFill="1" applyBorder="1" applyAlignment="1" applyProtection="1">
      <alignment horizontal="center" vertical="center"/>
      <protection locked="0"/>
    </xf>
    <xf numFmtId="0" fontId="3" fillId="10" borderId="13" xfId="1" applyFont="1" applyFill="1" applyBorder="1" applyAlignment="1" applyProtection="1">
      <alignment horizontal="center" vertical="center"/>
      <protection locked="0"/>
    </xf>
    <xf numFmtId="0" fontId="3" fillId="10" borderId="21" xfId="1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0" borderId="23" xfId="1" applyFont="1" applyFill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vertical="center"/>
    </xf>
    <xf numFmtId="2" fontId="7" fillId="3" borderId="12" xfId="0" applyNumberFormat="1" applyFont="1" applyFill="1" applyBorder="1" applyAlignment="1" applyProtection="1">
      <alignment horizontal="center" vertical="center"/>
      <protection hidden="1"/>
    </xf>
    <xf numFmtId="164" fontId="0" fillId="3" borderId="9" xfId="0" applyNumberForma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left"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7" fillId="0" borderId="16" xfId="0" applyFont="1" applyFill="1" applyBorder="1" applyAlignment="1" applyProtection="1">
      <alignment horizontal="left" vertical="center"/>
      <protection locked="0"/>
    </xf>
    <xf numFmtId="168" fontId="3" fillId="0" borderId="15" xfId="0" applyNumberFormat="1" applyFont="1" applyFill="1" applyBorder="1" applyAlignment="1" applyProtection="1">
      <alignment horizontal="left" vertical="center"/>
      <protection locked="0"/>
    </xf>
    <xf numFmtId="168" fontId="7" fillId="0" borderId="16" xfId="0" applyNumberFormat="1" applyFont="1" applyFill="1" applyBorder="1" applyAlignment="1" applyProtection="1">
      <alignment horizontal="left" vertical="center"/>
      <protection locked="0"/>
    </xf>
    <xf numFmtId="168" fontId="3" fillId="0" borderId="16" xfId="0" applyNumberFormat="1" applyFont="1" applyFill="1" applyBorder="1" applyAlignment="1" applyProtection="1">
      <alignment horizontal="left" vertical="center"/>
      <protection locked="0"/>
    </xf>
    <xf numFmtId="0" fontId="45" fillId="0" borderId="31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45" fillId="0" borderId="19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</cellXfs>
  <cellStyles count="22">
    <cellStyle name="Hyperlink 2" xfId="11"/>
    <cellStyle name="Hyperlink 2 2" xfId="13"/>
    <cellStyle name="Hyperlink 2 3" xfId="16"/>
    <cellStyle name="Hyperlink 3" xfId="14"/>
    <cellStyle name="Hyperlink 4" xfId="2"/>
    <cellStyle name="Norm੎੎" xfId="3"/>
    <cellStyle name="Normal" xfId="0" builtinId="0"/>
    <cellStyle name="Normal 2" xfId="1"/>
    <cellStyle name="Normal 2 2" xfId="12"/>
    <cellStyle name="Normal 2 3" xfId="18"/>
    <cellStyle name="Normal 2 4" xfId="8"/>
    <cellStyle name="Normal 3" xfId="9"/>
    <cellStyle name="Normal 3 2" xfId="10"/>
    <cellStyle name="Normal 3 3" xfId="21"/>
    <cellStyle name="Normal 4" xfId="15"/>
    <cellStyle name="Normal 5" xfId="7"/>
    <cellStyle name="Normal 6" xfId="17"/>
    <cellStyle name="Normal 7" xfId="19"/>
    <cellStyle name="Normal 7 2" xfId="20"/>
    <cellStyle name="Standard 2" xfId="4"/>
    <cellStyle name="Standard 2 2" xfId="6"/>
    <cellStyle name="Standard 3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FFFF99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28</xdr:row>
          <xdr:rowOff>76200</xdr:rowOff>
        </xdr:from>
        <xdr:to>
          <xdr:col>3</xdr:col>
          <xdr:colOff>1457325</xdr:colOff>
          <xdr:row>28</xdr:row>
          <xdr:rowOff>3867150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508299</xdr:colOff>
      <xdr:row>39</xdr:row>
      <xdr:rowOff>91780</xdr:rowOff>
    </xdr:from>
    <xdr:to>
      <xdr:col>6</xdr:col>
      <xdr:colOff>1538288</xdr:colOff>
      <xdr:row>39</xdr:row>
      <xdr:rowOff>648306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7186312" y="5879611"/>
          <a:ext cx="556526" cy="1029989"/>
        </a:xfrm>
        <a:prstGeom prst="rect">
          <a:avLst/>
        </a:prstGeom>
      </xdr:spPr>
    </xdr:pic>
    <xdr:clientData/>
  </xdr:twoCellAnchor>
  <xdr:oneCellAnchor>
    <xdr:from>
      <xdr:col>6</xdr:col>
      <xdr:colOff>532111</xdr:colOff>
      <xdr:row>39</xdr:row>
      <xdr:rowOff>115592</xdr:rowOff>
    </xdr:from>
    <xdr:ext cx="77489" cy="51701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8737755" y="6617798"/>
          <a:ext cx="51701" cy="77489"/>
        </a:xfrm>
        <a:prstGeom prst="rect">
          <a:avLst/>
        </a:prstGeom>
      </xdr:spPr>
    </xdr:pic>
    <xdr:clientData/>
  </xdr:oneCellAnchor>
  <xdr:twoCellAnchor editAs="oneCell">
    <xdr:from>
      <xdr:col>6</xdr:col>
      <xdr:colOff>532111</xdr:colOff>
      <xdr:row>43</xdr:row>
      <xdr:rowOff>115592</xdr:rowOff>
    </xdr:from>
    <xdr:to>
      <xdr:col>6</xdr:col>
      <xdr:colOff>607219</xdr:colOff>
      <xdr:row>43</xdr:row>
      <xdr:rowOff>157768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8741327" y="7309551"/>
          <a:ext cx="42176" cy="75108"/>
        </a:xfrm>
        <a:prstGeom prst="rect">
          <a:avLst/>
        </a:prstGeom>
      </xdr:spPr>
    </xdr:pic>
    <xdr:clientData/>
  </xdr:twoCellAnchor>
  <xdr:oneCellAnchor>
    <xdr:from>
      <xdr:col>6</xdr:col>
      <xdr:colOff>532111</xdr:colOff>
      <xdr:row>44</xdr:row>
      <xdr:rowOff>115592</xdr:rowOff>
    </xdr:from>
    <xdr:ext cx="75108" cy="42176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8741327" y="7481001"/>
          <a:ext cx="42176" cy="75108"/>
        </a:xfrm>
        <a:prstGeom prst="rect">
          <a:avLst/>
        </a:prstGeom>
      </xdr:spPr>
    </xdr:pic>
    <xdr:clientData/>
  </xdr:oneCellAnchor>
  <xdr:oneCellAnchor>
    <xdr:from>
      <xdr:col>6</xdr:col>
      <xdr:colOff>532111</xdr:colOff>
      <xdr:row>39</xdr:row>
      <xdr:rowOff>115592</xdr:rowOff>
    </xdr:from>
    <xdr:ext cx="77489" cy="5170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8737755" y="6617798"/>
          <a:ext cx="51701" cy="77489"/>
        </a:xfrm>
        <a:prstGeom prst="rect">
          <a:avLst/>
        </a:prstGeom>
      </xdr:spPr>
    </xdr:pic>
    <xdr:clientData/>
  </xdr:oneCellAnchor>
  <xdr:twoCellAnchor editAs="oneCell">
    <xdr:from>
      <xdr:col>0</xdr:col>
      <xdr:colOff>166688</xdr:colOff>
      <xdr:row>70</xdr:row>
      <xdr:rowOff>95250</xdr:rowOff>
    </xdr:from>
    <xdr:to>
      <xdr:col>10</xdr:col>
      <xdr:colOff>15260</xdr:colOff>
      <xdr:row>112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8" y="12334875"/>
          <a:ext cx="13183572" cy="6953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27</xdr:row>
          <xdr:rowOff>76200</xdr:rowOff>
        </xdr:from>
        <xdr:to>
          <xdr:col>3</xdr:col>
          <xdr:colOff>1828800</xdr:colOff>
          <xdr:row>27</xdr:row>
          <xdr:rowOff>3867150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508299</xdr:colOff>
      <xdr:row>39</xdr:row>
      <xdr:rowOff>91780</xdr:rowOff>
    </xdr:from>
    <xdr:to>
      <xdr:col>6</xdr:col>
      <xdr:colOff>1538288</xdr:colOff>
      <xdr:row>39</xdr:row>
      <xdr:rowOff>648306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7174406" y="6560648"/>
          <a:ext cx="556526" cy="1029989"/>
        </a:xfrm>
        <a:prstGeom prst="rect">
          <a:avLst/>
        </a:prstGeom>
      </xdr:spPr>
    </xdr:pic>
    <xdr:clientData/>
  </xdr:twoCellAnchor>
  <xdr:oneCellAnchor>
    <xdr:from>
      <xdr:col>6</xdr:col>
      <xdr:colOff>532111</xdr:colOff>
      <xdr:row>39</xdr:row>
      <xdr:rowOff>115592</xdr:rowOff>
    </xdr:from>
    <xdr:ext cx="77489" cy="51701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74380" y="6808298"/>
          <a:ext cx="51701" cy="77489"/>
        </a:xfrm>
        <a:prstGeom prst="rect">
          <a:avLst/>
        </a:prstGeom>
      </xdr:spPr>
    </xdr:pic>
    <xdr:clientData/>
  </xdr:oneCellAnchor>
  <xdr:twoCellAnchor editAs="oneCell">
    <xdr:from>
      <xdr:col>6</xdr:col>
      <xdr:colOff>532111</xdr:colOff>
      <xdr:row>43</xdr:row>
      <xdr:rowOff>115592</xdr:rowOff>
    </xdr:from>
    <xdr:to>
      <xdr:col>6</xdr:col>
      <xdr:colOff>607219</xdr:colOff>
      <xdr:row>43</xdr:row>
      <xdr:rowOff>157768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77952" y="8023926"/>
          <a:ext cx="42176" cy="75108"/>
        </a:xfrm>
        <a:prstGeom prst="rect">
          <a:avLst/>
        </a:prstGeom>
      </xdr:spPr>
    </xdr:pic>
    <xdr:clientData/>
  </xdr:twoCellAnchor>
  <xdr:oneCellAnchor>
    <xdr:from>
      <xdr:col>6</xdr:col>
      <xdr:colOff>532111</xdr:colOff>
      <xdr:row>44</xdr:row>
      <xdr:rowOff>115592</xdr:rowOff>
    </xdr:from>
    <xdr:ext cx="75108" cy="42176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77952" y="8195376"/>
          <a:ext cx="42176" cy="75108"/>
        </a:xfrm>
        <a:prstGeom prst="rect">
          <a:avLst/>
        </a:prstGeom>
      </xdr:spPr>
    </xdr:pic>
    <xdr:clientData/>
  </xdr:oneCellAnchor>
  <xdr:oneCellAnchor>
    <xdr:from>
      <xdr:col>6</xdr:col>
      <xdr:colOff>532111</xdr:colOff>
      <xdr:row>39</xdr:row>
      <xdr:rowOff>115592</xdr:rowOff>
    </xdr:from>
    <xdr:ext cx="77489" cy="51701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974380" y="6808298"/>
          <a:ext cx="51701" cy="77489"/>
        </a:xfrm>
        <a:prstGeom prst="rect">
          <a:avLst/>
        </a:prstGeom>
      </xdr:spPr>
    </xdr:pic>
    <xdr:clientData/>
  </xdr:oneCellAnchor>
  <xdr:twoCellAnchor editAs="oneCell">
    <xdr:from>
      <xdr:col>0</xdr:col>
      <xdr:colOff>166688</xdr:colOff>
      <xdr:row>70</xdr:row>
      <xdr:rowOff>95250</xdr:rowOff>
    </xdr:from>
    <xdr:to>
      <xdr:col>10</xdr:col>
      <xdr:colOff>15260</xdr:colOff>
      <xdr:row>112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8" y="12649200"/>
          <a:ext cx="13174047" cy="715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2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5"/>
  <sheetViews>
    <sheetView topLeftCell="A172" zoomScale="80" zoomScaleNormal="80" zoomScaleSheetLayoutView="40" workbookViewId="0">
      <selection activeCell="I197" sqref="I197"/>
    </sheetView>
  </sheetViews>
  <sheetFormatPr defaultColWidth="11.5703125" defaultRowHeight="12.75" x14ac:dyDescent="0.2"/>
  <cols>
    <col min="2" max="2" width="15.5703125" bestFit="1" customWidth="1"/>
    <col min="3" max="3" width="81.28515625" customWidth="1"/>
    <col min="4" max="4" width="61.7109375" style="81" customWidth="1"/>
    <col min="5" max="5" width="15.28515625" customWidth="1"/>
    <col min="6" max="6" width="22.42578125" customWidth="1"/>
    <col min="7" max="7" width="33.42578125" customWidth="1"/>
    <col min="8" max="8" width="12" customWidth="1"/>
    <col min="9" max="9" width="16.42578125" customWidth="1"/>
    <col min="10" max="10" width="20.28515625" customWidth="1"/>
    <col min="11" max="12" width="12" customWidth="1"/>
    <col min="13" max="14" width="13.7109375" customWidth="1"/>
    <col min="15" max="15" width="14.7109375" bestFit="1" customWidth="1"/>
    <col min="16" max="16" width="14.140625" bestFit="1" customWidth="1"/>
    <col min="17" max="17" width="11.7109375" bestFit="1" customWidth="1"/>
    <col min="18" max="18" width="19.85546875" customWidth="1"/>
  </cols>
  <sheetData>
    <row r="1" spans="2:18" s="3" customFormat="1" ht="21.75" customHeight="1" x14ac:dyDescent="0.2">
      <c r="B1" s="6" t="s">
        <v>696</v>
      </c>
      <c r="C1" s="8"/>
      <c r="D1" s="77"/>
      <c r="E1" s="7"/>
      <c r="F1" s="9"/>
      <c r="G1" s="5"/>
      <c r="H1" s="5"/>
      <c r="I1" s="35"/>
      <c r="K1" s="10"/>
      <c r="L1" s="10"/>
      <c r="M1" s="10"/>
      <c r="N1" s="10"/>
      <c r="O1" s="10"/>
      <c r="P1" s="10"/>
      <c r="Q1" s="10"/>
      <c r="R1" s="10"/>
    </row>
    <row r="2" spans="2:18" s="3" customFormat="1" ht="13.5" thickBot="1" x14ac:dyDescent="0.25">
      <c r="D2" s="18"/>
      <c r="E2" s="12"/>
      <c r="F2" s="13"/>
      <c r="G2" s="13"/>
      <c r="H2" s="13"/>
      <c r="I2" s="13"/>
      <c r="J2" s="10"/>
      <c r="K2" s="10"/>
      <c r="L2" s="10"/>
      <c r="M2" s="10"/>
      <c r="N2" s="10"/>
      <c r="O2" s="10"/>
      <c r="P2" s="10"/>
      <c r="Q2" s="10"/>
      <c r="R2" s="10"/>
    </row>
    <row r="3" spans="2:18" s="3" customFormat="1" ht="16.5" thickBot="1" x14ac:dyDescent="0.25">
      <c r="B3" s="98" t="s">
        <v>143</v>
      </c>
      <c r="C3" s="408" t="s">
        <v>502</v>
      </c>
      <c r="D3" s="410"/>
      <c r="E3" s="12"/>
      <c r="F3" s="13"/>
      <c r="G3" s="13"/>
      <c r="H3" s="13"/>
      <c r="I3" s="13"/>
      <c r="J3" s="10"/>
      <c r="K3" s="10"/>
      <c r="L3" s="10"/>
      <c r="M3" s="10"/>
      <c r="N3" s="10"/>
      <c r="O3" s="10"/>
      <c r="P3" s="10"/>
      <c r="Q3" s="10"/>
      <c r="R3" s="10"/>
    </row>
    <row r="4" spans="2:18" s="3" customFormat="1" ht="16.5" thickBot="1" x14ac:dyDescent="0.25">
      <c r="B4" s="98" t="s">
        <v>145</v>
      </c>
      <c r="C4" s="408" t="s">
        <v>695</v>
      </c>
      <c r="D4" s="410"/>
      <c r="E4" s="12"/>
      <c r="F4" s="13"/>
      <c r="G4" s="13"/>
      <c r="H4" s="13"/>
      <c r="I4" s="13"/>
      <c r="J4" s="10"/>
      <c r="K4" s="10"/>
      <c r="L4" s="10"/>
      <c r="M4" s="10"/>
      <c r="N4" s="10"/>
      <c r="O4" s="10"/>
      <c r="P4" s="10"/>
      <c r="Q4" s="10"/>
      <c r="R4" s="10"/>
    </row>
    <row r="5" spans="2:18" s="3" customFormat="1" ht="16.5" thickBot="1" x14ac:dyDescent="0.25">
      <c r="B5" s="98" t="s">
        <v>471</v>
      </c>
      <c r="C5" s="408" t="s">
        <v>502</v>
      </c>
      <c r="D5" s="410"/>
      <c r="E5" s="12"/>
      <c r="F5" s="13"/>
      <c r="G5" s="13"/>
      <c r="H5" s="13"/>
      <c r="I5" s="13"/>
      <c r="J5" s="10"/>
      <c r="K5" s="10"/>
      <c r="L5" s="10"/>
      <c r="M5" s="10"/>
      <c r="N5" s="10"/>
      <c r="O5" s="10"/>
      <c r="P5" s="10"/>
      <c r="Q5" s="10"/>
      <c r="R5" s="10"/>
    </row>
    <row r="6" spans="2:18" s="3" customFormat="1" ht="16.5" thickBot="1" x14ac:dyDescent="0.25">
      <c r="B6" s="98" t="s">
        <v>144</v>
      </c>
      <c r="C6" s="411"/>
      <c r="D6" s="412"/>
      <c r="E6" s="12"/>
      <c r="F6" s="13"/>
      <c r="G6" s="13"/>
      <c r="H6" s="13"/>
      <c r="I6" s="13"/>
      <c r="J6" s="10"/>
      <c r="K6" s="10"/>
      <c r="L6" s="10"/>
      <c r="M6" s="10"/>
      <c r="N6" s="10"/>
      <c r="O6" s="10"/>
      <c r="P6" s="10"/>
      <c r="Q6" s="10"/>
      <c r="R6" s="10"/>
    </row>
    <row r="7" spans="2:18" s="3" customFormat="1" ht="16.5" thickBot="1" x14ac:dyDescent="0.25">
      <c r="B7" s="98" t="s">
        <v>503</v>
      </c>
      <c r="C7" s="408"/>
      <c r="D7" s="409"/>
      <c r="E7" s="12"/>
      <c r="F7" s="13"/>
      <c r="G7" s="13"/>
      <c r="H7" s="13"/>
      <c r="I7" s="13"/>
      <c r="J7" s="10"/>
      <c r="K7" s="10"/>
      <c r="L7" s="10"/>
      <c r="M7" s="10"/>
      <c r="N7" s="10"/>
      <c r="O7" s="10"/>
      <c r="P7" s="10"/>
      <c r="Q7" s="10"/>
      <c r="R7" s="10"/>
    </row>
    <row r="8" spans="2:18" s="3" customFormat="1" x14ac:dyDescent="0.2">
      <c r="D8" s="18"/>
      <c r="E8" s="12"/>
      <c r="F8" s="13"/>
      <c r="G8" s="13"/>
      <c r="H8" s="13"/>
      <c r="I8" s="13"/>
      <c r="J8" s="10"/>
      <c r="K8" s="10"/>
      <c r="L8" s="10"/>
      <c r="M8" s="10"/>
      <c r="N8" s="10"/>
      <c r="O8" s="10"/>
      <c r="P8" s="10"/>
      <c r="Q8" s="10"/>
      <c r="R8" s="10"/>
    </row>
    <row r="9" spans="2:18" s="3" customFormat="1" ht="15.75" x14ac:dyDescent="0.2">
      <c r="B9" s="14" t="s">
        <v>104</v>
      </c>
      <c r="C9" s="15"/>
      <c r="D9" s="43"/>
      <c r="E9" s="10"/>
      <c r="O9" s="10"/>
      <c r="P9" s="10"/>
      <c r="Q9" s="10"/>
      <c r="R9" s="10"/>
    </row>
    <row r="10" spans="2:18" s="3" customFormat="1" ht="15.75" x14ac:dyDescent="0.2">
      <c r="B10" s="16" t="s">
        <v>0</v>
      </c>
      <c r="C10" s="17"/>
      <c r="D10" s="43"/>
      <c r="E10" s="10"/>
      <c r="O10" s="10"/>
      <c r="P10" s="10"/>
      <c r="Q10" s="10"/>
      <c r="R10" s="10"/>
    </row>
    <row r="11" spans="2:18" s="3" customFormat="1" ht="15.75" x14ac:dyDescent="0.2">
      <c r="B11" s="90" t="s">
        <v>307</v>
      </c>
      <c r="C11" s="89"/>
      <c r="D11" s="43"/>
      <c r="E11" s="10"/>
      <c r="I11" s="391"/>
      <c r="O11" s="10"/>
      <c r="P11" s="10"/>
      <c r="Q11" s="10"/>
      <c r="R11" s="10"/>
    </row>
    <row r="12" spans="2:18" s="3" customFormat="1" ht="13.5" thickBot="1" x14ac:dyDescent="0.25">
      <c r="D12" s="18"/>
      <c r="E12" s="18" t="s">
        <v>1</v>
      </c>
      <c r="F12" s="18" t="s">
        <v>2</v>
      </c>
      <c r="O12" s="10"/>
      <c r="P12" s="10"/>
      <c r="Q12" s="10"/>
      <c r="R12" s="10"/>
    </row>
    <row r="13" spans="2:18" s="3" customFormat="1" ht="15" thickBot="1" x14ac:dyDescent="0.25">
      <c r="B13" s="99" t="s">
        <v>3</v>
      </c>
      <c r="C13" s="69" t="s">
        <v>295</v>
      </c>
      <c r="D13" s="91" t="s">
        <v>293</v>
      </c>
      <c r="E13" s="72" t="s">
        <v>4</v>
      </c>
      <c r="F13" s="20">
        <v>85</v>
      </c>
      <c r="G13" s="5"/>
      <c r="I13" s="5"/>
      <c r="J13" s="5"/>
      <c r="O13" s="10"/>
      <c r="P13" s="10"/>
      <c r="Q13" s="10"/>
      <c r="R13" s="10"/>
    </row>
    <row r="14" spans="2:18" s="3" customFormat="1" ht="15" thickBot="1" x14ac:dyDescent="0.25">
      <c r="B14" s="99" t="s">
        <v>3</v>
      </c>
      <c r="C14" s="91" t="s">
        <v>294</v>
      </c>
      <c r="D14" s="91" t="s">
        <v>292</v>
      </c>
      <c r="E14" s="72" t="s">
        <v>4</v>
      </c>
      <c r="F14" s="20">
        <v>320</v>
      </c>
      <c r="G14" s="5" t="s">
        <v>5</v>
      </c>
      <c r="I14" s="5"/>
      <c r="J14" s="5"/>
      <c r="O14" s="10"/>
      <c r="P14" s="10"/>
      <c r="Q14" s="10"/>
      <c r="R14" s="10"/>
    </row>
    <row r="15" spans="2:18" s="3" customFormat="1" ht="15" thickBot="1" x14ac:dyDescent="0.25">
      <c r="B15" s="99" t="s">
        <v>3</v>
      </c>
      <c r="C15" s="69" t="s">
        <v>300</v>
      </c>
      <c r="D15" s="91" t="s">
        <v>237</v>
      </c>
      <c r="E15" s="72" t="s">
        <v>10</v>
      </c>
      <c r="F15" s="20">
        <v>60</v>
      </c>
      <c r="G15" s="5" t="s">
        <v>5</v>
      </c>
      <c r="I15" s="5"/>
      <c r="J15" s="5"/>
      <c r="O15" s="10"/>
      <c r="P15" s="10"/>
      <c r="Q15" s="10"/>
      <c r="R15" s="10"/>
    </row>
    <row r="16" spans="2:18" s="3" customFormat="1" ht="15" thickBot="1" x14ac:dyDescent="0.25">
      <c r="B16" s="99" t="s">
        <v>3</v>
      </c>
      <c r="C16" s="225" t="s">
        <v>638</v>
      </c>
      <c r="D16" s="91" t="s">
        <v>309</v>
      </c>
      <c r="E16" s="72" t="s">
        <v>4</v>
      </c>
      <c r="F16" s="20">
        <v>24.5</v>
      </c>
      <c r="G16" s="5"/>
      <c r="I16" s="5"/>
      <c r="J16" s="5"/>
      <c r="O16" s="10"/>
      <c r="P16" s="10"/>
      <c r="Q16" s="10"/>
      <c r="R16" s="10"/>
    </row>
    <row r="17" spans="2:18" s="3" customFormat="1" ht="15" thickBot="1" x14ac:dyDescent="0.25">
      <c r="B17" s="99" t="s">
        <v>3</v>
      </c>
      <c r="C17" s="99" t="s">
        <v>505</v>
      </c>
      <c r="D17" s="104" t="s">
        <v>507</v>
      </c>
      <c r="E17" s="72" t="s">
        <v>4</v>
      </c>
      <c r="F17" s="20">
        <v>12</v>
      </c>
      <c r="G17" s="5" t="s">
        <v>5</v>
      </c>
      <c r="I17" s="5"/>
      <c r="J17" s="5"/>
      <c r="O17" s="10"/>
      <c r="P17" s="10"/>
      <c r="Q17" s="10"/>
      <c r="R17" s="10"/>
    </row>
    <row r="18" spans="2:18" s="3" customFormat="1" ht="15" thickBot="1" x14ac:dyDescent="0.25">
      <c r="B18" s="99" t="s">
        <v>3</v>
      </c>
      <c r="C18" s="99" t="s">
        <v>511</v>
      </c>
      <c r="D18" s="104" t="s">
        <v>512</v>
      </c>
      <c r="E18" s="121" t="s">
        <v>13</v>
      </c>
      <c r="F18" s="334">
        <v>1.33</v>
      </c>
      <c r="G18" s="5"/>
      <c r="I18" s="5"/>
      <c r="J18" s="5"/>
      <c r="O18" s="10"/>
      <c r="P18" s="10"/>
      <c r="Q18" s="10"/>
      <c r="R18" s="10"/>
    </row>
    <row r="19" spans="2:18" s="3" customFormat="1" ht="15" thickBot="1" x14ac:dyDescent="0.25">
      <c r="B19" s="99" t="s">
        <v>3</v>
      </c>
      <c r="C19" s="69" t="s">
        <v>362</v>
      </c>
      <c r="D19" s="104" t="s">
        <v>508</v>
      </c>
      <c r="E19" s="72" t="s">
        <v>4</v>
      </c>
      <c r="F19" s="20">
        <v>0.3</v>
      </c>
      <c r="G19" s="5"/>
      <c r="I19" s="5"/>
      <c r="J19" s="5"/>
      <c r="O19" s="10"/>
      <c r="P19" s="10"/>
      <c r="Q19" s="10"/>
      <c r="R19" s="10"/>
    </row>
    <row r="20" spans="2:18" s="3" customFormat="1" ht="15" thickBot="1" x14ac:dyDescent="0.25">
      <c r="B20" s="99" t="s">
        <v>3</v>
      </c>
      <c r="C20" s="99" t="s">
        <v>504</v>
      </c>
      <c r="D20" s="104" t="s">
        <v>509</v>
      </c>
      <c r="E20" s="72" t="s">
        <v>4</v>
      </c>
      <c r="F20" s="20">
        <v>0</v>
      </c>
      <c r="G20" s="5"/>
      <c r="I20" s="5"/>
      <c r="J20" s="5"/>
      <c r="O20" s="10"/>
      <c r="P20" s="10"/>
      <c r="Q20" s="10"/>
      <c r="R20" s="10"/>
    </row>
    <row r="21" spans="2:18" s="3" customFormat="1" ht="15" thickBot="1" x14ac:dyDescent="0.25">
      <c r="B21" s="99" t="s">
        <v>3</v>
      </c>
      <c r="C21" s="99" t="s">
        <v>513</v>
      </c>
      <c r="D21" s="104" t="s">
        <v>514</v>
      </c>
      <c r="E21" s="121" t="s">
        <v>13</v>
      </c>
      <c r="F21" s="20">
        <v>0</v>
      </c>
      <c r="G21" s="5"/>
      <c r="I21" s="5"/>
      <c r="J21" s="5"/>
      <c r="O21" s="10"/>
      <c r="P21" s="10"/>
      <c r="Q21" s="10"/>
      <c r="R21" s="10"/>
    </row>
    <row r="22" spans="2:18" s="3" customFormat="1" ht="15" thickBot="1" x14ac:dyDescent="0.25">
      <c r="B22" s="99" t="s">
        <v>3</v>
      </c>
      <c r="C22" s="99" t="s">
        <v>506</v>
      </c>
      <c r="D22" s="104" t="s">
        <v>510</v>
      </c>
      <c r="E22" s="72" t="s">
        <v>4</v>
      </c>
      <c r="F22" s="20">
        <v>0</v>
      </c>
      <c r="G22" s="5"/>
      <c r="I22" s="5"/>
      <c r="J22" s="5"/>
      <c r="O22" s="10"/>
      <c r="P22" s="10"/>
      <c r="Q22" s="10"/>
      <c r="R22" s="10"/>
    </row>
    <row r="23" spans="2:18" s="3" customFormat="1" ht="15" thickBot="1" x14ac:dyDescent="0.25">
      <c r="B23" s="99" t="s">
        <v>3</v>
      </c>
      <c r="C23" s="69" t="s">
        <v>296</v>
      </c>
      <c r="D23" s="91" t="s">
        <v>236</v>
      </c>
      <c r="E23" s="72" t="s">
        <v>4</v>
      </c>
      <c r="F23" s="20">
        <v>0.24</v>
      </c>
      <c r="G23" s="5"/>
      <c r="I23" s="5"/>
      <c r="J23" s="5"/>
      <c r="O23" s="10"/>
      <c r="P23" s="10"/>
      <c r="Q23" s="10"/>
      <c r="R23" s="10"/>
    </row>
    <row r="24" spans="2:18" s="3" customFormat="1" ht="15" thickBot="1" x14ac:dyDescent="0.25">
      <c r="B24" s="99" t="s">
        <v>3</v>
      </c>
      <c r="C24" s="225" t="s">
        <v>726</v>
      </c>
      <c r="D24" s="91" t="s">
        <v>301</v>
      </c>
      <c r="E24" s="72" t="s">
        <v>7</v>
      </c>
      <c r="F24" s="20">
        <v>16</v>
      </c>
      <c r="G24" s="5"/>
      <c r="I24" s="5"/>
      <c r="J24" s="5"/>
      <c r="O24" s="10"/>
      <c r="P24" s="10"/>
      <c r="Q24" s="10"/>
      <c r="R24" s="10"/>
    </row>
    <row r="25" spans="2:18" s="3" customFormat="1" ht="15" thickBot="1" x14ac:dyDescent="0.25">
      <c r="B25" s="99" t="s">
        <v>3</v>
      </c>
      <c r="C25" s="69" t="s">
        <v>297</v>
      </c>
      <c r="D25" s="91" t="s">
        <v>302</v>
      </c>
      <c r="E25" s="72" t="s">
        <v>7</v>
      </c>
      <c r="F25" s="376">
        <f>(F17*F18)+(F20*F21)</f>
        <v>15.96</v>
      </c>
      <c r="G25" s="5"/>
      <c r="I25" s="5"/>
      <c r="J25" s="5"/>
      <c r="O25" s="10"/>
      <c r="P25" s="10"/>
      <c r="Q25" s="10"/>
      <c r="R25" s="10"/>
    </row>
    <row r="26" spans="2:18" s="3" customFormat="1" ht="15" thickBot="1" x14ac:dyDescent="0.25">
      <c r="B26" s="99" t="s">
        <v>3</v>
      </c>
      <c r="C26" s="69" t="s">
        <v>298</v>
      </c>
      <c r="D26" s="91" t="s">
        <v>303</v>
      </c>
      <c r="E26" s="72" t="s">
        <v>7</v>
      </c>
      <c r="F26" s="20">
        <v>3.2</v>
      </c>
      <c r="G26" s="5"/>
      <c r="I26" s="5"/>
      <c r="J26" s="5"/>
      <c r="O26" s="10"/>
      <c r="P26" s="10"/>
      <c r="Q26" s="10"/>
      <c r="R26" s="10"/>
    </row>
    <row r="27" spans="2:18" s="3" customFormat="1" ht="14.25" thickBot="1" x14ac:dyDescent="0.25">
      <c r="B27" s="99" t="s">
        <v>3</v>
      </c>
      <c r="C27" s="69" t="s">
        <v>8</v>
      </c>
      <c r="D27" s="92" t="s">
        <v>299</v>
      </c>
      <c r="E27" s="72"/>
      <c r="F27" s="20">
        <v>0.85</v>
      </c>
      <c r="G27" s="5" t="s">
        <v>5</v>
      </c>
      <c r="I27" s="5"/>
      <c r="J27" s="5"/>
    </row>
    <row r="28" spans="2:18" s="3" customFormat="1" ht="15" thickBot="1" x14ac:dyDescent="0.25">
      <c r="B28" s="373" t="s">
        <v>11</v>
      </c>
      <c r="C28" s="372" t="s">
        <v>690</v>
      </c>
      <c r="D28" s="375" t="s">
        <v>691</v>
      </c>
      <c r="E28" s="374" t="s">
        <v>67</v>
      </c>
      <c r="F28" s="376">
        <f>F203+F204</f>
        <v>7</v>
      </c>
      <c r="G28" s="5"/>
      <c r="I28" s="5"/>
      <c r="J28" s="5"/>
    </row>
    <row r="29" spans="2:18" s="3" customFormat="1" ht="311.25" customHeight="1" thickBot="1" x14ac:dyDescent="0.25">
      <c r="B29" s="191"/>
      <c r="C29" s="192"/>
      <c r="D29" s="193"/>
      <c r="E29" s="194"/>
      <c r="F29" s="195"/>
      <c r="G29" s="5"/>
      <c r="I29" s="5"/>
      <c r="J29" s="5"/>
    </row>
    <row r="30" spans="2:18" s="3" customFormat="1" ht="15" thickBot="1" x14ac:dyDescent="0.25">
      <c r="B30" s="99" t="s">
        <v>3</v>
      </c>
      <c r="C30" s="69" t="s">
        <v>305</v>
      </c>
      <c r="D30" s="91" t="s">
        <v>304</v>
      </c>
      <c r="E30" s="72" t="s">
        <v>4</v>
      </c>
      <c r="F30" s="150">
        <v>90</v>
      </c>
      <c r="G30" s="5"/>
      <c r="I30" s="5"/>
      <c r="J30" s="5"/>
    </row>
    <row r="31" spans="2:18" s="3" customFormat="1" ht="15" thickBot="1" x14ac:dyDescent="0.25">
      <c r="B31" s="99" t="s">
        <v>3</v>
      </c>
      <c r="C31" s="69" t="s">
        <v>311</v>
      </c>
      <c r="D31" s="91" t="s">
        <v>312</v>
      </c>
      <c r="E31" s="72" t="s">
        <v>4</v>
      </c>
      <c r="F31" s="20">
        <v>14</v>
      </c>
      <c r="I31" s="5"/>
      <c r="J31" s="5"/>
    </row>
    <row r="32" spans="2:18" s="3" customFormat="1" ht="15" thickBot="1" x14ac:dyDescent="0.25">
      <c r="B32" s="99" t="s">
        <v>3</v>
      </c>
      <c r="C32" s="69" t="s">
        <v>363</v>
      </c>
      <c r="D32" s="91" t="s">
        <v>310</v>
      </c>
      <c r="E32" s="103" t="s">
        <v>4</v>
      </c>
      <c r="F32" s="20">
        <v>0.6</v>
      </c>
      <c r="G32" s="5" t="s">
        <v>5</v>
      </c>
      <c r="I32" s="5"/>
      <c r="J32" s="5"/>
      <c r="O32" s="10"/>
      <c r="P32" s="10"/>
      <c r="Q32" s="10"/>
      <c r="R32" s="10"/>
    </row>
    <row r="33" spans="2:18" s="3" customFormat="1" ht="15" thickBot="1" x14ac:dyDescent="0.25">
      <c r="B33" s="99" t="s">
        <v>3</v>
      </c>
      <c r="C33" s="104" t="s">
        <v>727</v>
      </c>
      <c r="D33" s="104" t="s">
        <v>519</v>
      </c>
      <c r="E33" s="72"/>
      <c r="F33" s="208" t="str">
        <f>C5</f>
        <v>ICE5QR4780AZ</v>
      </c>
      <c r="G33" s="5" t="s">
        <v>5</v>
      </c>
      <c r="I33" s="5"/>
      <c r="J33" s="5"/>
      <c r="O33" s="10"/>
      <c r="P33" s="10"/>
      <c r="Q33" s="10"/>
      <c r="R33" s="10"/>
    </row>
    <row r="34" spans="2:18" s="3" customFormat="1" ht="15" thickBot="1" x14ac:dyDescent="0.25">
      <c r="B34" s="99" t="s">
        <v>3</v>
      </c>
      <c r="C34" s="99" t="s">
        <v>472</v>
      </c>
      <c r="D34" s="91" t="s">
        <v>374</v>
      </c>
      <c r="E34" s="72" t="s">
        <v>10</v>
      </c>
      <c r="F34" s="20">
        <v>55000</v>
      </c>
      <c r="G34" s="5" t="s">
        <v>5</v>
      </c>
      <c r="I34" s="5"/>
      <c r="J34" s="5"/>
      <c r="O34" s="10"/>
      <c r="P34" s="10"/>
      <c r="Q34" s="10"/>
      <c r="R34" s="10"/>
    </row>
    <row r="35" spans="2:18" s="3" customFormat="1" ht="15" thickBot="1" x14ac:dyDescent="0.25">
      <c r="B35" s="99" t="s">
        <v>3</v>
      </c>
      <c r="C35" s="225" t="s">
        <v>728</v>
      </c>
      <c r="D35" s="91" t="s">
        <v>308</v>
      </c>
      <c r="E35" s="72" t="s">
        <v>4</v>
      </c>
      <c r="F35" s="20">
        <v>600</v>
      </c>
      <c r="I35" s="5"/>
      <c r="J35" s="5"/>
    </row>
    <row r="36" spans="2:18" s="3" customFormat="1" ht="15" thickBot="1" x14ac:dyDescent="0.25">
      <c r="B36" s="99" t="s">
        <v>3</v>
      </c>
      <c r="C36" s="69" t="s">
        <v>150</v>
      </c>
      <c r="D36" s="91" t="s">
        <v>238</v>
      </c>
      <c r="E36" s="103" t="s">
        <v>306</v>
      </c>
      <c r="F36" s="20">
        <v>50</v>
      </c>
      <c r="I36" s="5"/>
      <c r="J36" s="5"/>
    </row>
    <row r="37" spans="2:18" s="3" customFormat="1" x14ac:dyDescent="0.2">
      <c r="B37" s="145" t="s">
        <v>313</v>
      </c>
      <c r="C37" s="23"/>
      <c r="D37" s="38"/>
      <c r="E37" s="24"/>
      <c r="F37" s="63"/>
      <c r="I37" s="5"/>
      <c r="J37" s="5"/>
    </row>
    <row r="38" spans="2:18" s="3" customFormat="1" ht="15.75" x14ac:dyDescent="0.2">
      <c r="B38" s="100" t="s">
        <v>11</v>
      </c>
      <c r="C38" s="97" t="s">
        <v>366</v>
      </c>
      <c r="D38" s="94" t="s">
        <v>367</v>
      </c>
      <c r="E38" s="101" t="s">
        <v>7</v>
      </c>
      <c r="F38" s="189">
        <f>F24/F27</f>
        <v>18.823529411764707</v>
      </c>
      <c r="G38" s="27" t="s">
        <v>5</v>
      </c>
      <c r="I38" s="26"/>
      <c r="J38" s="5"/>
    </row>
    <row r="39" spans="2:18" s="3" customFormat="1" ht="15.75" x14ac:dyDescent="0.2">
      <c r="B39" s="100" t="s">
        <v>11</v>
      </c>
      <c r="C39" s="97" t="s">
        <v>107</v>
      </c>
      <c r="D39" s="94" t="s">
        <v>314</v>
      </c>
      <c r="E39" s="101" t="s">
        <v>13</v>
      </c>
      <c r="F39" s="190">
        <f>F38/F13/0.6</f>
        <v>0.3690888119953864</v>
      </c>
      <c r="G39" s="28"/>
      <c r="I39" s="26"/>
      <c r="J39" s="5"/>
    </row>
    <row r="40" spans="2:18" s="3" customFormat="1" ht="15.75" x14ac:dyDescent="0.2">
      <c r="B40" s="100" t="s">
        <v>11</v>
      </c>
      <c r="C40" s="97" t="s">
        <v>109</v>
      </c>
      <c r="D40" s="94" t="s">
        <v>316</v>
      </c>
      <c r="E40" s="95" t="s">
        <v>4</v>
      </c>
      <c r="F40" s="30">
        <f>F$14*SQRT(2)</f>
        <v>452.54833995939043</v>
      </c>
      <c r="G40" s="27"/>
      <c r="I40" s="26"/>
      <c r="J40" s="5"/>
    </row>
    <row r="41" spans="2:18" s="3" customFormat="1" ht="15.75" x14ac:dyDescent="0.2">
      <c r="B41" s="100" t="s">
        <v>11</v>
      </c>
      <c r="C41" s="97" t="s">
        <v>108</v>
      </c>
      <c r="D41" s="94" t="s">
        <v>317</v>
      </c>
      <c r="E41" s="101" t="s">
        <v>4</v>
      </c>
      <c r="F41" s="29">
        <f>F13*SQRT(2)</f>
        <v>120.20815280171308</v>
      </c>
    </row>
    <row r="42" spans="2:18" s="3" customFormat="1" ht="15.75" x14ac:dyDescent="0.2">
      <c r="B42" s="100" t="s">
        <v>11</v>
      </c>
      <c r="C42" s="97" t="s">
        <v>390</v>
      </c>
      <c r="D42" s="94" t="s">
        <v>315</v>
      </c>
      <c r="E42" s="95" t="s">
        <v>4</v>
      </c>
      <c r="F42" s="30">
        <f>SQRT(F41^2-2*F44/(F48*0.000001))</f>
        <v>95.685405580450137</v>
      </c>
      <c r="G42" s="31"/>
      <c r="I42" s="26"/>
      <c r="J42" s="5"/>
    </row>
    <row r="43" spans="2:18" s="3" customFormat="1" ht="15.75" x14ac:dyDescent="0.2">
      <c r="B43" s="100" t="s">
        <v>11</v>
      </c>
      <c r="C43" s="97" t="s">
        <v>110</v>
      </c>
      <c r="D43" s="94" t="s">
        <v>239</v>
      </c>
      <c r="E43" s="101" t="s">
        <v>14</v>
      </c>
      <c r="F43" s="29">
        <f>(1000/(4*F15))*(1+(ASIN((F41-F16)/F41)*180/PI()/90))</f>
        <v>6.6096065999451623</v>
      </c>
      <c r="G43" s="27" t="s">
        <v>5</v>
      </c>
      <c r="I43" s="26"/>
      <c r="J43" s="5"/>
    </row>
    <row r="44" spans="2:18" s="3" customFormat="1" ht="15.75" x14ac:dyDescent="0.2">
      <c r="B44" s="100" t="s">
        <v>11</v>
      </c>
      <c r="C44" s="97" t="s">
        <v>111</v>
      </c>
      <c r="D44" s="94" t="s">
        <v>318</v>
      </c>
      <c r="E44" s="101" t="s">
        <v>15</v>
      </c>
      <c r="F44" s="29">
        <f>F38*F43/1000</f>
        <v>0.12441612423426189</v>
      </c>
      <c r="G44" s="27"/>
      <c r="I44" s="26"/>
      <c r="J44" s="5"/>
    </row>
    <row r="45" spans="2:18" s="3" customFormat="1" ht="16.5" thickBot="1" x14ac:dyDescent="0.25">
      <c r="B45" s="100" t="s">
        <v>11</v>
      </c>
      <c r="C45" s="97" t="s">
        <v>391</v>
      </c>
      <c r="D45" s="94" t="s">
        <v>365</v>
      </c>
      <c r="E45" s="101"/>
      <c r="F45" s="331">
        <f>F30/(F30+F42)</f>
        <v>0.48469075810595441</v>
      </c>
      <c r="G45" s="27"/>
      <c r="I45" s="26"/>
      <c r="J45" s="5"/>
    </row>
    <row r="46" spans="2:18" s="3" customFormat="1" x14ac:dyDescent="0.2">
      <c r="B46" s="145" t="s">
        <v>364</v>
      </c>
      <c r="C46" s="23"/>
      <c r="D46" s="23"/>
      <c r="E46" s="24"/>
      <c r="F46" s="25"/>
      <c r="I46" s="26"/>
      <c r="J46" s="5"/>
    </row>
    <row r="47" spans="2:18" s="3" customFormat="1" ht="15.75" x14ac:dyDescent="0.2">
      <c r="B47" s="100" t="s">
        <v>11</v>
      </c>
      <c r="C47" s="97" t="s">
        <v>394</v>
      </c>
      <c r="D47" s="94" t="s">
        <v>392</v>
      </c>
      <c r="E47" s="95" t="s">
        <v>12</v>
      </c>
      <c r="F47" s="93">
        <f>(2*F44/(F41^2-(F41-F16)^2))*1000000</f>
        <v>47.038681383758082</v>
      </c>
      <c r="I47" s="26"/>
      <c r="J47" s="5"/>
    </row>
    <row r="48" spans="2:18" s="3" customFormat="1" ht="15" thickBot="1" x14ac:dyDescent="0.25">
      <c r="B48" s="99" t="s">
        <v>3</v>
      </c>
      <c r="C48" s="21" t="s">
        <v>106</v>
      </c>
      <c r="D48" s="69" t="s">
        <v>393</v>
      </c>
      <c r="E48" s="72" t="s">
        <v>12</v>
      </c>
      <c r="F48" s="96">
        <v>47</v>
      </c>
      <c r="I48" s="26"/>
      <c r="J48" s="5"/>
    </row>
    <row r="49" spans="1:33" s="3" customFormat="1" x14ac:dyDescent="0.2">
      <c r="B49" s="146" t="s">
        <v>319</v>
      </c>
      <c r="D49" s="78"/>
      <c r="E49" s="13"/>
    </row>
    <row r="50" spans="1:33" s="3" customFormat="1" ht="15.75" x14ac:dyDescent="0.2">
      <c r="A50" s="32"/>
      <c r="B50" s="102" t="s">
        <v>11</v>
      </c>
      <c r="C50" s="332" t="s">
        <v>395</v>
      </c>
      <c r="D50" s="94" t="s">
        <v>240</v>
      </c>
      <c r="E50" s="95" t="s">
        <v>16</v>
      </c>
      <c r="F50" s="207">
        <f>1/((1/F42)*SQRT(2*F34*F38)*(F42/F30+1)+(PI()*F34*SQRT(F28*10^-12)))^2</f>
        <v>1.0088406770811169E-3</v>
      </c>
    </row>
    <row r="51" spans="1:33" s="3" customFormat="1" ht="15.75" x14ac:dyDescent="0.2">
      <c r="A51" s="32"/>
      <c r="B51" s="102" t="s">
        <v>11</v>
      </c>
      <c r="C51" s="97" t="s">
        <v>326</v>
      </c>
      <c r="D51" s="94" t="s">
        <v>322</v>
      </c>
      <c r="E51" s="95" t="s">
        <v>13</v>
      </c>
      <c r="F51" s="30">
        <f>F38/(F42*F45)</f>
        <v>0.40587342471996596</v>
      </c>
    </row>
    <row r="52" spans="1:33" s="3" customFormat="1" x14ac:dyDescent="0.2">
      <c r="B52" s="102" t="s">
        <v>11</v>
      </c>
      <c r="C52" s="97" t="s">
        <v>112</v>
      </c>
      <c r="D52" s="94" t="s">
        <v>323</v>
      </c>
      <c r="E52" s="95" t="s">
        <v>13</v>
      </c>
      <c r="F52" s="335">
        <f>F42*F45/(F50*F34)</f>
        <v>0.83584387909224644</v>
      </c>
      <c r="I52" s="5"/>
      <c r="J52" s="5"/>
    </row>
    <row r="53" spans="1:33" s="3" customFormat="1" ht="15.75" x14ac:dyDescent="0.2">
      <c r="B53" s="102" t="s">
        <v>11</v>
      </c>
      <c r="C53" s="97" t="s">
        <v>113</v>
      </c>
      <c r="D53" s="94" t="s">
        <v>320</v>
      </c>
      <c r="E53" s="95" t="s">
        <v>13</v>
      </c>
      <c r="F53" s="30">
        <f>F51+(F52/2)</f>
        <v>0.82379536426608913</v>
      </c>
      <c r="I53" s="5"/>
      <c r="J53" s="5"/>
    </row>
    <row r="54" spans="1:33" s="3" customFormat="1" ht="15.75" x14ac:dyDescent="0.2">
      <c r="B54" s="102" t="s">
        <v>11</v>
      </c>
      <c r="C54" s="97" t="s">
        <v>396</v>
      </c>
      <c r="D54" s="94" t="s">
        <v>324</v>
      </c>
      <c r="E54" s="95" t="s">
        <v>13</v>
      </c>
      <c r="F54" s="336">
        <f>F53-F52</f>
        <v>-1.2048514826157319E-2</v>
      </c>
      <c r="I54" s="23"/>
      <c r="J54" s="5"/>
    </row>
    <row r="55" spans="1:33" s="3" customFormat="1" ht="16.5" thickBot="1" x14ac:dyDescent="0.25">
      <c r="B55" s="102" t="s">
        <v>11</v>
      </c>
      <c r="C55" s="97" t="s">
        <v>397</v>
      </c>
      <c r="D55" s="94" t="s">
        <v>321</v>
      </c>
      <c r="E55" s="95" t="s">
        <v>13</v>
      </c>
      <c r="F55" s="33">
        <f>SQRT((3*F51^2+(F52/2)^2)*F45/3)</f>
        <v>0.32872963216390977</v>
      </c>
      <c r="I55" s="5"/>
    </row>
    <row r="56" spans="1:33" s="3" customFormat="1" x14ac:dyDescent="0.2">
      <c r="B56" s="11" t="s">
        <v>345</v>
      </c>
      <c r="D56" s="58"/>
      <c r="E56" s="36"/>
      <c r="F56" s="37"/>
      <c r="K56" s="34"/>
      <c r="L56" s="34"/>
    </row>
    <row r="57" spans="1:33" s="3" customFormat="1" x14ac:dyDescent="0.2">
      <c r="B57" s="99" t="s">
        <v>3</v>
      </c>
      <c r="C57" s="104" t="s">
        <v>17</v>
      </c>
      <c r="D57" s="105"/>
      <c r="E57" s="106"/>
      <c r="F57" s="141">
        <v>1</v>
      </c>
      <c r="G57" s="5"/>
      <c r="H57" s="380"/>
      <c r="I57" s="64">
        <v>1</v>
      </c>
      <c r="J57" s="64">
        <v>2</v>
      </c>
      <c r="K57" s="64">
        <v>3</v>
      </c>
      <c r="L57" s="64">
        <v>4</v>
      </c>
      <c r="M57" s="64">
        <v>5</v>
      </c>
      <c r="N57" s="64">
        <v>6</v>
      </c>
      <c r="O57" s="64">
        <v>7</v>
      </c>
      <c r="P57" s="64">
        <v>8</v>
      </c>
      <c r="Q57" s="64">
        <v>9</v>
      </c>
      <c r="R57" s="402">
        <v>10</v>
      </c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</row>
    <row r="58" spans="1:33" s="3" customFormat="1" x14ac:dyDescent="0.2">
      <c r="B58" s="108"/>
      <c r="C58" s="109"/>
      <c r="D58" s="94" t="s">
        <v>85</v>
      </c>
      <c r="E58" s="110"/>
      <c r="F58" s="111" t="str">
        <f t="shared" ref="F58:F64" si="0">IF($F$57=1,I58,IF($F$57=2,J58,IF($F$57=3,K58,IF($F$57=4,L58,IF($F$57=5,M58,IF($F$57=6,N58,IF($F$57=7,O58,IF($F$57=8,P58,IF($F$57=9,Q58,IF($F$57&gt;=10,R58))))))))))</f>
        <v>EE20/10/6</v>
      </c>
      <c r="G58" s="65"/>
      <c r="H58" s="162" t="s">
        <v>85</v>
      </c>
      <c r="I58" s="392" t="s">
        <v>474</v>
      </c>
      <c r="J58" s="393" t="s">
        <v>18</v>
      </c>
      <c r="K58" s="394" t="s">
        <v>19</v>
      </c>
      <c r="L58" s="394" t="s">
        <v>20</v>
      </c>
      <c r="M58" s="394" t="s">
        <v>21</v>
      </c>
      <c r="N58" s="394" t="s">
        <v>22</v>
      </c>
      <c r="O58" s="395" t="s">
        <v>160</v>
      </c>
      <c r="P58" s="396" t="s">
        <v>693</v>
      </c>
      <c r="Q58" s="397" t="s">
        <v>692</v>
      </c>
      <c r="R58" s="397" t="s">
        <v>698</v>
      </c>
      <c r="U58" s="82"/>
      <c r="V58" s="83"/>
      <c r="W58" s="83"/>
      <c r="X58" s="84"/>
      <c r="Y58" s="84"/>
      <c r="Z58" s="84"/>
      <c r="AA58" s="84"/>
      <c r="AB58" s="85"/>
      <c r="AC58" s="85"/>
      <c r="AD58" s="85"/>
      <c r="AE58" s="85"/>
      <c r="AF58" s="85"/>
      <c r="AG58" s="85"/>
    </row>
    <row r="59" spans="1:33" s="3" customFormat="1" x14ac:dyDescent="0.2">
      <c r="B59" s="108"/>
      <c r="C59" s="109"/>
      <c r="D59" s="94" t="s">
        <v>105</v>
      </c>
      <c r="E59" s="110"/>
      <c r="F59" s="142" t="str">
        <f t="shared" si="0"/>
        <v>TP4A(TDG)</v>
      </c>
      <c r="G59" s="65"/>
      <c r="H59" s="163" t="s">
        <v>105</v>
      </c>
      <c r="I59" s="398" t="s">
        <v>475</v>
      </c>
      <c r="J59" s="399" t="s">
        <v>204</v>
      </c>
      <c r="K59" s="399" t="s">
        <v>204</v>
      </c>
      <c r="L59" s="399" t="s">
        <v>204</v>
      </c>
      <c r="M59" s="399" t="s">
        <v>204</v>
      </c>
      <c r="N59" s="399" t="s">
        <v>204</v>
      </c>
      <c r="O59" s="400" t="s">
        <v>204</v>
      </c>
      <c r="P59" s="401" t="s">
        <v>475</v>
      </c>
      <c r="Q59" s="403" t="s">
        <v>475</v>
      </c>
      <c r="R59" s="403"/>
      <c r="U59" s="74"/>
      <c r="V59" s="86"/>
      <c r="W59" s="84"/>
      <c r="X59" s="84"/>
      <c r="Y59" s="84"/>
      <c r="Z59" s="84"/>
      <c r="AA59" s="84"/>
      <c r="AB59" s="86"/>
      <c r="AC59" s="86"/>
      <c r="AD59" s="86"/>
      <c r="AE59" s="86"/>
      <c r="AF59" s="86"/>
      <c r="AG59" s="86"/>
    </row>
    <row r="60" spans="1:33" s="3" customFormat="1" ht="19.5" x14ac:dyDescent="0.2">
      <c r="B60" s="108"/>
      <c r="C60" s="97" t="s">
        <v>400</v>
      </c>
      <c r="D60" s="112" t="s">
        <v>399</v>
      </c>
      <c r="E60" s="95" t="s">
        <v>29</v>
      </c>
      <c r="F60" s="142">
        <f>IF($F$57=1,I60,IF($F$57=2,J60,IF($F$57=3,K60,IF($F$57=4,L60,IF($F$57=5,M60,IF($F$57=6,N60,IF($F$57=7,O60,IF($F$57=8,P60,IF($F$57=9,Q60,IF($F$57&gt;=10,R60))))))))))</f>
        <v>0.3</v>
      </c>
      <c r="G60" s="65"/>
      <c r="H60" s="163" t="s">
        <v>30</v>
      </c>
      <c r="I60" s="74">
        <v>0.3</v>
      </c>
      <c r="J60" s="74">
        <v>0.3</v>
      </c>
      <c r="K60" s="74">
        <v>0.3</v>
      </c>
      <c r="L60" s="74">
        <v>0.3</v>
      </c>
      <c r="M60" s="74">
        <v>0.3</v>
      </c>
      <c r="N60" s="74">
        <v>0.3</v>
      </c>
      <c r="O60" s="74">
        <v>0.3</v>
      </c>
      <c r="P60" s="381">
        <v>0.3</v>
      </c>
      <c r="Q60" s="382">
        <v>0.3</v>
      </c>
      <c r="R60" s="382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s="3" customFormat="1" ht="15.75" x14ac:dyDescent="0.2">
      <c r="B61" s="108"/>
      <c r="C61" s="97" t="s">
        <v>402</v>
      </c>
      <c r="D61" s="112" t="s">
        <v>401</v>
      </c>
      <c r="E61" s="95" t="s">
        <v>28</v>
      </c>
      <c r="F61" s="142">
        <f>IF($F$57=1,I61,IF($F$57=2,J61,IF($F$57=3,K61,IF($F$57=4,L61,IF($F$57=5,M61,IF($F$57=6,N61,IF($F$57=7,O61,IF($F$57=8,P61,IF($F$57=9,Q61,IF($F$57&gt;=10,R61))))))))))</f>
        <v>32</v>
      </c>
      <c r="G61" s="65"/>
      <c r="H61" s="163" t="s">
        <v>27</v>
      </c>
      <c r="I61" s="161">
        <v>32</v>
      </c>
      <c r="J61" s="161">
        <v>52</v>
      </c>
      <c r="K61" s="161">
        <v>60</v>
      </c>
      <c r="L61" s="161">
        <v>83</v>
      </c>
      <c r="M61" s="161">
        <v>120</v>
      </c>
      <c r="N61" s="161">
        <v>178</v>
      </c>
      <c r="O61" s="159">
        <v>76</v>
      </c>
      <c r="P61" s="381">
        <v>82.1</v>
      </c>
      <c r="Q61" s="382">
        <v>81.400000000000006</v>
      </c>
      <c r="R61" s="382"/>
    </row>
    <row r="62" spans="1:33" s="3" customFormat="1" x14ac:dyDescent="0.2">
      <c r="B62" s="108"/>
      <c r="C62" s="97" t="s">
        <v>403</v>
      </c>
      <c r="D62" s="113" t="s">
        <v>24</v>
      </c>
      <c r="E62" s="95" t="s">
        <v>23</v>
      </c>
      <c r="F62" s="142">
        <f t="shared" si="0"/>
        <v>11</v>
      </c>
      <c r="G62" s="65"/>
      <c r="H62" s="163" t="s">
        <v>24</v>
      </c>
      <c r="I62" s="161">
        <v>11</v>
      </c>
      <c r="J62" s="161">
        <v>15.6</v>
      </c>
      <c r="K62" s="161">
        <v>17.5</v>
      </c>
      <c r="L62" s="161">
        <v>20.100000000000001</v>
      </c>
      <c r="M62" s="161">
        <v>21.5</v>
      </c>
      <c r="N62" s="161">
        <v>26.3</v>
      </c>
      <c r="O62" s="159">
        <v>21</v>
      </c>
      <c r="P62" s="381">
        <v>16</v>
      </c>
      <c r="Q62" s="382">
        <v>21.69</v>
      </c>
      <c r="R62" s="382"/>
    </row>
    <row r="63" spans="1:33" s="3" customFormat="1" ht="19.5" x14ac:dyDescent="0.2">
      <c r="B63" s="108"/>
      <c r="C63" s="97" t="s">
        <v>405</v>
      </c>
      <c r="D63" s="113" t="s">
        <v>404</v>
      </c>
      <c r="E63" s="95" t="s">
        <v>26</v>
      </c>
      <c r="F63" s="142">
        <f t="shared" si="0"/>
        <v>34</v>
      </c>
      <c r="G63" s="65"/>
      <c r="H63" s="163" t="s">
        <v>25</v>
      </c>
      <c r="I63" s="161">
        <v>34</v>
      </c>
      <c r="J63" s="161">
        <v>61</v>
      </c>
      <c r="K63" s="161">
        <v>90</v>
      </c>
      <c r="L63" s="161">
        <v>108.5</v>
      </c>
      <c r="M63" s="161">
        <v>122.5</v>
      </c>
      <c r="N63" s="161">
        <v>177</v>
      </c>
      <c r="O63" s="159">
        <v>97</v>
      </c>
      <c r="P63" s="381">
        <v>68.8</v>
      </c>
      <c r="Q63" s="382">
        <v>95.21</v>
      </c>
      <c r="R63" s="382"/>
    </row>
    <row r="64" spans="1:33" s="3" customFormat="1" ht="16.5" thickBot="1" x14ac:dyDescent="0.25">
      <c r="B64" s="108"/>
      <c r="C64" s="97" t="s">
        <v>407</v>
      </c>
      <c r="D64" s="113" t="s">
        <v>406</v>
      </c>
      <c r="E64" s="95" t="s">
        <v>23</v>
      </c>
      <c r="F64" s="143">
        <f t="shared" si="0"/>
        <v>41.2</v>
      </c>
      <c r="G64" s="160"/>
      <c r="H64" s="166" t="s">
        <v>350</v>
      </c>
      <c r="I64" s="164">
        <v>41.2</v>
      </c>
      <c r="J64" s="164">
        <v>50</v>
      </c>
      <c r="K64" s="164">
        <v>56</v>
      </c>
      <c r="L64" s="164">
        <v>64.400000000000006</v>
      </c>
      <c r="M64" s="164">
        <v>76.400000000000006</v>
      </c>
      <c r="N64" s="164">
        <v>87</v>
      </c>
      <c r="O64" s="165">
        <v>52.8</v>
      </c>
      <c r="P64" s="383">
        <v>50</v>
      </c>
      <c r="Q64" s="384">
        <v>48.9</v>
      </c>
      <c r="R64" s="384"/>
    </row>
    <row r="65" spans="1:15" s="3" customFormat="1" x14ac:dyDescent="0.2">
      <c r="A65" s="144"/>
      <c r="B65" s="11" t="s">
        <v>346</v>
      </c>
      <c r="D65" s="79" t="s">
        <v>31</v>
      </c>
      <c r="E65" s="34"/>
      <c r="F65" s="3" t="s">
        <v>5</v>
      </c>
      <c r="G65" s="3" t="s">
        <v>5</v>
      </c>
    </row>
    <row r="66" spans="1:15" s="3" customFormat="1" ht="16.5" thickBot="1" x14ac:dyDescent="0.25">
      <c r="B66" s="102" t="s">
        <v>11</v>
      </c>
      <c r="C66" s="332" t="s">
        <v>655</v>
      </c>
      <c r="D66" s="112" t="s">
        <v>153</v>
      </c>
      <c r="E66" s="95" t="s">
        <v>32</v>
      </c>
      <c r="F66" s="114">
        <f>F53*F50*1000000/(F60*F61)</f>
        <v>86.570653444009039</v>
      </c>
      <c r="G66" s="39" t="s">
        <v>5</v>
      </c>
      <c r="I66" s="5"/>
      <c r="J66" s="26" t="s">
        <v>5</v>
      </c>
      <c r="N66" s="5"/>
    </row>
    <row r="67" spans="1:15" s="3" customFormat="1" ht="15" thickBot="1" x14ac:dyDescent="0.25">
      <c r="B67" s="99" t="s">
        <v>3</v>
      </c>
      <c r="C67" s="99" t="s">
        <v>33</v>
      </c>
      <c r="D67" s="91" t="s">
        <v>157</v>
      </c>
      <c r="E67" s="72" t="s">
        <v>32</v>
      </c>
      <c r="F67" s="115">
        <v>88</v>
      </c>
      <c r="G67" s="39"/>
      <c r="I67" s="62"/>
      <c r="J67" s="26"/>
    </row>
    <row r="68" spans="1:15" s="3" customFormat="1" ht="16.5" thickBot="1" x14ac:dyDescent="0.25">
      <c r="B68" s="102" t="s">
        <v>11</v>
      </c>
      <c r="C68" s="332" t="s">
        <v>330</v>
      </c>
      <c r="D68" s="209" t="s">
        <v>515</v>
      </c>
      <c r="E68" s="95" t="s">
        <v>32</v>
      </c>
      <c r="F68" s="116">
        <f>F$67*(F$17+F$19)/F$30</f>
        <v>12.026666666666667</v>
      </c>
      <c r="G68" s="39" t="s">
        <v>5</v>
      </c>
      <c r="I68" s="5"/>
      <c r="J68" s="26" t="s">
        <v>5</v>
      </c>
    </row>
    <row r="69" spans="1:15" s="3" customFormat="1" ht="15" thickBot="1" x14ac:dyDescent="0.25">
      <c r="B69" s="99" t="s">
        <v>3</v>
      </c>
      <c r="C69" s="99" t="s">
        <v>34</v>
      </c>
      <c r="D69" s="210" t="s">
        <v>516</v>
      </c>
      <c r="E69" s="72" t="s">
        <v>32</v>
      </c>
      <c r="F69" s="115">
        <v>12</v>
      </c>
      <c r="G69" s="3" t="s">
        <v>5</v>
      </c>
      <c r="I69" s="5"/>
      <c r="J69" s="35"/>
      <c r="O69" s="5"/>
    </row>
    <row r="70" spans="1:15" s="3" customFormat="1" ht="16.5" thickBot="1" x14ac:dyDescent="0.25">
      <c r="B70" s="102" t="s">
        <v>11</v>
      </c>
      <c r="C70" s="332" t="s">
        <v>330</v>
      </c>
      <c r="D70" s="209" t="s">
        <v>517</v>
      </c>
      <c r="E70" s="95" t="s">
        <v>32</v>
      </c>
      <c r="F70" s="116">
        <f>F$67*(F$20+F$22)/F$30</f>
        <v>0</v>
      </c>
      <c r="I70" s="5"/>
      <c r="J70" s="35"/>
      <c r="O70" s="5"/>
    </row>
    <row r="71" spans="1:15" s="3" customFormat="1" ht="15" thickBot="1" x14ac:dyDescent="0.25">
      <c r="B71" s="99" t="s">
        <v>3</v>
      </c>
      <c r="C71" s="99" t="s">
        <v>34</v>
      </c>
      <c r="D71" s="210" t="s">
        <v>518</v>
      </c>
      <c r="E71" s="72" t="s">
        <v>32</v>
      </c>
      <c r="F71" s="115">
        <v>5</v>
      </c>
      <c r="I71" s="5"/>
      <c r="J71" s="35"/>
      <c r="O71" s="5"/>
    </row>
    <row r="72" spans="1:15" s="3" customFormat="1" ht="16.5" thickBot="1" x14ac:dyDescent="0.25">
      <c r="B72" s="102" t="s">
        <v>11</v>
      </c>
      <c r="C72" s="332" t="s">
        <v>331</v>
      </c>
      <c r="D72" s="112" t="s">
        <v>327</v>
      </c>
      <c r="E72" s="95" t="s">
        <v>32</v>
      </c>
      <c r="F72" s="41">
        <f>(F$31+F$32)*F67/(F76)</f>
        <v>14.243902439024389</v>
      </c>
      <c r="G72" s="39"/>
      <c r="I72" s="5"/>
      <c r="J72" s="167" t="s">
        <v>5</v>
      </c>
    </row>
    <row r="73" spans="1:15" s="3" customFormat="1" ht="15" thickBot="1" x14ac:dyDescent="0.25">
      <c r="B73" s="99" t="s">
        <v>3</v>
      </c>
      <c r="C73" s="99" t="s">
        <v>120</v>
      </c>
      <c r="D73" s="117" t="s">
        <v>328</v>
      </c>
      <c r="E73" s="72" t="s">
        <v>32</v>
      </c>
      <c r="F73" s="115">
        <v>14</v>
      </c>
      <c r="G73" s="3" t="s">
        <v>5</v>
      </c>
      <c r="I73" s="5"/>
      <c r="J73" s="35"/>
      <c r="O73" s="5"/>
    </row>
    <row r="74" spans="1:15" s="3" customFormat="1" ht="16.5" thickBot="1" x14ac:dyDescent="0.25">
      <c r="B74" s="102" t="s">
        <v>11</v>
      </c>
      <c r="C74" s="118" t="s">
        <v>473</v>
      </c>
      <c r="D74" s="113" t="s">
        <v>329</v>
      </c>
      <c r="E74" s="95" t="s">
        <v>4</v>
      </c>
      <c r="F74" s="202">
        <f>(F73*F76/F67)-F32</f>
        <v>13.75</v>
      </c>
      <c r="I74" s="5"/>
      <c r="J74" s="35"/>
      <c r="O74" s="5"/>
    </row>
    <row r="75" spans="1:15" s="3" customFormat="1" x14ac:dyDescent="0.2">
      <c r="B75" s="11" t="s">
        <v>332</v>
      </c>
      <c r="C75" s="35"/>
      <c r="D75" s="43"/>
      <c r="E75" s="35"/>
      <c r="F75" s="42"/>
      <c r="I75" s="5"/>
      <c r="J75" s="35"/>
      <c r="O75" s="5"/>
    </row>
    <row r="76" spans="1:15" s="3" customFormat="1" ht="15.75" x14ac:dyDescent="0.2">
      <c r="B76" s="102" t="s">
        <v>11</v>
      </c>
      <c r="C76" s="118" t="s">
        <v>114</v>
      </c>
      <c r="D76" s="113" t="s">
        <v>241</v>
      </c>
      <c r="E76" s="95" t="s">
        <v>4</v>
      </c>
      <c r="F76" s="196">
        <f>(F17+F19)*F67/F69</f>
        <v>90.2</v>
      </c>
      <c r="G76" s="45" t="str">
        <f>IF(F79&gt;F60,"Caution Bmax too large (see note)!"," ")</f>
        <v xml:space="preserve"> </v>
      </c>
      <c r="I76" s="5"/>
      <c r="J76" s="5"/>
    </row>
    <row r="77" spans="1:15" s="3" customFormat="1" ht="15.75" x14ac:dyDescent="0.2">
      <c r="B77" s="102" t="s">
        <v>11</v>
      </c>
      <c r="C77" s="118" t="s">
        <v>115</v>
      </c>
      <c r="D77" s="112" t="s">
        <v>365</v>
      </c>
      <c r="E77" s="119"/>
      <c r="F77" s="44">
        <f>F50*(F53-F54)*F34/F42</f>
        <v>0.48469075810595441</v>
      </c>
      <c r="G77" s="45"/>
      <c r="I77" s="46"/>
      <c r="J77" s="5"/>
    </row>
    <row r="78" spans="1:15" s="3" customFormat="1" ht="15.75" x14ac:dyDescent="0.2">
      <c r="B78" s="102" t="s">
        <v>11</v>
      </c>
      <c r="C78" s="118" t="s">
        <v>398</v>
      </c>
      <c r="D78" s="112" t="s">
        <v>369</v>
      </c>
      <c r="E78" s="119"/>
      <c r="F78" s="44">
        <f>F50*(F53-F54)*F34/F76</f>
        <v>0.51416664933995671</v>
      </c>
      <c r="G78" s="45" t="str">
        <f>IF((F77+F78)&gt;1,"Caution Continous Conduction Mode(CCM) (For DCM design,Dmax cannot be higher than 0.5)!"," ")</f>
        <v xml:space="preserve"> </v>
      </c>
      <c r="I78" s="46"/>
      <c r="J78" s="5"/>
    </row>
    <row r="79" spans="1:15" s="3" customFormat="1" ht="16.5" thickBot="1" x14ac:dyDescent="0.25">
      <c r="B79" s="102" t="s">
        <v>11</v>
      </c>
      <c r="C79" s="332" t="s">
        <v>656</v>
      </c>
      <c r="D79" s="112" t="s">
        <v>399</v>
      </c>
      <c r="E79" s="95" t="s">
        <v>29</v>
      </c>
      <c r="F79" s="197">
        <f>F50*F53*1000000/(F67*F$61)</f>
        <v>0.2951272276500308</v>
      </c>
      <c r="G79" s="198" t="str">
        <f>IF(F79&gt;F60,"Caution Bmax too large (see note)!"," ")</f>
        <v xml:space="preserve"> </v>
      </c>
      <c r="I79" s="26"/>
      <c r="J79" s="5"/>
    </row>
    <row r="80" spans="1:15" s="3" customFormat="1" x14ac:dyDescent="0.2">
      <c r="B80" s="147" t="s">
        <v>325</v>
      </c>
      <c r="C80" s="47"/>
      <c r="D80" s="43"/>
      <c r="E80" s="24"/>
      <c r="F80" s="25"/>
      <c r="G80" s="5"/>
      <c r="I80" s="46"/>
      <c r="J80" s="87"/>
    </row>
    <row r="81" spans="1:17" s="3" customFormat="1" ht="14.25" x14ac:dyDescent="0.2">
      <c r="A81" s="11"/>
      <c r="B81" s="99" t="s">
        <v>3</v>
      </c>
      <c r="C81" s="69" t="s">
        <v>193</v>
      </c>
      <c r="D81" s="69" t="s">
        <v>242</v>
      </c>
      <c r="E81" s="72" t="s">
        <v>4</v>
      </c>
      <c r="F81" s="50">
        <v>1</v>
      </c>
      <c r="I81" s="5"/>
      <c r="J81" s="5"/>
    </row>
    <row r="82" spans="1:17" s="3" customFormat="1" ht="15.75" x14ac:dyDescent="0.2">
      <c r="B82" s="102" t="s">
        <v>11</v>
      </c>
      <c r="C82" s="332" t="s">
        <v>174</v>
      </c>
      <c r="D82" s="94" t="s">
        <v>389</v>
      </c>
      <c r="E82" s="95" t="s">
        <v>56</v>
      </c>
      <c r="F82" s="151">
        <f>F81/F53</f>
        <v>1.2138936966353164</v>
      </c>
      <c r="I82" s="5"/>
      <c r="J82" s="5"/>
    </row>
    <row r="83" spans="1:17" s="3" customFormat="1" ht="16.5" thickBot="1" x14ac:dyDescent="0.25">
      <c r="B83" s="102" t="s">
        <v>11</v>
      </c>
      <c r="C83" s="118" t="s">
        <v>408</v>
      </c>
      <c r="D83" s="94" t="s">
        <v>368</v>
      </c>
      <c r="E83" s="95" t="s">
        <v>7</v>
      </c>
      <c r="F83" s="152">
        <f>F55^2*F82</f>
        <v>0.13117720219133766</v>
      </c>
      <c r="I83" s="5"/>
      <c r="J83" s="5"/>
    </row>
    <row r="84" spans="1:17" s="3" customFormat="1" ht="15" thickBot="1" x14ac:dyDescent="0.25">
      <c r="B84" s="99" t="s">
        <v>3</v>
      </c>
      <c r="C84" s="69" t="s">
        <v>196</v>
      </c>
      <c r="D84" s="69" t="s">
        <v>243</v>
      </c>
      <c r="E84" s="72"/>
      <c r="F84" s="150">
        <v>2.0499999999999998</v>
      </c>
      <c r="I84" s="5"/>
      <c r="J84" s="5"/>
    </row>
    <row r="85" spans="1:17" s="5" customFormat="1" ht="16.5" thickBot="1" x14ac:dyDescent="0.25">
      <c r="A85" s="3"/>
      <c r="B85" s="102" t="s">
        <v>11</v>
      </c>
      <c r="C85" s="120" t="s">
        <v>409</v>
      </c>
      <c r="D85" s="94" t="s">
        <v>244</v>
      </c>
      <c r="E85" s="122" t="s">
        <v>129</v>
      </c>
      <c r="F85" s="48">
        <f>F84*F82/F81</f>
        <v>2.4884820781023986</v>
      </c>
      <c r="G85" s="3"/>
      <c r="H85" s="3"/>
      <c r="K85" s="3"/>
      <c r="L85" s="3"/>
      <c r="M85" s="3"/>
      <c r="N85" s="3"/>
      <c r="O85" s="3"/>
      <c r="P85" s="3"/>
      <c r="Q85" s="3"/>
    </row>
    <row r="86" spans="1:17" s="3" customFormat="1" x14ac:dyDescent="0.2">
      <c r="A86" s="5"/>
      <c r="B86" s="146" t="s">
        <v>349</v>
      </c>
      <c r="C86" s="5"/>
      <c r="D86" s="5"/>
      <c r="E86" s="5"/>
      <c r="F86" s="5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s="3" customFormat="1" ht="13.5" thickBot="1" x14ac:dyDescent="0.25">
      <c r="B87" s="99" t="s">
        <v>3</v>
      </c>
      <c r="C87" s="69" t="s">
        <v>36</v>
      </c>
      <c r="D87" s="69" t="s">
        <v>35</v>
      </c>
      <c r="E87" s="121" t="s">
        <v>23</v>
      </c>
      <c r="F87" s="20">
        <v>0</v>
      </c>
      <c r="G87" s="3" t="s">
        <v>5</v>
      </c>
      <c r="I87" s="5"/>
      <c r="J87" s="5"/>
    </row>
    <row r="88" spans="1:17" s="3" customFormat="1" ht="15" thickBot="1" x14ac:dyDescent="0.25">
      <c r="B88" s="99" t="s">
        <v>3</v>
      </c>
      <c r="C88" s="69" t="s">
        <v>37</v>
      </c>
      <c r="D88" s="69" t="s">
        <v>245</v>
      </c>
      <c r="E88" s="121"/>
      <c r="F88" s="20">
        <v>0.3</v>
      </c>
      <c r="G88" s="3" t="s">
        <v>5</v>
      </c>
      <c r="I88" s="5"/>
      <c r="J88" s="5"/>
      <c r="K88" s="5"/>
      <c r="L88" s="5"/>
      <c r="M88" s="3" t="s">
        <v>5</v>
      </c>
    </row>
    <row r="89" spans="1:17" s="3" customFormat="1" x14ac:dyDescent="0.2">
      <c r="B89" s="22" t="s">
        <v>38</v>
      </c>
      <c r="D89" s="23"/>
      <c r="E89" s="49"/>
      <c r="F89" s="24"/>
      <c r="I89" s="26"/>
      <c r="J89" s="5"/>
    </row>
    <row r="90" spans="1:17" s="3" customFormat="1" x14ac:dyDescent="0.2">
      <c r="B90" s="99" t="s">
        <v>3</v>
      </c>
      <c r="C90" s="69" t="s">
        <v>40</v>
      </c>
      <c r="D90" s="69" t="s">
        <v>39</v>
      </c>
      <c r="E90" s="121" t="s">
        <v>23</v>
      </c>
      <c r="F90" s="50">
        <v>0.02</v>
      </c>
      <c r="G90" s="3" t="s">
        <v>5</v>
      </c>
      <c r="I90" s="5"/>
      <c r="J90" s="5"/>
      <c r="K90" s="5"/>
    </row>
    <row r="91" spans="1:17" s="3" customFormat="1" ht="15.75" x14ac:dyDescent="0.2">
      <c r="B91" s="102" t="s">
        <v>11</v>
      </c>
      <c r="C91" s="97" t="s">
        <v>285</v>
      </c>
      <c r="D91" s="94" t="s">
        <v>333</v>
      </c>
      <c r="E91" s="123" t="s">
        <v>41</v>
      </c>
      <c r="F91" s="93">
        <f>0.5*F63*F88*F99/(F67*F62)</f>
        <v>5.7954545454545446E-2</v>
      </c>
      <c r="G91" s="40"/>
      <c r="I91" s="5"/>
      <c r="J91" s="5"/>
      <c r="K91" s="5"/>
    </row>
    <row r="92" spans="1:17" s="3" customFormat="1" x14ac:dyDescent="0.2">
      <c r="B92" s="102" t="s">
        <v>11</v>
      </c>
      <c r="C92" s="97" t="s">
        <v>117</v>
      </c>
      <c r="D92" s="94" t="s">
        <v>410</v>
      </c>
      <c r="E92" s="122" t="s">
        <v>23</v>
      </c>
      <c r="F92" s="129">
        <f>2*SQRT(F91/PI())</f>
        <v>0.27164318336722298</v>
      </c>
      <c r="G92" s="51"/>
      <c r="I92" s="5"/>
      <c r="J92" s="27"/>
      <c r="K92" s="5"/>
      <c r="L92" s="5"/>
    </row>
    <row r="93" spans="1:17" s="3" customFormat="1" ht="13.5" thickBot="1" x14ac:dyDescent="0.25">
      <c r="B93" s="100" t="s">
        <v>11</v>
      </c>
      <c r="C93" s="97" t="s">
        <v>116</v>
      </c>
      <c r="D93" s="94" t="s">
        <v>42</v>
      </c>
      <c r="E93" s="101"/>
      <c r="F93" s="153">
        <f>9.97*(1.8277-(2*LOG(F92)))</f>
        <v>29.508232702861491</v>
      </c>
      <c r="G93" s="4"/>
      <c r="I93" s="5"/>
      <c r="J93" s="5"/>
      <c r="K93" s="5"/>
    </row>
    <row r="94" spans="1:17" s="3" customFormat="1" x14ac:dyDescent="0.2">
      <c r="B94" s="99" t="s">
        <v>3</v>
      </c>
      <c r="C94" s="69" t="s">
        <v>43</v>
      </c>
      <c r="D94" s="69" t="s">
        <v>42</v>
      </c>
      <c r="E94" s="121"/>
      <c r="F94" s="154">
        <v>30</v>
      </c>
      <c r="I94" s="5"/>
      <c r="J94" s="5"/>
      <c r="K94" s="5"/>
      <c r="L94" s="5"/>
    </row>
    <row r="95" spans="1:17" s="385" customFormat="1" x14ac:dyDescent="0.2">
      <c r="B95" s="386" t="s">
        <v>3</v>
      </c>
      <c r="C95" s="386" t="s">
        <v>50</v>
      </c>
      <c r="D95" s="386" t="s">
        <v>49</v>
      </c>
      <c r="E95" s="387"/>
      <c r="F95" s="388">
        <v>1</v>
      </c>
      <c r="I95" s="380"/>
      <c r="J95" s="380"/>
      <c r="K95" s="380"/>
      <c r="L95" s="380"/>
    </row>
    <row r="96" spans="1:17" s="3" customFormat="1" x14ac:dyDescent="0.2">
      <c r="B96" s="102" t="s">
        <v>11</v>
      </c>
      <c r="C96" s="120" t="s">
        <v>411</v>
      </c>
      <c r="D96" s="94" t="s">
        <v>410</v>
      </c>
      <c r="E96" s="122" t="s">
        <v>23</v>
      </c>
      <c r="F96" s="151">
        <f>POWER(10,((1.8277/2)-(F94/2/9.97)))</f>
        <v>0.25664715796727061</v>
      </c>
      <c r="G96" s="51"/>
      <c r="I96" s="5"/>
      <c r="J96" s="27"/>
      <c r="K96" s="5"/>
      <c r="L96" s="5"/>
    </row>
    <row r="97" spans="2:13" s="3" customFormat="1" ht="18" x14ac:dyDescent="0.2">
      <c r="B97" s="102" t="s">
        <v>11</v>
      </c>
      <c r="C97" s="120" t="s">
        <v>412</v>
      </c>
      <c r="D97" s="94" t="s">
        <v>381</v>
      </c>
      <c r="E97" s="122" t="s">
        <v>44</v>
      </c>
      <c r="F97" s="184">
        <f>(F96/2)^2*PI()*F95</f>
        <v>5.1732420631325771E-2</v>
      </c>
      <c r="G97" s="45" t="str">
        <f>IF(F97&gt;F91,"Caution Copper Area too large!"," ")</f>
        <v xml:space="preserve"> </v>
      </c>
      <c r="I97" s="5"/>
      <c r="J97" s="27"/>
      <c r="K97" s="5"/>
      <c r="L97" s="5"/>
    </row>
    <row r="98" spans="2:13" s="3" customFormat="1" ht="18" x14ac:dyDescent="0.2">
      <c r="B98" s="102" t="s">
        <v>11</v>
      </c>
      <c r="C98" s="97" t="s">
        <v>118</v>
      </c>
      <c r="D98" s="94" t="s">
        <v>334</v>
      </c>
      <c r="E98" s="122" t="s">
        <v>45</v>
      </c>
      <c r="F98" s="30">
        <f>F55/F97</f>
        <v>6.3544220075573383</v>
      </c>
      <c r="G98" s="52" t="str">
        <f>IF(F98&gt;8,"take care of current density"," ")</f>
        <v xml:space="preserve"> </v>
      </c>
      <c r="I98" s="5"/>
      <c r="J98" s="27"/>
      <c r="K98" s="5"/>
    </row>
    <row r="99" spans="2:13" s="3" customFormat="1" ht="15.75" x14ac:dyDescent="0.2">
      <c r="B99" s="100" t="s">
        <v>11</v>
      </c>
      <c r="C99" s="97" t="s">
        <v>413</v>
      </c>
      <c r="D99" s="94" t="s">
        <v>370</v>
      </c>
      <c r="E99" s="122" t="s">
        <v>23</v>
      </c>
      <c r="F99" s="155">
        <f>F62-(2*F87)</f>
        <v>11</v>
      </c>
      <c r="G99" s="4"/>
      <c r="I99" s="5"/>
      <c r="J99" s="5"/>
      <c r="K99" s="5"/>
    </row>
    <row r="100" spans="2:13" s="3" customFormat="1" ht="15.75" x14ac:dyDescent="0.2">
      <c r="B100" s="102" t="s">
        <v>11</v>
      </c>
      <c r="C100" s="97" t="s">
        <v>414</v>
      </c>
      <c r="D100" s="94" t="s">
        <v>336</v>
      </c>
      <c r="E100" s="122" t="s">
        <v>23</v>
      </c>
      <c r="F100" s="30">
        <f>F96+(2*F90)</f>
        <v>0.29664715796727059</v>
      </c>
      <c r="G100" s="51"/>
      <c r="I100" s="5"/>
      <c r="J100" s="27"/>
      <c r="K100" s="5"/>
    </row>
    <row r="101" spans="2:13" s="3" customFormat="1" ht="15.75" x14ac:dyDescent="0.2">
      <c r="B101" s="100" t="s">
        <v>11</v>
      </c>
      <c r="C101" s="97" t="s">
        <v>415</v>
      </c>
      <c r="D101" s="94" t="s">
        <v>344</v>
      </c>
      <c r="E101" s="122" t="s">
        <v>46</v>
      </c>
      <c r="F101" s="66">
        <f>ROUNDDOWN(F99/(F100*F95),0)</f>
        <v>37</v>
      </c>
      <c r="G101" s="4"/>
      <c r="I101" s="5"/>
      <c r="J101" s="53"/>
      <c r="K101" s="5"/>
    </row>
    <row r="102" spans="2:13" s="3" customFormat="1" ht="16.5" thickBot="1" x14ac:dyDescent="0.25">
      <c r="B102" s="100" t="s">
        <v>11</v>
      </c>
      <c r="C102" s="97" t="s">
        <v>123</v>
      </c>
      <c r="D102" s="94" t="s">
        <v>337</v>
      </c>
      <c r="E102" s="122" t="s">
        <v>47</v>
      </c>
      <c r="F102" s="156">
        <f>ROUNDUP(F67/F101,0)</f>
        <v>3</v>
      </c>
      <c r="G102" s="4"/>
      <c r="I102" s="5"/>
      <c r="J102" s="54"/>
      <c r="K102" s="5"/>
      <c r="L102" s="5"/>
      <c r="M102" s="3" t="s">
        <v>5</v>
      </c>
    </row>
    <row r="103" spans="2:13" s="3" customFormat="1" x14ac:dyDescent="0.2">
      <c r="B103" s="22" t="s">
        <v>48</v>
      </c>
      <c r="D103" s="23"/>
      <c r="E103" s="49"/>
      <c r="F103" s="24"/>
      <c r="I103" s="26"/>
      <c r="J103" s="5"/>
    </row>
    <row r="104" spans="2:13" s="3" customFormat="1" x14ac:dyDescent="0.2">
      <c r="B104" s="99" t="s">
        <v>3</v>
      </c>
      <c r="C104" s="69" t="s">
        <v>40</v>
      </c>
      <c r="D104" s="69" t="s">
        <v>39</v>
      </c>
      <c r="E104" s="121" t="s">
        <v>23</v>
      </c>
      <c r="F104" s="50">
        <v>0.02</v>
      </c>
      <c r="G104" s="3" t="s">
        <v>5</v>
      </c>
      <c r="I104" s="26"/>
      <c r="J104" s="5"/>
      <c r="K104" s="5"/>
    </row>
    <row r="105" spans="2:13" s="3" customFormat="1" ht="15.75" x14ac:dyDescent="0.2">
      <c r="B105" s="102" t="s">
        <v>11</v>
      </c>
      <c r="C105" s="97" t="s">
        <v>416</v>
      </c>
      <c r="D105" s="94" t="s">
        <v>338</v>
      </c>
      <c r="E105" s="123" t="s">
        <v>41</v>
      </c>
      <c r="F105" s="93">
        <f>0.45*F63*F88*F113/(F69*F62)</f>
        <v>0.38249999999999995</v>
      </c>
      <c r="G105" s="40"/>
      <c r="I105" s="5"/>
      <c r="J105" s="5"/>
      <c r="K105" s="5"/>
    </row>
    <row r="106" spans="2:13" s="3" customFormat="1" x14ac:dyDescent="0.2">
      <c r="B106" s="102" t="s">
        <v>11</v>
      </c>
      <c r="C106" s="118" t="s">
        <v>117</v>
      </c>
      <c r="D106" s="94" t="s">
        <v>417</v>
      </c>
      <c r="E106" s="122" t="s">
        <v>23</v>
      </c>
      <c r="F106" s="129">
        <f>2*SQRT(F105/PI())</f>
        <v>0.69786397375219167</v>
      </c>
      <c r="G106" s="51"/>
      <c r="I106" s="5"/>
      <c r="J106" s="27"/>
      <c r="K106" s="5"/>
    </row>
    <row r="107" spans="2:13" s="3" customFormat="1" ht="13.5" thickBot="1" x14ac:dyDescent="0.25">
      <c r="B107" s="100" t="s">
        <v>11</v>
      </c>
      <c r="C107" s="97" t="s">
        <v>116</v>
      </c>
      <c r="D107" s="94" t="s">
        <v>42</v>
      </c>
      <c r="E107" s="101"/>
      <c r="F107" s="153">
        <f>9.97*(1.8277-(2*LOG(F106)))</f>
        <v>21.337379665509058</v>
      </c>
      <c r="G107" s="4"/>
      <c r="I107" s="5"/>
      <c r="J107" s="5"/>
      <c r="K107" s="5"/>
      <c r="L107" s="5"/>
    </row>
    <row r="108" spans="2:13" s="3" customFormat="1" ht="13.5" thickBot="1" x14ac:dyDescent="0.25">
      <c r="B108" s="99" t="s">
        <v>3</v>
      </c>
      <c r="C108" s="69" t="s">
        <v>43</v>
      </c>
      <c r="D108" s="69" t="s">
        <v>42</v>
      </c>
      <c r="E108" s="121"/>
      <c r="F108" s="157">
        <v>22</v>
      </c>
      <c r="G108" s="3" t="s">
        <v>5</v>
      </c>
      <c r="I108" s="26"/>
      <c r="J108" s="5"/>
      <c r="K108" s="5"/>
    </row>
    <row r="109" spans="2:13" s="3" customFormat="1" x14ac:dyDescent="0.2">
      <c r="B109" s="99" t="s">
        <v>3</v>
      </c>
      <c r="C109" s="69" t="s">
        <v>50</v>
      </c>
      <c r="D109" s="69" t="s">
        <v>49</v>
      </c>
      <c r="E109" s="121"/>
      <c r="F109" s="141">
        <v>1</v>
      </c>
      <c r="G109" s="3" t="s">
        <v>5</v>
      </c>
      <c r="I109" s="26"/>
      <c r="J109" s="5"/>
      <c r="K109" s="5"/>
      <c r="L109" s="5"/>
    </row>
    <row r="110" spans="2:13" s="3" customFormat="1" x14ac:dyDescent="0.2">
      <c r="B110" s="102" t="s">
        <v>11</v>
      </c>
      <c r="C110" s="120" t="s">
        <v>411</v>
      </c>
      <c r="D110" s="94" t="s">
        <v>339</v>
      </c>
      <c r="E110" s="122" t="s">
        <v>23</v>
      </c>
      <c r="F110" s="93">
        <f>POWER(10,((1.8277/2)-(F108/2/9.97)))</f>
        <v>0.64645763670691481</v>
      </c>
      <c r="G110" s="51"/>
      <c r="I110" s="5"/>
      <c r="J110" s="27"/>
      <c r="K110" s="5"/>
      <c r="L110" s="5"/>
    </row>
    <row r="111" spans="2:13" s="3" customFormat="1" ht="18" x14ac:dyDescent="0.2">
      <c r="B111" s="102" t="s">
        <v>11</v>
      </c>
      <c r="C111" s="120" t="s">
        <v>412</v>
      </c>
      <c r="D111" s="94" t="s">
        <v>382</v>
      </c>
      <c r="E111" s="122" t="s">
        <v>44</v>
      </c>
      <c r="F111" s="185">
        <f>(F110/2)^2*PI()*F109</f>
        <v>0.328223764164987</v>
      </c>
      <c r="G111" s="45" t="str">
        <f>IF(F111&gt;F105,"Caution Copper Area too large (see note in cell F120)!"," ")</f>
        <v xml:space="preserve"> </v>
      </c>
      <c r="I111" s="5"/>
      <c r="J111" s="27"/>
      <c r="K111" s="5"/>
    </row>
    <row r="112" spans="2:13" s="3" customFormat="1" ht="18" x14ac:dyDescent="0.2">
      <c r="B112" s="102" t="s">
        <v>11</v>
      </c>
      <c r="C112" s="97" t="s">
        <v>118</v>
      </c>
      <c r="D112" s="94" t="s">
        <v>340</v>
      </c>
      <c r="E112" s="122" t="s">
        <v>45</v>
      </c>
      <c r="F112" s="129">
        <f>F130/F111</f>
        <v>7.5730679641455287</v>
      </c>
      <c r="G112" s="52" t="str">
        <f>IF(F112&gt;8,"take care of current density"," ")</f>
        <v xml:space="preserve"> </v>
      </c>
      <c r="I112" s="5"/>
      <c r="J112" s="27"/>
      <c r="K112" s="5"/>
    </row>
    <row r="113" spans="1:17" s="3" customFormat="1" ht="15.75" x14ac:dyDescent="0.2">
      <c r="B113" s="100" t="s">
        <v>11</v>
      </c>
      <c r="C113" s="97" t="s">
        <v>413</v>
      </c>
      <c r="D113" s="94" t="s">
        <v>335</v>
      </c>
      <c r="E113" s="122" t="s">
        <v>23</v>
      </c>
      <c r="F113" s="126">
        <f>F62-(2*F87)</f>
        <v>11</v>
      </c>
      <c r="G113" s="4"/>
      <c r="I113" s="5"/>
      <c r="J113" s="5"/>
      <c r="K113" s="5"/>
    </row>
    <row r="114" spans="1:17" s="3" customFormat="1" ht="15.75" x14ac:dyDescent="0.2">
      <c r="B114" s="102" t="s">
        <v>11</v>
      </c>
      <c r="C114" s="97" t="s">
        <v>414</v>
      </c>
      <c r="D114" s="94" t="s">
        <v>341</v>
      </c>
      <c r="E114" s="122" t="s">
        <v>23</v>
      </c>
      <c r="F114" s="129">
        <f>F110+(2*F104)</f>
        <v>0.68645763670691484</v>
      </c>
      <c r="G114" s="51"/>
      <c r="I114" s="5"/>
      <c r="J114" s="27"/>
      <c r="K114" s="5"/>
    </row>
    <row r="115" spans="1:17" s="3" customFormat="1" ht="15.75" x14ac:dyDescent="0.2">
      <c r="B115" s="100" t="s">
        <v>11</v>
      </c>
      <c r="C115" s="97" t="s">
        <v>415</v>
      </c>
      <c r="D115" s="94" t="s">
        <v>343</v>
      </c>
      <c r="E115" s="122" t="s">
        <v>46</v>
      </c>
      <c r="F115" s="158">
        <f>ROUNDDOWN(F113/(F114*F109),0)</f>
        <v>16</v>
      </c>
      <c r="G115" s="4"/>
      <c r="I115" s="5"/>
      <c r="J115" s="54"/>
      <c r="K115" s="5"/>
    </row>
    <row r="116" spans="1:17" s="3" customFormat="1" ht="16.5" thickBot="1" x14ac:dyDescent="0.25">
      <c r="B116" s="100" t="s">
        <v>11</v>
      </c>
      <c r="C116" s="97" t="s">
        <v>123</v>
      </c>
      <c r="D116" s="94" t="s">
        <v>342</v>
      </c>
      <c r="E116" s="122" t="s">
        <v>47</v>
      </c>
      <c r="F116" s="153">
        <f>ROUNDUP(F69/F115,0)</f>
        <v>1</v>
      </c>
      <c r="G116" s="4"/>
      <c r="I116" s="5"/>
      <c r="J116" s="54"/>
      <c r="K116" s="5"/>
    </row>
    <row r="117" spans="1:17" s="3" customFormat="1" x14ac:dyDescent="0.2">
      <c r="B117" s="11" t="s">
        <v>51</v>
      </c>
      <c r="D117" s="58"/>
      <c r="I117" s="5"/>
      <c r="J117" s="5"/>
    </row>
    <row r="118" spans="1:17" s="3" customFormat="1" ht="15" thickBot="1" x14ac:dyDescent="0.25">
      <c r="B118" s="99" t="s">
        <v>3</v>
      </c>
      <c r="C118" s="69"/>
      <c r="D118" s="69" t="s">
        <v>371</v>
      </c>
      <c r="E118" s="121" t="s">
        <v>100</v>
      </c>
      <c r="F118" s="107">
        <v>1.06</v>
      </c>
      <c r="G118" s="3" t="s">
        <v>5</v>
      </c>
      <c r="I118" s="26"/>
      <c r="J118" s="5"/>
    </row>
    <row r="119" spans="1:17" s="5" customFormat="1" ht="15.75" x14ac:dyDescent="0.2">
      <c r="A119" s="3"/>
      <c r="B119" s="100" t="s">
        <v>11</v>
      </c>
      <c r="C119" s="97" t="s">
        <v>177</v>
      </c>
      <c r="D119" s="94" t="s">
        <v>246</v>
      </c>
      <c r="E119" s="122" t="s">
        <v>16</v>
      </c>
      <c r="F119" s="125">
        <f>F118*F50/100</f>
        <v>1.0693711177059839E-5</v>
      </c>
      <c r="G119" s="4"/>
      <c r="H119" s="3"/>
      <c r="K119" s="3"/>
      <c r="L119" s="3"/>
      <c r="M119" s="3"/>
      <c r="N119" s="3"/>
      <c r="O119" s="3"/>
      <c r="P119" s="3"/>
      <c r="Q119" s="3"/>
    </row>
    <row r="120" spans="1:17" s="3" customFormat="1" x14ac:dyDescent="0.2">
      <c r="A120" s="5"/>
      <c r="B120" s="145" t="s">
        <v>347</v>
      </c>
      <c r="C120" s="5"/>
      <c r="D120" s="23"/>
      <c r="E120" s="49"/>
      <c r="F120" s="55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s="3" customFormat="1" ht="15.75" x14ac:dyDescent="0.2">
      <c r="B121" s="100" t="s">
        <v>11</v>
      </c>
      <c r="C121" s="97" t="s">
        <v>124</v>
      </c>
      <c r="D121" s="94" t="s">
        <v>176</v>
      </c>
      <c r="E121" s="122" t="s">
        <v>4</v>
      </c>
      <c r="F121" s="183">
        <f>F35-F40-F76</f>
        <v>57.251660040609565</v>
      </c>
      <c r="G121" s="4"/>
      <c r="I121" s="5"/>
      <c r="J121" s="5"/>
    </row>
    <row r="122" spans="1:17" s="3" customFormat="1" ht="15.75" x14ac:dyDescent="0.2">
      <c r="B122" s="100" t="s">
        <v>11</v>
      </c>
      <c r="C122" s="97" t="s">
        <v>178</v>
      </c>
      <c r="D122" s="94" t="s">
        <v>372</v>
      </c>
      <c r="E122" s="122" t="s">
        <v>52</v>
      </c>
      <c r="F122" s="126">
        <f>F119*F53^2/((F121*(F76+F121)))*1000000000</f>
        <v>0.8596652813851734</v>
      </c>
      <c r="G122" s="4"/>
      <c r="I122" s="5"/>
      <c r="J122" s="5"/>
    </row>
    <row r="123" spans="1:17" s="3" customFormat="1" ht="15" thickBot="1" x14ac:dyDescent="0.25">
      <c r="B123" s="99" t="s">
        <v>3</v>
      </c>
      <c r="C123" s="69" t="s">
        <v>465</v>
      </c>
      <c r="D123" s="69" t="s">
        <v>466</v>
      </c>
      <c r="E123" s="103" t="s">
        <v>52</v>
      </c>
      <c r="F123" s="107">
        <v>1</v>
      </c>
      <c r="G123" s="4"/>
      <c r="I123" s="5"/>
      <c r="J123" s="5"/>
    </row>
    <row r="124" spans="1:17" s="3" customFormat="1" ht="16.5" thickBot="1" x14ac:dyDescent="0.25">
      <c r="B124" s="100" t="s">
        <v>11</v>
      </c>
      <c r="C124" s="97" t="s">
        <v>351</v>
      </c>
      <c r="D124" s="94" t="s">
        <v>373</v>
      </c>
      <c r="E124" s="122" t="s">
        <v>53</v>
      </c>
      <c r="F124" s="127">
        <f>((F76+F121)^2-F76^2)/(F119*F53^2*F34*0.5*1000)</f>
        <v>68.175621316160033</v>
      </c>
      <c r="G124" s="4"/>
      <c r="I124" s="5"/>
      <c r="J124" s="5"/>
    </row>
    <row r="125" spans="1:17" s="3" customFormat="1" ht="15" thickBot="1" x14ac:dyDescent="0.25">
      <c r="B125" s="99" t="s">
        <v>3</v>
      </c>
      <c r="C125" s="69" t="s">
        <v>467</v>
      </c>
      <c r="D125" s="69" t="s">
        <v>468</v>
      </c>
      <c r="E125" s="103" t="s">
        <v>53</v>
      </c>
      <c r="F125" s="107">
        <v>68</v>
      </c>
      <c r="G125" s="4"/>
      <c r="I125" s="5"/>
      <c r="J125" s="5"/>
    </row>
    <row r="126" spans="1:17" s="3" customFormat="1" x14ac:dyDescent="0.2">
      <c r="B126" s="145" t="s">
        <v>522</v>
      </c>
      <c r="D126" s="58"/>
      <c r="E126" s="24"/>
      <c r="F126" s="40"/>
      <c r="I126" s="5"/>
      <c r="J126" s="5"/>
    </row>
    <row r="127" spans="1:17" s="3" customFormat="1" ht="15.75" x14ac:dyDescent="0.2">
      <c r="B127" s="255" t="s">
        <v>11</v>
      </c>
      <c r="C127" s="261" t="s">
        <v>121</v>
      </c>
      <c r="D127" s="256" t="s">
        <v>576</v>
      </c>
      <c r="E127" s="257"/>
      <c r="F127" s="263">
        <f>(F17*F18)/F25</f>
        <v>1</v>
      </c>
      <c r="I127" s="5"/>
      <c r="J127" s="5"/>
    </row>
    <row r="128" spans="1:17" s="3" customFormat="1" ht="15.75" x14ac:dyDescent="0.2">
      <c r="B128" s="102" t="s">
        <v>11</v>
      </c>
      <c r="C128" s="97" t="s">
        <v>420</v>
      </c>
      <c r="D128" s="203" t="s">
        <v>520</v>
      </c>
      <c r="E128" s="95" t="s">
        <v>4</v>
      </c>
      <c r="F128" s="93">
        <f>F17+(F40*F69/F67)</f>
        <v>73.711137267189599</v>
      </c>
      <c r="I128" s="5"/>
      <c r="J128" s="5"/>
    </row>
    <row r="129" spans="1:10" s="3" customFormat="1" ht="15.75" x14ac:dyDescent="0.2">
      <c r="B129" s="255" t="s">
        <v>11</v>
      </c>
      <c r="C129" s="261" t="s">
        <v>122</v>
      </c>
      <c r="D129" s="256" t="s">
        <v>574</v>
      </c>
      <c r="E129" s="257" t="s">
        <v>13</v>
      </c>
      <c r="F129" s="264">
        <f>F53*(F67/F69)*F127</f>
        <v>6.0411660046179865</v>
      </c>
      <c r="G129" s="40"/>
      <c r="I129" s="71"/>
      <c r="J129" s="5"/>
    </row>
    <row r="130" spans="1:10" s="3" customFormat="1" ht="15.75" x14ac:dyDescent="0.2">
      <c r="B130" s="255" t="s">
        <v>11</v>
      </c>
      <c r="C130" s="261" t="s">
        <v>418</v>
      </c>
      <c r="D130" s="256" t="s">
        <v>575</v>
      </c>
      <c r="E130" s="257" t="s">
        <v>13</v>
      </c>
      <c r="F130" s="264">
        <f>F55*SQRT((1-F77)/F77)*(F76*F127/(F17+F19))</f>
        <v>2.4856608734691203</v>
      </c>
      <c r="G130" s="40"/>
      <c r="I130" s="5"/>
      <c r="J130" s="5"/>
    </row>
    <row r="131" spans="1:10" s="3" customFormat="1" ht="15.75" x14ac:dyDescent="0.2">
      <c r="B131" s="102" t="s">
        <v>11</v>
      </c>
      <c r="C131" s="97" t="s">
        <v>420</v>
      </c>
      <c r="D131" s="203" t="s">
        <v>521</v>
      </c>
      <c r="E131" s="95" t="s">
        <v>4</v>
      </c>
      <c r="F131" s="93">
        <f>F20+(F40*F71/F67)</f>
        <v>25.712973861329001</v>
      </c>
      <c r="G131" s="40"/>
      <c r="I131" s="5"/>
      <c r="J131" s="5"/>
    </row>
    <row r="132" spans="1:10" s="3" customFormat="1" ht="15.75" x14ac:dyDescent="0.2">
      <c r="B132" s="255" t="s">
        <v>11</v>
      </c>
      <c r="C132" s="261" t="s">
        <v>121</v>
      </c>
      <c r="D132" s="256" t="s">
        <v>571</v>
      </c>
      <c r="E132" s="257"/>
      <c r="F132" s="263">
        <f>(F20*F21)/F25</f>
        <v>0</v>
      </c>
      <c r="G132" s="40"/>
      <c r="I132" s="5"/>
      <c r="J132" s="5"/>
    </row>
    <row r="133" spans="1:10" s="3" customFormat="1" ht="15.75" x14ac:dyDescent="0.2">
      <c r="B133" s="255" t="s">
        <v>11</v>
      </c>
      <c r="C133" s="261" t="s">
        <v>122</v>
      </c>
      <c r="D133" s="256" t="s">
        <v>572</v>
      </c>
      <c r="E133" s="257" t="s">
        <v>13</v>
      </c>
      <c r="F133" s="264">
        <f>F53*(F67/F71)*F132</f>
        <v>0</v>
      </c>
      <c r="G133" s="40"/>
      <c r="I133" s="5"/>
      <c r="J133" s="5"/>
    </row>
    <row r="134" spans="1:10" s="3" customFormat="1" ht="15.75" x14ac:dyDescent="0.2">
      <c r="B134" s="255" t="s">
        <v>11</v>
      </c>
      <c r="C134" s="261" t="s">
        <v>418</v>
      </c>
      <c r="D134" s="256" t="s">
        <v>573</v>
      </c>
      <c r="E134" s="257" t="s">
        <v>13</v>
      </c>
      <c r="F134" s="264" t="e">
        <f>F55*SQRT((1-F77)/F77)*(F76*F132/(F20+F22))</f>
        <v>#DIV/0!</v>
      </c>
      <c r="G134" s="40"/>
      <c r="I134" s="5"/>
      <c r="J134" s="5"/>
    </row>
    <row r="135" spans="1:10" s="3" customFormat="1" ht="16.5" thickBot="1" x14ac:dyDescent="0.25">
      <c r="B135" s="102" t="s">
        <v>11</v>
      </c>
      <c r="C135" s="97" t="s">
        <v>421</v>
      </c>
      <c r="D135" s="94" t="s">
        <v>419</v>
      </c>
      <c r="E135" s="95" t="s">
        <v>4</v>
      </c>
      <c r="F135" s="130">
        <f>F31+(F40*F73/F67)</f>
        <v>85.996326811721204</v>
      </c>
      <c r="G135" s="40"/>
      <c r="I135" s="5"/>
      <c r="J135" s="5"/>
    </row>
    <row r="136" spans="1:10" s="3" customFormat="1" x14ac:dyDescent="0.2">
      <c r="A136" s="333"/>
      <c r="B136" s="149" t="s">
        <v>526</v>
      </c>
      <c r="D136" s="58"/>
      <c r="I136" s="5"/>
      <c r="J136" s="5"/>
    </row>
    <row r="137" spans="1:10" s="3" customFormat="1" ht="15" thickBot="1" x14ac:dyDescent="0.25">
      <c r="A137" s="333"/>
      <c r="B137" s="99" t="s">
        <v>3</v>
      </c>
      <c r="C137" s="99" t="s">
        <v>524</v>
      </c>
      <c r="D137" s="69" t="s">
        <v>376</v>
      </c>
      <c r="E137" s="121" t="s">
        <v>4</v>
      </c>
      <c r="F137" s="107">
        <v>0.5</v>
      </c>
      <c r="I137" s="5"/>
      <c r="J137" s="5"/>
    </row>
    <row r="138" spans="1:10" s="3" customFormat="1" ht="15" thickBot="1" x14ac:dyDescent="0.25">
      <c r="A138" s="333"/>
      <c r="B138" s="99" t="s">
        <v>3</v>
      </c>
      <c r="C138" s="69" t="s">
        <v>103</v>
      </c>
      <c r="D138" s="69" t="s">
        <v>247</v>
      </c>
      <c r="E138" s="121"/>
      <c r="F138" s="107">
        <v>20</v>
      </c>
      <c r="I138" s="5"/>
      <c r="J138" s="5"/>
    </row>
    <row r="139" spans="1:10" s="3" customFormat="1" ht="16.5" thickBot="1" x14ac:dyDescent="0.25">
      <c r="A139" s="333"/>
      <c r="B139" s="102" t="s">
        <v>11</v>
      </c>
      <c r="C139" s="97" t="s">
        <v>423</v>
      </c>
      <c r="D139" s="94" t="s">
        <v>248</v>
      </c>
      <c r="E139" s="95" t="s">
        <v>13</v>
      </c>
      <c r="F139" s="114">
        <f>SQRT(F130^2-F18^2)</f>
        <v>2.0999071355408243</v>
      </c>
      <c r="I139" s="5"/>
      <c r="J139" s="5"/>
    </row>
    <row r="140" spans="1:10" s="3" customFormat="1" ht="16.5" thickBot="1" x14ac:dyDescent="0.25">
      <c r="A140" s="333"/>
      <c r="B140" s="102" t="s">
        <v>11</v>
      </c>
      <c r="C140" s="97" t="s">
        <v>422</v>
      </c>
      <c r="D140" s="94" t="s">
        <v>377</v>
      </c>
      <c r="E140" s="95" t="s">
        <v>12</v>
      </c>
      <c r="F140" s="131">
        <f>(F18*F138/(F137*F34))*1000000</f>
        <v>967.27272727272737</v>
      </c>
      <c r="G140" s="40"/>
      <c r="I140" s="5"/>
      <c r="J140" s="5"/>
    </row>
    <row r="141" spans="1:10" s="3" customFormat="1" x14ac:dyDescent="0.2">
      <c r="A141" s="333"/>
      <c r="B141" s="13" t="s">
        <v>348</v>
      </c>
      <c r="D141" s="58"/>
      <c r="G141" s="40"/>
      <c r="I141" s="5"/>
      <c r="J141" s="5"/>
    </row>
    <row r="142" spans="1:10" s="3" customFormat="1" ht="13.5" thickBot="1" x14ac:dyDescent="0.25">
      <c r="A142" s="333"/>
      <c r="B142" s="99" t="s">
        <v>3</v>
      </c>
      <c r="C142" s="69" t="s">
        <v>54</v>
      </c>
      <c r="D142" s="69" t="s">
        <v>168</v>
      </c>
      <c r="E142" s="121" t="s">
        <v>12</v>
      </c>
      <c r="F142" s="107">
        <v>1000</v>
      </c>
      <c r="G142" s="40"/>
      <c r="I142" s="5"/>
      <c r="J142" s="5"/>
    </row>
    <row r="143" spans="1:10" s="3" customFormat="1" ht="13.5" thickBot="1" x14ac:dyDescent="0.25">
      <c r="A143" s="333"/>
      <c r="B143" s="99" t="s">
        <v>3</v>
      </c>
      <c r="C143" s="69" t="s">
        <v>171</v>
      </c>
      <c r="D143" s="69" t="s">
        <v>55</v>
      </c>
      <c r="E143" s="121" t="s">
        <v>56</v>
      </c>
      <c r="F143" s="107">
        <v>2.8000000000000001E-2</v>
      </c>
      <c r="G143" s="40"/>
      <c r="I143" s="5"/>
      <c r="J143" s="5"/>
    </row>
    <row r="144" spans="1:10" s="3" customFormat="1" ht="15" thickBot="1" x14ac:dyDescent="0.25">
      <c r="A144" s="333"/>
      <c r="B144" s="99" t="s">
        <v>3</v>
      </c>
      <c r="C144" s="69" t="s">
        <v>170</v>
      </c>
      <c r="D144" s="69" t="s">
        <v>249</v>
      </c>
      <c r="E144" s="121" t="s">
        <v>169</v>
      </c>
      <c r="F144" s="107">
        <v>1.76</v>
      </c>
      <c r="G144" s="40"/>
      <c r="I144" s="5"/>
      <c r="J144" s="5"/>
    </row>
    <row r="145" spans="1:17" s="3" customFormat="1" ht="15" thickBot="1" x14ac:dyDescent="0.25">
      <c r="A145" s="333"/>
      <c r="B145" s="99" t="s">
        <v>3</v>
      </c>
      <c r="C145" s="69" t="s">
        <v>102</v>
      </c>
      <c r="D145" s="69" t="s">
        <v>250</v>
      </c>
      <c r="E145" s="121"/>
      <c r="F145" s="107">
        <v>1</v>
      </c>
      <c r="I145" s="5"/>
      <c r="J145" s="5"/>
    </row>
    <row r="146" spans="1:17" s="3" customFormat="1" ht="16.5" thickBot="1" x14ac:dyDescent="0.25">
      <c r="A146" s="333"/>
      <c r="B146" s="102" t="s">
        <v>11</v>
      </c>
      <c r="C146" s="97" t="s">
        <v>135</v>
      </c>
      <c r="D146" s="94" t="s">
        <v>375</v>
      </c>
      <c r="E146" s="95" t="s">
        <v>57</v>
      </c>
      <c r="F146" s="114">
        <f>1/(2*PI()*F143*F142*10^(-6)*1000)</f>
        <v>5.6841051104248335</v>
      </c>
      <c r="I146" s="5"/>
      <c r="J146" s="5"/>
    </row>
    <row r="147" spans="1:17" s="3" customFormat="1" x14ac:dyDescent="0.2">
      <c r="A147" s="333"/>
      <c r="B147" s="237" t="s">
        <v>529</v>
      </c>
      <c r="I147" s="5"/>
      <c r="J147" s="5"/>
    </row>
    <row r="148" spans="1:17" s="3" customFormat="1" ht="16.5" thickBot="1" x14ac:dyDescent="0.25">
      <c r="A148" s="333"/>
      <c r="B148" s="102" t="s">
        <v>11</v>
      </c>
      <c r="C148" s="97" t="s">
        <v>136</v>
      </c>
      <c r="D148" s="94" t="s">
        <v>151</v>
      </c>
      <c r="E148" s="95" t="s">
        <v>4</v>
      </c>
      <c r="F148" s="114">
        <f>F129*F143/F145</f>
        <v>0.16915264812930361</v>
      </c>
      <c r="I148" s="5"/>
      <c r="J148" s="5"/>
    </row>
    <row r="149" spans="1:17" s="3" customFormat="1" ht="15" thickBot="1" x14ac:dyDescent="0.25">
      <c r="A149" s="333"/>
      <c r="B149" s="99" t="s">
        <v>3</v>
      </c>
      <c r="C149" s="69" t="s">
        <v>379</v>
      </c>
      <c r="D149" s="69" t="s">
        <v>464</v>
      </c>
      <c r="E149" s="103" t="s">
        <v>58</v>
      </c>
      <c r="F149" s="232">
        <v>2.2000000000000002</v>
      </c>
      <c r="I149" s="5"/>
      <c r="J149" s="5"/>
    </row>
    <row r="150" spans="1:17" x14ac:dyDescent="0.2">
      <c r="A150" s="333"/>
      <c r="B150" s="149" t="s">
        <v>462</v>
      </c>
      <c r="C150" s="5"/>
      <c r="D150" s="27"/>
      <c r="E150" s="24"/>
      <c r="F150" s="51"/>
      <c r="G150" s="40"/>
      <c r="H150" s="3"/>
      <c r="I150" s="5"/>
      <c r="J150" s="5"/>
      <c r="K150" s="3"/>
      <c r="L150" s="3"/>
      <c r="M150" s="3"/>
      <c r="N150" s="3"/>
      <c r="O150" s="3"/>
      <c r="P150" s="3"/>
      <c r="Q150" s="3"/>
    </row>
    <row r="151" spans="1:17" ht="15.75" x14ac:dyDescent="0.2">
      <c r="A151" s="333"/>
      <c r="B151" s="102" t="s">
        <v>11</v>
      </c>
      <c r="C151" s="97" t="s">
        <v>137</v>
      </c>
      <c r="D151" s="94" t="s">
        <v>463</v>
      </c>
      <c r="E151" s="101" t="s">
        <v>380</v>
      </c>
      <c r="F151" s="132">
        <f>(F143*F142)^2/F149</f>
        <v>356.36363636363632</v>
      </c>
      <c r="G151" s="40"/>
      <c r="H151" s="3"/>
      <c r="I151" s="5"/>
      <c r="J151" s="5"/>
      <c r="K151" s="3"/>
      <c r="L151" s="3"/>
      <c r="M151" s="3"/>
      <c r="N151" s="3"/>
      <c r="O151" s="3"/>
      <c r="P151" s="3"/>
      <c r="Q151" s="3"/>
    </row>
    <row r="152" spans="1:17" ht="15" thickBot="1" x14ac:dyDescent="0.25">
      <c r="A152" s="333"/>
      <c r="B152" s="99" t="s">
        <v>3</v>
      </c>
      <c r="C152" s="69" t="s">
        <v>59</v>
      </c>
      <c r="D152" s="225" t="s">
        <v>554</v>
      </c>
      <c r="E152" s="103" t="s">
        <v>12</v>
      </c>
      <c r="F152" s="115">
        <v>470</v>
      </c>
      <c r="G152" s="40"/>
      <c r="H152" s="3"/>
      <c r="I152" s="5"/>
      <c r="J152" s="5"/>
      <c r="K152" s="3"/>
      <c r="L152" s="3"/>
      <c r="M152" s="3"/>
      <c r="N152" s="3"/>
      <c r="O152" s="3"/>
      <c r="P152" s="3"/>
      <c r="Q152" s="3"/>
    </row>
    <row r="153" spans="1:17" ht="15.75" x14ac:dyDescent="0.2">
      <c r="A153" s="333"/>
      <c r="B153" s="102" t="s">
        <v>11</v>
      </c>
      <c r="C153" s="97" t="s">
        <v>424</v>
      </c>
      <c r="D153" s="94" t="s">
        <v>251</v>
      </c>
      <c r="E153" s="95" t="s">
        <v>57</v>
      </c>
      <c r="F153" s="124">
        <f>1/(1000*2*PI()*SQRT((F149*10^-6*F152*10^-6)))</f>
        <v>4.949483288837734</v>
      </c>
      <c r="G153" s="40"/>
      <c r="H153" s="3"/>
      <c r="I153" s="5"/>
      <c r="J153" s="5"/>
      <c r="K153" s="3"/>
      <c r="L153" s="3"/>
      <c r="M153" s="3"/>
      <c r="N153" s="3"/>
      <c r="O153" s="3"/>
      <c r="P153" s="3"/>
      <c r="Q153" s="3"/>
    </row>
    <row r="154" spans="1:17" x14ac:dyDescent="0.2">
      <c r="A154" s="333"/>
      <c r="B154" s="11" t="s">
        <v>378</v>
      </c>
      <c r="C154" s="5"/>
      <c r="D154" s="27"/>
      <c r="E154" s="24"/>
      <c r="F154" s="56"/>
      <c r="G154" s="40"/>
      <c r="H154" s="3"/>
      <c r="I154" s="5"/>
      <c r="J154" s="5"/>
      <c r="K154" s="3"/>
      <c r="L154" s="3"/>
      <c r="M154" s="3"/>
      <c r="N154" s="3"/>
      <c r="O154" s="3"/>
      <c r="P154" s="3"/>
      <c r="Q154" s="3"/>
    </row>
    <row r="155" spans="1:17" s="3" customFormat="1" ht="15.75" x14ac:dyDescent="0.2">
      <c r="A155" s="333"/>
      <c r="B155" s="102" t="s">
        <v>11</v>
      </c>
      <c r="C155" s="97" t="s">
        <v>425</v>
      </c>
      <c r="D155" s="94" t="s">
        <v>161</v>
      </c>
      <c r="E155" s="95" t="s">
        <v>60</v>
      </c>
      <c r="F155" s="124">
        <f>F148*((1/(2*PI()*F34*F149*0.000001))/((1/(2*PI()*F34*F149*0.000001))+(2*PI()*F34*F152*0.000001)))*1000</f>
        <v>1.3588460630466059</v>
      </c>
      <c r="G155"/>
      <c r="H155"/>
      <c r="I155" s="1"/>
      <c r="J155" s="1"/>
      <c r="K155"/>
      <c r="L155"/>
      <c r="M155"/>
      <c r="N155"/>
      <c r="O155"/>
      <c r="P155"/>
      <c r="Q155"/>
    </row>
    <row r="156" spans="1:17" s="3" customFormat="1" x14ac:dyDescent="0.2">
      <c r="A156" s="218"/>
      <c r="B156" s="149" t="s">
        <v>527</v>
      </c>
      <c r="C156" s="211"/>
      <c r="D156" s="212"/>
      <c r="E156" s="213"/>
      <c r="F156" s="214"/>
      <c r="G156"/>
      <c r="H156"/>
      <c r="I156" s="1"/>
      <c r="J156" s="1"/>
      <c r="K156"/>
      <c r="L156"/>
      <c r="M156"/>
      <c r="N156"/>
      <c r="O156"/>
      <c r="P156"/>
      <c r="Q156"/>
    </row>
    <row r="157" spans="1:17" s="3" customFormat="1" ht="15" thickBot="1" x14ac:dyDescent="0.25">
      <c r="A157" s="217"/>
      <c r="B157" s="99" t="s">
        <v>3</v>
      </c>
      <c r="C157" s="99" t="s">
        <v>525</v>
      </c>
      <c r="D157" s="69" t="s">
        <v>376</v>
      </c>
      <c r="E157" s="121" t="s">
        <v>4</v>
      </c>
      <c r="F157" s="107"/>
      <c r="I157" s="5"/>
      <c r="J157" s="5"/>
    </row>
    <row r="158" spans="1:17" s="3" customFormat="1" ht="15" thickBot="1" x14ac:dyDescent="0.25">
      <c r="A158" s="11"/>
      <c r="B158" s="99" t="s">
        <v>3</v>
      </c>
      <c r="C158" s="69" t="s">
        <v>103</v>
      </c>
      <c r="D158" s="69" t="s">
        <v>247</v>
      </c>
      <c r="E158" s="121"/>
      <c r="F158" s="107"/>
      <c r="I158" s="5"/>
      <c r="J158" s="5"/>
    </row>
    <row r="159" spans="1:17" s="3" customFormat="1" ht="16.5" thickBot="1" x14ac:dyDescent="0.25">
      <c r="A159" s="11"/>
      <c r="B159" s="102" t="s">
        <v>11</v>
      </c>
      <c r="C159" s="97" t="s">
        <v>423</v>
      </c>
      <c r="D159" s="94" t="s">
        <v>248</v>
      </c>
      <c r="E159" s="95" t="s">
        <v>13</v>
      </c>
      <c r="F159" s="114" t="e">
        <f>SQRT(F134^2-(F21)^2)</f>
        <v>#DIV/0!</v>
      </c>
      <c r="G159" s="40"/>
      <c r="I159" s="5"/>
      <c r="J159" s="5"/>
    </row>
    <row r="160" spans="1:17" s="3" customFormat="1" ht="16.5" thickBot="1" x14ac:dyDescent="0.25">
      <c r="A160" s="217"/>
      <c r="B160" s="102" t="s">
        <v>11</v>
      </c>
      <c r="C160" s="97" t="s">
        <v>422</v>
      </c>
      <c r="D160" s="94" t="s">
        <v>377</v>
      </c>
      <c r="E160" s="95" t="s">
        <v>12</v>
      </c>
      <c r="F160" s="131" t="e">
        <f>(F21*F158/(F157*F34))*1000000</f>
        <v>#DIV/0!</v>
      </c>
      <c r="G160" s="40"/>
      <c r="I160" s="5"/>
      <c r="J160" s="5"/>
    </row>
    <row r="161" spans="1:17" s="3" customFormat="1" x14ac:dyDescent="0.2">
      <c r="A161" s="333"/>
      <c r="B161" s="13" t="s">
        <v>528</v>
      </c>
      <c r="D161" s="58"/>
      <c r="I161" s="5"/>
      <c r="J161" s="5"/>
    </row>
    <row r="162" spans="1:17" s="5" customFormat="1" ht="13.5" thickBot="1" x14ac:dyDescent="0.25">
      <c r="A162" s="333"/>
      <c r="B162" s="99" t="s">
        <v>3</v>
      </c>
      <c r="C162" s="69" t="s">
        <v>54</v>
      </c>
      <c r="D162" s="99" t="s">
        <v>523</v>
      </c>
      <c r="E162" s="121" t="s">
        <v>12</v>
      </c>
      <c r="F162" s="107"/>
      <c r="G162" s="40"/>
      <c r="H162" s="3"/>
      <c r="K162" s="3"/>
      <c r="L162" s="3"/>
      <c r="M162" s="3"/>
      <c r="N162" s="3"/>
      <c r="O162" s="3"/>
      <c r="P162" s="3"/>
      <c r="Q162" s="3"/>
    </row>
    <row r="163" spans="1:17" s="3" customFormat="1" ht="13.5" thickBot="1" x14ac:dyDescent="0.25">
      <c r="A163" s="333"/>
      <c r="B163" s="99" t="s">
        <v>3</v>
      </c>
      <c r="C163" s="69" t="s">
        <v>171</v>
      </c>
      <c r="D163" s="69" t="s">
        <v>55</v>
      </c>
      <c r="E163" s="121" t="s">
        <v>56</v>
      </c>
      <c r="F163" s="107"/>
      <c r="G163" s="40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s="3" customFormat="1" ht="15" thickBot="1" x14ac:dyDescent="0.25">
      <c r="A164" s="333"/>
      <c r="B164" s="99" t="s">
        <v>3</v>
      </c>
      <c r="C164" s="69" t="s">
        <v>170</v>
      </c>
      <c r="D164" s="69" t="s">
        <v>249</v>
      </c>
      <c r="E164" s="121" t="s">
        <v>169</v>
      </c>
      <c r="F164" s="107"/>
      <c r="I164" s="5"/>
      <c r="J164" s="5"/>
    </row>
    <row r="165" spans="1:17" s="3" customFormat="1" ht="15" thickBot="1" x14ac:dyDescent="0.25">
      <c r="A165" s="333"/>
      <c r="B165" s="99" t="s">
        <v>3</v>
      </c>
      <c r="C165" s="69" t="s">
        <v>102</v>
      </c>
      <c r="D165" s="69" t="s">
        <v>250</v>
      </c>
      <c r="E165" s="121"/>
      <c r="F165" s="107"/>
      <c r="I165" s="5"/>
      <c r="J165" s="5"/>
    </row>
    <row r="166" spans="1:17" s="3" customFormat="1" ht="16.5" thickBot="1" x14ac:dyDescent="0.25">
      <c r="A166" s="333"/>
      <c r="B166" s="229" t="s">
        <v>11</v>
      </c>
      <c r="C166" s="97" t="s">
        <v>135</v>
      </c>
      <c r="D166" s="94" t="s">
        <v>375</v>
      </c>
      <c r="E166" s="228" t="s">
        <v>57</v>
      </c>
      <c r="F166" s="233" t="e">
        <f>1/(2*PI()*F163*F162*10^(-6)*1000)</f>
        <v>#DIV/0!</v>
      </c>
      <c r="I166" s="5"/>
      <c r="J166" s="5"/>
    </row>
    <row r="167" spans="1:17" s="3" customFormat="1" x14ac:dyDescent="0.2">
      <c r="A167" s="333"/>
      <c r="B167" s="237" t="s">
        <v>529</v>
      </c>
      <c r="C167" s="217"/>
      <c r="D167" s="217"/>
      <c r="E167" s="217"/>
      <c r="F167" s="217"/>
      <c r="I167" s="5"/>
      <c r="J167" s="5"/>
    </row>
    <row r="168" spans="1:17" s="3" customFormat="1" ht="16.5" thickBot="1" x14ac:dyDescent="0.25">
      <c r="A168" s="333"/>
      <c r="B168" s="229" t="s">
        <v>11</v>
      </c>
      <c r="C168" s="97" t="s">
        <v>136</v>
      </c>
      <c r="D168" s="94" t="s">
        <v>151</v>
      </c>
      <c r="E168" s="228" t="s">
        <v>4</v>
      </c>
      <c r="F168" s="233" t="e">
        <f>F133*F163/F165</f>
        <v>#DIV/0!</v>
      </c>
      <c r="I168" s="5"/>
      <c r="J168" s="5"/>
    </row>
    <row r="169" spans="1:17" s="3" customFormat="1" ht="15" thickBot="1" x14ac:dyDescent="0.25">
      <c r="A169" s="333"/>
      <c r="B169" s="225" t="s">
        <v>3</v>
      </c>
      <c r="C169" s="69" t="s">
        <v>379</v>
      </c>
      <c r="D169" s="225" t="s">
        <v>530</v>
      </c>
      <c r="E169" s="103" t="s">
        <v>58</v>
      </c>
      <c r="F169" s="232">
        <v>4.7</v>
      </c>
      <c r="I169" s="5"/>
      <c r="J169" s="5"/>
    </row>
    <row r="170" spans="1:17" s="3" customFormat="1" x14ac:dyDescent="0.2">
      <c r="A170" s="333"/>
      <c r="B170" s="237" t="s">
        <v>682</v>
      </c>
      <c r="C170" s="218"/>
      <c r="D170" s="27"/>
      <c r="E170" s="220"/>
      <c r="F170" s="222"/>
      <c r="I170" s="5"/>
      <c r="J170" s="5"/>
    </row>
    <row r="171" spans="1:17" s="3" customFormat="1" ht="15.75" x14ac:dyDescent="0.2">
      <c r="A171" s="333"/>
      <c r="B171" s="229" t="s">
        <v>11</v>
      </c>
      <c r="C171" s="97" t="s">
        <v>137</v>
      </c>
      <c r="D171" s="227" t="s">
        <v>683</v>
      </c>
      <c r="E171" s="101" t="s">
        <v>380</v>
      </c>
      <c r="F171" s="235">
        <f>(F163*F162)^2/F169</f>
        <v>0</v>
      </c>
      <c r="I171" s="5"/>
      <c r="J171" s="5"/>
    </row>
    <row r="172" spans="1:17" s="3" customFormat="1" ht="13.5" thickBot="1" x14ac:dyDescent="0.25">
      <c r="A172" s="333"/>
      <c r="B172" s="225" t="s">
        <v>3</v>
      </c>
      <c r="C172" s="69" t="s">
        <v>59</v>
      </c>
      <c r="D172" s="225" t="s">
        <v>531</v>
      </c>
      <c r="E172" s="103" t="s">
        <v>12</v>
      </c>
      <c r="F172" s="115"/>
      <c r="I172" s="5"/>
      <c r="J172" s="5"/>
    </row>
    <row r="173" spans="1:17" s="3" customFormat="1" ht="15.75" x14ac:dyDescent="0.2">
      <c r="A173" s="333"/>
      <c r="B173" s="229" t="s">
        <v>11</v>
      </c>
      <c r="C173" s="97" t="s">
        <v>424</v>
      </c>
      <c r="D173" s="94" t="s">
        <v>251</v>
      </c>
      <c r="E173" s="228" t="s">
        <v>57</v>
      </c>
      <c r="F173" s="234" t="e">
        <f>1/(1000*2*PI()*SQRT((F169*10^-6*F172*10^-6)))</f>
        <v>#DIV/0!</v>
      </c>
      <c r="I173" s="5"/>
      <c r="J173" s="5"/>
    </row>
    <row r="174" spans="1:17" s="3" customFormat="1" x14ac:dyDescent="0.2">
      <c r="A174" s="333"/>
      <c r="B174" s="11" t="s">
        <v>378</v>
      </c>
      <c r="C174" s="218"/>
      <c r="D174" s="27"/>
      <c r="E174" s="220"/>
      <c r="F174" s="223"/>
      <c r="I174" s="5"/>
      <c r="J174" s="5"/>
    </row>
    <row r="175" spans="1:17" s="3" customFormat="1" ht="15.75" x14ac:dyDescent="0.2">
      <c r="A175" s="333"/>
      <c r="B175" s="229" t="s">
        <v>11</v>
      </c>
      <c r="C175" s="97" t="s">
        <v>425</v>
      </c>
      <c r="D175" s="94" t="s">
        <v>161</v>
      </c>
      <c r="E175" s="228" t="s">
        <v>60</v>
      </c>
      <c r="F175" s="234" t="e">
        <f>F168*((1/(2*PI()*F34*F172*0.000001))/((1/(2*PI()*F34*F172*0.000001))+(2*PI()*F34*F169*0.000001)))*1000</f>
        <v>#DIV/0!</v>
      </c>
      <c r="I175" s="5"/>
      <c r="J175" s="5"/>
    </row>
    <row r="176" spans="1:17" s="3" customFormat="1" x14ac:dyDescent="0.2">
      <c r="A176" s="333"/>
      <c r="B176" s="11" t="s">
        <v>197</v>
      </c>
      <c r="C176" s="5"/>
      <c r="D176" s="27"/>
      <c r="E176" s="24"/>
      <c r="F176" s="56"/>
      <c r="I176" s="5"/>
      <c r="J176" s="5"/>
    </row>
    <row r="177" spans="1:10" s="3" customFormat="1" ht="15" thickBot="1" x14ac:dyDescent="0.25">
      <c r="A177" s="5"/>
      <c r="B177" s="99" t="s">
        <v>3</v>
      </c>
      <c r="C177" s="69" t="s">
        <v>198</v>
      </c>
      <c r="D177" s="69" t="s">
        <v>252</v>
      </c>
      <c r="E177" s="72" t="s">
        <v>14</v>
      </c>
      <c r="F177" s="107">
        <v>12</v>
      </c>
      <c r="G177" s="5"/>
      <c r="I177" s="5"/>
      <c r="J177" s="5"/>
    </row>
    <row r="178" spans="1:10" s="3" customFormat="1" x14ac:dyDescent="0.2">
      <c r="B178" s="149" t="s">
        <v>428</v>
      </c>
      <c r="C178" s="38"/>
      <c r="D178" s="27"/>
      <c r="E178" s="24"/>
      <c r="F178" s="57"/>
      <c r="I178" s="5"/>
      <c r="J178" s="5"/>
    </row>
    <row r="179" spans="1:10" s="3" customFormat="1" ht="15" thickBot="1" x14ac:dyDescent="0.25">
      <c r="A179" s="11"/>
      <c r="B179" s="99" t="s">
        <v>3</v>
      </c>
      <c r="C179" s="225" t="s">
        <v>641</v>
      </c>
      <c r="D179" s="225" t="s">
        <v>642</v>
      </c>
      <c r="E179" s="103" t="s">
        <v>125</v>
      </c>
      <c r="F179" s="107">
        <v>3</v>
      </c>
      <c r="G179" s="5"/>
      <c r="I179" s="5"/>
      <c r="J179" s="5"/>
    </row>
    <row r="180" spans="1:10" s="3" customFormat="1" ht="15" thickBot="1" x14ac:dyDescent="0.25">
      <c r="A180" s="11"/>
      <c r="B180" s="99" t="s">
        <v>3</v>
      </c>
      <c r="C180" s="69" t="s">
        <v>199</v>
      </c>
      <c r="D180" s="69" t="s">
        <v>253</v>
      </c>
      <c r="E180" s="103" t="s">
        <v>60</v>
      </c>
      <c r="F180" s="107">
        <v>6</v>
      </c>
      <c r="G180" s="5"/>
      <c r="I180" s="5"/>
      <c r="J180" s="5"/>
    </row>
    <row r="181" spans="1:10" s="3" customFormat="1" ht="16.5" thickBot="1" x14ac:dyDescent="0.25">
      <c r="B181" s="102" t="s">
        <v>11</v>
      </c>
      <c r="C181" s="332" t="s">
        <v>657</v>
      </c>
      <c r="D181" s="94" t="s">
        <v>156</v>
      </c>
      <c r="E181" s="95" t="s">
        <v>12</v>
      </c>
      <c r="F181" s="233">
        <f>(F179*10^-3*12*10^-3/F180)*10^6</f>
        <v>6.0000000000000009</v>
      </c>
      <c r="I181" s="5"/>
      <c r="J181" s="5"/>
    </row>
    <row r="182" spans="1:10" s="3" customFormat="1" ht="15" thickBot="1" x14ac:dyDescent="0.25">
      <c r="B182" s="99" t="s">
        <v>3</v>
      </c>
      <c r="C182" s="21" t="s">
        <v>426</v>
      </c>
      <c r="D182" s="69" t="s">
        <v>427</v>
      </c>
      <c r="E182" s="72" t="s">
        <v>12</v>
      </c>
      <c r="F182" s="96">
        <v>10</v>
      </c>
      <c r="I182" s="5"/>
      <c r="J182" s="5"/>
    </row>
    <row r="183" spans="1:10" s="3" customFormat="1" ht="15" thickBot="1" x14ac:dyDescent="0.25">
      <c r="B183" s="99" t="s">
        <v>3</v>
      </c>
      <c r="C183" s="225" t="s">
        <v>532</v>
      </c>
      <c r="D183" s="225" t="s">
        <v>533</v>
      </c>
      <c r="E183" s="103" t="s">
        <v>4</v>
      </c>
      <c r="F183" s="107">
        <v>1.1000000000000001</v>
      </c>
      <c r="I183" s="5"/>
      <c r="J183" s="5"/>
    </row>
    <row r="184" spans="1:10" s="3" customFormat="1" ht="15" thickBot="1" x14ac:dyDescent="0.25">
      <c r="B184" s="99" t="s">
        <v>3</v>
      </c>
      <c r="C184" s="225" t="s">
        <v>535</v>
      </c>
      <c r="D184" s="225" t="s">
        <v>534</v>
      </c>
      <c r="E184" s="103" t="s">
        <v>125</v>
      </c>
      <c r="F184" s="107">
        <v>0.2</v>
      </c>
      <c r="I184" s="5"/>
      <c r="J184" s="5"/>
    </row>
    <row r="185" spans="1:10" s="217" customFormat="1" ht="15" thickBot="1" x14ac:dyDescent="0.25">
      <c r="B185" s="225" t="s">
        <v>3</v>
      </c>
      <c r="C185" s="225" t="s">
        <v>536</v>
      </c>
      <c r="D185" s="225" t="s">
        <v>537</v>
      </c>
      <c r="E185" s="103" t="s">
        <v>4</v>
      </c>
      <c r="F185" s="107">
        <v>16</v>
      </c>
      <c r="I185" s="218"/>
      <c r="J185" s="218"/>
    </row>
    <row r="186" spans="1:10" s="3" customFormat="1" ht="16.5" thickBot="1" x14ac:dyDescent="0.25">
      <c r="B186" s="255" t="s">
        <v>11</v>
      </c>
      <c r="C186" s="261" t="s">
        <v>658</v>
      </c>
      <c r="D186" s="256" t="s">
        <v>570</v>
      </c>
      <c r="E186" s="257" t="s">
        <v>14</v>
      </c>
      <c r="F186" s="262">
        <f>((F183*0.000001*F182)/(F184*0.001))*1000+((F185*0.000001*F182)/(F179*0.001))*1000</f>
        <v>108.33333333333331</v>
      </c>
      <c r="I186" s="5"/>
      <c r="J186" s="5"/>
    </row>
    <row r="187" spans="1:10" s="3" customFormat="1" x14ac:dyDescent="0.2">
      <c r="B187" s="149" t="s">
        <v>163</v>
      </c>
      <c r="C187" s="38"/>
      <c r="D187" s="27"/>
      <c r="E187" s="24"/>
      <c r="F187" s="57"/>
      <c r="I187" s="5"/>
      <c r="J187" s="5"/>
    </row>
    <row r="188" spans="1:10" s="3" customFormat="1" x14ac:dyDescent="0.2">
      <c r="B188" s="11" t="s">
        <v>61</v>
      </c>
      <c r="D188" s="58"/>
      <c r="I188" s="5"/>
      <c r="J188" s="5"/>
    </row>
    <row r="189" spans="1:10" s="3" customFormat="1" ht="16.5" thickBot="1" x14ac:dyDescent="0.25">
      <c r="B189" s="100" t="s">
        <v>11</v>
      </c>
      <c r="C189" s="97" t="s">
        <v>138</v>
      </c>
      <c r="D189" s="94" t="s">
        <v>254</v>
      </c>
      <c r="E189" s="95" t="s">
        <v>7</v>
      </c>
      <c r="F189" s="114">
        <f>F39*1*2</f>
        <v>0.7381776239907728</v>
      </c>
      <c r="G189" s="5"/>
      <c r="I189" s="5"/>
      <c r="J189" s="5"/>
    </row>
    <row r="190" spans="1:10" s="3" customFormat="1" x14ac:dyDescent="0.2">
      <c r="B190" s="11" t="s">
        <v>62</v>
      </c>
      <c r="D190" s="58"/>
      <c r="I190" s="5"/>
      <c r="J190" s="5"/>
    </row>
    <row r="191" spans="1:10" s="3" customFormat="1" ht="15.75" x14ac:dyDescent="0.2">
      <c r="B191" s="100" t="s">
        <v>11</v>
      </c>
      <c r="C191" s="97" t="s">
        <v>139</v>
      </c>
      <c r="D191" s="94" t="s">
        <v>255</v>
      </c>
      <c r="E191" s="95" t="s">
        <v>63</v>
      </c>
      <c r="F191" s="93">
        <f>F64*0.001*F67*17.2/F97</f>
        <v>1205.4398235956248</v>
      </c>
      <c r="G191" s="40"/>
      <c r="I191" s="5"/>
      <c r="J191" s="5"/>
    </row>
    <row r="192" spans="1:10" s="3" customFormat="1" ht="15.75" x14ac:dyDescent="0.2">
      <c r="B192" s="100" t="s">
        <v>11</v>
      </c>
      <c r="C192" s="97" t="s">
        <v>139</v>
      </c>
      <c r="D192" s="94" t="s">
        <v>256</v>
      </c>
      <c r="E192" s="95" t="s">
        <v>63</v>
      </c>
      <c r="F192" s="129">
        <f>F64*0.001*F69*17.2/F111</f>
        <v>25.908178896289442</v>
      </c>
      <c r="G192" s="40"/>
      <c r="I192" s="26"/>
      <c r="J192" s="26"/>
    </row>
    <row r="193" spans="1:17" s="3" customFormat="1" ht="15.75" x14ac:dyDescent="0.2">
      <c r="B193" s="100" t="s">
        <v>11</v>
      </c>
      <c r="C193" s="97" t="s">
        <v>140</v>
      </c>
      <c r="D193" s="94" t="s">
        <v>257</v>
      </c>
      <c r="E193" s="95" t="s">
        <v>64</v>
      </c>
      <c r="F193" s="129">
        <f>F55^2*F191</f>
        <v>130.26364986290778</v>
      </c>
      <c r="G193" s="40"/>
      <c r="I193" s="5"/>
      <c r="J193" s="5"/>
    </row>
    <row r="194" spans="1:17" s="3" customFormat="1" ht="15.75" x14ac:dyDescent="0.2">
      <c r="B194" s="100" t="s">
        <v>11</v>
      </c>
      <c r="C194" s="97" t="s">
        <v>141</v>
      </c>
      <c r="D194" s="94" t="s">
        <v>258</v>
      </c>
      <c r="E194" s="95" t="s">
        <v>64</v>
      </c>
      <c r="F194" s="129">
        <f>F130^2*F192</f>
        <v>160.07394181981999</v>
      </c>
      <c r="I194" s="5"/>
      <c r="J194" s="5"/>
    </row>
    <row r="195" spans="1:17" s="3" customFormat="1" ht="16.5" thickBot="1" x14ac:dyDescent="0.25">
      <c r="B195" s="100" t="s">
        <v>11</v>
      </c>
      <c r="C195" s="97" t="s">
        <v>429</v>
      </c>
      <c r="D195" s="94" t="s">
        <v>259</v>
      </c>
      <c r="E195" s="95" t="s">
        <v>7</v>
      </c>
      <c r="F195" s="186">
        <f>SUM(F193:F194)/1000</f>
        <v>0.29033759168272777</v>
      </c>
      <c r="I195" s="5"/>
      <c r="J195" s="5"/>
    </row>
    <row r="196" spans="1:17" s="3" customFormat="1" x14ac:dyDescent="0.2">
      <c r="B196" s="11" t="s">
        <v>65</v>
      </c>
      <c r="D196" s="58"/>
      <c r="I196" s="5"/>
      <c r="J196" s="5"/>
    </row>
    <row r="197" spans="1:17" s="5" customFormat="1" ht="16.5" thickBot="1" x14ac:dyDescent="0.25">
      <c r="A197" s="3"/>
      <c r="B197" s="100" t="s">
        <v>11</v>
      </c>
      <c r="C197" s="97" t="s">
        <v>430</v>
      </c>
      <c r="D197" s="227" t="s">
        <v>538</v>
      </c>
      <c r="E197" s="95" t="s">
        <v>7</v>
      </c>
      <c r="F197" s="114">
        <f>F130*F19</f>
        <v>0.74569826204073608</v>
      </c>
      <c r="G197" s="40"/>
      <c r="H197" s="3"/>
      <c r="I197" s="24"/>
      <c r="J197" s="24"/>
      <c r="K197" s="3"/>
      <c r="L197" s="3"/>
      <c r="M197" s="3"/>
      <c r="N197" s="3"/>
      <c r="O197" s="3"/>
      <c r="P197" s="3"/>
      <c r="Q197" s="3"/>
    </row>
    <row r="198" spans="1:17" s="218" customFormat="1" ht="16.5" thickBot="1" x14ac:dyDescent="0.25">
      <c r="A198" s="217"/>
      <c r="B198" s="100" t="s">
        <v>11</v>
      </c>
      <c r="C198" s="97" t="s">
        <v>430</v>
      </c>
      <c r="D198" s="227" t="s">
        <v>539</v>
      </c>
      <c r="E198" s="228" t="s">
        <v>7</v>
      </c>
      <c r="F198" s="233" t="e">
        <f>F134*F22</f>
        <v>#DIV/0!</v>
      </c>
      <c r="G198" s="221"/>
      <c r="H198" s="217"/>
      <c r="I198" s="220"/>
      <c r="J198" s="220"/>
      <c r="K198" s="217"/>
      <c r="L198" s="217"/>
      <c r="M198" s="217"/>
      <c r="N198" s="217"/>
      <c r="O198" s="217"/>
      <c r="P198" s="217"/>
      <c r="Q198" s="217"/>
    </row>
    <row r="199" spans="1:17" s="3" customFormat="1" x14ac:dyDescent="0.2">
      <c r="A199" s="5"/>
      <c r="B199" s="11" t="s">
        <v>352</v>
      </c>
      <c r="C199" s="5"/>
      <c r="D199" s="27"/>
      <c r="E199" s="24"/>
      <c r="F199" s="51"/>
      <c r="G199" s="40"/>
      <c r="H199" s="5"/>
      <c r="I199" s="24"/>
      <c r="J199" s="24"/>
      <c r="K199" s="5"/>
      <c r="L199" s="5"/>
      <c r="M199" s="5"/>
      <c r="N199" s="5"/>
      <c r="O199" s="5"/>
      <c r="P199" s="5"/>
      <c r="Q199" s="5"/>
    </row>
    <row r="200" spans="1:17" s="3" customFormat="1" ht="16.5" thickBot="1" x14ac:dyDescent="0.25">
      <c r="B200" s="100" t="s">
        <v>11</v>
      </c>
      <c r="C200" s="97" t="s">
        <v>431</v>
      </c>
      <c r="D200" s="94" t="s">
        <v>469</v>
      </c>
      <c r="E200" s="95" t="s">
        <v>7</v>
      </c>
      <c r="F200" s="114">
        <f>0.5*F119*F53^2*F34*(F121+F76)/F121</f>
        <v>0.51399798209229164</v>
      </c>
      <c r="G200" s="40"/>
      <c r="I200" s="24"/>
      <c r="J200" s="24"/>
    </row>
    <row r="201" spans="1:17" s="3" customFormat="1" x14ac:dyDescent="0.2">
      <c r="B201" s="11" t="s">
        <v>159</v>
      </c>
      <c r="C201" s="5"/>
      <c r="D201" s="27"/>
      <c r="E201" s="24"/>
      <c r="F201" s="60"/>
      <c r="G201" s="40"/>
      <c r="I201" s="24"/>
      <c r="J201" s="24"/>
    </row>
    <row r="202" spans="1:17" s="3" customFormat="1" ht="19.5" thickBot="1" x14ac:dyDescent="0.25">
      <c r="A202" s="11"/>
      <c r="B202" s="99" t="s">
        <v>3</v>
      </c>
      <c r="C202" s="69" t="s">
        <v>101</v>
      </c>
      <c r="D202" s="69" t="s">
        <v>260</v>
      </c>
      <c r="E202" s="121" t="s">
        <v>56</v>
      </c>
      <c r="F202" s="96">
        <v>8.59</v>
      </c>
      <c r="I202" s="5"/>
      <c r="J202" s="5"/>
    </row>
    <row r="203" spans="1:17" s="3" customFormat="1" ht="13.5" thickBot="1" x14ac:dyDescent="0.25">
      <c r="A203" s="11"/>
      <c r="B203" s="99" t="s">
        <v>3</v>
      </c>
      <c r="C203" s="69" t="s">
        <v>173</v>
      </c>
      <c r="D203" s="69" t="s">
        <v>187</v>
      </c>
      <c r="E203" s="121" t="s">
        <v>67</v>
      </c>
      <c r="F203" s="96">
        <v>3</v>
      </c>
      <c r="I203" s="5"/>
      <c r="J203" s="64"/>
      <c r="K203" s="64"/>
      <c r="L203" s="64"/>
      <c r="M203" s="64"/>
      <c r="N203" s="64"/>
    </row>
    <row r="204" spans="1:17" s="3" customFormat="1" ht="15" thickBot="1" x14ac:dyDescent="0.25">
      <c r="B204" s="99" t="s">
        <v>3</v>
      </c>
      <c r="C204" s="225" t="s">
        <v>643</v>
      </c>
      <c r="D204" s="225" t="s">
        <v>639</v>
      </c>
      <c r="E204" s="121" t="s">
        <v>67</v>
      </c>
      <c r="F204" s="96">
        <v>4</v>
      </c>
      <c r="I204" s="5"/>
      <c r="J204" s="24"/>
      <c r="K204" s="24"/>
      <c r="L204" s="24"/>
      <c r="M204" s="24"/>
      <c r="N204" s="24"/>
    </row>
    <row r="205" spans="1:17" s="3" customFormat="1" x14ac:dyDescent="0.2">
      <c r="B205" s="11" t="s">
        <v>66</v>
      </c>
      <c r="C205" s="23"/>
      <c r="D205" s="23"/>
      <c r="E205" s="49"/>
      <c r="F205" s="59"/>
      <c r="I205" s="5"/>
      <c r="J205" s="24"/>
      <c r="K205" s="24"/>
      <c r="L205" s="24"/>
      <c r="M205" s="24"/>
      <c r="N205" s="24"/>
    </row>
    <row r="206" spans="1:17" s="3" customFormat="1" ht="15.75" x14ac:dyDescent="0.2">
      <c r="B206" s="100" t="s">
        <v>11</v>
      </c>
      <c r="C206" s="97" t="s">
        <v>175</v>
      </c>
      <c r="D206" s="94" t="s">
        <v>261</v>
      </c>
      <c r="E206" s="95" t="s">
        <v>7</v>
      </c>
      <c r="F206" s="337">
        <f>0.5*(F203+F204)*10^-12*(F42-F76)^2*F34</f>
        <v>5.7922623185414441E-6</v>
      </c>
      <c r="I206" s="5"/>
      <c r="J206" s="5"/>
    </row>
    <row r="207" spans="1:17" s="3" customFormat="1" x14ac:dyDescent="0.2">
      <c r="B207" s="100" t="s">
        <v>11</v>
      </c>
      <c r="C207" s="97" t="s">
        <v>179</v>
      </c>
      <c r="D207" s="94" t="s">
        <v>172</v>
      </c>
      <c r="E207" s="95" t="s">
        <v>7</v>
      </c>
      <c r="F207" s="187">
        <f>F55^2*F202</f>
        <v>0.92826263942790088</v>
      </c>
      <c r="I207" s="5"/>
      <c r="J207" s="5"/>
    </row>
    <row r="208" spans="1:17" s="3" customFormat="1" ht="13.5" thickBot="1" x14ac:dyDescent="0.25">
      <c r="B208" s="100" t="s">
        <v>11</v>
      </c>
      <c r="C208" s="97" t="s">
        <v>180</v>
      </c>
      <c r="D208" s="94" t="s">
        <v>68</v>
      </c>
      <c r="E208" s="95" t="s">
        <v>7</v>
      </c>
      <c r="F208" s="188">
        <f>SUM(F206:F207)</f>
        <v>0.92826843169021944</v>
      </c>
      <c r="I208" s="5"/>
      <c r="J208" s="5"/>
    </row>
    <row r="209" spans="1:32" s="3" customFormat="1" x14ac:dyDescent="0.2">
      <c r="B209" s="11" t="s">
        <v>158</v>
      </c>
      <c r="C209" s="5"/>
      <c r="D209" s="27"/>
      <c r="E209" s="24"/>
      <c r="F209" s="60"/>
      <c r="I209" s="5"/>
      <c r="J209" s="5"/>
    </row>
    <row r="210" spans="1:32" s="3" customFormat="1" ht="15.75" x14ac:dyDescent="0.2">
      <c r="B210" s="100" t="s">
        <v>11</v>
      </c>
      <c r="C210" s="97" t="s">
        <v>181</v>
      </c>
      <c r="D210" s="94" t="s">
        <v>261</v>
      </c>
      <c r="E210" s="95" t="s">
        <v>7</v>
      </c>
      <c r="F210" s="187">
        <f>0.5*(F203+F204)*10^-12*(F40-F76)^2*(F34*1.3)</f>
        <v>3.2856903947699329E-2</v>
      </c>
      <c r="I210" s="5"/>
      <c r="J210" s="5"/>
    </row>
    <row r="211" spans="1:32" s="3" customFormat="1" x14ac:dyDescent="0.2">
      <c r="B211" s="100" t="s">
        <v>11</v>
      </c>
      <c r="C211" s="97" t="s">
        <v>432</v>
      </c>
      <c r="D211" s="94" t="s">
        <v>172</v>
      </c>
      <c r="E211" s="95" t="s">
        <v>7</v>
      </c>
      <c r="F211" s="187">
        <f>(1/3)*F202*F53^2*F50*F53*F34*1.3/F40</f>
        <v>0.25514883569450841</v>
      </c>
      <c r="I211" s="5"/>
      <c r="J211" s="5"/>
    </row>
    <row r="212" spans="1:32" s="3" customFormat="1" ht="13.5" thickBot="1" x14ac:dyDescent="0.25">
      <c r="B212" s="100" t="s">
        <v>11</v>
      </c>
      <c r="C212" s="97" t="s">
        <v>182</v>
      </c>
      <c r="D212" s="94" t="s">
        <v>68</v>
      </c>
      <c r="E212" s="95" t="s">
        <v>7</v>
      </c>
      <c r="F212" s="188">
        <f>SUM(F210:F211)</f>
        <v>0.28800573964220777</v>
      </c>
      <c r="I212" s="5"/>
      <c r="J212" s="5"/>
    </row>
    <row r="213" spans="1:32" s="5" customFormat="1" x14ac:dyDescent="0.2">
      <c r="A213" s="3"/>
      <c r="B213" s="23" t="s">
        <v>162</v>
      </c>
      <c r="D213" s="27"/>
      <c r="E213" s="24"/>
      <c r="F213" s="60"/>
      <c r="G213" s="3"/>
      <c r="H213" s="3"/>
      <c r="K213" s="3"/>
      <c r="L213" s="3"/>
      <c r="M213" s="3"/>
      <c r="N213" s="3"/>
      <c r="O213" s="3"/>
      <c r="P213" s="3"/>
      <c r="Q213" s="3"/>
    </row>
    <row r="214" spans="1:32" s="5" customFormat="1" ht="13.5" thickBot="1" x14ac:dyDescent="0.25">
      <c r="B214" s="69" t="s">
        <v>3</v>
      </c>
      <c r="C214" s="69" t="s">
        <v>185</v>
      </c>
      <c r="D214" s="69" t="s">
        <v>68</v>
      </c>
      <c r="E214" s="72" t="s">
        <v>7</v>
      </c>
      <c r="F214" s="133">
        <v>0.92830000000000001</v>
      </c>
    </row>
    <row r="215" spans="1:32" s="5" customFormat="1" x14ac:dyDescent="0.2">
      <c r="B215" s="69" t="s">
        <v>3</v>
      </c>
      <c r="C215" s="69" t="s">
        <v>186</v>
      </c>
      <c r="D215" s="69" t="s">
        <v>146</v>
      </c>
      <c r="E215" s="72" t="s">
        <v>147</v>
      </c>
      <c r="F215" s="168">
        <v>96</v>
      </c>
    </row>
    <row r="216" spans="1:32" s="5" customFormat="1" x14ac:dyDescent="0.2">
      <c r="B216" s="100" t="s">
        <v>11</v>
      </c>
      <c r="C216" s="120" t="s">
        <v>433</v>
      </c>
      <c r="D216" s="94" t="s">
        <v>383</v>
      </c>
      <c r="E216" s="95" t="s">
        <v>148</v>
      </c>
      <c r="F216" s="128">
        <f>F215*F214</f>
        <v>89.116799999999998</v>
      </c>
    </row>
    <row r="217" spans="1:32" s="3" customFormat="1" ht="13.5" thickBot="1" x14ac:dyDescent="0.25">
      <c r="A217" s="5"/>
      <c r="B217" s="100" t="s">
        <v>11</v>
      </c>
      <c r="C217" s="120" t="s">
        <v>434</v>
      </c>
      <c r="D217" s="94" t="s">
        <v>155</v>
      </c>
      <c r="E217" s="95" t="s">
        <v>149</v>
      </c>
      <c r="F217" s="148">
        <f>F36+F216</f>
        <v>139.11680000000001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32" s="3" customFormat="1" x14ac:dyDescent="0.2">
      <c r="B218" s="23" t="s">
        <v>353</v>
      </c>
      <c r="C218" s="5"/>
      <c r="D218" s="27"/>
      <c r="E218" s="24"/>
      <c r="F218" s="51"/>
      <c r="G218" s="5"/>
      <c r="I218" s="5"/>
      <c r="J218" s="5"/>
    </row>
    <row r="219" spans="1:32" s="3" customFormat="1" ht="14.25" x14ac:dyDescent="0.2">
      <c r="B219" s="255" t="s">
        <v>11</v>
      </c>
      <c r="C219" s="259" t="s">
        <v>569</v>
      </c>
      <c r="D219" s="256" t="s">
        <v>69</v>
      </c>
      <c r="E219" s="257" t="s">
        <v>7</v>
      </c>
      <c r="F219" s="260">
        <f>F74*0.9*10^-3</f>
        <v>1.2375000000000001E-2</v>
      </c>
      <c r="I219" s="5"/>
      <c r="J219" s="5"/>
    </row>
    <row r="220" spans="1:32" s="3" customFormat="1" x14ac:dyDescent="0.2">
      <c r="B220" s="11" t="s">
        <v>70</v>
      </c>
      <c r="D220" s="58"/>
      <c r="I220" s="5"/>
      <c r="J220" s="5"/>
    </row>
    <row r="221" spans="1:32" s="3" customFormat="1" ht="16.5" thickBot="1" x14ac:dyDescent="0.25">
      <c r="B221" s="100" t="s">
        <v>11</v>
      </c>
      <c r="C221" s="120" t="s">
        <v>435</v>
      </c>
      <c r="D221" s="94" t="s">
        <v>152</v>
      </c>
      <c r="E221" s="95" t="s">
        <v>7</v>
      </c>
      <c r="F221" s="233">
        <f>SUM(F189+F195+F197+F200+F214+F219)</f>
        <v>3.2288864598065286</v>
      </c>
      <c r="G221" s="40"/>
      <c r="I221" s="24"/>
      <c r="J221" s="24"/>
    </row>
    <row r="222" spans="1:32" s="3" customFormat="1" x14ac:dyDescent="0.2">
      <c r="B222" s="23" t="s">
        <v>437</v>
      </c>
      <c r="C222" s="5"/>
      <c r="D222" s="27"/>
      <c r="E222" s="24"/>
      <c r="F222" s="75"/>
      <c r="G222" s="40"/>
      <c r="I222" s="24"/>
      <c r="J222" s="24"/>
    </row>
    <row r="223" spans="1:32" s="3" customFormat="1" ht="16.5" thickBot="1" x14ac:dyDescent="0.25">
      <c r="B223" s="100" t="s">
        <v>11</v>
      </c>
      <c r="C223" s="120" t="s">
        <v>436</v>
      </c>
      <c r="D223" s="94" t="s">
        <v>438</v>
      </c>
      <c r="E223" s="95"/>
      <c r="F223" s="188">
        <f>F24/(F24+F221)</f>
        <v>0.83208146417860662</v>
      </c>
      <c r="G223" s="40"/>
      <c r="I223" s="24"/>
      <c r="J223" s="24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</row>
    <row r="224" spans="1:32" s="5" customFormat="1" x14ac:dyDescent="0.2">
      <c r="B224" s="169" t="s">
        <v>354</v>
      </c>
      <c r="C224" s="62"/>
      <c r="D224" s="80"/>
      <c r="E224" s="74"/>
      <c r="F224" s="75"/>
      <c r="G224" s="76"/>
      <c r="H224" s="62"/>
      <c r="I224" s="74"/>
      <c r="J224" s="74"/>
      <c r="K224" s="62"/>
      <c r="L224" s="62"/>
      <c r="M224" s="62"/>
      <c r="N224" s="62"/>
      <c r="O224" s="62"/>
      <c r="P224" s="62"/>
      <c r="Q224" s="62"/>
    </row>
    <row r="225" spans="1:17" s="3" customFormat="1" ht="16.5" thickBot="1" x14ac:dyDescent="0.25">
      <c r="B225" s="99" t="s">
        <v>3</v>
      </c>
      <c r="C225" s="69" t="s">
        <v>126</v>
      </c>
      <c r="D225" s="231" t="s">
        <v>543</v>
      </c>
      <c r="E225" s="121" t="s">
        <v>125</v>
      </c>
      <c r="F225" s="107">
        <v>1</v>
      </c>
      <c r="I225" s="5"/>
      <c r="J225" s="5"/>
    </row>
    <row r="226" spans="1:17" s="3" customFormat="1" ht="16.5" thickBot="1" x14ac:dyDescent="0.25">
      <c r="B226" s="99" t="s">
        <v>3</v>
      </c>
      <c r="C226" s="99" t="s">
        <v>470</v>
      </c>
      <c r="D226" s="231" t="s">
        <v>640</v>
      </c>
      <c r="E226" s="121"/>
      <c r="F226" s="107">
        <v>1.5</v>
      </c>
      <c r="I226" s="5"/>
      <c r="J226" s="5"/>
    </row>
    <row r="227" spans="1:17" s="3" customFormat="1" ht="16.5" thickBot="1" x14ac:dyDescent="0.25">
      <c r="B227" s="99" t="s">
        <v>3</v>
      </c>
      <c r="C227" s="69" t="s">
        <v>127</v>
      </c>
      <c r="D227" s="231" t="s">
        <v>544</v>
      </c>
      <c r="E227" s="121" t="s">
        <v>125</v>
      </c>
      <c r="F227" s="107">
        <v>10</v>
      </c>
      <c r="I227" s="5"/>
      <c r="J227" s="5"/>
    </row>
    <row r="228" spans="1:17" s="3" customFormat="1" ht="13.5" thickBot="1" x14ac:dyDescent="0.25">
      <c r="B228" s="99" t="s">
        <v>3</v>
      </c>
      <c r="C228" s="69" t="s">
        <v>128</v>
      </c>
      <c r="D228" s="231" t="s">
        <v>206</v>
      </c>
      <c r="E228" s="121" t="s">
        <v>53</v>
      </c>
      <c r="F228" s="107">
        <v>10</v>
      </c>
      <c r="I228" s="5"/>
      <c r="J228" s="5"/>
    </row>
    <row r="229" spans="1:17" s="3" customFormat="1" ht="13.5" thickBot="1" x14ac:dyDescent="0.25">
      <c r="B229" s="99" t="s">
        <v>3</v>
      </c>
      <c r="C229" s="69" t="s">
        <v>132</v>
      </c>
      <c r="D229" s="231" t="s">
        <v>130</v>
      </c>
      <c r="E229" s="121" t="s">
        <v>131</v>
      </c>
      <c r="F229" s="107">
        <v>3</v>
      </c>
      <c r="I229" s="5"/>
      <c r="J229" s="5"/>
    </row>
    <row r="230" spans="1:17" s="3" customFormat="1" ht="13.5" thickBot="1" x14ac:dyDescent="0.25">
      <c r="B230" s="102" t="s">
        <v>11</v>
      </c>
      <c r="C230" s="120" t="s">
        <v>439</v>
      </c>
      <c r="D230" s="94" t="s">
        <v>207</v>
      </c>
      <c r="E230" s="95" t="s">
        <v>53</v>
      </c>
      <c r="F230" s="114">
        <f>(F17/2.5-1)*F228</f>
        <v>38</v>
      </c>
      <c r="G230" s="40"/>
      <c r="I230" s="24"/>
      <c r="J230" s="24"/>
    </row>
    <row r="231" spans="1:17" s="5" customFormat="1" ht="13.5" thickBot="1" x14ac:dyDescent="0.25">
      <c r="A231" s="3"/>
      <c r="B231" s="99" t="s">
        <v>3</v>
      </c>
      <c r="C231" s="69" t="s">
        <v>440</v>
      </c>
      <c r="D231" s="69" t="s">
        <v>207</v>
      </c>
      <c r="E231" s="121" t="s">
        <v>53</v>
      </c>
      <c r="F231" s="107">
        <v>38</v>
      </c>
      <c r="G231" s="3"/>
      <c r="H231" s="3"/>
      <c r="K231" s="3"/>
      <c r="L231" s="3"/>
      <c r="M231" s="3"/>
      <c r="N231" s="3"/>
      <c r="O231" s="3"/>
      <c r="P231" s="3"/>
      <c r="Q231" s="3"/>
    </row>
    <row r="232" spans="1:17" s="3" customFormat="1" ht="13.5" thickBot="1" x14ac:dyDescent="0.25">
      <c r="B232" s="102" t="s">
        <v>11</v>
      </c>
      <c r="C232" s="120" t="s">
        <v>441</v>
      </c>
      <c r="D232" s="94" t="s">
        <v>208</v>
      </c>
      <c r="E232" s="95" t="s">
        <v>53</v>
      </c>
      <c r="F232" s="188">
        <f>(F17-(1.25+2.5))/F227</f>
        <v>0.82499999999999996</v>
      </c>
      <c r="G232" s="40"/>
      <c r="I232" s="24"/>
      <c r="J232" s="24"/>
    </row>
    <row r="233" spans="1:17" s="5" customFormat="1" ht="13.5" thickBot="1" x14ac:dyDescent="0.25">
      <c r="A233" s="3"/>
      <c r="B233" s="99" t="s">
        <v>3</v>
      </c>
      <c r="C233" s="99" t="s">
        <v>442</v>
      </c>
      <c r="D233" s="69" t="s">
        <v>208</v>
      </c>
      <c r="E233" s="121" t="s">
        <v>53</v>
      </c>
      <c r="F233" s="107">
        <v>0.82</v>
      </c>
      <c r="G233" s="3"/>
      <c r="H233" s="3"/>
      <c r="K233" s="3"/>
      <c r="L233" s="3"/>
      <c r="M233" s="3"/>
      <c r="N233" s="3"/>
      <c r="O233" s="3"/>
      <c r="P233" s="3"/>
      <c r="Q233" s="3"/>
    </row>
    <row r="234" spans="1:17" s="5" customFormat="1" ht="19.5" thickBot="1" x14ac:dyDescent="0.25">
      <c r="B234" s="99" t="s">
        <v>3</v>
      </c>
      <c r="C234" s="69" t="s">
        <v>202</v>
      </c>
      <c r="D234" s="231" t="s">
        <v>545</v>
      </c>
      <c r="E234" s="103" t="s">
        <v>4</v>
      </c>
      <c r="F234" s="107">
        <v>3.3</v>
      </c>
      <c r="G234" s="3"/>
      <c r="I234" s="24"/>
      <c r="J234" s="24"/>
    </row>
    <row r="235" spans="1:17" s="5" customFormat="1" ht="19.5" thickBot="1" x14ac:dyDescent="0.25">
      <c r="B235" s="99" t="s">
        <v>3</v>
      </c>
      <c r="C235" s="225" t="s">
        <v>540</v>
      </c>
      <c r="D235" s="231" t="s">
        <v>546</v>
      </c>
      <c r="E235" s="103" t="s">
        <v>4</v>
      </c>
      <c r="F235" s="107">
        <v>2.75</v>
      </c>
      <c r="G235" s="3"/>
      <c r="I235" s="24"/>
      <c r="J235" s="24"/>
    </row>
    <row r="236" spans="1:17" s="3" customFormat="1" ht="19.5" thickBot="1" x14ac:dyDescent="0.25">
      <c r="A236" s="5"/>
      <c r="B236" s="99" t="s">
        <v>3</v>
      </c>
      <c r="C236" s="69" t="s">
        <v>203</v>
      </c>
      <c r="D236" s="231" t="s">
        <v>547</v>
      </c>
      <c r="E236" s="121" t="s">
        <v>53</v>
      </c>
      <c r="F236" s="107">
        <v>15</v>
      </c>
      <c r="H236" s="5"/>
      <c r="I236" s="24"/>
      <c r="J236" s="24"/>
      <c r="K236" s="5"/>
      <c r="L236" s="5"/>
      <c r="M236" s="5"/>
      <c r="N236" s="5"/>
      <c r="O236" s="5"/>
      <c r="P236" s="5"/>
      <c r="Q236" s="5"/>
    </row>
    <row r="237" spans="1:17" s="3" customFormat="1" ht="13.5" thickBot="1" x14ac:dyDescent="0.25">
      <c r="B237" s="102" t="s">
        <v>11</v>
      </c>
      <c r="C237" s="120" t="s">
        <v>443</v>
      </c>
      <c r="D237" s="94" t="s">
        <v>209</v>
      </c>
      <c r="E237" s="95" t="s">
        <v>53</v>
      </c>
      <c r="F237" s="114">
        <f>((F233*1000*((F234-F235)/(F236*1000))/F226)+1.25)/(F225*0.001*1000)</f>
        <v>1.2700444444444445</v>
      </c>
      <c r="G237" s="40"/>
      <c r="I237" s="24"/>
      <c r="J237" s="24"/>
    </row>
    <row r="238" spans="1:17" s="5" customFormat="1" ht="13.5" thickBot="1" x14ac:dyDescent="0.25">
      <c r="A238" s="3"/>
      <c r="B238" s="99" t="s">
        <v>3</v>
      </c>
      <c r="C238" s="69" t="s">
        <v>444</v>
      </c>
      <c r="D238" s="69" t="s">
        <v>209</v>
      </c>
      <c r="E238" s="121" t="s">
        <v>53</v>
      </c>
      <c r="F238" s="107">
        <v>1.2</v>
      </c>
      <c r="G238" s="3"/>
      <c r="H238" s="3"/>
      <c r="K238" s="3"/>
      <c r="L238" s="3"/>
      <c r="M238" s="3"/>
      <c r="N238" s="3"/>
      <c r="O238" s="3"/>
      <c r="P238" s="3"/>
      <c r="Q238" s="3"/>
    </row>
    <row r="239" spans="1:17" s="5" customFormat="1" ht="16.5" thickBot="1" x14ac:dyDescent="0.25">
      <c r="A239" s="3"/>
      <c r="B239" s="102" t="s">
        <v>11</v>
      </c>
      <c r="C239" s="97" t="s">
        <v>445</v>
      </c>
      <c r="D239" s="94" t="s">
        <v>446</v>
      </c>
      <c r="E239" s="122" t="s">
        <v>4</v>
      </c>
      <c r="F239" s="200">
        <f>(F231/F228+1)*2.5</f>
        <v>12</v>
      </c>
      <c r="G239" s="3"/>
      <c r="H239" s="3"/>
      <c r="K239" s="3"/>
      <c r="L239" s="3"/>
      <c r="M239" s="3"/>
      <c r="N239" s="3"/>
      <c r="O239" s="3"/>
      <c r="P239" s="3"/>
      <c r="Q239" s="3"/>
    </row>
    <row r="240" spans="1:17" s="3" customFormat="1" ht="16.5" thickBot="1" x14ac:dyDescent="0.25">
      <c r="B240" s="102" t="s">
        <v>11</v>
      </c>
      <c r="C240" s="97" t="s">
        <v>447</v>
      </c>
      <c r="D240" s="94" t="s">
        <v>262</v>
      </c>
      <c r="E240" s="95"/>
      <c r="F240" s="114">
        <f>F226*F236*10^3/(F233*10^3)</f>
        <v>27.439024390243901</v>
      </c>
      <c r="G240" s="40"/>
      <c r="I240" s="24"/>
      <c r="J240" s="24"/>
    </row>
    <row r="241" spans="1:17" s="5" customFormat="1" ht="16.5" thickBot="1" x14ac:dyDescent="0.25">
      <c r="A241" s="3"/>
      <c r="B241" s="102" t="s">
        <v>11</v>
      </c>
      <c r="C241" s="97" t="s">
        <v>448</v>
      </c>
      <c r="D241" s="94" t="s">
        <v>263</v>
      </c>
      <c r="E241" s="95" t="s">
        <v>133</v>
      </c>
      <c r="F241" s="114">
        <f>LOG10(F240)*20</f>
        <v>28.767373314552916</v>
      </c>
      <c r="G241" s="40"/>
      <c r="H241" s="3"/>
      <c r="I241" s="24"/>
      <c r="J241" s="24"/>
      <c r="K241" s="3"/>
      <c r="L241" s="3"/>
      <c r="M241" s="3"/>
      <c r="N241" s="3"/>
      <c r="O241" s="3"/>
      <c r="P241" s="3"/>
      <c r="Q241" s="3"/>
    </row>
    <row r="242" spans="1:17" s="3" customFormat="1" ht="16.5" thickBot="1" x14ac:dyDescent="0.25">
      <c r="B242" s="102" t="s">
        <v>11</v>
      </c>
      <c r="C242" s="120" t="s">
        <v>449</v>
      </c>
      <c r="D242" s="94" t="s">
        <v>264</v>
      </c>
      <c r="E242" s="95"/>
      <c r="F242" s="114">
        <f>F228/(F231+F228)</f>
        <v>0.20833333333333334</v>
      </c>
      <c r="G242" s="40"/>
      <c r="I242" s="24"/>
      <c r="J242" s="24"/>
    </row>
    <row r="243" spans="1:17" s="5" customFormat="1" ht="16.5" thickBot="1" x14ac:dyDescent="0.25">
      <c r="A243" s="3"/>
      <c r="B243" s="102" t="s">
        <v>11</v>
      </c>
      <c r="C243" s="120" t="s">
        <v>450</v>
      </c>
      <c r="D243" s="94" t="s">
        <v>265</v>
      </c>
      <c r="E243" s="95" t="s">
        <v>133</v>
      </c>
      <c r="F243" s="114">
        <f>LOG10(F242)*20</f>
        <v>-13.624824747511743</v>
      </c>
      <c r="G243" s="40"/>
      <c r="H243" s="3"/>
      <c r="I243" s="24"/>
      <c r="J243" s="24"/>
      <c r="K243" s="3"/>
      <c r="L243" s="3"/>
      <c r="M243" s="3"/>
      <c r="N243" s="3"/>
      <c r="O243" s="3"/>
      <c r="P243" s="3"/>
      <c r="Q243" s="3"/>
    </row>
    <row r="244" spans="1:17" s="3" customFormat="1" ht="16.5" thickBot="1" x14ac:dyDescent="0.25">
      <c r="B244" s="102" t="s">
        <v>11</v>
      </c>
      <c r="C244" s="120" t="s">
        <v>451</v>
      </c>
      <c r="D244" s="94" t="s">
        <v>384</v>
      </c>
      <c r="E244" s="95" t="s">
        <v>56</v>
      </c>
      <c r="F244" s="114">
        <f>F17^2/F24</f>
        <v>9</v>
      </c>
      <c r="G244" s="40"/>
      <c r="I244" s="24"/>
      <c r="J244" s="24"/>
    </row>
    <row r="245" spans="1:17" s="5" customFormat="1" ht="16.5" thickBot="1" x14ac:dyDescent="0.25">
      <c r="A245" s="3"/>
      <c r="B245" s="102" t="s">
        <v>11</v>
      </c>
      <c r="C245" s="120" t="s">
        <v>452</v>
      </c>
      <c r="D245" s="94" t="s">
        <v>385</v>
      </c>
      <c r="E245" s="95" t="s">
        <v>56</v>
      </c>
      <c r="F245" s="114">
        <f>F17^2/F26</f>
        <v>45</v>
      </c>
      <c r="G245" s="40"/>
      <c r="H245" s="3"/>
      <c r="I245" s="24"/>
      <c r="J245" s="24"/>
      <c r="K245" s="3"/>
      <c r="L245" s="3"/>
      <c r="M245" s="3"/>
      <c r="N245" s="3"/>
      <c r="O245" s="3"/>
      <c r="P245" s="3"/>
      <c r="Q245" s="3"/>
    </row>
    <row r="246" spans="1:17" s="3" customFormat="1" ht="16.5" thickBot="1" x14ac:dyDescent="0.25">
      <c r="B246" s="102" t="s">
        <v>11</v>
      </c>
      <c r="C246" s="120" t="s">
        <v>453</v>
      </c>
      <c r="D246" s="94" t="s">
        <v>386</v>
      </c>
      <c r="E246" s="95" t="s">
        <v>10</v>
      </c>
      <c r="F246" s="114">
        <f>1/(PI()*(F142*F145*F244))*1000000</f>
        <v>35.367765131532302</v>
      </c>
      <c r="G246" s="40"/>
      <c r="I246" s="24"/>
      <c r="J246" s="24"/>
    </row>
    <row r="247" spans="1:17" s="3" customFormat="1" ht="16.5" thickBot="1" x14ac:dyDescent="0.25">
      <c r="B247" s="102" t="s">
        <v>11</v>
      </c>
      <c r="C247" s="120" t="s">
        <v>454</v>
      </c>
      <c r="D247" s="94" t="s">
        <v>387</v>
      </c>
      <c r="E247" s="95" t="s">
        <v>10</v>
      </c>
      <c r="F247" s="114">
        <f>1/(PI()*(F142*F145*F245))*1000000</f>
        <v>7.0735530263064588</v>
      </c>
      <c r="G247" s="40"/>
      <c r="I247" s="24"/>
      <c r="J247" s="24"/>
    </row>
    <row r="248" spans="1:17" s="5" customFormat="1" ht="16.5" thickBot="1" x14ac:dyDescent="0.25">
      <c r="A248" s="3"/>
      <c r="B248" s="102" t="s">
        <v>11</v>
      </c>
      <c r="C248" s="120" t="s">
        <v>455</v>
      </c>
      <c r="D248" s="94" t="s">
        <v>388</v>
      </c>
      <c r="E248" s="95" t="s">
        <v>10</v>
      </c>
      <c r="F248" s="114">
        <f>F246*POWER(10,0.5*LOG10(F247/F246))</f>
        <v>15.816945409270598</v>
      </c>
      <c r="G248" s="40"/>
      <c r="H248" s="3"/>
      <c r="I248" s="24"/>
      <c r="J248" s="24"/>
      <c r="K248" s="3"/>
      <c r="L248" s="3"/>
      <c r="M248" s="3"/>
      <c r="N248" s="3"/>
      <c r="O248" s="3"/>
      <c r="P248" s="3"/>
      <c r="Q248" s="3"/>
    </row>
    <row r="249" spans="1:17" s="3" customFormat="1" ht="16.5" thickBot="1" x14ac:dyDescent="0.25">
      <c r="B249" s="102" t="s">
        <v>11</v>
      </c>
      <c r="C249" s="97" t="s">
        <v>456</v>
      </c>
      <c r="D249" s="94" t="s">
        <v>266</v>
      </c>
      <c r="E249" s="95"/>
      <c r="F249" s="134">
        <f>(1/F85)*(SQRT(F244*F50*F34*F27/2))/(SQRT(1+(F229*1000/F246)^2))</f>
        <v>6.901285979643644E-2</v>
      </c>
      <c r="G249" s="199"/>
      <c r="I249" s="24"/>
      <c r="J249" s="24"/>
    </row>
    <row r="250" spans="1:17" s="5" customFormat="1" ht="16.5" thickBot="1" x14ac:dyDescent="0.25">
      <c r="A250" s="3"/>
      <c r="B250" s="102" t="s">
        <v>11</v>
      </c>
      <c r="C250" s="97" t="s">
        <v>457</v>
      </c>
      <c r="D250" s="94" t="s">
        <v>267</v>
      </c>
      <c r="E250" s="95" t="s">
        <v>133</v>
      </c>
      <c r="F250" s="114">
        <f>LOG10(F249)*20</f>
        <v>-23.221399513297758</v>
      </c>
      <c r="G250" s="40"/>
      <c r="H250" s="3"/>
      <c r="I250" s="24"/>
      <c r="J250" s="24"/>
      <c r="K250" s="3"/>
      <c r="L250" s="3"/>
      <c r="M250" s="3"/>
      <c r="N250" s="3"/>
      <c r="O250" s="3"/>
      <c r="P250" s="3"/>
      <c r="Q250" s="3"/>
    </row>
    <row r="251" spans="1:17" s="5" customFormat="1" ht="13.5" thickBot="1" x14ac:dyDescent="0.25">
      <c r="A251" s="3"/>
      <c r="B251" s="102" t="s">
        <v>11</v>
      </c>
      <c r="C251" s="97" t="s">
        <v>458</v>
      </c>
      <c r="D251" s="94" t="s">
        <v>134</v>
      </c>
      <c r="E251" s="95" t="s">
        <v>133</v>
      </c>
      <c r="F251" s="134">
        <f>(F241+F243+F250)*-1</f>
        <v>8.0788509462565852</v>
      </c>
      <c r="G251" s="40"/>
      <c r="H251" s="3"/>
      <c r="I251" s="24"/>
      <c r="J251" s="24"/>
      <c r="K251" s="3"/>
      <c r="L251" s="3"/>
      <c r="M251" s="3"/>
      <c r="N251" s="3"/>
      <c r="O251" s="3"/>
      <c r="P251" s="3"/>
      <c r="Q251" s="3"/>
    </row>
    <row r="252" spans="1:17" s="3" customFormat="1" ht="13.5" thickBot="1" x14ac:dyDescent="0.25">
      <c r="B252" s="102" t="s">
        <v>11</v>
      </c>
      <c r="C252" s="97" t="s">
        <v>459</v>
      </c>
      <c r="D252" s="94" t="s">
        <v>210</v>
      </c>
      <c r="E252" s="95" t="s">
        <v>53</v>
      </c>
      <c r="F252" s="114">
        <f>POWER(10,F251/20)*(F231*F228/(F231+F228))</f>
        <v>20.06711347673204</v>
      </c>
      <c r="G252" s="40"/>
      <c r="I252" s="24"/>
      <c r="J252" s="24"/>
    </row>
    <row r="253" spans="1:17" s="5" customFormat="1" ht="13.5" thickBot="1" x14ac:dyDescent="0.25">
      <c r="A253" s="3"/>
      <c r="B253" s="99" t="s">
        <v>3</v>
      </c>
      <c r="C253" s="69" t="s">
        <v>355</v>
      </c>
      <c r="D253" s="69" t="s">
        <v>210</v>
      </c>
      <c r="E253" s="121" t="s">
        <v>53</v>
      </c>
      <c r="F253" s="107">
        <v>20</v>
      </c>
      <c r="G253" s="3"/>
      <c r="H253" s="3"/>
      <c r="K253" s="3"/>
      <c r="L253" s="3"/>
      <c r="M253" s="3"/>
      <c r="N253" s="3"/>
      <c r="O253" s="3"/>
      <c r="P253" s="3"/>
      <c r="Q253" s="3"/>
    </row>
    <row r="254" spans="1:17" s="3" customFormat="1" ht="13.5" thickBot="1" x14ac:dyDescent="0.25">
      <c r="B254" s="102" t="s">
        <v>11</v>
      </c>
      <c r="C254" s="120" t="s">
        <v>460</v>
      </c>
      <c r="D254" s="94" t="s">
        <v>211</v>
      </c>
      <c r="E254" s="95" t="s">
        <v>52</v>
      </c>
      <c r="F254" s="134">
        <f>1/(2*PI()*F253*F229)*1000</f>
        <v>2.6525823848649228</v>
      </c>
      <c r="G254" s="40"/>
      <c r="I254" s="24"/>
      <c r="J254" s="24"/>
    </row>
    <row r="255" spans="1:17" s="5" customFormat="1" ht="13.5" thickBot="1" x14ac:dyDescent="0.25">
      <c r="A255" s="3"/>
      <c r="B255" s="99" t="s">
        <v>3</v>
      </c>
      <c r="C255" s="69" t="s">
        <v>356</v>
      </c>
      <c r="D255" s="69" t="s">
        <v>211</v>
      </c>
      <c r="E255" s="121" t="s">
        <v>52</v>
      </c>
      <c r="F255" s="107">
        <v>2.2000000000000002</v>
      </c>
      <c r="G255" s="3"/>
      <c r="H255" s="3"/>
      <c r="K255" s="3"/>
      <c r="L255" s="3"/>
      <c r="M255" s="3"/>
      <c r="N255" s="3"/>
      <c r="O255" s="3"/>
      <c r="P255" s="3"/>
      <c r="Q255" s="3"/>
    </row>
    <row r="256" spans="1:17" s="3" customFormat="1" ht="13.5" thickBot="1" x14ac:dyDescent="0.25">
      <c r="B256" s="102" t="s">
        <v>11</v>
      </c>
      <c r="C256" s="120" t="s">
        <v>461</v>
      </c>
      <c r="D256" s="94" t="s">
        <v>212</v>
      </c>
      <c r="E256" s="95" t="s">
        <v>52</v>
      </c>
      <c r="F256" s="114">
        <f>(1/(2*PI()*F253*1000*F248)*1000000000)-F255</f>
        <v>500.91529493745276</v>
      </c>
      <c r="G256" s="40"/>
      <c r="I256" s="24"/>
      <c r="J256" s="24"/>
    </row>
    <row r="257" spans="1:17" s="1" customFormat="1" ht="13.5" thickBot="1" x14ac:dyDescent="0.25">
      <c r="A257" s="3"/>
      <c r="B257" s="99" t="s">
        <v>3</v>
      </c>
      <c r="C257" s="69" t="s">
        <v>357</v>
      </c>
      <c r="D257" s="69" t="s">
        <v>212</v>
      </c>
      <c r="E257" s="121" t="s">
        <v>52</v>
      </c>
      <c r="F257" s="107">
        <v>470</v>
      </c>
      <c r="G257" s="3"/>
      <c r="H257" s="3"/>
      <c r="I257" s="5"/>
      <c r="J257" s="5"/>
      <c r="K257" s="3"/>
      <c r="L257" s="3"/>
      <c r="M257" s="3"/>
      <c r="N257" s="3"/>
      <c r="O257" s="3"/>
      <c r="P257" s="3"/>
      <c r="Q257" s="3"/>
    </row>
    <row r="258" spans="1:17" s="1" customFormat="1" x14ac:dyDescent="0.2">
      <c r="B258" s="169" t="s">
        <v>561</v>
      </c>
      <c r="C258" s="62"/>
      <c r="D258" s="27"/>
      <c r="E258" s="24"/>
      <c r="F258" s="51"/>
      <c r="G258" s="40"/>
      <c r="I258" s="74"/>
      <c r="J258" s="74"/>
    </row>
    <row r="259" spans="1:17" s="1" customFormat="1" ht="16.5" thickBot="1" x14ac:dyDescent="0.25">
      <c r="A259" s="3"/>
      <c r="B259" s="99" t="s">
        <v>3</v>
      </c>
      <c r="C259" s="99" t="s">
        <v>478</v>
      </c>
      <c r="D259" s="231" t="s">
        <v>548</v>
      </c>
      <c r="E259" s="121" t="s">
        <v>4</v>
      </c>
      <c r="F259" s="107">
        <v>16</v>
      </c>
      <c r="G259" s="3"/>
      <c r="I259" s="62"/>
      <c r="J259" s="62"/>
    </row>
    <row r="260" spans="1:17" s="1" customFormat="1" ht="19.5" thickBot="1" x14ac:dyDescent="0.25">
      <c r="A260" s="3"/>
      <c r="B260" s="99" t="s">
        <v>3</v>
      </c>
      <c r="C260" s="99" t="s">
        <v>477</v>
      </c>
      <c r="D260" s="231" t="s">
        <v>549</v>
      </c>
      <c r="E260" s="121" t="s">
        <v>4</v>
      </c>
      <c r="F260" s="107">
        <v>1.9</v>
      </c>
      <c r="G260" s="3"/>
      <c r="I260" s="62"/>
      <c r="J260" s="62"/>
    </row>
    <row r="261" spans="1:17" s="1" customFormat="1" ht="19.5" thickBot="1" x14ac:dyDescent="0.25">
      <c r="A261" s="3"/>
      <c r="B261" s="99" t="s">
        <v>3</v>
      </c>
      <c r="C261" s="225" t="s">
        <v>541</v>
      </c>
      <c r="D261" s="231" t="s">
        <v>550</v>
      </c>
      <c r="E261" s="121" t="s">
        <v>53</v>
      </c>
      <c r="F261" s="107">
        <v>3</v>
      </c>
      <c r="G261" s="3"/>
      <c r="I261" s="62"/>
      <c r="J261" s="62"/>
    </row>
    <row r="262" spans="1:17" s="1" customFormat="1" ht="16.5" thickBot="1" x14ac:dyDescent="0.25">
      <c r="A262" s="3"/>
      <c r="B262" s="255" t="s">
        <v>11</v>
      </c>
      <c r="C262" s="118" t="s">
        <v>644</v>
      </c>
      <c r="D262" s="256" t="s">
        <v>568</v>
      </c>
      <c r="E262" s="257" t="s">
        <v>53</v>
      </c>
      <c r="F262" s="258">
        <f>F261*(((F73/F69)*((F259+F19)/F260))-1)</f>
        <v>27.026315789473692</v>
      </c>
      <c r="G262" s="317"/>
      <c r="I262" s="62"/>
      <c r="J262" s="62"/>
    </row>
    <row r="263" spans="1:17" s="1" customFormat="1" ht="15" thickBot="1" x14ac:dyDescent="0.25">
      <c r="A263" s="3"/>
      <c r="B263" s="99" t="s">
        <v>3</v>
      </c>
      <c r="C263" s="204" t="s">
        <v>476</v>
      </c>
      <c r="D263" s="99" t="s">
        <v>542</v>
      </c>
      <c r="E263" s="121" t="s">
        <v>53</v>
      </c>
      <c r="F263" s="107">
        <v>27</v>
      </c>
      <c r="G263" s="3"/>
      <c r="I263" s="62"/>
      <c r="J263" s="62"/>
    </row>
    <row r="264" spans="1:17" s="1" customFormat="1" ht="16.5" thickBot="1" x14ac:dyDescent="0.25">
      <c r="A264" s="3"/>
      <c r="B264" s="99" t="s">
        <v>3</v>
      </c>
      <c r="C264" s="99" t="s">
        <v>480</v>
      </c>
      <c r="D264" s="231" t="s">
        <v>551</v>
      </c>
      <c r="E264" s="121" t="s">
        <v>131</v>
      </c>
      <c r="F264" s="107">
        <v>820</v>
      </c>
      <c r="G264" s="3"/>
      <c r="I264" s="62"/>
      <c r="J264" s="62"/>
    </row>
    <row r="265" spans="1:17" s="1" customFormat="1" ht="16.5" thickBot="1" x14ac:dyDescent="0.25">
      <c r="A265" s="62"/>
      <c r="B265" s="102" t="s">
        <v>11</v>
      </c>
      <c r="C265" s="118" t="s">
        <v>645</v>
      </c>
      <c r="D265" s="227" t="s">
        <v>479</v>
      </c>
      <c r="E265" s="122" t="s">
        <v>67</v>
      </c>
      <c r="F265" s="131">
        <f>(TAN(2*PI()*(1/4-(100*10^-9*F264*10^3)))*((F262*10^3+F261*10^3)/(F262*10^3*F261*10^3))*(1/(2*PI()*F264*10^3)))*1000000000000</f>
        <v>126.94176561883859</v>
      </c>
      <c r="G265" s="62"/>
      <c r="I265" s="62"/>
      <c r="J265" s="62"/>
    </row>
    <row r="266" spans="1:17" s="215" customFormat="1" ht="16.5" thickBot="1" x14ac:dyDescent="0.25">
      <c r="A266" s="224"/>
      <c r="B266" s="241" t="s">
        <v>3</v>
      </c>
      <c r="C266" s="239" t="s">
        <v>558</v>
      </c>
      <c r="D266" s="231" t="s">
        <v>479</v>
      </c>
      <c r="E266" s="230" t="s">
        <v>67</v>
      </c>
      <c r="F266" s="242">
        <v>120</v>
      </c>
      <c r="G266" s="224"/>
      <c r="I266" s="224"/>
      <c r="J266" s="224"/>
    </row>
    <row r="267" spans="1:17" s="215" customFormat="1" x14ac:dyDescent="0.2">
      <c r="A267" s="216"/>
      <c r="B267" s="246" t="s">
        <v>648</v>
      </c>
      <c r="C267" s="243"/>
      <c r="D267" s="244"/>
      <c r="E267" s="243"/>
      <c r="F267" s="243"/>
      <c r="G267" s="224"/>
      <c r="I267" s="224"/>
      <c r="J267" s="224"/>
    </row>
    <row r="268" spans="1:17" s="215" customFormat="1" ht="15" thickBot="1" x14ac:dyDescent="0.25">
      <c r="A268" s="216"/>
      <c r="B268" s="247" t="s">
        <v>3</v>
      </c>
      <c r="C268" s="250"/>
      <c r="D268" s="247" t="s">
        <v>562</v>
      </c>
      <c r="E268" s="248" t="s">
        <v>559</v>
      </c>
      <c r="F268" s="265">
        <v>9000000</v>
      </c>
      <c r="G268" s="224"/>
      <c r="I268" s="224"/>
      <c r="J268" s="224"/>
    </row>
    <row r="269" spans="1:17" s="215" customFormat="1" ht="16.5" thickBot="1" x14ac:dyDescent="0.25">
      <c r="A269" s="216"/>
      <c r="B269" s="247" t="s">
        <v>3</v>
      </c>
      <c r="C269" s="250"/>
      <c r="D269" s="245" t="s">
        <v>578</v>
      </c>
      <c r="E269" s="248" t="s">
        <v>560</v>
      </c>
      <c r="F269" s="249">
        <v>320</v>
      </c>
      <c r="G269" s="224"/>
      <c r="I269" s="224"/>
      <c r="J269" s="224"/>
    </row>
    <row r="270" spans="1:17" s="215" customFormat="1" ht="15" thickBot="1" x14ac:dyDescent="0.25">
      <c r="A270" s="216"/>
      <c r="B270" s="247" t="s">
        <v>3</v>
      </c>
      <c r="C270" s="250"/>
      <c r="D270" s="91" t="s">
        <v>309</v>
      </c>
      <c r="E270" s="268" t="s">
        <v>4</v>
      </c>
      <c r="F270" s="269">
        <f>F16</f>
        <v>24.5</v>
      </c>
      <c r="G270" s="224"/>
      <c r="I270" s="224"/>
      <c r="J270" s="224"/>
    </row>
    <row r="271" spans="1:17" s="215" customFormat="1" ht="16.5" thickBot="1" x14ac:dyDescent="0.25">
      <c r="A271" s="216"/>
      <c r="B271" s="251" t="s">
        <v>11</v>
      </c>
      <c r="C271" s="252" t="s">
        <v>659</v>
      </c>
      <c r="D271" s="253" t="s">
        <v>565</v>
      </c>
      <c r="E271" s="254" t="s">
        <v>566</v>
      </c>
      <c r="F271" s="266">
        <f>F268*2.9/((F269*SQRT(2))-2.9)</f>
        <v>58045.360519638962</v>
      </c>
      <c r="G271" s="224"/>
      <c r="I271" s="224"/>
      <c r="J271" s="224"/>
    </row>
    <row r="272" spans="1:17" s="215" customFormat="1" ht="15" thickBot="1" x14ac:dyDescent="0.25">
      <c r="A272" s="216"/>
      <c r="B272" s="247" t="s">
        <v>3</v>
      </c>
      <c r="C272" s="247" t="s">
        <v>564</v>
      </c>
      <c r="D272" s="247" t="s">
        <v>563</v>
      </c>
      <c r="E272" s="248" t="s">
        <v>559</v>
      </c>
      <c r="F272" s="265">
        <v>58300</v>
      </c>
      <c r="G272" s="224"/>
      <c r="I272" s="224"/>
      <c r="J272" s="224"/>
    </row>
    <row r="273" spans="1:10" s="215" customFormat="1" ht="16.5" thickBot="1" x14ac:dyDescent="0.25">
      <c r="A273" s="216"/>
      <c r="B273" s="251" t="s">
        <v>11</v>
      </c>
      <c r="C273" s="118" t="s">
        <v>652</v>
      </c>
      <c r="D273" s="253" t="s">
        <v>577</v>
      </c>
      <c r="E273" s="254" t="s">
        <v>567</v>
      </c>
      <c r="F273" s="267">
        <f>(0.66*(F268+F272)/F272)/SQRT(2)</f>
        <v>72.5115323323257</v>
      </c>
      <c r="G273" s="224"/>
      <c r="I273" s="224"/>
      <c r="J273" s="224"/>
    </row>
    <row r="274" spans="1:10" s="215" customFormat="1" ht="16.5" thickBot="1" x14ac:dyDescent="0.25">
      <c r="A274" s="216"/>
      <c r="B274" s="251" t="s">
        <v>11</v>
      </c>
      <c r="C274" s="118" t="s">
        <v>653</v>
      </c>
      <c r="D274" s="253" t="s">
        <v>646</v>
      </c>
      <c r="E274" s="254" t="s">
        <v>567</v>
      </c>
      <c r="F274" s="267">
        <f>((0.4*(F268+F272)/F272)+F270)/SQRT(2)</f>
        <v>61.270499370782957</v>
      </c>
      <c r="G274" s="224"/>
      <c r="J274" s="224"/>
    </row>
    <row r="275" spans="1:10" s="215" customFormat="1" ht="16.5" thickBot="1" x14ac:dyDescent="0.25">
      <c r="A275" s="216"/>
      <c r="B275" s="251" t="s">
        <v>11</v>
      </c>
      <c r="C275" s="118" t="s">
        <v>653</v>
      </c>
      <c r="D275" s="253" t="s">
        <v>647</v>
      </c>
      <c r="E275" s="254" t="s">
        <v>567</v>
      </c>
      <c r="F275" s="267">
        <f>((0.4*(F268+F272)/F272))/SQRT(2)</f>
        <v>43.946383231712538</v>
      </c>
      <c r="G275" s="224"/>
      <c r="J275" s="224"/>
    </row>
    <row r="276" spans="1:10" s="215" customFormat="1" ht="16.5" thickBot="1" x14ac:dyDescent="0.25">
      <c r="A276" s="216"/>
      <c r="B276" s="251" t="s">
        <v>11</v>
      </c>
      <c r="C276" s="118" t="s">
        <v>654</v>
      </c>
      <c r="D276" s="253" t="s">
        <v>650</v>
      </c>
      <c r="E276" s="254" t="s">
        <v>567</v>
      </c>
      <c r="F276" s="267">
        <f>(((F268+F272)*1.52/F272)+F270)/SQRT(2)</f>
        <v>184.32037241957806</v>
      </c>
      <c r="G276" s="224"/>
      <c r="I276" s="224"/>
      <c r="J276" s="224"/>
    </row>
    <row r="277" spans="1:10" s="215" customFormat="1" ht="16.5" thickBot="1" x14ac:dyDescent="0.25">
      <c r="A277" s="216"/>
      <c r="B277" s="251" t="s">
        <v>11</v>
      </c>
      <c r="C277" s="118" t="s">
        <v>654</v>
      </c>
      <c r="D277" s="253" t="s">
        <v>651</v>
      </c>
      <c r="E277" s="254" t="s">
        <v>567</v>
      </c>
      <c r="F277" s="267">
        <f>((F268+F272)*1.52/F272)/SQRT(2)</f>
        <v>166.99625628050765</v>
      </c>
      <c r="G277" s="224"/>
      <c r="I277" s="224"/>
      <c r="J277" s="224"/>
    </row>
    <row r="278" spans="1:10" s="215" customFormat="1" x14ac:dyDescent="0.2">
      <c r="A278" s="216"/>
      <c r="B278" s="246" t="s">
        <v>649</v>
      </c>
      <c r="C278" s="319"/>
      <c r="D278" s="319"/>
      <c r="E278" s="319"/>
      <c r="F278" s="319"/>
      <c r="G278" s="224"/>
      <c r="I278" s="224"/>
      <c r="J278" s="224"/>
    </row>
    <row r="279" spans="1:10" s="215" customFormat="1" ht="15" thickBot="1" x14ac:dyDescent="0.25">
      <c r="A279" s="216"/>
      <c r="B279" s="320" t="s">
        <v>3</v>
      </c>
      <c r="C279" s="321"/>
      <c r="D279" s="320" t="s">
        <v>630</v>
      </c>
      <c r="E279" s="322" t="s">
        <v>623</v>
      </c>
      <c r="F279" s="323">
        <v>9000000</v>
      </c>
      <c r="G279" s="224"/>
      <c r="I279" s="224"/>
      <c r="J279" s="224"/>
    </row>
    <row r="280" spans="1:10" s="215" customFormat="1" ht="15" thickBot="1" x14ac:dyDescent="0.25">
      <c r="A280" s="216"/>
      <c r="B280" s="320" t="s">
        <v>3</v>
      </c>
      <c r="C280" s="321"/>
      <c r="D280" s="324" t="s">
        <v>631</v>
      </c>
      <c r="E280" s="322" t="s">
        <v>632</v>
      </c>
      <c r="F280" s="325">
        <v>73</v>
      </c>
      <c r="G280" s="224"/>
      <c r="I280" s="224"/>
      <c r="J280" s="224"/>
    </row>
    <row r="281" spans="1:10" s="215" customFormat="1" ht="15" thickBot="1" x14ac:dyDescent="0.25">
      <c r="A281" s="216"/>
      <c r="B281" s="320" t="s">
        <v>3</v>
      </c>
      <c r="C281" s="321"/>
      <c r="D281" s="91" t="s">
        <v>309</v>
      </c>
      <c r="E281" s="322" t="s">
        <v>4</v>
      </c>
      <c r="F281" s="325">
        <f>F16</f>
        <v>24.5</v>
      </c>
      <c r="G281" s="224"/>
      <c r="I281" s="224"/>
      <c r="J281" s="224"/>
    </row>
    <row r="282" spans="1:10" s="215" customFormat="1" ht="15" thickBot="1" x14ac:dyDescent="0.25">
      <c r="A282" s="216"/>
      <c r="B282" s="326" t="s">
        <v>11</v>
      </c>
      <c r="C282" s="252" t="s">
        <v>660</v>
      </c>
      <c r="D282" s="327" t="s">
        <v>633</v>
      </c>
      <c r="E282" s="328" t="s">
        <v>623</v>
      </c>
      <c r="F282" s="329">
        <f>(0.66*F279)/((F280*SQRT(2))-0.66)</f>
        <v>57907.38500404665</v>
      </c>
      <c r="G282" s="224"/>
      <c r="I282" s="224"/>
      <c r="J282" s="224"/>
    </row>
    <row r="283" spans="1:10" s="215" customFormat="1" ht="15" thickBot="1" x14ac:dyDescent="0.25">
      <c r="A283" s="216"/>
      <c r="B283" s="320" t="s">
        <v>3</v>
      </c>
      <c r="C283" s="320" t="s">
        <v>634</v>
      </c>
      <c r="D283" s="320" t="s">
        <v>635</v>
      </c>
      <c r="E283" s="322" t="s">
        <v>623</v>
      </c>
      <c r="F283" s="323">
        <v>58300</v>
      </c>
      <c r="G283" s="224"/>
      <c r="I283" s="224"/>
      <c r="J283" s="224"/>
    </row>
    <row r="284" spans="1:10" s="215" customFormat="1" ht="16.5" thickBot="1" x14ac:dyDescent="0.25">
      <c r="A284" s="216"/>
      <c r="B284" s="326" t="s">
        <v>11</v>
      </c>
      <c r="C284" s="118" t="s">
        <v>653</v>
      </c>
      <c r="D284" s="253" t="s">
        <v>646</v>
      </c>
      <c r="E284" s="254" t="s">
        <v>567</v>
      </c>
      <c r="F284" s="330">
        <f>((0.4*(F279+F283)/F283)+F281)/SQRT(2)</f>
        <v>61.270499370782957</v>
      </c>
      <c r="G284" s="224"/>
      <c r="I284" s="224"/>
      <c r="J284" s="224"/>
    </row>
    <row r="285" spans="1:10" s="215" customFormat="1" ht="16.5" thickBot="1" x14ac:dyDescent="0.25">
      <c r="A285" s="216"/>
      <c r="B285" s="326" t="s">
        <v>11</v>
      </c>
      <c r="C285" s="118" t="s">
        <v>653</v>
      </c>
      <c r="D285" s="253" t="s">
        <v>647</v>
      </c>
      <c r="E285" s="254" t="s">
        <v>567</v>
      </c>
      <c r="F285" s="330">
        <f>((0.4*(F279+F283)/F283))/SQRT(2)</f>
        <v>43.946383231712538</v>
      </c>
      <c r="G285" s="224"/>
      <c r="I285" s="224"/>
      <c r="J285" s="224"/>
    </row>
    <row r="286" spans="1:10" s="215" customFormat="1" ht="15" thickBot="1" x14ac:dyDescent="0.25">
      <c r="A286" s="216"/>
      <c r="B286" s="326" t="s">
        <v>11</v>
      </c>
      <c r="C286" s="118" t="s">
        <v>661</v>
      </c>
      <c r="D286" s="327" t="s">
        <v>637</v>
      </c>
      <c r="E286" s="328" t="s">
        <v>636</v>
      </c>
      <c r="F286" s="330">
        <f>((F279*2.9/F283)+2.9)/SQRT(2)</f>
        <v>318.6112784299159</v>
      </c>
      <c r="G286" s="224"/>
      <c r="I286" s="224"/>
      <c r="J286" s="224"/>
    </row>
    <row r="287" spans="1:10" s="215" customFormat="1" ht="16.5" thickBot="1" x14ac:dyDescent="0.25">
      <c r="A287" s="216"/>
      <c r="B287" s="326" t="s">
        <v>11</v>
      </c>
      <c r="C287" s="118" t="s">
        <v>654</v>
      </c>
      <c r="D287" s="253" t="s">
        <v>650</v>
      </c>
      <c r="E287" s="328" t="s">
        <v>636</v>
      </c>
      <c r="F287" s="267">
        <f>(((F279+F283)*1.52/F283)+F281)/SQRT(2)</f>
        <v>184.32037241957806</v>
      </c>
      <c r="G287" s="224"/>
      <c r="I287" s="224"/>
      <c r="J287" s="224"/>
    </row>
    <row r="288" spans="1:10" s="215" customFormat="1" ht="16.5" thickBot="1" x14ac:dyDescent="0.25">
      <c r="A288" s="216"/>
      <c r="B288" s="326" t="s">
        <v>11</v>
      </c>
      <c r="C288" s="118" t="s">
        <v>654</v>
      </c>
      <c r="D288" s="253" t="s">
        <v>651</v>
      </c>
      <c r="E288" s="328" t="s">
        <v>636</v>
      </c>
      <c r="F288" s="267">
        <f>((F279+F283)*1.52/F283)/SQRT(2)</f>
        <v>166.99625628050765</v>
      </c>
      <c r="G288" s="224"/>
      <c r="I288" s="224"/>
      <c r="J288" s="224"/>
    </row>
    <row r="289" spans="1:10" s="215" customFormat="1" x14ac:dyDescent="0.2">
      <c r="A289" s="216"/>
      <c r="B289" s="340"/>
      <c r="C289" s="341"/>
      <c r="D289" s="338"/>
      <c r="E289" s="342"/>
      <c r="F289" s="339"/>
      <c r="G289" s="224"/>
      <c r="I289" s="224"/>
      <c r="J289" s="224"/>
    </row>
    <row r="290" spans="1:10" s="2" customFormat="1" ht="13.5" thickBot="1" x14ac:dyDescent="0.25">
      <c r="A290" s="216"/>
      <c r="C290" s="170" t="s">
        <v>72</v>
      </c>
      <c r="D290" s="81"/>
      <c r="E290" s="81"/>
      <c r="F290" s="81"/>
      <c r="I290" s="88"/>
      <c r="J290" s="88"/>
    </row>
    <row r="291" spans="1:10" s="2" customFormat="1" ht="13.5" thickTop="1" x14ac:dyDescent="0.2">
      <c r="A291" s="216"/>
      <c r="C291" s="171" t="s">
        <v>73</v>
      </c>
      <c r="D291" s="135"/>
      <c r="E291" s="138" t="s">
        <v>4</v>
      </c>
      <c r="F291" s="172">
        <f>F13</f>
        <v>85</v>
      </c>
      <c r="I291" s="88"/>
      <c r="J291" s="88"/>
    </row>
    <row r="292" spans="1:10" s="2" customFormat="1" x14ac:dyDescent="0.2">
      <c r="A292" s="216"/>
      <c r="C292" s="173" t="s">
        <v>74</v>
      </c>
      <c r="D292" s="136"/>
      <c r="E292" s="139" t="s">
        <v>4</v>
      </c>
      <c r="F292" s="174">
        <f>F14</f>
        <v>320</v>
      </c>
      <c r="I292" s="88"/>
      <c r="J292" s="88"/>
    </row>
    <row r="293" spans="1:10" s="2" customFormat="1" x14ac:dyDescent="0.2">
      <c r="A293" s="216"/>
      <c r="C293" s="173" t="s">
        <v>75</v>
      </c>
      <c r="D293" s="136"/>
      <c r="E293" s="139" t="s">
        <v>13</v>
      </c>
      <c r="F293" s="175">
        <f>F38/F13</f>
        <v>0.22145328719723184</v>
      </c>
      <c r="I293" s="88"/>
      <c r="J293" s="88"/>
    </row>
    <row r="294" spans="1:10" s="2" customFormat="1" x14ac:dyDescent="0.2">
      <c r="A294" s="216"/>
      <c r="C294" s="173" t="s">
        <v>76</v>
      </c>
      <c r="D294" s="136"/>
      <c r="E294" s="139" t="s">
        <v>4</v>
      </c>
      <c r="F294" s="174">
        <f>F42</f>
        <v>95.685405580450137</v>
      </c>
      <c r="I294" s="88"/>
      <c r="J294" s="88"/>
    </row>
    <row r="295" spans="1:10" s="2" customFormat="1" x14ac:dyDescent="0.2">
      <c r="A295" s="216"/>
      <c r="C295" s="173" t="s">
        <v>77</v>
      </c>
      <c r="D295" s="136"/>
      <c r="E295" s="139" t="s">
        <v>4</v>
      </c>
      <c r="F295" s="174">
        <f>F40</f>
        <v>452.54833995939043</v>
      </c>
      <c r="I295" s="88"/>
      <c r="J295" s="88"/>
    </row>
    <row r="296" spans="1:10" s="2" customFormat="1" x14ac:dyDescent="0.2">
      <c r="A296" s="216"/>
      <c r="C296" s="173" t="s">
        <v>78</v>
      </c>
      <c r="D296" s="136"/>
      <c r="E296" s="139" t="s">
        <v>7</v>
      </c>
      <c r="F296" s="176">
        <f>F24</f>
        <v>16</v>
      </c>
      <c r="I296" s="88"/>
      <c r="J296" s="88"/>
    </row>
    <row r="297" spans="1:10" s="2" customFormat="1" x14ac:dyDescent="0.2">
      <c r="A297" s="216"/>
      <c r="C297" s="173" t="s">
        <v>6</v>
      </c>
      <c r="D297" s="136"/>
      <c r="E297" s="139" t="s">
        <v>4</v>
      </c>
      <c r="F297" s="176">
        <f>F17</f>
        <v>12</v>
      </c>
      <c r="I297" s="88"/>
      <c r="J297" s="88"/>
    </row>
    <row r="298" spans="1:10" s="2" customFormat="1" x14ac:dyDescent="0.2">
      <c r="A298" s="216"/>
      <c r="C298" s="173" t="s">
        <v>79</v>
      </c>
      <c r="D298" s="136"/>
      <c r="E298" s="139" t="s">
        <v>60</v>
      </c>
      <c r="F298" s="176">
        <f>F155</f>
        <v>1.3588460630466059</v>
      </c>
      <c r="I298" s="88"/>
      <c r="J298" s="88"/>
    </row>
    <row r="299" spans="1:10" s="2" customFormat="1" x14ac:dyDescent="0.2">
      <c r="A299" s="216"/>
      <c r="C299" s="173" t="s">
        <v>80</v>
      </c>
      <c r="D299" s="136"/>
      <c r="E299" s="139" t="s">
        <v>13</v>
      </c>
      <c r="F299" s="175">
        <f>F53</f>
        <v>0.82379536426608913</v>
      </c>
      <c r="I299" s="88"/>
      <c r="J299" s="88"/>
    </row>
    <row r="300" spans="1:10" s="2" customFormat="1" x14ac:dyDescent="0.2">
      <c r="A300" s="216"/>
      <c r="C300" s="173" t="s">
        <v>81</v>
      </c>
      <c r="D300" s="136"/>
      <c r="E300" s="139"/>
      <c r="F300" s="175">
        <f>F77</f>
        <v>0.48469075810595441</v>
      </c>
      <c r="I300" s="88"/>
      <c r="J300" s="88"/>
    </row>
    <row r="301" spans="1:10" s="2" customFormat="1" x14ac:dyDescent="0.2">
      <c r="A301" s="216"/>
      <c r="C301" s="173" t="s">
        <v>9</v>
      </c>
      <c r="D301" s="136"/>
      <c r="E301" s="139" t="s">
        <v>4</v>
      </c>
      <c r="F301" s="174">
        <f>F76</f>
        <v>90.2</v>
      </c>
      <c r="I301" s="88"/>
      <c r="J301" s="88"/>
    </row>
    <row r="302" spans="1:10" s="2" customFormat="1" x14ac:dyDescent="0.2">
      <c r="A302" s="216"/>
      <c r="C302" s="173" t="s">
        <v>82</v>
      </c>
      <c r="D302" s="136"/>
      <c r="E302" s="139" t="s">
        <v>7</v>
      </c>
      <c r="F302" s="175">
        <f>F195</f>
        <v>0.29033759168272777</v>
      </c>
      <c r="I302" s="88"/>
      <c r="J302" s="88"/>
    </row>
    <row r="303" spans="1:10" s="2" customFormat="1" x14ac:dyDescent="0.2">
      <c r="A303" s="216"/>
      <c r="C303" s="173" t="s">
        <v>68</v>
      </c>
      <c r="D303" s="136"/>
      <c r="E303" s="139" t="s">
        <v>7</v>
      </c>
      <c r="F303" s="175">
        <f>F208</f>
        <v>0.92826843169021944</v>
      </c>
      <c r="I303" s="88"/>
      <c r="J303" s="88"/>
    </row>
    <row r="304" spans="1:10" s="2" customFormat="1" x14ac:dyDescent="0.2">
      <c r="A304" s="216"/>
      <c r="C304" s="173" t="s">
        <v>83</v>
      </c>
      <c r="D304" s="136"/>
      <c r="E304" s="139" t="s">
        <v>7</v>
      </c>
      <c r="F304" s="175">
        <f>F221</f>
        <v>3.2288864598065286</v>
      </c>
      <c r="I304" s="88"/>
      <c r="J304" s="88"/>
    </row>
    <row r="305" spans="1:10" s="2" customFormat="1" ht="13.5" thickBot="1" x14ac:dyDescent="0.25">
      <c r="A305" s="216"/>
      <c r="C305" s="177" t="s">
        <v>71</v>
      </c>
      <c r="D305" s="137"/>
      <c r="E305" s="140"/>
      <c r="F305" s="178">
        <f>F223</f>
        <v>0.83208146417860662</v>
      </c>
      <c r="I305" s="88"/>
      <c r="J305" s="88"/>
    </row>
    <row r="306" spans="1:10" s="2" customFormat="1" ht="13.5" thickTop="1" x14ac:dyDescent="0.2">
      <c r="A306" s="216"/>
      <c r="C306" s="81"/>
      <c r="D306" s="81"/>
      <c r="E306" s="81"/>
      <c r="F306" s="81"/>
      <c r="I306" s="88"/>
      <c r="J306" s="88"/>
    </row>
    <row r="307" spans="1:10" s="2" customFormat="1" ht="13.5" thickBot="1" x14ac:dyDescent="0.25">
      <c r="A307" s="216"/>
      <c r="C307" s="170" t="s">
        <v>84</v>
      </c>
      <c r="D307" s="81"/>
      <c r="E307" s="81"/>
      <c r="F307" s="81"/>
      <c r="I307" s="88"/>
      <c r="J307" s="88"/>
    </row>
    <row r="308" spans="1:10" s="2" customFormat="1" ht="13.5" thickTop="1" x14ac:dyDescent="0.2">
      <c r="A308" s="216"/>
      <c r="C308" s="171" t="s">
        <v>85</v>
      </c>
      <c r="D308" s="135"/>
      <c r="E308" s="138"/>
      <c r="F308" s="179" t="str">
        <f>F58</f>
        <v>EE20/10/6</v>
      </c>
      <c r="I308" s="88"/>
      <c r="J308" s="88"/>
    </row>
    <row r="309" spans="1:10" s="2" customFormat="1" x14ac:dyDescent="0.2">
      <c r="A309" s="216"/>
      <c r="C309" s="173" t="s">
        <v>105</v>
      </c>
      <c r="D309" s="136"/>
      <c r="E309" s="139"/>
      <c r="F309" s="180" t="str">
        <f>F59</f>
        <v>TP4A(TDG)</v>
      </c>
      <c r="I309" s="88"/>
      <c r="J309" s="88"/>
    </row>
    <row r="310" spans="1:10" s="2" customFormat="1" ht="14.25" x14ac:dyDescent="0.2">
      <c r="A310" s="216"/>
      <c r="C310" s="173" t="s">
        <v>86</v>
      </c>
      <c r="D310" s="136"/>
      <c r="E310" s="139" t="s">
        <v>359</v>
      </c>
      <c r="F310" s="180">
        <f>F61</f>
        <v>32</v>
      </c>
      <c r="I310" s="88"/>
      <c r="J310" s="88"/>
    </row>
    <row r="311" spans="1:10" s="2" customFormat="1" x14ac:dyDescent="0.2">
      <c r="A311" s="216"/>
      <c r="C311" s="173" t="s">
        <v>360</v>
      </c>
      <c r="D311" s="136"/>
      <c r="E311" s="139" t="s">
        <v>87</v>
      </c>
      <c r="F311" s="174">
        <f>F79*1000</f>
        <v>295.12722765003082</v>
      </c>
      <c r="I311" s="88"/>
      <c r="J311" s="88"/>
    </row>
    <row r="312" spans="1:10" s="2" customFormat="1" x14ac:dyDescent="0.2">
      <c r="A312" s="216"/>
      <c r="C312" s="173" t="s">
        <v>88</v>
      </c>
      <c r="D312" s="136"/>
      <c r="E312" s="139" t="s">
        <v>58</v>
      </c>
      <c r="F312" s="240">
        <f>F50*1000000</f>
        <v>1008.8406770811168</v>
      </c>
      <c r="I312" s="88"/>
      <c r="J312" s="88"/>
    </row>
    <row r="313" spans="1:10" s="2" customFormat="1" x14ac:dyDescent="0.2">
      <c r="C313" s="173" t="s">
        <v>89</v>
      </c>
      <c r="D313" s="136"/>
      <c r="E313" s="139" t="s">
        <v>23</v>
      </c>
      <c r="F313" s="174">
        <f>F87</f>
        <v>0</v>
      </c>
      <c r="I313" s="88"/>
      <c r="J313" s="88"/>
    </row>
    <row r="314" spans="1:10" s="2" customFormat="1" x14ac:dyDescent="0.2">
      <c r="C314" s="173" t="s">
        <v>90</v>
      </c>
      <c r="D314" s="136"/>
      <c r="E314" s="139" t="s">
        <v>32</v>
      </c>
      <c r="F314" s="240">
        <f>F67</f>
        <v>88</v>
      </c>
      <c r="I314" s="88"/>
      <c r="J314" s="88"/>
    </row>
    <row r="315" spans="1:10" s="2" customFormat="1" x14ac:dyDescent="0.2">
      <c r="C315" s="173" t="s">
        <v>91</v>
      </c>
      <c r="D315" s="136"/>
      <c r="E315" s="139" t="s">
        <v>42</v>
      </c>
      <c r="F315" s="174">
        <f>F94</f>
        <v>30</v>
      </c>
      <c r="I315" s="88"/>
      <c r="J315" s="88"/>
    </row>
    <row r="316" spans="1:10" s="2" customFormat="1" ht="15.75" x14ac:dyDescent="0.3">
      <c r="C316" s="238" t="s">
        <v>552</v>
      </c>
      <c r="D316" s="136"/>
      <c r="E316" s="95" t="s">
        <v>32</v>
      </c>
      <c r="F316" s="240">
        <f>F69</f>
        <v>12</v>
      </c>
      <c r="I316" s="88"/>
      <c r="J316" s="88"/>
    </row>
    <row r="317" spans="1:10" s="2" customFormat="1" x14ac:dyDescent="0.2">
      <c r="C317" s="173" t="s">
        <v>92</v>
      </c>
      <c r="D317" s="136"/>
      <c r="E317" s="139" t="s">
        <v>42</v>
      </c>
      <c r="F317" s="174">
        <f>F108</f>
        <v>22</v>
      </c>
      <c r="I317" s="88"/>
      <c r="J317" s="88"/>
    </row>
    <row r="318" spans="1:10" s="2" customFormat="1" x14ac:dyDescent="0.2">
      <c r="C318" s="173" t="s">
        <v>93</v>
      </c>
      <c r="D318" s="136"/>
      <c r="E318" s="139"/>
      <c r="F318" s="174">
        <f>F109</f>
        <v>1</v>
      </c>
      <c r="I318" s="88"/>
      <c r="J318" s="88"/>
    </row>
    <row r="319" spans="1:10" s="216" customFormat="1" ht="15.75" x14ac:dyDescent="0.3">
      <c r="C319" s="238" t="s">
        <v>553</v>
      </c>
      <c r="D319" s="136"/>
      <c r="E319" s="228" t="s">
        <v>32</v>
      </c>
      <c r="F319" s="240">
        <f>F71</f>
        <v>5</v>
      </c>
      <c r="I319" s="226"/>
      <c r="J319" s="226"/>
    </row>
    <row r="320" spans="1:10" s="2" customFormat="1" x14ac:dyDescent="0.2">
      <c r="C320" s="173" t="s">
        <v>119</v>
      </c>
      <c r="D320" s="136"/>
      <c r="E320" s="95" t="s">
        <v>32</v>
      </c>
      <c r="F320" s="240">
        <f>F73</f>
        <v>14</v>
      </c>
      <c r="I320" s="88"/>
      <c r="J320" s="88"/>
    </row>
    <row r="321" spans="3:10" s="2" customFormat="1" x14ac:dyDescent="0.2">
      <c r="C321" s="173" t="s">
        <v>51</v>
      </c>
      <c r="D321" s="136"/>
      <c r="E321" s="139" t="s">
        <v>58</v>
      </c>
      <c r="F321" s="176">
        <f>F119*1000000</f>
        <v>10.693711177059839</v>
      </c>
      <c r="I321" s="88"/>
      <c r="J321" s="88"/>
    </row>
    <row r="322" spans="3:10" s="2" customFormat="1" x14ac:dyDescent="0.2">
      <c r="C322" s="173" t="s">
        <v>94</v>
      </c>
      <c r="D322" s="136"/>
      <c r="E322" s="139"/>
      <c r="F322" s="175">
        <f>F67/F69</f>
        <v>7.333333333333333</v>
      </c>
      <c r="I322" s="88"/>
      <c r="J322" s="88"/>
    </row>
    <row r="323" spans="3:10" s="2" customFormat="1" x14ac:dyDescent="0.2">
      <c r="C323" s="173" t="s">
        <v>95</v>
      </c>
      <c r="D323" s="136"/>
      <c r="E323" s="139" t="s">
        <v>361</v>
      </c>
      <c r="F323" s="174">
        <f>F102</f>
        <v>3</v>
      </c>
      <c r="I323" s="88"/>
      <c r="J323" s="88"/>
    </row>
    <row r="324" spans="3:10" s="2" customFormat="1" ht="13.5" thickBot="1" x14ac:dyDescent="0.25">
      <c r="C324" s="177" t="s">
        <v>96</v>
      </c>
      <c r="D324" s="137"/>
      <c r="E324" s="140" t="s">
        <v>361</v>
      </c>
      <c r="F324" s="181">
        <f>F116</f>
        <v>1</v>
      </c>
      <c r="I324" s="88"/>
      <c r="J324" s="88"/>
    </row>
    <row r="325" spans="3:10" s="2" customFormat="1" ht="13.5" thickTop="1" x14ac:dyDescent="0.2">
      <c r="C325" s="81"/>
      <c r="D325" s="81"/>
      <c r="E325" s="81"/>
      <c r="F325" s="81"/>
      <c r="I325" s="88"/>
      <c r="J325" s="88"/>
    </row>
    <row r="326" spans="3:10" s="2" customFormat="1" ht="13.5" thickBot="1" x14ac:dyDescent="0.25">
      <c r="C326" s="170" t="s">
        <v>97</v>
      </c>
      <c r="D326" s="81"/>
      <c r="E326" s="81"/>
      <c r="F326" s="81"/>
      <c r="I326" s="88"/>
      <c r="J326" s="88"/>
    </row>
    <row r="327" spans="3:10" s="2" customFormat="1" ht="13.5" thickTop="1" x14ac:dyDescent="0.2">
      <c r="C327" s="171" t="s">
        <v>98</v>
      </c>
      <c r="D327" s="138" t="s">
        <v>165</v>
      </c>
      <c r="E327" s="138" t="s">
        <v>12</v>
      </c>
      <c r="F327" s="182">
        <f>F48</f>
        <v>47</v>
      </c>
      <c r="I327" s="88"/>
      <c r="J327" s="88"/>
    </row>
    <row r="328" spans="3:10" s="2" customFormat="1" x14ac:dyDescent="0.2">
      <c r="C328" s="173" t="s">
        <v>99</v>
      </c>
      <c r="D328" s="139" t="s">
        <v>168</v>
      </c>
      <c r="E328" s="139" t="s">
        <v>12</v>
      </c>
      <c r="F328" s="176">
        <f>F142</f>
        <v>1000</v>
      </c>
      <c r="I328" s="88"/>
      <c r="J328" s="88"/>
    </row>
    <row r="329" spans="3:10" s="2" customFormat="1" x14ac:dyDescent="0.2">
      <c r="C329" s="173" t="s">
        <v>188</v>
      </c>
      <c r="D329" s="139" t="s">
        <v>205</v>
      </c>
      <c r="E329" s="139" t="s">
        <v>12</v>
      </c>
      <c r="F329" s="176">
        <f>F152</f>
        <v>470</v>
      </c>
      <c r="I329" s="88"/>
      <c r="J329" s="88"/>
    </row>
    <row r="330" spans="3:10" s="216" customFormat="1" x14ac:dyDescent="0.2">
      <c r="C330" s="173" t="s">
        <v>99</v>
      </c>
      <c r="D330" s="236" t="s">
        <v>523</v>
      </c>
      <c r="E330" s="139" t="s">
        <v>12</v>
      </c>
      <c r="F330" s="176">
        <f>F162</f>
        <v>0</v>
      </c>
      <c r="I330" s="226"/>
      <c r="J330" s="226"/>
    </row>
    <row r="331" spans="3:10" s="216" customFormat="1" x14ac:dyDescent="0.2">
      <c r="C331" s="173" t="s">
        <v>188</v>
      </c>
      <c r="D331" s="236" t="s">
        <v>555</v>
      </c>
      <c r="E331" s="139" t="s">
        <v>12</v>
      </c>
      <c r="F331" s="176">
        <f>F172</f>
        <v>0</v>
      </c>
      <c r="I331" s="226"/>
      <c r="J331" s="226"/>
    </row>
    <row r="332" spans="3:10" s="2" customFormat="1" x14ac:dyDescent="0.2">
      <c r="C332" s="173" t="s">
        <v>189</v>
      </c>
      <c r="D332" s="139" t="s">
        <v>213</v>
      </c>
      <c r="E332" s="139" t="s">
        <v>58</v>
      </c>
      <c r="F332" s="176">
        <f>F149</f>
        <v>2.2000000000000002</v>
      </c>
      <c r="I332" s="88"/>
      <c r="J332" s="88"/>
    </row>
    <row r="333" spans="3:10" s="216" customFormat="1" x14ac:dyDescent="0.2">
      <c r="C333" s="173" t="s">
        <v>189</v>
      </c>
      <c r="D333" s="139" t="s">
        <v>556</v>
      </c>
      <c r="E333" s="139" t="s">
        <v>58</v>
      </c>
      <c r="F333" s="176">
        <f>F169</f>
        <v>4.7</v>
      </c>
      <c r="I333" s="226"/>
      <c r="J333" s="226"/>
    </row>
    <row r="334" spans="3:10" s="2" customFormat="1" x14ac:dyDescent="0.2">
      <c r="C334" s="173" t="s">
        <v>190</v>
      </c>
      <c r="D334" s="139" t="s">
        <v>214</v>
      </c>
      <c r="E334" s="139" t="s">
        <v>58</v>
      </c>
      <c r="F334" s="176">
        <f>F182</f>
        <v>10</v>
      </c>
      <c r="I334" s="88"/>
      <c r="J334" s="88"/>
    </row>
    <row r="335" spans="3:10" s="2" customFormat="1" x14ac:dyDescent="0.2">
      <c r="C335" s="205" t="s">
        <v>482</v>
      </c>
      <c r="D335" s="206" t="s">
        <v>483</v>
      </c>
      <c r="E335" s="206" t="s">
        <v>67</v>
      </c>
      <c r="F335" s="174">
        <f>F266</f>
        <v>120</v>
      </c>
      <c r="I335" s="88"/>
      <c r="J335" s="88"/>
    </row>
    <row r="336" spans="3:10" s="2" customFormat="1" x14ac:dyDescent="0.2">
      <c r="C336" s="205" t="s">
        <v>557</v>
      </c>
      <c r="D336" s="206" t="s">
        <v>484</v>
      </c>
      <c r="E336" s="139" t="s">
        <v>53</v>
      </c>
      <c r="F336" s="174">
        <f>F263</f>
        <v>27</v>
      </c>
      <c r="I336" s="88"/>
      <c r="J336" s="88"/>
    </row>
    <row r="337" spans="1:32" s="2" customFormat="1" x14ac:dyDescent="0.2">
      <c r="C337" s="173" t="s">
        <v>154</v>
      </c>
      <c r="D337" s="139" t="s">
        <v>215</v>
      </c>
      <c r="E337" s="139" t="s">
        <v>56</v>
      </c>
      <c r="F337" s="175">
        <f>F82</f>
        <v>1.2138936966353164</v>
      </c>
      <c r="I337" s="88"/>
      <c r="J337" s="88"/>
    </row>
    <row r="338" spans="1:32" s="2" customFormat="1" x14ac:dyDescent="0.2">
      <c r="C338" s="173" t="s">
        <v>183</v>
      </c>
      <c r="D338" s="139" t="s">
        <v>216</v>
      </c>
      <c r="E338" s="139" t="s">
        <v>53</v>
      </c>
      <c r="F338" s="176">
        <f>F125</f>
        <v>68</v>
      </c>
      <c r="I338" s="88"/>
      <c r="J338" s="88"/>
    </row>
    <row r="339" spans="1:32" s="2" customFormat="1" x14ac:dyDescent="0.2">
      <c r="C339" s="173" t="s">
        <v>184</v>
      </c>
      <c r="D339" s="139" t="s">
        <v>217</v>
      </c>
      <c r="E339" s="139" t="s">
        <v>52</v>
      </c>
      <c r="F339" s="174">
        <f>F123</f>
        <v>1</v>
      </c>
      <c r="I339" s="88"/>
      <c r="J339" s="88"/>
    </row>
    <row r="340" spans="1:32" s="2" customFormat="1" x14ac:dyDescent="0.2">
      <c r="C340" s="173" t="s">
        <v>358</v>
      </c>
      <c r="D340" s="139" t="s">
        <v>207</v>
      </c>
      <c r="E340" s="139" t="s">
        <v>53</v>
      </c>
      <c r="F340" s="176">
        <f>F230</f>
        <v>38</v>
      </c>
      <c r="I340" s="88"/>
      <c r="J340" s="88"/>
    </row>
    <row r="341" spans="1:32" s="2" customFormat="1" x14ac:dyDescent="0.2">
      <c r="C341" s="173" t="s">
        <v>358</v>
      </c>
      <c r="D341" s="139" t="s">
        <v>206</v>
      </c>
      <c r="E341" s="139" t="s">
        <v>53</v>
      </c>
      <c r="F341" s="176">
        <f>F228</f>
        <v>10</v>
      </c>
      <c r="I341" s="88"/>
      <c r="J341" s="88"/>
    </row>
    <row r="342" spans="1:32" s="2" customFormat="1" x14ac:dyDescent="0.2">
      <c r="C342" s="173" t="s">
        <v>142</v>
      </c>
      <c r="D342" s="139" t="s">
        <v>208</v>
      </c>
      <c r="E342" s="139" t="s">
        <v>53</v>
      </c>
      <c r="F342" s="175">
        <f>F233</f>
        <v>0.82</v>
      </c>
      <c r="I342" s="88"/>
      <c r="J342" s="88"/>
    </row>
    <row r="343" spans="1:32" s="2" customFormat="1" x14ac:dyDescent="0.2">
      <c r="C343" s="173" t="s">
        <v>142</v>
      </c>
      <c r="D343" s="139" t="s">
        <v>209</v>
      </c>
      <c r="E343" s="139" t="s">
        <v>53</v>
      </c>
      <c r="F343" s="176">
        <f>F238</f>
        <v>1.2</v>
      </c>
      <c r="I343" s="88"/>
      <c r="J343" s="88"/>
    </row>
    <row r="344" spans="1:32" s="2" customFormat="1" x14ac:dyDescent="0.2">
      <c r="C344" s="173" t="s">
        <v>142</v>
      </c>
      <c r="D344" s="139" t="s">
        <v>210</v>
      </c>
      <c r="E344" s="139" t="s">
        <v>53</v>
      </c>
      <c r="F344" s="176">
        <f>F253</f>
        <v>20</v>
      </c>
      <c r="I344" s="88"/>
      <c r="J344" s="88"/>
    </row>
    <row r="345" spans="1:32" s="2" customFormat="1" x14ac:dyDescent="0.2">
      <c r="C345" s="173" t="s">
        <v>142</v>
      </c>
      <c r="D345" s="139" t="s">
        <v>212</v>
      </c>
      <c r="E345" s="139" t="s">
        <v>52</v>
      </c>
      <c r="F345" s="176">
        <f>F257</f>
        <v>470</v>
      </c>
      <c r="I345" s="88"/>
      <c r="J345" s="88"/>
    </row>
    <row r="346" spans="1:32" s="2" customFormat="1" ht="13.5" thickBot="1" x14ac:dyDescent="0.25">
      <c r="C346" s="177" t="s">
        <v>142</v>
      </c>
      <c r="D346" s="140" t="s">
        <v>211</v>
      </c>
      <c r="E346" s="140" t="s">
        <v>52</v>
      </c>
      <c r="F346" s="178">
        <f>F255</f>
        <v>2.2000000000000002</v>
      </c>
      <c r="I346" s="88"/>
      <c r="J346" s="88"/>
    </row>
    <row r="347" spans="1:32" s="2" customFormat="1" ht="13.5" thickTop="1" x14ac:dyDescent="0.2">
      <c r="D347" s="81"/>
    </row>
    <row r="348" spans="1:32" s="2" customFormat="1" x14ac:dyDescent="0.2">
      <c r="D348" s="81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 x14ac:dyDescent="0.2">
      <c r="A349" s="2"/>
      <c r="B349" s="2"/>
      <c r="C349" s="2"/>
      <c r="E349" s="2"/>
      <c r="F349" s="2"/>
      <c r="G349" s="2"/>
      <c r="H349" s="2"/>
      <c r="I349" s="2"/>
      <c r="J349" s="2"/>
    </row>
    <row r="350" spans="1:32" s="2" customFormat="1" x14ac:dyDescent="0.2">
      <c r="A350"/>
      <c r="B350"/>
      <c r="C350"/>
      <c r="D350" s="81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 s="2" customFormat="1" x14ac:dyDescent="0.2">
      <c r="D351" s="8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 s="2" customFormat="1" x14ac:dyDescent="0.2">
      <c r="D352" s="81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 s="2" customFormat="1" x14ac:dyDescent="0.2">
      <c r="D353" s="81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 s="2" customFormat="1" x14ac:dyDescent="0.2">
      <c r="D354" s="81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 x14ac:dyDescent="0.2">
      <c r="A355" s="2"/>
      <c r="B355" s="2"/>
      <c r="C355" s="2"/>
      <c r="E355" s="2"/>
      <c r="F355" s="2"/>
      <c r="G355" s="2"/>
      <c r="H355" s="2"/>
      <c r="I355" s="2"/>
      <c r="J355" s="2"/>
    </row>
  </sheetData>
  <sheetProtection password="D204" sheet="1" objects="1" scenarios="1"/>
  <mergeCells count="5">
    <mergeCell ref="C7:D7"/>
    <mergeCell ref="C3:D3"/>
    <mergeCell ref="C4:D4"/>
    <mergeCell ref="C6:D6"/>
    <mergeCell ref="C5:D5"/>
  </mergeCells>
  <printOptions headings="1" gridLines="1"/>
  <pageMargins left="0.78740157480314965" right="0.78740157480314965" top="0.98425196850393704" bottom="0.98425196850393704" header="0.51181102362204722" footer="0.51181102362204722"/>
  <pageSetup paperSize="9" scale="49" orientation="portrait" horizontalDpi="300" verticalDpi="300" r:id="rId1"/>
  <headerFooter alignWithMargins="0">
    <oddHeader>&amp;C&amp;F&amp;RSeite &amp;P</oddHeader>
    <oddFooter>&amp;RHL PS TM1
&amp;D</oddFooter>
  </headerFooter>
  <rowBreaks count="3" manualBreakCount="3">
    <brk id="55" max="5" man="1"/>
    <brk id="154" max="5" man="1"/>
    <brk id="250" max="5" man="1"/>
  </rowBreaks>
  <colBreaks count="2" manualBreakCount="2">
    <brk id="6" max="408" man="1"/>
    <brk id="18" max="408" man="1"/>
  </colBreaks>
  <drawing r:id="rId2"/>
  <legacyDrawing r:id="rId3"/>
  <oleObjects>
    <mc:AlternateContent xmlns:mc="http://schemas.openxmlformats.org/markup-compatibility/2006">
      <mc:Choice Requires="x14">
        <oleObject progId="Visio.Drawing.11" shapeId="1172" r:id="rId4">
          <objectPr defaultSize="0" autoPict="0" r:id="rId5">
            <anchor moveWithCells="1">
              <from>
                <xdr:col>2</xdr:col>
                <xdr:colOff>2286000</xdr:colOff>
                <xdr:row>28</xdr:row>
                <xdr:rowOff>76200</xdr:rowOff>
              </from>
              <to>
                <xdr:col>3</xdr:col>
                <xdr:colOff>1457325</xdr:colOff>
                <xdr:row>28</xdr:row>
                <xdr:rowOff>3867150</xdr:rowOff>
              </to>
            </anchor>
          </objectPr>
        </oleObject>
      </mc:Choice>
      <mc:Fallback>
        <oleObject progId="Visio.Drawing.11" shapeId="1172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>
          <x14:formula1>
            <xm:f>msc!$B$3:$B$21</xm:f>
          </x14:formula1>
          <xm:sqref>F34</xm:sqref>
        </x14:dataValidation>
        <x14:dataValidation type="list" allowBlank="1" showInputMessage="1" showErrorMessage="1">
          <x14:formula1>
            <xm:f>msc!N3:N5</xm:f>
          </x14:formula1>
          <xm:sqref>F180</xm:sqref>
        </x14:dataValidation>
        <x14:dataValidation type="list" allowBlank="1" showInputMessage="1" showErrorMessage="1">
          <x14:formula1>
            <xm:f>msc!L3:L7</xm:f>
          </x14:formula1>
          <xm:sqref>F179</xm:sqref>
        </x14:dataValidation>
        <x14:dataValidation type="list" allowBlank="1" showInputMessage="1" showErrorMessage="1">
          <x14:formula1>
            <xm:f>msc!J3:J5</xm:f>
          </x14:formula1>
          <xm:sqref>F177</xm:sqref>
        </x14:dataValidation>
        <x14:dataValidation type="list" allowBlank="1" showInputMessage="1" showErrorMessage="1">
          <x14:formula1>
            <xm:f>msc!H3:H6</xm:f>
          </x14:formula1>
          <xm:sqref>F84</xm:sqref>
        </x14:dataValidation>
        <x14:dataValidation type="list" allowBlank="1" showInputMessage="1" showErrorMessage="1">
          <x14:formula1>
            <xm:f>msc!F3:F8</xm:f>
          </x14:formula1>
          <xm:sqref>F81</xm:sqref>
        </x14:dataValidation>
        <x14:dataValidation type="list" allowBlank="1" showInputMessage="1" showErrorMessage="1">
          <x14:formula1>
            <xm:f>msc!D3:D10</xm:f>
          </x14:formula1>
          <xm:sqref>F35</xm:sqref>
        </x14:dataValidation>
        <x14:dataValidation type="list" allowBlank="1" showInputMessage="1" showErrorMessage="1">
          <x14:formula1>
            <xm:f>msc!D5:D12</xm:f>
          </x14:formula1>
          <xm:sqref>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="80" zoomScaleNormal="80" zoomScaleSheetLayoutView="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5" sqref="C15"/>
    </sheetView>
  </sheetViews>
  <sheetFormatPr defaultColWidth="17.28515625" defaultRowHeight="13.5" x14ac:dyDescent="0.25"/>
  <cols>
    <col min="1" max="1" width="9.5703125" style="271" customWidth="1"/>
    <col min="2" max="2" width="27.85546875" style="271" customWidth="1"/>
    <col min="3" max="3" width="24.7109375" style="273" customWidth="1"/>
    <col min="4" max="4" width="11.5703125" style="273" customWidth="1"/>
    <col min="5" max="5" width="12.42578125" style="273" customWidth="1"/>
    <col min="6" max="6" width="10.28515625" style="273" customWidth="1"/>
    <col min="7" max="7" width="30.28515625" style="273" customWidth="1"/>
    <col min="8" max="8" width="21.85546875" style="273" customWidth="1"/>
    <col min="9" max="9" width="32.5703125" style="273" customWidth="1"/>
    <col min="10" max="10" width="18.7109375" style="271" customWidth="1"/>
    <col min="11" max="13" width="17.28515625" style="271"/>
    <col min="14" max="14" width="2.28515625" style="271" bestFit="1" customWidth="1"/>
    <col min="15" max="16384" width="17.28515625" style="271"/>
  </cols>
  <sheetData>
    <row r="1" spans="1:10" x14ac:dyDescent="0.25">
      <c r="A1" s="270" t="s">
        <v>283</v>
      </c>
      <c r="C1" s="272"/>
      <c r="E1" s="274"/>
    </row>
    <row r="2" spans="1:10" x14ac:dyDescent="0.25">
      <c r="B2" s="274" t="s">
        <v>145</v>
      </c>
      <c r="C2" s="275" t="str">
        <f>'Calculation(Single FB)'!C4</f>
        <v>85~300(320)VAC and (12Vx1.25A+5Vx0.2A=16W) Single Output Single FB</v>
      </c>
    </row>
    <row r="3" spans="1:10" x14ac:dyDescent="0.25">
      <c r="A3" s="275"/>
      <c r="B3" s="274" t="s">
        <v>471</v>
      </c>
      <c r="C3" s="275" t="str">
        <f>'Calculation(Single FB)'!F33</f>
        <v>ICE5QR4780AZ</v>
      </c>
      <c r="D3" s="276"/>
      <c r="F3" s="277"/>
      <c r="G3" s="277"/>
      <c r="H3" s="277"/>
      <c r="I3" s="277"/>
    </row>
    <row r="4" spans="1:10" x14ac:dyDescent="0.25">
      <c r="B4" s="274" t="s">
        <v>503</v>
      </c>
      <c r="C4" s="275">
        <f>'Calculation(Single FB)'!C7</f>
        <v>0</v>
      </c>
    </row>
    <row r="5" spans="1:10" ht="14.25" thickBot="1" x14ac:dyDescent="0.3">
      <c r="B5" s="274" t="s">
        <v>144</v>
      </c>
      <c r="C5" s="296">
        <f>'Calculation(Single FB)'!C6</f>
        <v>0</v>
      </c>
    </row>
    <row r="6" spans="1:10" ht="14.25" thickBot="1" x14ac:dyDescent="0.3">
      <c r="A6" s="278" t="s">
        <v>282</v>
      </c>
      <c r="B6" s="278" t="s">
        <v>281</v>
      </c>
      <c r="C6" s="278" t="s">
        <v>284</v>
      </c>
      <c r="D6" s="279" t="s">
        <v>490</v>
      </c>
      <c r="E6" s="278" t="s">
        <v>582</v>
      </c>
      <c r="F6" s="278" t="s">
        <v>491</v>
      </c>
      <c r="G6" s="279" t="s">
        <v>594</v>
      </c>
      <c r="H6" s="279" t="s">
        <v>580</v>
      </c>
      <c r="I6" s="279" t="s">
        <v>498</v>
      </c>
      <c r="J6" s="279" t="s">
        <v>499</v>
      </c>
    </row>
    <row r="7" spans="1:10" x14ac:dyDescent="0.25">
      <c r="A7" s="280">
        <v>1</v>
      </c>
      <c r="B7" s="281" t="s">
        <v>164</v>
      </c>
      <c r="C7" s="281"/>
      <c r="D7" s="281" t="s">
        <v>271</v>
      </c>
      <c r="E7" s="282">
        <f>'Calculation(Single FB)'!F39</f>
        <v>0.3690888119953864</v>
      </c>
      <c r="F7" s="282"/>
      <c r="G7" s="295"/>
      <c r="H7" s="311"/>
      <c r="I7" s="312"/>
      <c r="J7" s="311"/>
    </row>
    <row r="8" spans="1:10" x14ac:dyDescent="0.25">
      <c r="A8" s="283">
        <f>A7+1</f>
        <v>2</v>
      </c>
      <c r="B8" s="284" t="s">
        <v>224</v>
      </c>
      <c r="C8" s="284" t="s">
        <v>624</v>
      </c>
      <c r="D8" s="284" t="s">
        <v>276</v>
      </c>
      <c r="E8" s="285"/>
      <c r="F8" s="285"/>
      <c r="G8" s="295"/>
      <c r="H8" s="293"/>
      <c r="I8" s="310"/>
      <c r="J8" s="293"/>
    </row>
    <row r="9" spans="1:10" x14ac:dyDescent="0.25">
      <c r="A9" s="283">
        <f t="shared" ref="A9:A70" si="0">A8+1</f>
        <v>3</v>
      </c>
      <c r="B9" s="284" t="s">
        <v>268</v>
      </c>
      <c r="C9" s="297" t="s">
        <v>626</v>
      </c>
      <c r="D9" s="297" t="s">
        <v>579</v>
      </c>
      <c r="E9" s="318"/>
      <c r="F9" s="318"/>
      <c r="G9" s="355"/>
      <c r="H9" s="345"/>
      <c r="I9" s="346"/>
      <c r="J9" s="345"/>
    </row>
    <row r="10" spans="1:10" x14ac:dyDescent="0.25">
      <c r="A10" s="283">
        <f t="shared" si="0"/>
        <v>4</v>
      </c>
      <c r="B10" s="287" t="s">
        <v>220</v>
      </c>
      <c r="C10" s="288">
        <f>'Calculation(Single FB)'!F48</f>
        <v>47</v>
      </c>
      <c r="D10" s="288">
        <f>'Calculation(Single FB)'!F40</f>
        <v>452.54833995939043</v>
      </c>
      <c r="E10" s="285"/>
      <c r="F10" s="285"/>
      <c r="G10" s="355"/>
      <c r="H10" s="368"/>
      <c r="I10" s="369"/>
      <c r="J10" s="368"/>
    </row>
    <row r="11" spans="1:10" x14ac:dyDescent="0.25">
      <c r="A11" s="283">
        <f t="shared" si="0"/>
        <v>5</v>
      </c>
      <c r="B11" s="284" t="s">
        <v>625</v>
      </c>
      <c r="C11" s="284" t="s">
        <v>684</v>
      </c>
      <c r="D11" s="284" t="s">
        <v>276</v>
      </c>
      <c r="E11" s="285"/>
      <c r="F11" s="285"/>
      <c r="G11" s="355"/>
      <c r="H11" s="368"/>
      <c r="I11" s="369"/>
      <c r="J11" s="368"/>
    </row>
    <row r="12" spans="1:10" x14ac:dyDescent="0.25">
      <c r="A12" s="283">
        <f t="shared" si="0"/>
        <v>6</v>
      </c>
      <c r="B12" s="287" t="s">
        <v>226</v>
      </c>
      <c r="C12" s="289">
        <f>'Calculation(Single FB)'!F123</f>
        <v>1</v>
      </c>
      <c r="D12" s="284" t="s">
        <v>271</v>
      </c>
      <c r="E12" s="285"/>
      <c r="F12" s="285"/>
      <c r="G12" s="355"/>
      <c r="H12" s="313"/>
      <c r="I12" s="346"/>
      <c r="J12" s="345"/>
    </row>
    <row r="13" spans="1:10" x14ac:dyDescent="0.25">
      <c r="A13" s="283">
        <f t="shared" si="0"/>
        <v>7</v>
      </c>
      <c r="B13" s="287" t="s">
        <v>221</v>
      </c>
      <c r="C13" s="288">
        <f>'Calculation(Single FB)'!F182</f>
        <v>10</v>
      </c>
      <c r="D13" s="284" t="s">
        <v>275</v>
      </c>
      <c r="E13" s="285"/>
      <c r="F13" s="285"/>
      <c r="G13" s="355"/>
      <c r="H13" s="368"/>
      <c r="I13" s="369"/>
      <c r="J13" s="368"/>
    </row>
    <row r="14" spans="1:10" x14ac:dyDescent="0.25">
      <c r="A14" s="283">
        <f t="shared" si="0"/>
        <v>8</v>
      </c>
      <c r="B14" s="284" t="s">
        <v>227</v>
      </c>
      <c r="C14" s="284" t="s">
        <v>273</v>
      </c>
      <c r="D14" s="284" t="s">
        <v>272</v>
      </c>
      <c r="E14" s="284"/>
      <c r="F14" s="284"/>
      <c r="G14" s="345"/>
      <c r="H14" s="313"/>
      <c r="I14" s="346"/>
      <c r="J14" s="345"/>
    </row>
    <row r="15" spans="1:10" x14ac:dyDescent="0.25">
      <c r="A15" s="283">
        <f t="shared" si="0"/>
        <v>9</v>
      </c>
      <c r="B15" s="284" t="s">
        <v>223</v>
      </c>
      <c r="C15" s="284" t="s">
        <v>274</v>
      </c>
      <c r="D15" s="284" t="s">
        <v>272</v>
      </c>
      <c r="E15" s="284"/>
      <c r="F15" s="284"/>
      <c r="G15" s="345"/>
      <c r="H15" s="313"/>
      <c r="I15" s="346"/>
      <c r="J15" s="345"/>
    </row>
    <row r="16" spans="1:10" x14ac:dyDescent="0.25">
      <c r="A16" s="283">
        <f t="shared" si="0"/>
        <v>10</v>
      </c>
      <c r="B16" s="287" t="s">
        <v>481</v>
      </c>
      <c r="C16" s="291">
        <f>'Calculation(Single FB)'!F266</f>
        <v>120</v>
      </c>
      <c r="D16" s="284" t="s">
        <v>272</v>
      </c>
      <c r="E16" s="292"/>
      <c r="F16" s="292"/>
      <c r="G16" s="345"/>
      <c r="H16" s="313"/>
      <c r="I16" s="346"/>
      <c r="J16" s="345"/>
    </row>
    <row r="17" spans="1:10" x14ac:dyDescent="0.25">
      <c r="A17" s="283">
        <f t="shared" si="0"/>
        <v>11</v>
      </c>
      <c r="B17" s="284" t="s">
        <v>269</v>
      </c>
      <c r="C17" s="284"/>
      <c r="D17" s="284"/>
      <c r="E17" s="285"/>
      <c r="F17" s="285"/>
      <c r="G17" s="313"/>
      <c r="H17" s="313"/>
      <c r="I17" s="366"/>
      <c r="J17" s="345"/>
    </row>
    <row r="18" spans="1:10" x14ac:dyDescent="0.25">
      <c r="A18" s="283">
        <f t="shared" si="0"/>
        <v>12</v>
      </c>
      <c r="B18" s="284" t="s">
        <v>581</v>
      </c>
      <c r="C18" s="284"/>
      <c r="D18" s="284"/>
      <c r="E18" s="285"/>
      <c r="F18" s="285"/>
      <c r="G18" s="345"/>
      <c r="H18" s="313"/>
      <c r="I18" s="346"/>
      <c r="J18" s="345"/>
    </row>
    <row r="19" spans="1:10" x14ac:dyDescent="0.25">
      <c r="A19" s="283">
        <f t="shared" si="0"/>
        <v>13</v>
      </c>
      <c r="B19" s="284" t="s">
        <v>662</v>
      </c>
      <c r="C19" s="343"/>
      <c r="D19" s="343"/>
      <c r="E19" s="344"/>
      <c r="F19" s="344"/>
      <c r="G19" s="345"/>
      <c r="H19" s="313"/>
      <c r="I19" s="346"/>
      <c r="J19" s="345"/>
    </row>
    <row r="20" spans="1:10" x14ac:dyDescent="0.25">
      <c r="A20" s="283">
        <f t="shared" si="0"/>
        <v>14</v>
      </c>
      <c r="B20" s="284" t="s">
        <v>270</v>
      </c>
      <c r="C20" s="343"/>
      <c r="D20" s="343"/>
      <c r="E20" s="344"/>
      <c r="F20" s="344"/>
      <c r="G20" s="345"/>
      <c r="H20" s="313"/>
      <c r="I20" s="347"/>
      <c r="J20" s="345"/>
    </row>
    <row r="21" spans="1:10" x14ac:dyDescent="0.25">
      <c r="A21" s="283">
        <f t="shared" si="0"/>
        <v>15</v>
      </c>
      <c r="B21" s="287" t="s">
        <v>222</v>
      </c>
      <c r="C21" s="348">
        <f>'Calculation(Single FB)'!F142</f>
        <v>1000</v>
      </c>
      <c r="D21" s="349"/>
      <c r="E21" s="350"/>
      <c r="F21" s="350"/>
      <c r="G21" s="351"/>
      <c r="H21" s="345"/>
      <c r="I21" s="346"/>
      <c r="J21" s="345"/>
    </row>
    <row r="22" spans="1:10" x14ac:dyDescent="0.25">
      <c r="A22" s="283">
        <f t="shared" si="0"/>
        <v>16</v>
      </c>
      <c r="B22" s="287" t="s">
        <v>663</v>
      </c>
      <c r="C22" s="348" t="str">
        <f>IF('Calculation(Single FB)'!F145&gt;1,"same capacitance as C22"," ")</f>
        <v xml:space="preserve"> </v>
      </c>
      <c r="D22" s="349"/>
      <c r="E22" s="350"/>
      <c r="F22" s="350"/>
      <c r="G22" s="351"/>
      <c r="H22" s="345"/>
      <c r="I22" s="346"/>
      <c r="J22" s="345"/>
    </row>
    <row r="23" spans="1:10" x14ac:dyDescent="0.25">
      <c r="A23" s="283">
        <f t="shared" si="0"/>
        <v>17</v>
      </c>
      <c r="B23" s="287" t="s">
        <v>225</v>
      </c>
      <c r="C23" s="349">
        <f>'Calculation(Single FB)'!F152</f>
        <v>470</v>
      </c>
      <c r="D23" s="343"/>
      <c r="E23" s="350"/>
      <c r="F23" s="350"/>
      <c r="G23" s="351"/>
      <c r="H23" s="345"/>
      <c r="I23" s="346"/>
      <c r="J23" s="345"/>
    </row>
    <row r="24" spans="1:10" x14ac:dyDescent="0.25">
      <c r="A24" s="283">
        <f t="shared" si="0"/>
        <v>18</v>
      </c>
      <c r="B24" s="287" t="s">
        <v>219</v>
      </c>
      <c r="C24" s="349">
        <f>'Calculation(Single FB)'!F257</f>
        <v>470</v>
      </c>
      <c r="D24" s="343" t="s">
        <v>272</v>
      </c>
      <c r="E24" s="343"/>
      <c r="F24" s="343"/>
      <c r="G24" s="345"/>
      <c r="H24" s="313"/>
      <c r="I24" s="346"/>
      <c r="J24" s="345"/>
    </row>
    <row r="25" spans="1:10" x14ac:dyDescent="0.25">
      <c r="A25" s="283">
        <f t="shared" si="0"/>
        <v>19</v>
      </c>
      <c r="B25" s="287" t="s">
        <v>218</v>
      </c>
      <c r="C25" s="344">
        <f>'Calculation(Single FB)'!F255</f>
        <v>2.2000000000000002</v>
      </c>
      <c r="D25" s="343" t="s">
        <v>272</v>
      </c>
      <c r="E25" s="343"/>
      <c r="F25" s="343"/>
      <c r="G25" s="345"/>
      <c r="H25" s="313"/>
      <c r="I25" s="346"/>
      <c r="J25" s="345"/>
    </row>
    <row r="26" spans="1:10" x14ac:dyDescent="0.25">
      <c r="A26" s="283">
        <f t="shared" si="0"/>
        <v>20</v>
      </c>
      <c r="B26" s="284" t="s">
        <v>584</v>
      </c>
      <c r="C26" s="343"/>
      <c r="D26" s="343"/>
      <c r="E26" s="344"/>
      <c r="F26" s="344"/>
      <c r="G26" s="345"/>
      <c r="H26" s="313"/>
      <c r="I26" s="347"/>
      <c r="J26" s="345"/>
    </row>
    <row r="27" spans="1:10" x14ac:dyDescent="0.25">
      <c r="A27" s="283">
        <f t="shared" si="0"/>
        <v>21</v>
      </c>
      <c r="B27" s="287" t="s">
        <v>585</v>
      </c>
      <c r="C27" s="348">
        <f>'Calculation(Single FB)'!$F$162</f>
        <v>0</v>
      </c>
      <c r="D27" s="349"/>
      <c r="E27" s="350"/>
      <c r="F27" s="350"/>
      <c r="G27" s="351"/>
      <c r="H27" s="345"/>
      <c r="I27" s="346"/>
      <c r="J27" s="345"/>
    </row>
    <row r="28" spans="1:10" x14ac:dyDescent="0.25">
      <c r="A28" s="283">
        <f t="shared" si="0"/>
        <v>22</v>
      </c>
      <c r="B28" s="287" t="s">
        <v>664</v>
      </c>
      <c r="C28" s="348" t="str">
        <f>IF('Calculation(Single FB)'!F165&gt;1,"same capacitance as C28"," ")</f>
        <v xml:space="preserve"> </v>
      </c>
      <c r="D28" s="349"/>
      <c r="E28" s="350"/>
      <c r="F28" s="350"/>
      <c r="G28" s="351"/>
      <c r="H28" s="345"/>
      <c r="I28" s="346"/>
      <c r="J28" s="345"/>
    </row>
    <row r="29" spans="1:10" x14ac:dyDescent="0.25">
      <c r="A29" s="283">
        <f t="shared" si="0"/>
        <v>23</v>
      </c>
      <c r="B29" s="287" t="s">
        <v>586</v>
      </c>
      <c r="C29" s="349">
        <f>'Calculation(Single FB)'!$F$172</f>
        <v>0</v>
      </c>
      <c r="D29" s="343"/>
      <c r="E29" s="350"/>
      <c r="F29" s="350"/>
      <c r="G29" s="351"/>
      <c r="H29" s="345"/>
      <c r="I29" s="346"/>
      <c r="J29" s="345"/>
    </row>
    <row r="30" spans="1:10" x14ac:dyDescent="0.25">
      <c r="A30" s="283">
        <f t="shared" si="0"/>
        <v>24</v>
      </c>
      <c r="B30" s="284" t="s">
        <v>230</v>
      </c>
      <c r="C30" s="343"/>
      <c r="D30" s="343" t="s">
        <v>622</v>
      </c>
      <c r="E30" s="343">
        <v>1</v>
      </c>
      <c r="F30" s="343"/>
      <c r="G30" s="345"/>
      <c r="H30" s="345"/>
      <c r="I30" s="346"/>
      <c r="J30" s="345"/>
    </row>
    <row r="31" spans="1:10" x14ac:dyDescent="0.25">
      <c r="A31" s="283">
        <f t="shared" si="0"/>
        <v>25</v>
      </c>
      <c r="B31" s="298" t="s">
        <v>229</v>
      </c>
      <c r="C31" s="343"/>
      <c r="D31" s="352">
        <f>'Calculation(Single FB)'!F135</f>
        <v>85.996326811721204</v>
      </c>
      <c r="E31" s="343">
        <v>0.1</v>
      </c>
      <c r="F31" s="343"/>
      <c r="G31" s="345"/>
      <c r="H31" s="353"/>
      <c r="I31" s="353"/>
      <c r="J31" s="343"/>
    </row>
    <row r="32" spans="1:10" x14ac:dyDescent="0.25">
      <c r="A32" s="283">
        <f t="shared" si="0"/>
        <v>26</v>
      </c>
      <c r="B32" s="284" t="s">
        <v>587</v>
      </c>
      <c r="C32" s="343"/>
      <c r="D32" s="354"/>
      <c r="E32" s="343"/>
      <c r="F32" s="343"/>
      <c r="G32" s="345"/>
      <c r="H32" s="353"/>
      <c r="I32" s="353"/>
      <c r="J32" s="343"/>
    </row>
    <row r="33" spans="1:10" x14ac:dyDescent="0.25">
      <c r="A33" s="283">
        <f t="shared" si="0"/>
        <v>27</v>
      </c>
      <c r="B33" s="299" t="s">
        <v>228</v>
      </c>
      <c r="C33" s="349"/>
      <c r="D33" s="350">
        <f>'Calculation(Single FB)'!F128</f>
        <v>73.711137267189599</v>
      </c>
      <c r="E33" s="350">
        <f>'Calculation(Single FB)'!F130</f>
        <v>2.4856608734691203</v>
      </c>
      <c r="F33" s="350"/>
      <c r="G33" s="351"/>
      <c r="H33" s="353"/>
      <c r="I33" s="353"/>
      <c r="J33" s="343"/>
    </row>
    <row r="34" spans="1:10" x14ac:dyDescent="0.25">
      <c r="A34" s="283">
        <f t="shared" si="0"/>
        <v>28</v>
      </c>
      <c r="B34" s="299" t="s">
        <v>492</v>
      </c>
      <c r="C34" s="349"/>
      <c r="D34" s="350">
        <f>'Calculation(Single FB)'!F131</f>
        <v>25.712973861329001</v>
      </c>
      <c r="E34" s="350" t="e">
        <f>'Calculation(Single FB)'!F134</f>
        <v>#DIV/0!</v>
      </c>
      <c r="F34" s="350"/>
      <c r="G34" s="351"/>
      <c r="H34" s="353"/>
      <c r="I34" s="353"/>
      <c r="J34" s="343"/>
    </row>
    <row r="35" spans="1:10" x14ac:dyDescent="0.25">
      <c r="A35" s="283">
        <f t="shared" si="0"/>
        <v>29</v>
      </c>
      <c r="B35" s="284" t="s">
        <v>166</v>
      </c>
      <c r="C35" s="343" t="s">
        <v>277</v>
      </c>
      <c r="D35" s="343" t="s">
        <v>500</v>
      </c>
      <c r="E35" s="344">
        <f>'Calculation(Single FB)'!F39</f>
        <v>0.3690888119953864</v>
      </c>
      <c r="F35" s="344"/>
      <c r="G35" s="355"/>
      <c r="H35" s="356"/>
      <c r="I35" s="356"/>
      <c r="J35" s="357"/>
    </row>
    <row r="36" spans="1:10" x14ac:dyDescent="0.25">
      <c r="A36" s="283">
        <f t="shared" si="0"/>
        <v>30</v>
      </c>
      <c r="B36" s="284" t="s">
        <v>588</v>
      </c>
      <c r="C36" s="343"/>
      <c r="D36" s="343"/>
      <c r="E36" s="344"/>
      <c r="F36" s="344"/>
      <c r="G36" s="358"/>
      <c r="H36" s="359"/>
      <c r="I36" s="359"/>
      <c r="J36" s="357"/>
    </row>
    <row r="37" spans="1:10" x14ac:dyDescent="0.25">
      <c r="A37" s="283">
        <f t="shared" si="0"/>
        <v>31</v>
      </c>
      <c r="B37" s="284" t="s">
        <v>589</v>
      </c>
      <c r="C37" s="343"/>
      <c r="D37" s="343"/>
      <c r="E37" s="344"/>
      <c r="F37" s="344"/>
      <c r="G37" s="358"/>
      <c r="H37" s="359"/>
      <c r="I37" s="359"/>
      <c r="J37" s="357"/>
    </row>
    <row r="38" spans="1:10" x14ac:dyDescent="0.25">
      <c r="A38" s="283">
        <f t="shared" si="0"/>
        <v>32</v>
      </c>
      <c r="B38" s="287" t="s">
        <v>167</v>
      </c>
      <c r="C38" s="348" t="str">
        <f>'Calculation(Single FB)'!F33</f>
        <v>ICE5QR4780AZ</v>
      </c>
      <c r="D38" s="343"/>
      <c r="E38" s="343"/>
      <c r="F38" s="343"/>
      <c r="G38" s="345"/>
      <c r="H38" s="353"/>
      <c r="I38" s="353"/>
      <c r="J38" s="343"/>
    </row>
    <row r="39" spans="1:10" x14ac:dyDescent="0.25">
      <c r="A39" s="283">
        <f t="shared" si="0"/>
        <v>33</v>
      </c>
      <c r="B39" s="284" t="s">
        <v>231</v>
      </c>
      <c r="C39" s="343" t="s">
        <v>232</v>
      </c>
      <c r="D39" s="343"/>
      <c r="E39" s="343"/>
      <c r="F39" s="343"/>
      <c r="G39" s="345"/>
      <c r="H39" s="353"/>
      <c r="I39" s="353"/>
      <c r="J39" s="343"/>
    </row>
    <row r="40" spans="1:10" ht="55.9" customHeight="1" x14ac:dyDescent="0.25">
      <c r="A40" s="283">
        <f t="shared" si="0"/>
        <v>34</v>
      </c>
      <c r="B40" s="284" t="s">
        <v>233</v>
      </c>
      <c r="C40" s="343" t="s">
        <v>598</v>
      </c>
      <c r="D40" s="343"/>
      <c r="E40" s="343"/>
      <c r="F40" s="343"/>
      <c r="G40" s="345"/>
      <c r="H40" s="359"/>
      <c r="I40" s="353"/>
      <c r="J40" s="343"/>
    </row>
    <row r="41" spans="1:10" x14ac:dyDescent="0.25">
      <c r="A41" s="283">
        <f t="shared" si="0"/>
        <v>35</v>
      </c>
      <c r="B41" s="299" t="s">
        <v>235</v>
      </c>
      <c r="C41" s="343"/>
      <c r="D41" s="343"/>
      <c r="E41" s="344">
        <f>'Calculation(Single FB)'!F39</f>
        <v>0.3690888119953864</v>
      </c>
      <c r="F41" s="344"/>
      <c r="G41" s="355"/>
      <c r="H41" s="359"/>
      <c r="I41" s="359"/>
      <c r="J41" s="343"/>
    </row>
    <row r="42" spans="1:10" x14ac:dyDescent="0.25">
      <c r="A42" s="283">
        <f t="shared" si="0"/>
        <v>36</v>
      </c>
      <c r="B42" s="287" t="s">
        <v>234</v>
      </c>
      <c r="C42" s="344">
        <f>'Calculation(Single FB)'!F149</f>
        <v>2.2000000000000002</v>
      </c>
      <c r="D42" s="343"/>
      <c r="E42" s="344">
        <f>'Calculation(Single FB)'!$F$18</f>
        <v>1.33</v>
      </c>
      <c r="F42" s="344"/>
      <c r="G42" s="360"/>
      <c r="H42" s="353"/>
      <c r="I42" s="353"/>
      <c r="J42" s="343"/>
    </row>
    <row r="43" spans="1:10" x14ac:dyDescent="0.25">
      <c r="A43" s="283">
        <f t="shared" si="0"/>
        <v>37</v>
      </c>
      <c r="B43" s="287" t="s">
        <v>590</v>
      </c>
      <c r="C43" s="344">
        <f>'Calculation(Single FB)'!$F$169</f>
        <v>4.7</v>
      </c>
      <c r="D43" s="343"/>
      <c r="E43" s="344">
        <f>'Calculation(Single FB)'!$F$21</f>
        <v>0</v>
      </c>
      <c r="F43" s="344"/>
      <c r="G43" s="360"/>
      <c r="H43" s="353"/>
      <c r="I43" s="353"/>
      <c r="J43" s="343"/>
    </row>
    <row r="44" spans="1:10" x14ac:dyDescent="0.25">
      <c r="A44" s="283">
        <f t="shared" si="0"/>
        <v>38</v>
      </c>
      <c r="B44" s="287" t="s">
        <v>583</v>
      </c>
      <c r="C44" s="350">
        <f>'Calculation(Single FB)'!F125</f>
        <v>68</v>
      </c>
      <c r="D44" s="343"/>
      <c r="E44" s="350"/>
      <c r="F44" s="350" t="s">
        <v>496</v>
      </c>
      <c r="G44" s="351"/>
      <c r="H44" s="353"/>
      <c r="I44" s="359"/>
      <c r="J44" s="343"/>
    </row>
    <row r="45" spans="1:10" x14ac:dyDescent="0.25">
      <c r="A45" s="283">
        <f t="shared" si="0"/>
        <v>39</v>
      </c>
      <c r="B45" s="284" t="s">
        <v>592</v>
      </c>
      <c r="C45" s="343">
        <v>10</v>
      </c>
      <c r="D45" s="343"/>
      <c r="E45" s="343"/>
      <c r="F45" s="343"/>
      <c r="G45" s="345"/>
      <c r="H45" s="314"/>
      <c r="I45" s="315"/>
      <c r="J45" s="316"/>
    </row>
    <row r="46" spans="1:10" x14ac:dyDescent="0.25">
      <c r="A46" s="283">
        <f t="shared" si="0"/>
        <v>40</v>
      </c>
      <c r="B46" s="284" t="s">
        <v>593</v>
      </c>
      <c r="C46" s="343">
        <v>0</v>
      </c>
      <c r="D46" s="343"/>
      <c r="E46" s="343"/>
      <c r="F46" s="343"/>
      <c r="G46" s="345"/>
      <c r="H46" s="314"/>
      <c r="I46" s="315"/>
      <c r="J46" s="316"/>
    </row>
    <row r="47" spans="1:10" x14ac:dyDescent="0.25">
      <c r="A47" s="283">
        <f t="shared" si="0"/>
        <v>41</v>
      </c>
      <c r="B47" s="284" t="s">
        <v>278</v>
      </c>
      <c r="C47" s="343"/>
      <c r="D47" s="343"/>
      <c r="E47" s="343"/>
      <c r="F47" s="343"/>
      <c r="G47" s="313"/>
      <c r="H47" s="314"/>
      <c r="I47" s="315"/>
      <c r="J47" s="316"/>
    </row>
    <row r="48" spans="1:10" x14ac:dyDescent="0.25">
      <c r="A48" s="283">
        <f t="shared" si="0"/>
        <v>42</v>
      </c>
      <c r="B48" s="287" t="s">
        <v>286</v>
      </c>
      <c r="C48" s="344">
        <f>'Calculation(Single FB)'!F82</f>
        <v>1.2138936966353164</v>
      </c>
      <c r="D48" s="343"/>
      <c r="E48" s="344"/>
      <c r="F48" s="344">
        <f>'Calculation(Single FB)'!F83</f>
        <v>0.13117720219133766</v>
      </c>
      <c r="G48" s="355"/>
      <c r="H48" s="361"/>
      <c r="I48" s="353"/>
      <c r="J48" s="343"/>
    </row>
    <row r="49" spans="1:14" x14ac:dyDescent="0.25">
      <c r="A49" s="283">
        <f t="shared" si="0"/>
        <v>43</v>
      </c>
      <c r="B49" s="287" t="s">
        <v>495</v>
      </c>
      <c r="C49" s="344"/>
      <c r="D49" s="343"/>
      <c r="E49" s="344"/>
      <c r="F49" s="344"/>
      <c r="G49" s="355"/>
      <c r="H49" s="361"/>
      <c r="I49" s="353"/>
      <c r="J49" s="343"/>
    </row>
    <row r="50" spans="1:14" x14ac:dyDescent="0.25">
      <c r="A50" s="283">
        <f t="shared" si="0"/>
        <v>44</v>
      </c>
      <c r="B50" s="287" t="s">
        <v>497</v>
      </c>
      <c r="C50" s="344">
        <f>'Calculation(Single FB)'!F263</f>
        <v>27</v>
      </c>
      <c r="D50" s="343"/>
      <c r="E50" s="344"/>
      <c r="F50" s="344"/>
      <c r="G50" s="355"/>
      <c r="H50" s="314"/>
      <c r="I50" s="315"/>
      <c r="J50" s="316"/>
    </row>
    <row r="51" spans="1:14" x14ac:dyDescent="0.25">
      <c r="A51" s="283">
        <f t="shared" si="0"/>
        <v>45</v>
      </c>
      <c r="B51" s="284" t="s">
        <v>685</v>
      </c>
      <c r="C51" s="362">
        <v>50</v>
      </c>
      <c r="D51" s="343"/>
      <c r="E51" s="344"/>
      <c r="F51" s="344"/>
      <c r="G51" s="313"/>
      <c r="H51" s="314"/>
      <c r="I51" s="315"/>
      <c r="J51" s="316"/>
    </row>
    <row r="52" spans="1:14" x14ac:dyDescent="0.25">
      <c r="A52" s="283">
        <f t="shared" si="0"/>
        <v>46</v>
      </c>
      <c r="B52" s="284" t="s">
        <v>591</v>
      </c>
      <c r="C52" s="343"/>
      <c r="D52" s="343"/>
      <c r="E52" s="344"/>
      <c r="F52" s="344"/>
      <c r="G52" s="313"/>
      <c r="H52" s="314"/>
      <c r="I52" s="315"/>
      <c r="J52" s="316"/>
    </row>
    <row r="53" spans="1:14" x14ac:dyDescent="0.25">
      <c r="A53" s="283">
        <f t="shared" si="0"/>
        <v>47</v>
      </c>
      <c r="B53" s="284" t="s">
        <v>686</v>
      </c>
      <c r="C53" s="343">
        <v>9</v>
      </c>
      <c r="D53" s="343"/>
      <c r="E53" s="344"/>
      <c r="F53" s="344"/>
      <c r="G53" s="313"/>
      <c r="H53" s="314"/>
      <c r="I53" s="363"/>
      <c r="J53" s="316"/>
    </row>
    <row r="54" spans="1:14" x14ac:dyDescent="0.25">
      <c r="A54" s="283">
        <f t="shared" si="0"/>
        <v>48</v>
      </c>
      <c r="B54" s="297" t="s">
        <v>687</v>
      </c>
      <c r="C54" s="364">
        <f>'Calculation(Single FB)'!F272</f>
        <v>58300</v>
      </c>
      <c r="D54" s="343"/>
      <c r="E54" s="362"/>
      <c r="F54" s="362"/>
      <c r="G54" s="313"/>
      <c r="H54" s="314"/>
      <c r="I54" s="315"/>
      <c r="J54" s="316"/>
    </row>
    <row r="55" spans="1:14" x14ac:dyDescent="0.25">
      <c r="A55" s="283">
        <f t="shared" si="0"/>
        <v>49</v>
      </c>
      <c r="B55" s="297" t="s">
        <v>688</v>
      </c>
      <c r="C55" s="364">
        <f>'Calculation(Single FB)'!F283</f>
        <v>58300</v>
      </c>
      <c r="D55" s="343"/>
      <c r="E55" s="362"/>
      <c r="F55" s="362"/>
      <c r="G55" s="313"/>
      <c r="H55" s="314"/>
      <c r="I55" s="315"/>
      <c r="J55" s="316"/>
    </row>
    <row r="56" spans="1:14" x14ac:dyDescent="0.25">
      <c r="A56" s="283">
        <f t="shared" si="0"/>
        <v>50</v>
      </c>
      <c r="B56" s="284" t="s">
        <v>279</v>
      </c>
      <c r="C56" s="344"/>
      <c r="D56" s="343"/>
      <c r="E56" s="344"/>
      <c r="F56" s="344"/>
      <c r="G56" s="313"/>
      <c r="H56" s="314"/>
      <c r="I56" s="315"/>
      <c r="J56" s="343"/>
    </row>
    <row r="57" spans="1:14" x14ac:dyDescent="0.25">
      <c r="A57" s="283">
        <f t="shared" si="0"/>
        <v>51</v>
      </c>
      <c r="B57" s="287" t="s">
        <v>287</v>
      </c>
      <c r="C57" s="348">
        <f>'Calculation(Single FB)'!F233</f>
        <v>0.82</v>
      </c>
      <c r="D57" s="343"/>
      <c r="E57" s="343"/>
      <c r="F57" s="343"/>
      <c r="G57" s="345"/>
      <c r="H57" s="314"/>
      <c r="I57" s="315"/>
      <c r="J57" s="316"/>
      <c r="N57" s="271" t="s">
        <v>489</v>
      </c>
    </row>
    <row r="58" spans="1:14" x14ac:dyDescent="0.25">
      <c r="A58" s="283">
        <f t="shared" si="0"/>
        <v>52</v>
      </c>
      <c r="B58" s="287" t="s">
        <v>288</v>
      </c>
      <c r="C58" s="350">
        <f>'Calculation(Single FB)'!F238</f>
        <v>1.2</v>
      </c>
      <c r="D58" s="343"/>
      <c r="E58" s="343"/>
      <c r="F58" s="343"/>
      <c r="G58" s="345"/>
      <c r="H58" s="314"/>
      <c r="I58" s="315"/>
      <c r="J58" s="316"/>
    </row>
    <row r="59" spans="1:14" x14ac:dyDescent="0.25">
      <c r="A59" s="283">
        <f t="shared" si="0"/>
        <v>53</v>
      </c>
      <c r="B59" s="287" t="s">
        <v>289</v>
      </c>
      <c r="C59" s="349">
        <f>'Calculation(Single FB)'!F253</f>
        <v>20</v>
      </c>
      <c r="D59" s="343"/>
      <c r="E59" s="343"/>
      <c r="F59" s="343"/>
      <c r="G59" s="345"/>
      <c r="H59" s="314"/>
      <c r="I59" s="315"/>
      <c r="J59" s="316"/>
    </row>
    <row r="60" spans="1:14" x14ac:dyDescent="0.25">
      <c r="A60" s="283">
        <f t="shared" si="0"/>
        <v>54</v>
      </c>
      <c r="B60" s="287" t="s">
        <v>290</v>
      </c>
      <c r="C60" s="350">
        <f>'Calculation(Single FB)'!F231</f>
        <v>38</v>
      </c>
      <c r="D60" s="343"/>
      <c r="E60" s="343"/>
      <c r="F60" s="343"/>
      <c r="G60" s="345"/>
      <c r="H60" s="314"/>
      <c r="I60" s="315"/>
      <c r="J60" s="316"/>
    </row>
    <row r="61" spans="1:14" x14ac:dyDescent="0.25">
      <c r="A61" s="283">
        <f t="shared" si="0"/>
        <v>55</v>
      </c>
      <c r="B61" s="287" t="s">
        <v>595</v>
      </c>
      <c r="C61" s="350"/>
      <c r="D61" s="343"/>
      <c r="E61" s="343"/>
      <c r="F61" s="343"/>
      <c r="G61" s="345"/>
      <c r="H61" s="314"/>
      <c r="I61" s="315"/>
      <c r="J61" s="316"/>
    </row>
    <row r="62" spans="1:14" x14ac:dyDescent="0.25">
      <c r="A62" s="283">
        <f t="shared" si="0"/>
        <v>56</v>
      </c>
      <c r="B62" s="287" t="s">
        <v>291</v>
      </c>
      <c r="C62" s="350">
        <f>'Calculation(Single FB)'!F228</f>
        <v>10</v>
      </c>
      <c r="D62" s="343"/>
      <c r="E62" s="343"/>
      <c r="F62" s="343"/>
      <c r="G62" s="345"/>
      <c r="H62" s="314"/>
      <c r="I62" s="315"/>
      <c r="J62" s="316"/>
    </row>
    <row r="63" spans="1:14" x14ac:dyDescent="0.25">
      <c r="A63" s="283">
        <f t="shared" si="0"/>
        <v>57</v>
      </c>
      <c r="B63" s="284" t="s">
        <v>597</v>
      </c>
      <c r="C63" s="344"/>
      <c r="D63" s="343"/>
      <c r="E63" s="344"/>
      <c r="F63" s="344"/>
      <c r="G63" s="313"/>
      <c r="H63" s="314"/>
      <c r="I63" s="315"/>
      <c r="J63" s="343"/>
    </row>
    <row r="64" spans="1:14" x14ac:dyDescent="0.25">
      <c r="A64" s="283">
        <f t="shared" si="0"/>
        <v>58</v>
      </c>
      <c r="B64" s="284" t="s">
        <v>596</v>
      </c>
      <c r="C64" s="350"/>
      <c r="D64" s="343"/>
      <c r="E64" s="343"/>
      <c r="F64" s="343"/>
      <c r="G64" s="313"/>
      <c r="H64" s="315"/>
      <c r="I64" s="315"/>
      <c r="J64" s="316"/>
    </row>
    <row r="65" spans="1:10" x14ac:dyDescent="0.25">
      <c r="A65" s="283">
        <f t="shared" si="0"/>
        <v>59</v>
      </c>
      <c r="B65" s="287" t="s">
        <v>280</v>
      </c>
      <c r="C65" s="349">
        <f>'Calculation(Single FB)'!F312</f>
        <v>1008.8406770811168</v>
      </c>
      <c r="D65" s="343"/>
      <c r="E65" s="349"/>
      <c r="F65" s="349"/>
      <c r="G65" s="365"/>
      <c r="H65" s="315"/>
      <c r="I65" s="315"/>
      <c r="J65" s="343"/>
    </row>
    <row r="66" spans="1:10" x14ac:dyDescent="0.25">
      <c r="A66" s="283">
        <f t="shared" si="0"/>
        <v>60</v>
      </c>
      <c r="B66" s="284" t="s">
        <v>501</v>
      </c>
      <c r="C66" s="349"/>
      <c r="D66" s="343"/>
      <c r="E66" s="349"/>
      <c r="F66" s="349"/>
      <c r="G66" s="366"/>
      <c r="H66" s="315"/>
      <c r="I66" s="315"/>
      <c r="J66" s="343"/>
    </row>
    <row r="67" spans="1:10" x14ac:dyDescent="0.25">
      <c r="A67" s="283">
        <f t="shared" si="0"/>
        <v>61</v>
      </c>
      <c r="B67" s="284" t="s">
        <v>493</v>
      </c>
      <c r="C67" s="349"/>
      <c r="D67" s="343"/>
      <c r="E67" s="349"/>
      <c r="F67" s="349"/>
      <c r="G67" s="367"/>
      <c r="H67" s="353"/>
      <c r="I67" s="353"/>
      <c r="J67" s="343"/>
    </row>
    <row r="68" spans="1:10" x14ac:dyDescent="0.25">
      <c r="A68" s="283">
        <f t="shared" si="0"/>
        <v>62</v>
      </c>
      <c r="B68" s="294" t="s">
        <v>665</v>
      </c>
      <c r="C68" s="343"/>
      <c r="D68" s="343"/>
      <c r="E68" s="343"/>
      <c r="F68" s="343"/>
      <c r="G68" s="313"/>
      <c r="H68" s="315"/>
      <c r="I68" s="315"/>
      <c r="J68" s="316"/>
    </row>
    <row r="69" spans="1:10" x14ac:dyDescent="0.25">
      <c r="A69" s="283">
        <f t="shared" si="0"/>
        <v>63</v>
      </c>
      <c r="B69" s="294" t="s">
        <v>494</v>
      </c>
      <c r="C69" s="343"/>
      <c r="D69" s="343"/>
      <c r="E69" s="343"/>
      <c r="F69" s="343"/>
      <c r="G69" s="345"/>
      <c r="H69" s="315"/>
      <c r="I69" s="314"/>
      <c r="J69" s="343"/>
    </row>
    <row r="70" spans="1:10" ht="27" x14ac:dyDescent="0.25">
      <c r="A70" s="283">
        <f t="shared" si="0"/>
        <v>64</v>
      </c>
      <c r="B70" s="301" t="s">
        <v>599</v>
      </c>
      <c r="C70" s="343"/>
      <c r="D70" s="343"/>
      <c r="E70" s="343"/>
      <c r="F70" s="343"/>
      <c r="G70" s="345"/>
      <c r="H70" s="315"/>
      <c r="I70" s="315"/>
      <c r="J70" s="343"/>
    </row>
  </sheetData>
  <sheetProtection password="D204" sheet="1" objects="1" scenarios="1"/>
  <printOptions gridLinesSet="0"/>
  <pageMargins left="0.75" right="0.75" top="1" bottom="1" header="0.51181102300000003" footer="0.51181102300000003"/>
  <pageSetup paperSize="9" scale="35" orientation="portrait" horizontalDpi="4294967295" r:id="rId1"/>
  <headerFooter alignWithMargins="0">
    <oddHeader>&amp;A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AF364"/>
  <sheetViews>
    <sheetView tabSelected="1" zoomScale="90" zoomScaleNormal="90" zoomScaleSheetLayoutView="40" workbookViewId="0">
      <selection activeCell="F14" sqref="F14"/>
    </sheetView>
  </sheetViews>
  <sheetFormatPr defaultColWidth="11.5703125" defaultRowHeight="12.75" x14ac:dyDescent="0.2"/>
  <cols>
    <col min="2" max="2" width="15.5703125" bestFit="1" customWidth="1"/>
    <col min="3" max="3" width="75.5703125" customWidth="1"/>
    <col min="4" max="4" width="61.7109375" style="81" customWidth="1"/>
    <col min="5" max="5" width="15.28515625" customWidth="1"/>
    <col min="6" max="6" width="22.42578125" customWidth="1"/>
    <col min="7" max="7" width="33.42578125" customWidth="1"/>
    <col min="8" max="8" width="12" customWidth="1"/>
    <col min="9" max="9" width="16.42578125" customWidth="1"/>
    <col min="10" max="10" width="20.28515625" customWidth="1"/>
    <col min="11" max="12" width="12" customWidth="1"/>
    <col min="13" max="14" width="13.7109375" customWidth="1"/>
    <col min="15" max="15" width="14.7109375" bestFit="1" customWidth="1"/>
    <col min="16" max="16" width="14.140625" bestFit="1" customWidth="1"/>
    <col min="17" max="17" width="11.7109375" bestFit="1" customWidth="1"/>
    <col min="18" max="18" width="18.85546875" customWidth="1"/>
  </cols>
  <sheetData>
    <row r="1" spans="2:18" s="217" customFormat="1" ht="21.75" customHeight="1" x14ac:dyDescent="0.2">
      <c r="B1" s="6" t="s">
        <v>696</v>
      </c>
      <c r="C1" s="8"/>
      <c r="D1" s="77"/>
      <c r="E1" s="7"/>
      <c r="F1" s="9"/>
      <c r="G1" s="218"/>
      <c r="H1" s="218"/>
      <c r="I1" s="35"/>
      <c r="K1" s="10"/>
      <c r="L1" s="10"/>
      <c r="M1" s="10"/>
      <c r="N1" s="10"/>
      <c r="O1" s="10"/>
      <c r="P1" s="10"/>
      <c r="Q1" s="10"/>
      <c r="R1" s="10"/>
    </row>
    <row r="2" spans="2:18" s="217" customFormat="1" ht="13.5" thickBot="1" x14ac:dyDescent="0.25">
      <c r="D2" s="18"/>
      <c r="E2" s="12"/>
      <c r="F2" s="13"/>
      <c r="G2" s="13"/>
      <c r="H2" s="13"/>
      <c r="I2" s="13"/>
      <c r="J2" s="10"/>
      <c r="K2" s="10"/>
      <c r="L2" s="10"/>
      <c r="M2" s="10"/>
      <c r="N2" s="10"/>
      <c r="O2" s="10"/>
      <c r="P2" s="10"/>
      <c r="Q2" s="10"/>
      <c r="R2" s="10"/>
    </row>
    <row r="3" spans="2:18" s="217" customFormat="1" ht="16.5" thickBot="1" x14ac:dyDescent="0.25">
      <c r="B3" s="98" t="s">
        <v>143</v>
      </c>
      <c r="C3" s="408" t="s">
        <v>502</v>
      </c>
      <c r="D3" s="409"/>
      <c r="E3" s="12"/>
      <c r="F3" s="13"/>
      <c r="G3" s="13"/>
      <c r="H3" s="13"/>
      <c r="I3" s="13"/>
      <c r="J3" s="10"/>
      <c r="K3" s="10"/>
      <c r="L3" s="10"/>
      <c r="M3" s="10"/>
      <c r="N3" s="10"/>
      <c r="O3" s="10"/>
      <c r="P3" s="10"/>
      <c r="Q3" s="10"/>
      <c r="R3" s="10"/>
    </row>
    <row r="4" spans="2:18" s="217" customFormat="1" ht="16.5" thickBot="1" x14ac:dyDescent="0.25">
      <c r="B4" s="98" t="s">
        <v>145</v>
      </c>
      <c r="C4" s="408" t="s">
        <v>694</v>
      </c>
      <c r="D4" s="409"/>
      <c r="E4" s="12"/>
      <c r="F4" s="13"/>
      <c r="G4" s="13"/>
      <c r="H4" s="13"/>
      <c r="I4" s="13"/>
      <c r="J4" s="10"/>
      <c r="K4" s="10"/>
      <c r="L4" s="10"/>
      <c r="M4" s="10"/>
      <c r="N4" s="10"/>
      <c r="O4" s="10"/>
      <c r="P4" s="10"/>
      <c r="Q4" s="10"/>
      <c r="R4" s="10"/>
    </row>
    <row r="5" spans="2:18" s="217" customFormat="1" ht="16.5" thickBot="1" x14ac:dyDescent="0.25">
      <c r="B5" s="98" t="s">
        <v>471</v>
      </c>
      <c r="C5" s="408" t="s">
        <v>502</v>
      </c>
      <c r="D5" s="409"/>
      <c r="E5" s="12"/>
      <c r="F5" s="13"/>
      <c r="G5" s="13"/>
      <c r="H5" s="13"/>
      <c r="I5" s="13"/>
      <c r="J5" s="10"/>
      <c r="K5" s="10"/>
      <c r="L5" s="10"/>
      <c r="M5" s="10"/>
      <c r="N5" s="10"/>
      <c r="O5" s="10"/>
      <c r="P5" s="10"/>
      <c r="Q5" s="10"/>
      <c r="R5" s="10"/>
    </row>
    <row r="6" spans="2:18" s="217" customFormat="1" ht="16.5" thickBot="1" x14ac:dyDescent="0.25">
      <c r="B6" s="98" t="s">
        <v>144</v>
      </c>
      <c r="C6" s="411"/>
      <c r="D6" s="413"/>
      <c r="E6" s="12"/>
      <c r="F6" s="13"/>
      <c r="G6" s="13"/>
      <c r="H6" s="13"/>
      <c r="I6" s="13"/>
      <c r="J6" s="10"/>
      <c r="K6" s="10"/>
      <c r="L6" s="10"/>
      <c r="M6" s="10"/>
      <c r="N6" s="10"/>
      <c r="O6" s="10"/>
      <c r="P6" s="10"/>
      <c r="Q6" s="10"/>
      <c r="R6" s="10"/>
    </row>
    <row r="7" spans="2:18" s="217" customFormat="1" ht="16.5" thickBot="1" x14ac:dyDescent="0.25">
      <c r="B7" s="98" t="s">
        <v>503</v>
      </c>
      <c r="C7" s="408"/>
      <c r="D7" s="409"/>
      <c r="E7" s="12"/>
      <c r="F7" s="13"/>
      <c r="G7" s="13"/>
      <c r="H7" s="13"/>
      <c r="I7" s="13"/>
      <c r="J7" s="10"/>
      <c r="K7" s="10"/>
      <c r="L7" s="10"/>
      <c r="M7" s="10"/>
      <c r="N7" s="10"/>
      <c r="O7" s="10"/>
      <c r="P7" s="10"/>
      <c r="Q7" s="10"/>
      <c r="R7" s="10"/>
    </row>
    <row r="8" spans="2:18" s="217" customFormat="1" x14ac:dyDescent="0.2">
      <c r="D8" s="18"/>
      <c r="E8" s="12"/>
      <c r="F8" s="13"/>
      <c r="G8" s="13"/>
      <c r="H8" s="13"/>
      <c r="I8" s="13"/>
      <c r="J8" s="10"/>
      <c r="K8" s="10"/>
      <c r="L8" s="10"/>
      <c r="M8" s="10"/>
      <c r="N8" s="10"/>
      <c r="O8" s="10"/>
      <c r="P8" s="10"/>
      <c r="Q8" s="10"/>
      <c r="R8" s="10"/>
    </row>
    <row r="9" spans="2:18" s="217" customFormat="1" ht="15.75" x14ac:dyDescent="0.2">
      <c r="B9" s="14" t="s">
        <v>104</v>
      </c>
      <c r="C9" s="15"/>
      <c r="D9" s="43"/>
      <c r="E9" s="10"/>
      <c r="O9" s="10"/>
      <c r="P9" s="10"/>
      <c r="Q9" s="10"/>
      <c r="R9" s="10"/>
    </row>
    <row r="10" spans="2:18" s="217" customFormat="1" ht="15.75" x14ac:dyDescent="0.2">
      <c r="B10" s="16" t="s">
        <v>0</v>
      </c>
      <c r="C10" s="17"/>
      <c r="D10" s="43"/>
      <c r="E10" s="10"/>
      <c r="O10" s="10"/>
      <c r="P10" s="10"/>
      <c r="Q10" s="10"/>
      <c r="R10" s="10"/>
    </row>
    <row r="11" spans="2:18" s="217" customFormat="1" ht="15.75" x14ac:dyDescent="0.2">
      <c r="B11" s="90" t="s">
        <v>307</v>
      </c>
      <c r="C11" s="89"/>
      <c r="D11" s="43"/>
      <c r="E11" s="10"/>
      <c r="O11" s="10"/>
      <c r="P11" s="10"/>
      <c r="Q11" s="10"/>
      <c r="R11" s="10"/>
    </row>
    <row r="12" spans="2:18" s="217" customFormat="1" ht="13.5" thickBot="1" x14ac:dyDescent="0.25">
      <c r="D12" s="18"/>
      <c r="E12" s="18" t="s">
        <v>1</v>
      </c>
      <c r="F12" s="18" t="s">
        <v>2</v>
      </c>
      <c r="O12" s="10"/>
      <c r="P12" s="10"/>
      <c r="Q12" s="10"/>
      <c r="R12" s="10"/>
    </row>
    <row r="13" spans="2:18" s="217" customFormat="1" ht="15" thickBot="1" x14ac:dyDescent="0.25">
      <c r="B13" s="225" t="s">
        <v>3</v>
      </c>
      <c r="C13" s="69" t="s">
        <v>295</v>
      </c>
      <c r="D13" s="91" t="s">
        <v>293</v>
      </c>
      <c r="E13" s="72" t="s">
        <v>4</v>
      </c>
      <c r="F13" s="377">
        <v>85</v>
      </c>
      <c r="G13" s="218"/>
      <c r="I13" s="218"/>
      <c r="J13" s="218"/>
      <c r="O13" s="10"/>
      <c r="P13" s="10"/>
      <c r="Q13" s="10"/>
      <c r="R13" s="10"/>
    </row>
    <row r="14" spans="2:18" s="217" customFormat="1" ht="15" thickBot="1" x14ac:dyDescent="0.25">
      <c r="B14" s="225" t="s">
        <v>3</v>
      </c>
      <c r="C14" s="91" t="s">
        <v>294</v>
      </c>
      <c r="D14" s="91" t="s">
        <v>292</v>
      </c>
      <c r="E14" s="72" t="s">
        <v>4</v>
      </c>
      <c r="F14" s="377">
        <v>320</v>
      </c>
      <c r="G14" s="218" t="s">
        <v>5</v>
      </c>
      <c r="I14" s="218"/>
      <c r="J14" s="218"/>
      <c r="O14" s="10"/>
      <c r="P14" s="10"/>
      <c r="Q14" s="10"/>
      <c r="R14" s="10"/>
    </row>
    <row r="15" spans="2:18" s="217" customFormat="1" ht="15" thickBot="1" x14ac:dyDescent="0.25">
      <c r="B15" s="225" t="s">
        <v>3</v>
      </c>
      <c r="C15" s="69" t="s">
        <v>300</v>
      </c>
      <c r="D15" s="91" t="s">
        <v>237</v>
      </c>
      <c r="E15" s="72" t="s">
        <v>10</v>
      </c>
      <c r="F15" s="377">
        <v>60</v>
      </c>
      <c r="G15" s="218" t="s">
        <v>5</v>
      </c>
      <c r="I15" s="218"/>
      <c r="J15" s="218"/>
      <c r="O15" s="10"/>
      <c r="P15" s="10"/>
      <c r="Q15" s="10"/>
      <c r="R15" s="10"/>
    </row>
    <row r="16" spans="2:18" s="217" customFormat="1" ht="15" thickBot="1" x14ac:dyDescent="0.25">
      <c r="B16" s="225" t="s">
        <v>3</v>
      </c>
      <c r="C16" s="225" t="s">
        <v>638</v>
      </c>
      <c r="D16" s="91" t="s">
        <v>309</v>
      </c>
      <c r="E16" s="72" t="s">
        <v>4</v>
      </c>
      <c r="F16" s="377">
        <v>24.5</v>
      </c>
      <c r="G16" s="218"/>
      <c r="I16" s="218"/>
      <c r="J16" s="218"/>
      <c r="O16" s="10"/>
      <c r="P16" s="10"/>
      <c r="Q16" s="10"/>
      <c r="R16" s="10"/>
    </row>
    <row r="17" spans="2:18" s="217" customFormat="1" ht="15" thickBot="1" x14ac:dyDescent="0.25">
      <c r="B17" s="225" t="s">
        <v>3</v>
      </c>
      <c r="C17" s="225" t="s">
        <v>505</v>
      </c>
      <c r="D17" s="104" t="s">
        <v>507</v>
      </c>
      <c r="E17" s="72" t="s">
        <v>4</v>
      </c>
      <c r="F17" s="377">
        <v>12</v>
      </c>
      <c r="G17" s="218" t="s">
        <v>5</v>
      </c>
      <c r="I17" s="218"/>
      <c r="J17" s="218"/>
      <c r="O17" s="10"/>
      <c r="P17" s="10"/>
      <c r="Q17" s="10"/>
      <c r="R17" s="10"/>
    </row>
    <row r="18" spans="2:18" s="217" customFormat="1" ht="15" thickBot="1" x14ac:dyDescent="0.25">
      <c r="B18" s="225" t="s">
        <v>3</v>
      </c>
      <c r="C18" s="225" t="s">
        <v>511</v>
      </c>
      <c r="D18" s="104" t="s">
        <v>512</v>
      </c>
      <c r="E18" s="230" t="s">
        <v>13</v>
      </c>
      <c r="F18" s="378">
        <v>1.25</v>
      </c>
      <c r="G18" s="218"/>
      <c r="I18" s="218"/>
      <c r="J18" s="218"/>
      <c r="O18" s="10"/>
      <c r="P18" s="10"/>
      <c r="Q18" s="10"/>
      <c r="R18" s="10"/>
    </row>
    <row r="19" spans="2:18" s="217" customFormat="1" ht="15" thickBot="1" x14ac:dyDescent="0.25">
      <c r="B19" s="225" t="s">
        <v>3</v>
      </c>
      <c r="C19" s="69" t="s">
        <v>362</v>
      </c>
      <c r="D19" s="104" t="s">
        <v>700</v>
      </c>
      <c r="E19" s="72" t="s">
        <v>4</v>
      </c>
      <c r="F19" s="377">
        <v>0.3</v>
      </c>
      <c r="G19" s="218"/>
      <c r="I19" s="218"/>
      <c r="J19" s="218"/>
      <c r="O19" s="10"/>
      <c r="P19" s="10"/>
      <c r="Q19" s="10"/>
      <c r="R19" s="10"/>
    </row>
    <row r="20" spans="2:18" s="217" customFormat="1" ht="15" thickBot="1" x14ac:dyDescent="0.25">
      <c r="B20" s="225" t="s">
        <v>3</v>
      </c>
      <c r="C20" s="225" t="s">
        <v>504</v>
      </c>
      <c r="D20" s="104" t="s">
        <v>509</v>
      </c>
      <c r="E20" s="72" t="s">
        <v>4</v>
      </c>
      <c r="F20" s="377">
        <v>5</v>
      </c>
      <c r="G20" s="218"/>
      <c r="I20" s="218"/>
      <c r="J20" s="218"/>
      <c r="O20" s="10"/>
      <c r="P20" s="10"/>
      <c r="Q20" s="10"/>
      <c r="R20" s="10"/>
    </row>
    <row r="21" spans="2:18" s="217" customFormat="1" ht="15" thickBot="1" x14ac:dyDescent="0.25">
      <c r="B21" s="225" t="s">
        <v>3</v>
      </c>
      <c r="C21" s="225" t="s">
        <v>513</v>
      </c>
      <c r="D21" s="104" t="s">
        <v>514</v>
      </c>
      <c r="E21" s="230" t="s">
        <v>13</v>
      </c>
      <c r="F21" s="377">
        <v>0.2</v>
      </c>
      <c r="G21" s="218"/>
      <c r="I21" s="218"/>
      <c r="J21" s="218"/>
      <c r="O21" s="10"/>
      <c r="P21" s="10"/>
      <c r="Q21" s="10"/>
      <c r="R21" s="10"/>
    </row>
    <row r="22" spans="2:18" s="217" customFormat="1" ht="15" thickBot="1" x14ac:dyDescent="0.25">
      <c r="B22" s="225" t="s">
        <v>3</v>
      </c>
      <c r="C22" s="225" t="s">
        <v>506</v>
      </c>
      <c r="D22" s="104" t="s">
        <v>701</v>
      </c>
      <c r="E22" s="72" t="s">
        <v>4</v>
      </c>
      <c r="F22" s="377">
        <v>0.3</v>
      </c>
      <c r="G22" s="218"/>
      <c r="I22" s="218"/>
      <c r="J22" s="218"/>
      <c r="O22" s="10"/>
      <c r="P22" s="10"/>
      <c r="Q22" s="10"/>
      <c r="R22" s="10"/>
    </row>
    <row r="23" spans="2:18" s="217" customFormat="1" ht="15" thickBot="1" x14ac:dyDescent="0.25">
      <c r="B23" s="225" t="s">
        <v>3</v>
      </c>
      <c r="C23" s="225" t="s">
        <v>726</v>
      </c>
      <c r="D23" s="91" t="s">
        <v>301</v>
      </c>
      <c r="E23" s="72" t="s">
        <v>7</v>
      </c>
      <c r="F23" s="377">
        <v>16</v>
      </c>
      <c r="G23" s="218"/>
      <c r="I23" s="218"/>
      <c r="J23" s="218"/>
      <c r="O23" s="10"/>
      <c r="P23" s="10"/>
      <c r="Q23" s="10"/>
      <c r="R23" s="10"/>
    </row>
    <row r="24" spans="2:18" s="217" customFormat="1" ht="15" thickBot="1" x14ac:dyDescent="0.25">
      <c r="B24" s="225" t="s">
        <v>3</v>
      </c>
      <c r="C24" s="69" t="s">
        <v>297</v>
      </c>
      <c r="D24" s="91" t="s">
        <v>302</v>
      </c>
      <c r="E24" s="72" t="s">
        <v>7</v>
      </c>
      <c r="F24" s="376">
        <f>(F17*F18)+(F20*F21)</f>
        <v>16</v>
      </c>
      <c r="G24" s="218"/>
      <c r="I24" s="218"/>
      <c r="J24" s="218"/>
      <c r="O24" s="10"/>
      <c r="P24" s="10"/>
      <c r="Q24" s="10"/>
      <c r="R24" s="10"/>
    </row>
    <row r="25" spans="2:18" s="217" customFormat="1" ht="15" thickBot="1" x14ac:dyDescent="0.25">
      <c r="B25" s="225" t="s">
        <v>3</v>
      </c>
      <c r="C25" s="69" t="s">
        <v>298</v>
      </c>
      <c r="D25" s="91" t="s">
        <v>303</v>
      </c>
      <c r="E25" s="72" t="s">
        <v>7</v>
      </c>
      <c r="F25" s="377">
        <v>3.2</v>
      </c>
      <c r="G25" s="218"/>
      <c r="I25" s="218"/>
      <c r="J25" s="218"/>
      <c r="O25" s="10"/>
      <c r="P25" s="10"/>
      <c r="Q25" s="10"/>
      <c r="R25" s="10"/>
    </row>
    <row r="26" spans="2:18" s="217" customFormat="1" ht="14.25" thickBot="1" x14ac:dyDescent="0.25">
      <c r="B26" s="225" t="s">
        <v>3</v>
      </c>
      <c r="C26" s="69" t="s">
        <v>8</v>
      </c>
      <c r="D26" s="92" t="s">
        <v>299</v>
      </c>
      <c r="E26" s="72"/>
      <c r="F26" s="377">
        <v>0.85</v>
      </c>
      <c r="G26" s="218" t="s">
        <v>5</v>
      </c>
      <c r="I26" s="218"/>
      <c r="J26" s="218"/>
    </row>
    <row r="27" spans="2:18" s="217" customFormat="1" ht="15" thickBot="1" x14ac:dyDescent="0.25">
      <c r="B27" s="373" t="s">
        <v>11</v>
      </c>
      <c r="C27" s="372" t="s">
        <v>690</v>
      </c>
      <c r="D27" s="375" t="s">
        <v>691</v>
      </c>
      <c r="E27" s="374" t="s">
        <v>67</v>
      </c>
      <c r="F27" s="376">
        <f>F204+F205</f>
        <v>7</v>
      </c>
      <c r="G27" s="218"/>
      <c r="I27" s="218"/>
      <c r="J27" s="218"/>
    </row>
    <row r="28" spans="2:18" s="217" customFormat="1" ht="311.25" customHeight="1" thickBot="1" x14ac:dyDescent="0.25">
      <c r="B28" s="191"/>
      <c r="C28" s="192"/>
      <c r="D28" s="193"/>
      <c r="E28" s="194"/>
      <c r="F28" s="195"/>
      <c r="G28" s="218"/>
      <c r="I28" s="218"/>
      <c r="J28" s="218"/>
    </row>
    <row r="29" spans="2:18" s="217" customFormat="1" ht="15" thickBot="1" x14ac:dyDescent="0.25">
      <c r="B29" s="225" t="s">
        <v>3</v>
      </c>
      <c r="C29" s="69" t="s">
        <v>305</v>
      </c>
      <c r="D29" s="91" t="s">
        <v>304</v>
      </c>
      <c r="E29" s="72" t="s">
        <v>4</v>
      </c>
      <c r="F29" s="150">
        <v>90</v>
      </c>
      <c r="G29" s="218"/>
      <c r="I29" s="218"/>
      <c r="J29" s="218"/>
    </row>
    <row r="30" spans="2:18" s="217" customFormat="1" ht="15" thickBot="1" x14ac:dyDescent="0.25">
      <c r="B30" s="225" t="s">
        <v>3</v>
      </c>
      <c r="C30" s="69" t="s">
        <v>311</v>
      </c>
      <c r="D30" s="91" t="s">
        <v>312</v>
      </c>
      <c r="E30" s="72" t="s">
        <v>4</v>
      </c>
      <c r="F30" s="20">
        <v>14</v>
      </c>
      <c r="I30" s="218"/>
      <c r="J30" s="218"/>
    </row>
    <row r="31" spans="2:18" s="217" customFormat="1" ht="15" thickBot="1" x14ac:dyDescent="0.25">
      <c r="B31" s="225" t="s">
        <v>3</v>
      </c>
      <c r="C31" s="69" t="s">
        <v>363</v>
      </c>
      <c r="D31" s="104" t="s">
        <v>702</v>
      </c>
      <c r="E31" s="103" t="s">
        <v>4</v>
      </c>
      <c r="F31" s="20">
        <v>0.6</v>
      </c>
      <c r="G31" s="218" t="s">
        <v>5</v>
      </c>
      <c r="I31" s="218"/>
      <c r="J31" s="218"/>
      <c r="O31" s="10"/>
      <c r="P31" s="10"/>
      <c r="Q31" s="10"/>
      <c r="R31" s="10"/>
    </row>
    <row r="32" spans="2:18" s="217" customFormat="1" ht="15" thickBot="1" x14ac:dyDescent="0.25">
      <c r="B32" s="225" t="s">
        <v>3</v>
      </c>
      <c r="C32" s="104" t="s">
        <v>729</v>
      </c>
      <c r="D32" s="104" t="s">
        <v>519</v>
      </c>
      <c r="E32" s="72"/>
      <c r="F32" s="208" t="str">
        <f>C5</f>
        <v>ICE5QR4780AZ</v>
      </c>
      <c r="G32" s="218" t="s">
        <v>5</v>
      </c>
      <c r="I32" s="218"/>
      <c r="J32" s="218"/>
      <c r="O32" s="10"/>
      <c r="P32" s="10"/>
      <c r="Q32" s="10"/>
      <c r="R32" s="10"/>
    </row>
    <row r="33" spans="2:18" s="217" customFormat="1" ht="15" thickBot="1" x14ac:dyDescent="0.25">
      <c r="B33" s="225" t="s">
        <v>3</v>
      </c>
      <c r="C33" s="225" t="s">
        <v>472</v>
      </c>
      <c r="D33" s="91" t="s">
        <v>374</v>
      </c>
      <c r="E33" s="72" t="s">
        <v>10</v>
      </c>
      <c r="F33" s="20">
        <v>55000</v>
      </c>
      <c r="G33" s="218" t="s">
        <v>5</v>
      </c>
      <c r="I33" s="218"/>
      <c r="J33" s="218"/>
      <c r="O33" s="10"/>
      <c r="P33" s="10"/>
      <c r="Q33" s="10"/>
      <c r="R33" s="10"/>
    </row>
    <row r="34" spans="2:18" s="217" customFormat="1" ht="15" thickBot="1" x14ac:dyDescent="0.25">
      <c r="B34" s="225" t="s">
        <v>3</v>
      </c>
      <c r="C34" s="225" t="s">
        <v>728</v>
      </c>
      <c r="D34" s="91" t="s">
        <v>308</v>
      </c>
      <c r="E34" s="72" t="s">
        <v>4</v>
      </c>
      <c r="F34" s="20">
        <v>600</v>
      </c>
      <c r="I34" s="218"/>
      <c r="J34" s="218"/>
    </row>
    <row r="35" spans="2:18" s="217" customFormat="1" ht="15" thickBot="1" x14ac:dyDescent="0.25">
      <c r="B35" s="225" t="s">
        <v>3</v>
      </c>
      <c r="C35" s="69" t="s">
        <v>150</v>
      </c>
      <c r="D35" s="91" t="s">
        <v>238</v>
      </c>
      <c r="E35" s="103" t="s">
        <v>306</v>
      </c>
      <c r="F35" s="20">
        <v>50</v>
      </c>
      <c r="I35" s="218"/>
      <c r="J35" s="218"/>
    </row>
    <row r="36" spans="2:18" s="217" customFormat="1" ht="13.5" thickBot="1" x14ac:dyDescent="0.25">
      <c r="B36" s="145" t="s">
        <v>313</v>
      </c>
      <c r="C36" s="23"/>
      <c r="D36" s="38"/>
      <c r="E36" s="220"/>
      <c r="F36" s="63"/>
      <c r="I36" s="218"/>
      <c r="J36" s="218"/>
    </row>
    <row r="37" spans="2:18" s="217" customFormat="1" ht="15.75" x14ac:dyDescent="0.2">
      <c r="B37" s="100" t="s">
        <v>11</v>
      </c>
      <c r="C37" s="97" t="s">
        <v>366</v>
      </c>
      <c r="D37" s="94" t="s">
        <v>367</v>
      </c>
      <c r="E37" s="101" t="s">
        <v>7</v>
      </c>
      <c r="F37" s="189">
        <f>F23/F26</f>
        <v>18.823529411764707</v>
      </c>
      <c r="G37" s="27" t="s">
        <v>5</v>
      </c>
      <c r="I37" s="26"/>
      <c r="J37" s="218"/>
    </row>
    <row r="38" spans="2:18" s="217" customFormat="1" ht="15.75" x14ac:dyDescent="0.2">
      <c r="B38" s="100" t="s">
        <v>11</v>
      </c>
      <c r="C38" s="97" t="s">
        <v>107</v>
      </c>
      <c r="D38" s="94" t="s">
        <v>314</v>
      </c>
      <c r="E38" s="101" t="s">
        <v>13</v>
      </c>
      <c r="F38" s="190">
        <f>F37/F13/0.6</f>
        <v>0.3690888119953864</v>
      </c>
      <c r="G38" s="28"/>
      <c r="I38" s="26"/>
      <c r="J38" s="218"/>
    </row>
    <row r="39" spans="2:18" s="217" customFormat="1" ht="15.75" x14ac:dyDescent="0.2">
      <c r="B39" s="100" t="s">
        <v>11</v>
      </c>
      <c r="C39" s="97" t="s">
        <v>109</v>
      </c>
      <c r="D39" s="94" t="s">
        <v>316</v>
      </c>
      <c r="E39" s="228" t="s">
        <v>4</v>
      </c>
      <c r="F39" s="30">
        <f>F$14*SQRT(2)</f>
        <v>452.54833995939043</v>
      </c>
      <c r="G39" s="27"/>
      <c r="I39" s="26"/>
      <c r="J39" s="218"/>
    </row>
    <row r="40" spans="2:18" s="217" customFormat="1" ht="15.75" x14ac:dyDescent="0.2">
      <c r="B40" s="100" t="s">
        <v>11</v>
      </c>
      <c r="C40" s="97" t="s">
        <v>108</v>
      </c>
      <c r="D40" s="94" t="s">
        <v>317</v>
      </c>
      <c r="E40" s="101" t="s">
        <v>4</v>
      </c>
      <c r="F40" s="29">
        <f>F13*SQRT(2)</f>
        <v>120.20815280171308</v>
      </c>
    </row>
    <row r="41" spans="2:18" s="217" customFormat="1" ht="15.75" x14ac:dyDescent="0.2">
      <c r="B41" s="100" t="s">
        <v>11</v>
      </c>
      <c r="C41" s="97" t="s">
        <v>390</v>
      </c>
      <c r="D41" s="94" t="s">
        <v>315</v>
      </c>
      <c r="E41" s="228" t="s">
        <v>4</v>
      </c>
      <c r="F41" s="30">
        <f>SQRT(F40^2-2*F43/(F47*0.000001))</f>
        <v>95.685405580450137</v>
      </c>
      <c r="G41" s="31"/>
      <c r="I41" s="26"/>
      <c r="J41" s="218"/>
    </row>
    <row r="42" spans="2:18" s="217" customFormat="1" ht="15.75" x14ac:dyDescent="0.2">
      <c r="B42" s="100" t="s">
        <v>11</v>
      </c>
      <c r="C42" s="97" t="s">
        <v>110</v>
      </c>
      <c r="D42" s="94" t="s">
        <v>239</v>
      </c>
      <c r="E42" s="101" t="s">
        <v>14</v>
      </c>
      <c r="F42" s="29">
        <f>(1000/(4*F15))*(1+(ASIN((F40-F16)/F40)*180/PI()/90))</f>
        <v>6.6096065999451623</v>
      </c>
      <c r="G42" s="27" t="s">
        <v>5</v>
      </c>
      <c r="I42" s="26"/>
      <c r="J42" s="218"/>
    </row>
    <row r="43" spans="2:18" s="217" customFormat="1" ht="15.75" x14ac:dyDescent="0.2">
      <c r="B43" s="100" t="s">
        <v>11</v>
      </c>
      <c r="C43" s="97" t="s">
        <v>111</v>
      </c>
      <c r="D43" s="94" t="s">
        <v>318</v>
      </c>
      <c r="E43" s="101" t="s">
        <v>15</v>
      </c>
      <c r="F43" s="29">
        <f>F37*F42/1000</f>
        <v>0.12441612423426189</v>
      </c>
      <c r="G43" s="27"/>
      <c r="I43" s="26"/>
      <c r="J43" s="218"/>
    </row>
    <row r="44" spans="2:18" s="217" customFormat="1" ht="16.5" thickBot="1" x14ac:dyDescent="0.25">
      <c r="B44" s="100" t="s">
        <v>11</v>
      </c>
      <c r="C44" s="97" t="s">
        <v>391</v>
      </c>
      <c r="D44" s="94" t="s">
        <v>365</v>
      </c>
      <c r="E44" s="101"/>
      <c r="F44" s="331">
        <f>F29/(F29+F41)</f>
        <v>0.48469075810595441</v>
      </c>
      <c r="G44" s="27"/>
      <c r="I44" s="26"/>
      <c r="J44" s="218"/>
    </row>
    <row r="45" spans="2:18" s="217" customFormat="1" ht="13.5" thickBot="1" x14ac:dyDescent="0.25">
      <c r="B45" s="145" t="s">
        <v>364</v>
      </c>
      <c r="C45" s="23"/>
      <c r="D45" s="23"/>
      <c r="E45" s="220"/>
      <c r="F45" s="25"/>
      <c r="I45" s="26"/>
      <c r="J45" s="218"/>
    </row>
    <row r="46" spans="2:18" s="217" customFormat="1" ht="16.5" thickBot="1" x14ac:dyDescent="0.25">
      <c r="B46" s="100" t="s">
        <v>11</v>
      </c>
      <c r="C46" s="97" t="s">
        <v>394</v>
      </c>
      <c r="D46" s="94" t="s">
        <v>392</v>
      </c>
      <c r="E46" s="228" t="s">
        <v>12</v>
      </c>
      <c r="F46" s="93">
        <f>(2*F43/(F40^2-(F40-F16)^2))*1000000</f>
        <v>47.038681383758082</v>
      </c>
      <c r="I46" s="26"/>
      <c r="J46" s="218"/>
    </row>
    <row r="47" spans="2:18" s="217" customFormat="1" ht="15" thickBot="1" x14ac:dyDescent="0.25">
      <c r="B47" s="225" t="s">
        <v>3</v>
      </c>
      <c r="C47" s="21" t="s">
        <v>106</v>
      </c>
      <c r="D47" s="69" t="s">
        <v>393</v>
      </c>
      <c r="E47" s="72" t="s">
        <v>12</v>
      </c>
      <c r="F47" s="96">
        <v>47</v>
      </c>
      <c r="I47" s="26"/>
      <c r="J47" s="218"/>
    </row>
    <row r="48" spans="2:18" s="217" customFormat="1" ht="13.5" thickBot="1" x14ac:dyDescent="0.25">
      <c r="B48" s="146" t="s">
        <v>319</v>
      </c>
      <c r="D48" s="78"/>
      <c r="E48" s="13"/>
    </row>
    <row r="49" spans="1:32" s="217" customFormat="1" ht="15.75" x14ac:dyDescent="0.2">
      <c r="A49" s="32"/>
      <c r="B49" s="229" t="s">
        <v>11</v>
      </c>
      <c r="C49" s="332" t="s">
        <v>395</v>
      </c>
      <c r="D49" s="94" t="s">
        <v>240</v>
      </c>
      <c r="E49" s="228" t="s">
        <v>16</v>
      </c>
      <c r="F49" s="207">
        <f>1/((1/F41)*SQRT(2*F33*F37)*(F41/F29+1)+(PI()*F33*SQRT(F27*10^-12)))^2</f>
        <v>1.0088406770811169E-3</v>
      </c>
    </row>
    <row r="50" spans="1:32" s="217" customFormat="1" ht="15.75" x14ac:dyDescent="0.2">
      <c r="A50" s="32"/>
      <c r="B50" s="229" t="s">
        <v>11</v>
      </c>
      <c r="C50" s="97" t="s">
        <v>326</v>
      </c>
      <c r="D50" s="94" t="s">
        <v>322</v>
      </c>
      <c r="E50" s="228" t="s">
        <v>13</v>
      </c>
      <c r="F50" s="30">
        <f>F37/(F41*F44)</f>
        <v>0.40587342471996596</v>
      </c>
    </row>
    <row r="51" spans="1:32" s="217" customFormat="1" x14ac:dyDescent="0.2">
      <c r="B51" s="229" t="s">
        <v>11</v>
      </c>
      <c r="C51" s="97" t="s">
        <v>112</v>
      </c>
      <c r="D51" s="94" t="s">
        <v>323</v>
      </c>
      <c r="E51" s="228" t="s">
        <v>13</v>
      </c>
      <c r="F51" s="335">
        <f>F41*F44/(F49*F33)</f>
        <v>0.83584387909224644</v>
      </c>
      <c r="I51" s="218"/>
      <c r="J51" s="218"/>
    </row>
    <row r="52" spans="1:32" s="217" customFormat="1" ht="15.75" x14ac:dyDescent="0.2">
      <c r="B52" s="229" t="s">
        <v>11</v>
      </c>
      <c r="C52" s="97" t="s">
        <v>113</v>
      </c>
      <c r="D52" s="94" t="s">
        <v>320</v>
      </c>
      <c r="E52" s="228" t="s">
        <v>13</v>
      </c>
      <c r="F52" s="30">
        <f>F50+(F51/2)</f>
        <v>0.82379536426608913</v>
      </c>
      <c r="I52" s="218"/>
      <c r="J52" s="218"/>
    </row>
    <row r="53" spans="1:32" s="217" customFormat="1" ht="15.75" x14ac:dyDescent="0.2">
      <c r="B53" s="229" t="s">
        <v>11</v>
      </c>
      <c r="C53" s="97" t="s">
        <v>396</v>
      </c>
      <c r="D53" s="94" t="s">
        <v>324</v>
      </c>
      <c r="E53" s="228" t="s">
        <v>13</v>
      </c>
      <c r="F53" s="336">
        <f>F52-F51</f>
        <v>-1.2048514826157319E-2</v>
      </c>
      <c r="I53" s="23"/>
      <c r="J53" s="218"/>
    </row>
    <row r="54" spans="1:32" s="217" customFormat="1" ht="16.5" thickBot="1" x14ac:dyDescent="0.25">
      <c r="B54" s="229" t="s">
        <v>11</v>
      </c>
      <c r="C54" s="97" t="s">
        <v>397</v>
      </c>
      <c r="D54" s="94" t="s">
        <v>321</v>
      </c>
      <c r="E54" s="228" t="s">
        <v>13</v>
      </c>
      <c r="F54" s="33">
        <f>SQRT((3*F50^2+(F51/2)^2)*F44/3)</f>
        <v>0.32872963216390977</v>
      </c>
      <c r="I54" s="218"/>
    </row>
    <row r="55" spans="1:32" s="217" customFormat="1" ht="13.5" thickBot="1" x14ac:dyDescent="0.25">
      <c r="B55" s="11" t="s">
        <v>345</v>
      </c>
      <c r="D55" s="58"/>
      <c r="E55" s="36"/>
      <c r="F55" s="37"/>
      <c r="K55" s="34"/>
      <c r="L55" s="34"/>
    </row>
    <row r="56" spans="1:32" s="217" customFormat="1" ht="13.5" thickBot="1" x14ac:dyDescent="0.25">
      <c r="B56" s="225" t="s">
        <v>3</v>
      </c>
      <c r="C56" s="104" t="s">
        <v>17</v>
      </c>
      <c r="D56" s="105"/>
      <c r="E56" s="106"/>
      <c r="F56" s="141">
        <v>1</v>
      </c>
      <c r="G56" s="218"/>
      <c r="H56" s="380"/>
      <c r="I56" s="64">
        <v>1</v>
      </c>
      <c r="J56" s="64">
        <v>2</v>
      </c>
      <c r="K56" s="64">
        <v>3</v>
      </c>
      <c r="L56" s="64">
        <v>4</v>
      </c>
      <c r="M56" s="64">
        <v>5</v>
      </c>
      <c r="N56" s="64">
        <v>6</v>
      </c>
      <c r="O56" s="64">
        <v>7</v>
      </c>
      <c r="P56" s="64">
        <v>8</v>
      </c>
      <c r="Q56" s="64">
        <v>9</v>
      </c>
      <c r="R56" s="402">
        <v>10</v>
      </c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</row>
    <row r="57" spans="1:32" s="217" customFormat="1" x14ac:dyDescent="0.2">
      <c r="B57" s="108"/>
      <c r="C57" s="109"/>
      <c r="D57" s="94" t="s">
        <v>85</v>
      </c>
      <c r="E57" s="110"/>
      <c r="F57" s="111" t="str">
        <f t="shared" ref="F57:F63" si="0">IF($F$56=1,I57,IF($F$56=2,J57,IF($F$56=3,K57,IF($F$56=4,L57,IF($F$56=5,M57,IF($F$56=6,N57,IF($F$56=7,O57,IF($F$56=8,P57,IF($F$56=9,Q57,IF($F$56&gt;=10,R57))))))))))</f>
        <v>EE20/10/6</v>
      </c>
      <c r="G57" s="65"/>
      <c r="H57" s="162" t="s">
        <v>85</v>
      </c>
      <c r="I57" s="392" t="s">
        <v>474</v>
      </c>
      <c r="J57" s="393" t="s">
        <v>18</v>
      </c>
      <c r="K57" s="394" t="s">
        <v>19</v>
      </c>
      <c r="L57" s="394" t="s">
        <v>20</v>
      </c>
      <c r="M57" s="394" t="s">
        <v>21</v>
      </c>
      <c r="N57" s="394" t="s">
        <v>22</v>
      </c>
      <c r="O57" s="395" t="s">
        <v>160</v>
      </c>
      <c r="P57" s="396" t="s">
        <v>693</v>
      </c>
      <c r="Q57" s="397" t="s">
        <v>692</v>
      </c>
      <c r="R57" s="397" t="s">
        <v>698</v>
      </c>
      <c r="T57" s="82"/>
      <c r="U57" s="83"/>
      <c r="V57" s="83"/>
      <c r="W57" s="84"/>
      <c r="X57" s="84"/>
      <c r="Y57" s="84"/>
      <c r="Z57" s="84"/>
      <c r="AA57" s="85"/>
      <c r="AB57" s="85"/>
      <c r="AC57" s="85"/>
      <c r="AD57" s="85"/>
      <c r="AE57" s="85"/>
      <c r="AF57" s="85"/>
    </row>
    <row r="58" spans="1:32" s="217" customFormat="1" x14ac:dyDescent="0.2">
      <c r="B58" s="108"/>
      <c r="C58" s="109"/>
      <c r="D58" s="94" t="s">
        <v>105</v>
      </c>
      <c r="E58" s="110"/>
      <c r="F58" s="142" t="str">
        <f t="shared" si="0"/>
        <v>TP4A(TDG)</v>
      </c>
      <c r="G58" s="65"/>
      <c r="H58" s="163" t="s">
        <v>105</v>
      </c>
      <c r="I58" s="398" t="s">
        <v>475</v>
      </c>
      <c r="J58" s="399" t="s">
        <v>204</v>
      </c>
      <c r="K58" s="399" t="s">
        <v>204</v>
      </c>
      <c r="L58" s="399" t="s">
        <v>204</v>
      </c>
      <c r="M58" s="399" t="s">
        <v>204</v>
      </c>
      <c r="N58" s="399" t="s">
        <v>204</v>
      </c>
      <c r="O58" s="400" t="s">
        <v>204</v>
      </c>
      <c r="P58" s="401" t="s">
        <v>475</v>
      </c>
      <c r="Q58" s="403" t="s">
        <v>475</v>
      </c>
      <c r="R58" s="403"/>
      <c r="T58" s="74"/>
      <c r="U58" s="86"/>
      <c r="V58" s="84"/>
      <c r="W58" s="84"/>
      <c r="X58" s="84"/>
      <c r="Y58" s="84"/>
      <c r="Z58" s="84"/>
      <c r="AA58" s="86"/>
      <c r="AB58" s="86"/>
      <c r="AC58" s="86"/>
      <c r="AD58" s="86"/>
      <c r="AE58" s="86"/>
      <c r="AF58" s="86"/>
    </row>
    <row r="59" spans="1:32" s="217" customFormat="1" ht="19.5" x14ac:dyDescent="0.2">
      <c r="B59" s="108"/>
      <c r="C59" s="97" t="s">
        <v>400</v>
      </c>
      <c r="D59" s="112" t="s">
        <v>399</v>
      </c>
      <c r="E59" s="228" t="s">
        <v>29</v>
      </c>
      <c r="F59" s="142">
        <f>IF($F$56=1,I59,IF($F$56=2,J59,IF($F$56=3,K59,IF($F$56=4,L59,IF($F$56=5,M59,IF($F$56=6,N59,IF($F$56=7,O59,IF($F$56=8,P59,IF($F$56=9,Q59,IF($F$56&gt;=10,R59))))))))))</f>
        <v>0.3</v>
      </c>
      <c r="G59" s="65"/>
      <c r="H59" s="163" t="s">
        <v>30</v>
      </c>
      <c r="I59" s="74">
        <v>0.3</v>
      </c>
      <c r="J59" s="74">
        <v>0.3</v>
      </c>
      <c r="K59" s="74">
        <v>0.3</v>
      </c>
      <c r="L59" s="74">
        <v>0.3</v>
      </c>
      <c r="M59" s="74">
        <v>0.3</v>
      </c>
      <c r="N59" s="74">
        <v>0.3</v>
      </c>
      <c r="O59" s="74">
        <v>0.3</v>
      </c>
      <c r="P59" s="381">
        <v>0.3</v>
      </c>
      <c r="Q59" s="382">
        <v>0.3</v>
      </c>
      <c r="R59" s="382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</row>
    <row r="60" spans="1:32" s="217" customFormat="1" ht="15.75" x14ac:dyDescent="0.2">
      <c r="B60" s="108"/>
      <c r="C60" s="97" t="s">
        <v>402</v>
      </c>
      <c r="D60" s="112" t="s">
        <v>401</v>
      </c>
      <c r="E60" s="228" t="s">
        <v>28</v>
      </c>
      <c r="F60" s="142">
        <f>IF($F$56=1,I60,IF($F$56=2,J60,IF($F$56=3,K60,IF($F$56=4,L60,IF($F$56=5,M60,IF($F$56=6,N60,IF($F$56=7,O60,IF($F$56=8,P60,IF($F$56=9,Q60,IF($F$56&gt;=10,R60))))))))))</f>
        <v>32</v>
      </c>
      <c r="G60" s="65"/>
      <c r="H60" s="163" t="s">
        <v>27</v>
      </c>
      <c r="I60" s="161">
        <v>32</v>
      </c>
      <c r="J60" s="161">
        <v>52</v>
      </c>
      <c r="K60" s="161">
        <v>60</v>
      </c>
      <c r="L60" s="161">
        <v>83</v>
      </c>
      <c r="M60" s="161">
        <v>120</v>
      </c>
      <c r="N60" s="161">
        <v>178</v>
      </c>
      <c r="O60" s="159">
        <v>76</v>
      </c>
      <c r="P60" s="381">
        <v>82.1</v>
      </c>
      <c r="Q60" s="382">
        <v>81.400000000000006</v>
      </c>
      <c r="R60" s="382"/>
    </row>
    <row r="61" spans="1:32" s="217" customFormat="1" x14ac:dyDescent="0.2">
      <c r="B61" s="108"/>
      <c r="C61" s="97" t="s">
        <v>403</v>
      </c>
      <c r="D61" s="113" t="s">
        <v>24</v>
      </c>
      <c r="E61" s="228" t="s">
        <v>23</v>
      </c>
      <c r="F61" s="142">
        <f t="shared" si="0"/>
        <v>11</v>
      </c>
      <c r="G61" s="65"/>
      <c r="H61" s="163" t="s">
        <v>24</v>
      </c>
      <c r="I61" s="161">
        <v>11</v>
      </c>
      <c r="J61" s="161">
        <v>15.6</v>
      </c>
      <c r="K61" s="161">
        <v>17.5</v>
      </c>
      <c r="L61" s="161">
        <v>20.100000000000001</v>
      </c>
      <c r="M61" s="161">
        <v>21.5</v>
      </c>
      <c r="N61" s="161">
        <v>26.3</v>
      </c>
      <c r="O61" s="159">
        <v>21</v>
      </c>
      <c r="P61" s="381">
        <v>16</v>
      </c>
      <c r="Q61" s="382">
        <v>21.69</v>
      </c>
      <c r="R61" s="382"/>
    </row>
    <row r="62" spans="1:32" s="217" customFormat="1" ht="19.5" x14ac:dyDescent="0.2">
      <c r="B62" s="108"/>
      <c r="C62" s="97" t="s">
        <v>405</v>
      </c>
      <c r="D62" s="113" t="s">
        <v>404</v>
      </c>
      <c r="E62" s="228" t="s">
        <v>26</v>
      </c>
      <c r="F62" s="142">
        <f t="shared" si="0"/>
        <v>34</v>
      </c>
      <c r="G62" s="65"/>
      <c r="H62" s="163" t="s">
        <v>25</v>
      </c>
      <c r="I62" s="161">
        <v>34</v>
      </c>
      <c r="J62" s="161">
        <v>61</v>
      </c>
      <c r="K62" s="161">
        <v>90</v>
      </c>
      <c r="L62" s="161">
        <v>108.5</v>
      </c>
      <c r="M62" s="161">
        <v>122.5</v>
      </c>
      <c r="N62" s="161">
        <v>177</v>
      </c>
      <c r="O62" s="159">
        <v>97</v>
      </c>
      <c r="P62" s="381">
        <v>68.8</v>
      </c>
      <c r="Q62" s="382">
        <v>95.21</v>
      </c>
      <c r="R62" s="382"/>
    </row>
    <row r="63" spans="1:32" s="217" customFormat="1" ht="16.5" thickBot="1" x14ac:dyDescent="0.25">
      <c r="B63" s="108"/>
      <c r="C63" s="97" t="s">
        <v>407</v>
      </c>
      <c r="D63" s="113" t="s">
        <v>406</v>
      </c>
      <c r="E63" s="228" t="s">
        <v>23</v>
      </c>
      <c r="F63" s="143">
        <f t="shared" si="0"/>
        <v>41.2</v>
      </c>
      <c r="G63" s="160"/>
      <c r="H63" s="166" t="s">
        <v>350</v>
      </c>
      <c r="I63" s="164">
        <v>41.2</v>
      </c>
      <c r="J63" s="164">
        <v>50</v>
      </c>
      <c r="K63" s="164">
        <v>56</v>
      </c>
      <c r="L63" s="164">
        <v>64.400000000000006</v>
      </c>
      <c r="M63" s="164">
        <v>76.400000000000006</v>
      </c>
      <c r="N63" s="164">
        <v>87</v>
      </c>
      <c r="O63" s="165">
        <v>52.8</v>
      </c>
      <c r="P63" s="383">
        <v>50</v>
      </c>
      <c r="Q63" s="384">
        <v>48.9</v>
      </c>
      <c r="R63" s="384"/>
    </row>
    <row r="64" spans="1:32" s="217" customFormat="1" ht="13.5" thickBot="1" x14ac:dyDescent="0.25">
      <c r="A64" s="144"/>
      <c r="B64" s="11" t="s">
        <v>346</v>
      </c>
      <c r="D64" s="79" t="s">
        <v>31</v>
      </c>
      <c r="E64" s="34"/>
      <c r="F64" s="217" t="s">
        <v>5</v>
      </c>
      <c r="G64" s="217" t="s">
        <v>5</v>
      </c>
    </row>
    <row r="65" spans="1:15" s="217" customFormat="1" ht="16.5" thickBot="1" x14ac:dyDescent="0.25">
      <c r="B65" s="229" t="s">
        <v>11</v>
      </c>
      <c r="C65" s="332" t="s">
        <v>655</v>
      </c>
      <c r="D65" s="112" t="s">
        <v>153</v>
      </c>
      <c r="E65" s="228" t="s">
        <v>32</v>
      </c>
      <c r="F65" s="233">
        <f>F52*F49*1000000/(F59*F60)</f>
        <v>86.570653444009039</v>
      </c>
      <c r="G65" s="39" t="s">
        <v>5</v>
      </c>
      <c r="I65" s="218"/>
      <c r="J65" s="26" t="s">
        <v>5</v>
      </c>
      <c r="N65" s="218"/>
    </row>
    <row r="66" spans="1:15" s="217" customFormat="1" ht="15" thickBot="1" x14ac:dyDescent="0.25">
      <c r="B66" s="225" t="s">
        <v>3</v>
      </c>
      <c r="C66" s="225" t="s">
        <v>33</v>
      </c>
      <c r="D66" s="91" t="s">
        <v>157</v>
      </c>
      <c r="E66" s="72" t="s">
        <v>32</v>
      </c>
      <c r="F66" s="115">
        <v>88</v>
      </c>
      <c r="G66" s="39"/>
      <c r="I66" s="224"/>
      <c r="J66" s="26"/>
    </row>
    <row r="67" spans="1:15" s="217" customFormat="1" ht="16.5" thickBot="1" x14ac:dyDescent="0.25">
      <c r="B67" s="229" t="s">
        <v>11</v>
      </c>
      <c r="C67" s="332" t="s">
        <v>330</v>
      </c>
      <c r="D67" s="209" t="s">
        <v>515</v>
      </c>
      <c r="E67" s="228" t="s">
        <v>32</v>
      </c>
      <c r="F67" s="116">
        <f>F$66*(F$17+F$19)/F$29</f>
        <v>12.026666666666667</v>
      </c>
      <c r="G67" s="39" t="s">
        <v>5</v>
      </c>
      <c r="I67" s="218"/>
      <c r="J67" s="26" t="s">
        <v>5</v>
      </c>
    </row>
    <row r="68" spans="1:15" s="217" customFormat="1" ht="15" thickBot="1" x14ac:dyDescent="0.25">
      <c r="B68" s="225" t="s">
        <v>3</v>
      </c>
      <c r="C68" s="225" t="s">
        <v>34</v>
      </c>
      <c r="D68" s="210" t="s">
        <v>516</v>
      </c>
      <c r="E68" s="72" t="s">
        <v>32</v>
      </c>
      <c r="F68" s="115">
        <v>12</v>
      </c>
      <c r="G68" s="217" t="s">
        <v>5</v>
      </c>
      <c r="I68" s="218"/>
      <c r="J68" s="35"/>
      <c r="O68" s="218"/>
    </row>
    <row r="69" spans="1:15" s="217" customFormat="1" ht="16.5" thickBot="1" x14ac:dyDescent="0.25">
      <c r="B69" s="229" t="s">
        <v>11</v>
      </c>
      <c r="C69" s="332" t="s">
        <v>330</v>
      </c>
      <c r="D69" s="209" t="s">
        <v>517</v>
      </c>
      <c r="E69" s="228" t="s">
        <v>32</v>
      </c>
      <c r="F69" s="116">
        <f>F$66*(F$20+F$22)/F$29</f>
        <v>5.1822222222222223</v>
      </c>
      <c r="I69" s="218"/>
      <c r="J69" s="35"/>
      <c r="O69" s="218"/>
    </row>
    <row r="70" spans="1:15" s="217" customFormat="1" ht="15" thickBot="1" x14ac:dyDescent="0.25">
      <c r="B70" s="225" t="s">
        <v>3</v>
      </c>
      <c r="C70" s="225" t="s">
        <v>34</v>
      </c>
      <c r="D70" s="210" t="s">
        <v>518</v>
      </c>
      <c r="E70" s="72" t="s">
        <v>32</v>
      </c>
      <c r="F70" s="115">
        <v>5</v>
      </c>
      <c r="I70" s="218"/>
      <c r="J70" s="35"/>
      <c r="O70" s="218"/>
    </row>
    <row r="71" spans="1:15" s="217" customFormat="1" ht="16.5" thickBot="1" x14ac:dyDescent="0.25">
      <c r="B71" s="229" t="s">
        <v>11</v>
      </c>
      <c r="C71" s="332" t="s">
        <v>331</v>
      </c>
      <c r="D71" s="112" t="s">
        <v>327</v>
      </c>
      <c r="E71" s="228" t="s">
        <v>32</v>
      </c>
      <c r="F71" s="41">
        <f>(F$30+F$31)*F66/(F75)</f>
        <v>14.243902439024389</v>
      </c>
      <c r="G71" s="39"/>
      <c r="I71" s="218"/>
      <c r="J71" s="167" t="s">
        <v>5</v>
      </c>
    </row>
    <row r="72" spans="1:15" s="217" customFormat="1" ht="15" thickBot="1" x14ac:dyDescent="0.25">
      <c r="B72" s="225" t="s">
        <v>3</v>
      </c>
      <c r="C72" s="225" t="s">
        <v>120</v>
      </c>
      <c r="D72" s="117" t="s">
        <v>328</v>
      </c>
      <c r="E72" s="72" t="s">
        <v>32</v>
      </c>
      <c r="F72" s="115">
        <v>14</v>
      </c>
      <c r="G72" s="217" t="s">
        <v>5</v>
      </c>
      <c r="I72" s="218"/>
      <c r="J72" s="35"/>
      <c r="O72" s="218"/>
    </row>
    <row r="73" spans="1:15" s="217" customFormat="1" ht="16.5" thickBot="1" x14ac:dyDescent="0.25">
      <c r="B73" s="229" t="s">
        <v>11</v>
      </c>
      <c r="C73" s="118" t="s">
        <v>473</v>
      </c>
      <c r="D73" s="113" t="s">
        <v>329</v>
      </c>
      <c r="E73" s="228" t="s">
        <v>4</v>
      </c>
      <c r="F73" s="202">
        <f>(F72*F75/F66)-F31</f>
        <v>13.75</v>
      </c>
      <c r="I73" s="218"/>
      <c r="J73" s="35"/>
      <c r="O73" s="218"/>
    </row>
    <row r="74" spans="1:15" s="217" customFormat="1" ht="13.5" thickBot="1" x14ac:dyDescent="0.25">
      <c r="B74" s="11" t="s">
        <v>332</v>
      </c>
      <c r="C74" s="35"/>
      <c r="D74" s="43"/>
      <c r="E74" s="35"/>
      <c r="F74" s="42"/>
      <c r="I74" s="218"/>
      <c r="J74" s="35"/>
      <c r="O74" s="218"/>
    </row>
    <row r="75" spans="1:15" s="217" customFormat="1" ht="15.75" x14ac:dyDescent="0.2">
      <c r="B75" s="229" t="s">
        <v>11</v>
      </c>
      <c r="C75" s="118" t="s">
        <v>114</v>
      </c>
      <c r="D75" s="113" t="s">
        <v>241</v>
      </c>
      <c r="E75" s="228" t="s">
        <v>4</v>
      </c>
      <c r="F75" s="196">
        <f>(F17+F19)*F66/F68</f>
        <v>90.2</v>
      </c>
      <c r="G75" s="45" t="str">
        <f>IF(F78&gt;F59,"Caution Bmax too large (see note)!"," ")</f>
        <v xml:space="preserve"> </v>
      </c>
      <c r="I75" s="218"/>
      <c r="J75" s="218"/>
    </row>
    <row r="76" spans="1:15" s="217" customFormat="1" ht="15.75" x14ac:dyDescent="0.2">
      <c r="B76" s="229" t="s">
        <v>11</v>
      </c>
      <c r="C76" s="118" t="s">
        <v>115</v>
      </c>
      <c r="D76" s="112" t="s">
        <v>365</v>
      </c>
      <c r="E76" s="119"/>
      <c r="F76" s="44">
        <f>F49*(F52-F53)*F33/F41</f>
        <v>0.48469075810595441</v>
      </c>
      <c r="G76" s="45"/>
      <c r="I76" s="46"/>
      <c r="J76" s="218"/>
    </row>
    <row r="77" spans="1:15" s="217" customFormat="1" ht="15.75" x14ac:dyDescent="0.2">
      <c r="B77" s="229" t="s">
        <v>11</v>
      </c>
      <c r="C77" s="118" t="s">
        <v>398</v>
      </c>
      <c r="D77" s="112" t="s">
        <v>369</v>
      </c>
      <c r="E77" s="119"/>
      <c r="F77" s="44">
        <f>F49*(F52-F53)*F33/F75</f>
        <v>0.51416664933995671</v>
      </c>
      <c r="G77" s="45" t="str">
        <f>IF((F76+F77)&gt;1,"Caution Continous Conduction Mode(CCM) (For DCM design,Dmax cannot be higher than 0.5)!"," ")</f>
        <v xml:space="preserve"> </v>
      </c>
      <c r="I77" s="46"/>
      <c r="J77" s="218"/>
    </row>
    <row r="78" spans="1:15" s="217" customFormat="1" ht="16.5" thickBot="1" x14ac:dyDescent="0.25">
      <c r="B78" s="229" t="s">
        <v>11</v>
      </c>
      <c r="C78" s="332" t="s">
        <v>656</v>
      </c>
      <c r="D78" s="112" t="s">
        <v>399</v>
      </c>
      <c r="E78" s="228" t="s">
        <v>29</v>
      </c>
      <c r="F78" s="197">
        <f>F49*F52*1000000/(F66*F$60)</f>
        <v>0.2951272276500308</v>
      </c>
      <c r="G78" s="198" t="str">
        <f>IF(F78&gt;F59,"Caution Bmax too large (see note)!"," ")</f>
        <v xml:space="preserve"> </v>
      </c>
      <c r="I78" s="26"/>
      <c r="J78" s="218"/>
    </row>
    <row r="79" spans="1:15" s="217" customFormat="1" ht="13.5" thickBot="1" x14ac:dyDescent="0.25">
      <c r="B79" s="147" t="s">
        <v>325</v>
      </c>
      <c r="C79" s="47"/>
      <c r="D79" s="43"/>
      <c r="E79" s="220"/>
      <c r="F79" s="25"/>
      <c r="G79" s="218"/>
      <c r="I79" s="46"/>
      <c r="J79" s="87"/>
    </row>
    <row r="80" spans="1:15" s="217" customFormat="1" ht="15" thickBot="1" x14ac:dyDescent="0.25">
      <c r="A80" s="11"/>
      <c r="B80" s="225" t="s">
        <v>3</v>
      </c>
      <c r="C80" s="69" t="s">
        <v>193</v>
      </c>
      <c r="D80" s="69" t="s">
        <v>242</v>
      </c>
      <c r="E80" s="72" t="s">
        <v>4</v>
      </c>
      <c r="F80" s="50">
        <v>1</v>
      </c>
      <c r="I80" s="218"/>
      <c r="J80" s="218"/>
    </row>
    <row r="81" spans="1:17" s="217" customFormat="1" ht="15.75" x14ac:dyDescent="0.2">
      <c r="B81" s="229" t="s">
        <v>11</v>
      </c>
      <c r="C81" s="332" t="s">
        <v>174</v>
      </c>
      <c r="D81" s="94" t="s">
        <v>389</v>
      </c>
      <c r="E81" s="228" t="s">
        <v>56</v>
      </c>
      <c r="F81" s="407">
        <f>F80/F52</f>
        <v>1.2138936966353164</v>
      </c>
      <c r="I81" s="218"/>
      <c r="J81" s="218"/>
    </row>
    <row r="82" spans="1:17" s="217" customFormat="1" ht="16.5" thickBot="1" x14ac:dyDescent="0.25">
      <c r="B82" s="229" t="s">
        <v>11</v>
      </c>
      <c r="C82" s="118" t="s">
        <v>408</v>
      </c>
      <c r="D82" s="94" t="s">
        <v>368</v>
      </c>
      <c r="E82" s="228" t="s">
        <v>7</v>
      </c>
      <c r="F82" s="152">
        <f>F54^2*F81</f>
        <v>0.13117720219133766</v>
      </c>
      <c r="I82" s="218"/>
      <c r="J82" s="218"/>
    </row>
    <row r="83" spans="1:17" s="217" customFormat="1" ht="15" thickBot="1" x14ac:dyDescent="0.25">
      <c r="B83" s="225" t="s">
        <v>3</v>
      </c>
      <c r="C83" s="225" t="s">
        <v>196</v>
      </c>
      <c r="D83" s="225" t="s">
        <v>725</v>
      </c>
      <c r="E83" s="72"/>
      <c r="F83" s="150">
        <v>2.0499999999999998</v>
      </c>
      <c r="I83" s="218"/>
      <c r="J83" s="218"/>
    </row>
    <row r="84" spans="1:17" s="218" customFormat="1" ht="16.5" thickBot="1" x14ac:dyDescent="0.25">
      <c r="A84" s="217"/>
      <c r="B84" s="229" t="s">
        <v>11</v>
      </c>
      <c r="C84" s="120" t="s">
        <v>409</v>
      </c>
      <c r="D84" s="94" t="s">
        <v>244</v>
      </c>
      <c r="E84" s="122" t="s">
        <v>129</v>
      </c>
      <c r="F84" s="406">
        <f>F83*F81/F80</f>
        <v>2.4884820781023986</v>
      </c>
      <c r="G84" s="217"/>
      <c r="H84" s="217"/>
      <c r="K84" s="217"/>
      <c r="L84" s="217"/>
      <c r="M84" s="217"/>
      <c r="N84" s="217"/>
      <c r="O84" s="217"/>
      <c r="P84" s="217"/>
      <c r="Q84" s="217"/>
    </row>
    <row r="85" spans="1:17" s="217" customFormat="1" ht="13.5" thickBot="1" x14ac:dyDescent="0.25">
      <c r="A85" s="218"/>
      <c r="B85" s="146" t="s">
        <v>349</v>
      </c>
      <c r="C85" s="218"/>
      <c r="D85" s="218"/>
      <c r="E85" s="218"/>
      <c r="F85" s="218"/>
      <c r="G85" s="4"/>
      <c r="H85" s="218"/>
      <c r="I85" s="218"/>
      <c r="J85" s="218"/>
      <c r="K85" s="218"/>
      <c r="L85" s="218"/>
      <c r="M85" s="218"/>
      <c r="N85" s="218"/>
      <c r="O85" s="218"/>
      <c r="P85" s="218"/>
      <c r="Q85" s="218"/>
    </row>
    <row r="86" spans="1:17" s="217" customFormat="1" ht="13.5" thickBot="1" x14ac:dyDescent="0.25">
      <c r="B86" s="225" t="s">
        <v>3</v>
      </c>
      <c r="C86" s="69" t="s">
        <v>36</v>
      </c>
      <c r="D86" s="69" t="s">
        <v>35</v>
      </c>
      <c r="E86" s="230" t="s">
        <v>23</v>
      </c>
      <c r="F86" s="20">
        <v>0</v>
      </c>
      <c r="G86" s="217" t="s">
        <v>5</v>
      </c>
      <c r="I86" s="218"/>
      <c r="J86" s="218"/>
    </row>
    <row r="87" spans="1:17" s="217" customFormat="1" ht="15" thickBot="1" x14ac:dyDescent="0.25">
      <c r="B87" s="225" t="s">
        <v>3</v>
      </c>
      <c r="C87" s="69" t="s">
        <v>37</v>
      </c>
      <c r="D87" s="69" t="s">
        <v>245</v>
      </c>
      <c r="E87" s="230"/>
      <c r="F87" s="20">
        <v>0.3</v>
      </c>
      <c r="G87" s="217" t="s">
        <v>5</v>
      </c>
      <c r="I87" s="218"/>
      <c r="J87" s="218"/>
      <c r="K87" s="218"/>
      <c r="L87" s="218"/>
      <c r="M87" s="217" t="s">
        <v>5</v>
      </c>
    </row>
    <row r="88" spans="1:17" s="217" customFormat="1" ht="13.5" thickBot="1" x14ac:dyDescent="0.25">
      <c r="B88" s="22" t="s">
        <v>38</v>
      </c>
      <c r="D88" s="23"/>
      <c r="E88" s="49"/>
      <c r="F88" s="220"/>
      <c r="I88" s="26"/>
      <c r="J88" s="218"/>
    </row>
    <row r="89" spans="1:17" s="217" customFormat="1" ht="13.5" thickBot="1" x14ac:dyDescent="0.25">
      <c r="B89" s="225" t="s">
        <v>3</v>
      </c>
      <c r="C89" s="69" t="s">
        <v>40</v>
      </c>
      <c r="D89" s="69" t="s">
        <v>39</v>
      </c>
      <c r="E89" s="230" t="s">
        <v>23</v>
      </c>
      <c r="F89" s="50">
        <v>0.02</v>
      </c>
      <c r="G89" s="217" t="s">
        <v>5</v>
      </c>
      <c r="H89" s="385"/>
      <c r="I89" s="218"/>
      <c r="J89" s="218"/>
      <c r="K89" s="218"/>
    </row>
    <row r="90" spans="1:17" s="217" customFormat="1" ht="15.75" x14ac:dyDescent="0.2">
      <c r="B90" s="229" t="s">
        <v>11</v>
      </c>
      <c r="C90" s="97" t="s">
        <v>285</v>
      </c>
      <c r="D90" s="94" t="s">
        <v>333</v>
      </c>
      <c r="E90" s="123" t="s">
        <v>41</v>
      </c>
      <c r="F90" s="93">
        <f>0.5*F62*F87*F98/(F66*F61)</f>
        <v>5.7954545454545446E-2</v>
      </c>
      <c r="G90" s="221"/>
      <c r="H90" s="385"/>
      <c r="I90" s="218"/>
      <c r="J90" s="218"/>
      <c r="K90" s="218"/>
    </row>
    <row r="91" spans="1:17" s="217" customFormat="1" x14ac:dyDescent="0.2">
      <c r="B91" s="229" t="s">
        <v>11</v>
      </c>
      <c r="C91" s="97" t="s">
        <v>117</v>
      </c>
      <c r="D91" s="94" t="s">
        <v>410</v>
      </c>
      <c r="E91" s="122" t="s">
        <v>23</v>
      </c>
      <c r="F91" s="129">
        <f>2*SQRT(F90/PI())</f>
        <v>0.27164318336722298</v>
      </c>
      <c r="G91" s="222"/>
      <c r="H91" s="385"/>
      <c r="I91" s="218"/>
      <c r="J91" s="27"/>
      <c r="K91" s="218"/>
      <c r="L91" s="218"/>
    </row>
    <row r="92" spans="1:17" s="217" customFormat="1" ht="13.5" thickBot="1" x14ac:dyDescent="0.25">
      <c r="B92" s="100" t="s">
        <v>11</v>
      </c>
      <c r="C92" s="97" t="s">
        <v>116</v>
      </c>
      <c r="D92" s="94" t="s">
        <v>42</v>
      </c>
      <c r="E92" s="101"/>
      <c r="F92" s="153">
        <f>9.97*(1.8277-(2*LOG(F91)))</f>
        <v>29.508232702861491</v>
      </c>
      <c r="G92" s="4"/>
      <c r="H92" s="385"/>
      <c r="I92" s="218"/>
      <c r="J92" s="218"/>
      <c r="K92" s="218"/>
    </row>
    <row r="93" spans="1:17" s="217" customFormat="1" ht="13.5" thickBot="1" x14ac:dyDescent="0.25">
      <c r="B93" s="225" t="s">
        <v>3</v>
      </c>
      <c r="C93" s="69" t="s">
        <v>43</v>
      </c>
      <c r="D93" s="69" t="s">
        <v>42</v>
      </c>
      <c r="E93" s="230"/>
      <c r="F93" s="154">
        <v>30</v>
      </c>
      <c r="H93" s="385"/>
      <c r="I93" s="218"/>
      <c r="J93" s="218"/>
      <c r="K93" s="218"/>
      <c r="L93" s="218"/>
    </row>
    <row r="94" spans="1:17" s="379" customFormat="1" ht="13.5" thickBot="1" x14ac:dyDescent="0.25">
      <c r="B94" s="386" t="s">
        <v>3</v>
      </c>
      <c r="C94" s="386" t="s">
        <v>50</v>
      </c>
      <c r="D94" s="386" t="s">
        <v>49</v>
      </c>
      <c r="E94" s="387"/>
      <c r="F94" s="388">
        <v>1</v>
      </c>
      <c r="H94" s="385"/>
      <c r="I94" s="380"/>
      <c r="J94" s="380"/>
      <c r="K94" s="380"/>
      <c r="L94" s="380"/>
    </row>
    <row r="95" spans="1:17" s="217" customFormat="1" x14ac:dyDescent="0.2">
      <c r="B95" s="229" t="s">
        <v>11</v>
      </c>
      <c r="C95" s="120" t="s">
        <v>411</v>
      </c>
      <c r="D95" s="94" t="s">
        <v>410</v>
      </c>
      <c r="E95" s="122" t="s">
        <v>23</v>
      </c>
      <c r="F95" s="151">
        <f>POWER(10,((1.8277/2)-(F93/2/9.97)))</f>
        <v>0.25664715796727061</v>
      </c>
      <c r="G95" s="222"/>
      <c r="H95" s="385"/>
      <c r="I95" s="218"/>
      <c r="J95" s="27"/>
      <c r="K95" s="218"/>
      <c r="L95" s="218"/>
    </row>
    <row r="96" spans="1:17" s="217" customFormat="1" ht="18" x14ac:dyDescent="0.2">
      <c r="B96" s="229" t="s">
        <v>11</v>
      </c>
      <c r="C96" s="120" t="s">
        <v>412</v>
      </c>
      <c r="D96" s="94" t="s">
        <v>381</v>
      </c>
      <c r="E96" s="122" t="s">
        <v>26</v>
      </c>
      <c r="F96" s="184">
        <f>(F95/2)^2*PI()*F94</f>
        <v>5.1732420631325771E-2</v>
      </c>
      <c r="G96" s="45" t="str">
        <f>IF(F96&gt;F90,"Caution Copper Area too large!"," ")</f>
        <v xml:space="preserve"> </v>
      </c>
      <c r="H96" s="385"/>
      <c r="I96" s="218"/>
      <c r="J96" s="27"/>
      <c r="K96" s="218"/>
      <c r="L96" s="218"/>
    </row>
    <row r="97" spans="2:13" s="217" customFormat="1" ht="18" x14ac:dyDescent="0.2">
      <c r="B97" s="229" t="s">
        <v>11</v>
      </c>
      <c r="C97" s="97" t="s">
        <v>118</v>
      </c>
      <c r="D97" s="94" t="s">
        <v>334</v>
      </c>
      <c r="E97" s="122" t="s">
        <v>45</v>
      </c>
      <c r="F97" s="30">
        <f>F54/F96</f>
        <v>6.3544220075573383</v>
      </c>
      <c r="G97" s="52" t="str">
        <f>IF(F97&gt;8,"take care of current density"," ")</f>
        <v xml:space="preserve"> </v>
      </c>
      <c r="H97" s="385"/>
      <c r="I97" s="218"/>
      <c r="J97" s="27"/>
      <c r="K97" s="218"/>
    </row>
    <row r="98" spans="2:13" s="217" customFormat="1" ht="15.75" x14ac:dyDescent="0.2">
      <c r="B98" s="100" t="s">
        <v>11</v>
      </c>
      <c r="C98" s="97" t="s">
        <v>413</v>
      </c>
      <c r="D98" s="94" t="s">
        <v>370</v>
      </c>
      <c r="E98" s="122" t="s">
        <v>23</v>
      </c>
      <c r="F98" s="155">
        <f>F61-(2*F86)</f>
        <v>11</v>
      </c>
      <c r="G98" s="4"/>
      <c r="H98" s="385"/>
      <c r="I98" s="218"/>
      <c r="J98" s="218"/>
      <c r="K98" s="218"/>
    </row>
    <row r="99" spans="2:13" s="217" customFormat="1" ht="15.75" x14ac:dyDescent="0.2">
      <c r="B99" s="229" t="s">
        <v>11</v>
      </c>
      <c r="C99" s="97" t="s">
        <v>414</v>
      </c>
      <c r="D99" s="94" t="s">
        <v>336</v>
      </c>
      <c r="E99" s="122" t="s">
        <v>23</v>
      </c>
      <c r="F99" s="30">
        <f>F95+(2*F89)</f>
        <v>0.29664715796727059</v>
      </c>
      <c r="G99" s="222"/>
      <c r="H99" s="385"/>
      <c r="I99" s="218"/>
      <c r="J99" s="27"/>
      <c r="K99" s="218"/>
    </row>
    <row r="100" spans="2:13" s="217" customFormat="1" ht="15.75" x14ac:dyDescent="0.2">
      <c r="B100" s="100" t="s">
        <v>11</v>
      </c>
      <c r="C100" s="97" t="s">
        <v>415</v>
      </c>
      <c r="D100" s="94" t="s">
        <v>344</v>
      </c>
      <c r="E100" s="122" t="s">
        <v>46</v>
      </c>
      <c r="F100" s="66">
        <f>ROUNDDOWN(F98/(F99*F94),0)</f>
        <v>37</v>
      </c>
      <c r="G100" s="4"/>
      <c r="H100" s="385"/>
      <c r="I100" s="218"/>
      <c r="J100" s="53"/>
      <c r="K100" s="218"/>
    </row>
    <row r="101" spans="2:13" s="217" customFormat="1" ht="16.5" thickBot="1" x14ac:dyDescent="0.25">
      <c r="B101" s="100" t="s">
        <v>11</v>
      </c>
      <c r="C101" s="97" t="s">
        <v>123</v>
      </c>
      <c r="D101" s="94" t="s">
        <v>337</v>
      </c>
      <c r="E101" s="122" t="s">
        <v>47</v>
      </c>
      <c r="F101" s="156">
        <f>ROUNDUP(F66/F100,0)</f>
        <v>3</v>
      </c>
      <c r="G101" s="4"/>
      <c r="H101" s="385"/>
      <c r="I101" s="218"/>
      <c r="J101" s="54"/>
      <c r="K101" s="218"/>
      <c r="L101" s="218"/>
      <c r="M101" s="217" t="s">
        <v>5</v>
      </c>
    </row>
    <row r="102" spans="2:13" s="217" customFormat="1" ht="13.5" thickBot="1" x14ac:dyDescent="0.25">
      <c r="B102" s="22" t="s">
        <v>48</v>
      </c>
      <c r="D102" s="23"/>
      <c r="E102" s="49"/>
      <c r="F102" s="220"/>
      <c r="I102" s="26"/>
      <c r="J102" s="218"/>
    </row>
    <row r="103" spans="2:13" s="217" customFormat="1" ht="13.5" thickBot="1" x14ac:dyDescent="0.25">
      <c r="B103" s="225" t="s">
        <v>3</v>
      </c>
      <c r="C103" s="69" t="s">
        <v>40</v>
      </c>
      <c r="D103" s="69" t="s">
        <v>39</v>
      </c>
      <c r="E103" s="230" t="s">
        <v>23</v>
      </c>
      <c r="F103" s="50">
        <v>0.02</v>
      </c>
      <c r="G103" s="217" t="s">
        <v>5</v>
      </c>
      <c r="I103" s="26"/>
      <c r="J103" s="218"/>
      <c r="K103" s="218"/>
    </row>
    <row r="104" spans="2:13" s="217" customFormat="1" ht="15.75" x14ac:dyDescent="0.2">
      <c r="B104" s="229" t="s">
        <v>11</v>
      </c>
      <c r="C104" s="97" t="s">
        <v>416</v>
      </c>
      <c r="D104" s="94" t="s">
        <v>338</v>
      </c>
      <c r="E104" s="123" t="s">
        <v>41</v>
      </c>
      <c r="F104" s="93">
        <f>0.45*F62*F87*F112/(F68*F61)</f>
        <v>0.38249999999999995</v>
      </c>
      <c r="G104" s="221"/>
      <c r="I104" s="218"/>
      <c r="J104" s="218"/>
      <c r="K104" s="218"/>
    </row>
    <row r="105" spans="2:13" s="217" customFormat="1" x14ac:dyDescent="0.2">
      <c r="B105" s="229" t="s">
        <v>11</v>
      </c>
      <c r="C105" s="118" t="s">
        <v>117</v>
      </c>
      <c r="D105" s="94" t="s">
        <v>417</v>
      </c>
      <c r="E105" s="122" t="s">
        <v>23</v>
      </c>
      <c r="F105" s="129">
        <f>2*SQRT(F104/PI())</f>
        <v>0.69786397375219167</v>
      </c>
      <c r="G105" s="222"/>
      <c r="I105" s="218"/>
      <c r="J105" s="27"/>
      <c r="K105" s="218"/>
    </row>
    <row r="106" spans="2:13" s="217" customFormat="1" ht="13.5" thickBot="1" x14ac:dyDescent="0.25">
      <c r="B106" s="100" t="s">
        <v>11</v>
      </c>
      <c r="C106" s="97" t="s">
        <v>116</v>
      </c>
      <c r="D106" s="94" t="s">
        <v>42</v>
      </c>
      <c r="E106" s="101"/>
      <c r="F106" s="153">
        <f>9.97*(1.8277-(2*LOG(F105)))</f>
        <v>21.337379665509058</v>
      </c>
      <c r="G106" s="4"/>
      <c r="I106" s="218"/>
      <c r="J106" s="218"/>
      <c r="K106" s="218"/>
      <c r="L106" s="218"/>
    </row>
    <row r="107" spans="2:13" s="217" customFormat="1" ht="13.5" thickBot="1" x14ac:dyDescent="0.25">
      <c r="B107" s="225" t="s">
        <v>3</v>
      </c>
      <c r="C107" s="69" t="s">
        <v>43</v>
      </c>
      <c r="D107" s="69" t="s">
        <v>42</v>
      </c>
      <c r="E107" s="230"/>
      <c r="F107" s="157">
        <v>21</v>
      </c>
      <c r="G107" s="217" t="s">
        <v>5</v>
      </c>
      <c r="I107" s="26"/>
      <c r="J107" s="218"/>
      <c r="K107" s="218"/>
    </row>
    <row r="108" spans="2:13" s="217" customFormat="1" ht="13.5" thickBot="1" x14ac:dyDescent="0.25">
      <c r="B108" s="225" t="s">
        <v>3</v>
      </c>
      <c r="C108" s="69" t="s">
        <v>50</v>
      </c>
      <c r="D108" s="69" t="s">
        <v>49</v>
      </c>
      <c r="E108" s="230"/>
      <c r="F108" s="141">
        <v>1</v>
      </c>
      <c r="G108" s="217" t="s">
        <v>5</v>
      </c>
      <c r="I108" s="26"/>
      <c r="J108" s="218"/>
      <c r="K108" s="218"/>
      <c r="L108" s="218"/>
    </row>
    <row r="109" spans="2:13" s="217" customFormat="1" x14ac:dyDescent="0.2">
      <c r="B109" s="229" t="s">
        <v>11</v>
      </c>
      <c r="C109" s="120" t="s">
        <v>411</v>
      </c>
      <c r="D109" s="94" t="s">
        <v>339</v>
      </c>
      <c r="E109" s="122" t="s">
        <v>23</v>
      </c>
      <c r="F109" s="93">
        <f>POWER(10,((1.8277/2)-(F107/2/9.97)))</f>
        <v>0.72558871833069116</v>
      </c>
      <c r="G109" s="222"/>
      <c r="I109" s="218"/>
      <c r="J109" s="27"/>
      <c r="K109" s="218"/>
      <c r="L109" s="218"/>
    </row>
    <row r="110" spans="2:13" s="217" customFormat="1" ht="18" x14ac:dyDescent="0.2">
      <c r="B110" s="229" t="s">
        <v>11</v>
      </c>
      <c r="C110" s="120" t="s">
        <v>412</v>
      </c>
      <c r="D110" s="94" t="s">
        <v>382</v>
      </c>
      <c r="E110" s="122" t="s">
        <v>26</v>
      </c>
      <c r="F110" s="185">
        <f>(F109/2)^2*PI()*F108</f>
        <v>0.41349563037510279</v>
      </c>
      <c r="G110" s="45" t="str">
        <f>IF(F110&gt;F104,"Caution Copper Area too large (see note in cell F120)!"," ")</f>
        <v>Caution Copper Area too large (see note in cell F120)!</v>
      </c>
      <c r="I110" s="218"/>
      <c r="J110" s="27"/>
      <c r="K110" s="218"/>
    </row>
    <row r="111" spans="2:13" s="217" customFormat="1" ht="18" x14ac:dyDescent="0.2">
      <c r="B111" s="229" t="s">
        <v>11</v>
      </c>
      <c r="C111" s="97" t="s">
        <v>118</v>
      </c>
      <c r="D111" s="94" t="s">
        <v>340</v>
      </c>
      <c r="E111" s="122" t="s">
        <v>45</v>
      </c>
      <c r="F111" s="129">
        <f>F129/F110</f>
        <v>5.6356268305988175</v>
      </c>
      <c r="G111" s="52" t="str">
        <f>IF(F111&gt;8,"take care of current density"," ")</f>
        <v xml:space="preserve"> </v>
      </c>
      <c r="I111" s="218"/>
      <c r="J111" s="27"/>
      <c r="K111" s="218"/>
    </row>
    <row r="112" spans="2:13" s="217" customFormat="1" ht="15.75" x14ac:dyDescent="0.2">
      <c r="B112" s="100" t="s">
        <v>11</v>
      </c>
      <c r="C112" s="97" t="s">
        <v>413</v>
      </c>
      <c r="D112" s="94" t="s">
        <v>335</v>
      </c>
      <c r="E112" s="122" t="s">
        <v>23</v>
      </c>
      <c r="F112" s="126">
        <f>F61-(2*F86)</f>
        <v>11</v>
      </c>
      <c r="G112" s="4"/>
      <c r="I112" s="218"/>
      <c r="J112" s="218"/>
      <c r="K112" s="218"/>
    </row>
    <row r="113" spans="1:17" s="217" customFormat="1" ht="15.75" x14ac:dyDescent="0.2">
      <c r="B113" s="229" t="s">
        <v>11</v>
      </c>
      <c r="C113" s="97" t="s">
        <v>414</v>
      </c>
      <c r="D113" s="94" t="s">
        <v>341</v>
      </c>
      <c r="E113" s="122" t="s">
        <v>23</v>
      </c>
      <c r="F113" s="129">
        <f>F109+(2*F103)</f>
        <v>0.7655887183306912</v>
      </c>
      <c r="G113" s="222"/>
      <c r="I113" s="218"/>
      <c r="J113" s="27"/>
      <c r="K113" s="218"/>
    </row>
    <row r="114" spans="1:17" s="217" customFormat="1" ht="15.75" x14ac:dyDescent="0.2">
      <c r="B114" s="100" t="s">
        <v>11</v>
      </c>
      <c r="C114" s="97" t="s">
        <v>415</v>
      </c>
      <c r="D114" s="94" t="s">
        <v>343</v>
      </c>
      <c r="E114" s="122" t="s">
        <v>46</v>
      </c>
      <c r="F114" s="158">
        <f>ROUNDDOWN(F112/(F113*F108),0)</f>
        <v>14</v>
      </c>
      <c r="G114" s="4"/>
      <c r="I114" s="218"/>
      <c r="J114" s="54"/>
      <c r="K114" s="218"/>
    </row>
    <row r="115" spans="1:17" s="217" customFormat="1" ht="16.5" thickBot="1" x14ac:dyDescent="0.25">
      <c r="B115" s="100" t="s">
        <v>11</v>
      </c>
      <c r="C115" s="97" t="s">
        <v>123</v>
      </c>
      <c r="D115" s="94" t="s">
        <v>342</v>
      </c>
      <c r="E115" s="122" t="s">
        <v>47</v>
      </c>
      <c r="F115" s="153">
        <f>ROUNDUP(F68/F114,0)</f>
        <v>1</v>
      </c>
      <c r="G115" s="4"/>
      <c r="I115" s="218"/>
      <c r="J115" s="54"/>
      <c r="K115" s="218"/>
    </row>
    <row r="116" spans="1:17" s="217" customFormat="1" ht="13.5" thickBot="1" x14ac:dyDescent="0.25">
      <c r="B116" s="11" t="s">
        <v>51</v>
      </c>
      <c r="D116" s="58"/>
      <c r="I116" s="218"/>
      <c r="J116" s="218"/>
    </row>
    <row r="117" spans="1:17" s="217" customFormat="1" ht="15" thickBot="1" x14ac:dyDescent="0.25">
      <c r="B117" s="225" t="s">
        <v>3</v>
      </c>
      <c r="C117" s="69"/>
      <c r="D117" s="69" t="s">
        <v>371</v>
      </c>
      <c r="E117" s="230" t="s">
        <v>100</v>
      </c>
      <c r="F117" s="107">
        <v>1.06</v>
      </c>
      <c r="G117" s="217" t="s">
        <v>5</v>
      </c>
      <c r="I117" s="26"/>
      <c r="J117" s="218"/>
    </row>
    <row r="118" spans="1:17" s="218" customFormat="1" ht="15.75" x14ac:dyDescent="0.2">
      <c r="A118" s="217"/>
      <c r="B118" s="100" t="s">
        <v>11</v>
      </c>
      <c r="C118" s="97" t="s">
        <v>177</v>
      </c>
      <c r="D118" s="94" t="s">
        <v>246</v>
      </c>
      <c r="E118" s="122" t="s">
        <v>16</v>
      </c>
      <c r="F118" s="125">
        <f>F117*F49/100</f>
        <v>1.0693711177059839E-5</v>
      </c>
      <c r="G118" s="4"/>
      <c r="H118" s="217"/>
      <c r="K118" s="217"/>
      <c r="L118" s="217"/>
      <c r="M118" s="217"/>
      <c r="N118" s="217"/>
      <c r="O118" s="217"/>
      <c r="P118" s="217"/>
      <c r="Q118" s="217"/>
    </row>
    <row r="119" spans="1:17" s="217" customFormat="1" ht="13.5" thickBot="1" x14ac:dyDescent="0.25">
      <c r="A119" s="218"/>
      <c r="B119" s="145" t="s">
        <v>347</v>
      </c>
      <c r="C119" s="218"/>
      <c r="D119" s="23"/>
      <c r="E119" s="49"/>
      <c r="F119" s="55"/>
      <c r="G119" s="4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</row>
    <row r="120" spans="1:17" s="217" customFormat="1" ht="15.75" x14ac:dyDescent="0.2">
      <c r="B120" s="100" t="s">
        <v>11</v>
      </c>
      <c r="C120" s="97" t="s">
        <v>124</v>
      </c>
      <c r="D120" s="94" t="s">
        <v>176</v>
      </c>
      <c r="E120" s="122" t="s">
        <v>4</v>
      </c>
      <c r="F120" s="183">
        <f>F34-F39-F75</f>
        <v>57.251660040609565</v>
      </c>
      <c r="G120" s="4"/>
      <c r="I120" s="218"/>
      <c r="J120" s="218"/>
    </row>
    <row r="121" spans="1:17" s="217" customFormat="1" ht="16.5" thickBot="1" x14ac:dyDescent="0.25">
      <c r="B121" s="100" t="s">
        <v>11</v>
      </c>
      <c r="C121" s="97" t="s">
        <v>178</v>
      </c>
      <c r="D121" s="94" t="s">
        <v>372</v>
      </c>
      <c r="E121" s="122" t="s">
        <v>52</v>
      </c>
      <c r="F121" s="126">
        <f>F118*F52^2/((F120*(F75+F120)))*1000000000</f>
        <v>0.8596652813851734</v>
      </c>
      <c r="G121" s="4"/>
      <c r="I121" s="218"/>
      <c r="J121" s="218"/>
    </row>
    <row r="122" spans="1:17" s="217" customFormat="1" ht="15" thickBot="1" x14ac:dyDescent="0.25">
      <c r="B122" s="225" t="s">
        <v>3</v>
      </c>
      <c r="C122" s="69" t="s">
        <v>465</v>
      </c>
      <c r="D122" s="69" t="s">
        <v>466</v>
      </c>
      <c r="E122" s="103" t="s">
        <v>52</v>
      </c>
      <c r="F122" s="107">
        <v>1</v>
      </c>
      <c r="G122" s="4"/>
      <c r="I122" s="218"/>
      <c r="J122" s="218"/>
    </row>
    <row r="123" spans="1:17" s="217" customFormat="1" ht="16.5" thickBot="1" x14ac:dyDescent="0.25">
      <c r="B123" s="100" t="s">
        <v>11</v>
      </c>
      <c r="C123" s="97" t="s">
        <v>351</v>
      </c>
      <c r="D123" s="94" t="s">
        <v>373</v>
      </c>
      <c r="E123" s="122" t="s">
        <v>53</v>
      </c>
      <c r="F123" s="127">
        <f>((F75+F120)^2-F75^2)/(F118*F52^2*F33*0.5*1000)</f>
        <v>68.175621316160033</v>
      </c>
      <c r="G123" s="4"/>
      <c r="I123" s="218"/>
      <c r="J123" s="218"/>
    </row>
    <row r="124" spans="1:17" s="217" customFormat="1" ht="15" thickBot="1" x14ac:dyDescent="0.25">
      <c r="B124" s="225" t="s">
        <v>3</v>
      </c>
      <c r="C124" s="69" t="s">
        <v>467</v>
      </c>
      <c r="D124" s="69" t="s">
        <v>468</v>
      </c>
      <c r="E124" s="103" t="s">
        <v>53</v>
      </c>
      <c r="F124" s="107">
        <v>68</v>
      </c>
      <c r="G124" s="4"/>
      <c r="I124" s="218"/>
      <c r="J124" s="218"/>
    </row>
    <row r="125" spans="1:17" s="217" customFormat="1" ht="13.5" thickBot="1" x14ac:dyDescent="0.25">
      <c r="B125" s="145" t="s">
        <v>522</v>
      </c>
      <c r="D125" s="58"/>
      <c r="E125" s="220"/>
      <c r="F125" s="221"/>
      <c r="I125" s="218"/>
      <c r="J125" s="218"/>
    </row>
    <row r="126" spans="1:17" s="217" customFormat="1" ht="16.5" thickBot="1" x14ac:dyDescent="0.25">
      <c r="B126" s="255" t="s">
        <v>11</v>
      </c>
      <c r="C126" s="261" t="s">
        <v>121</v>
      </c>
      <c r="D126" s="256" t="s">
        <v>576</v>
      </c>
      <c r="E126" s="257"/>
      <c r="F126" s="263">
        <f>(F17*F18)/F24</f>
        <v>0.9375</v>
      </c>
      <c r="I126" s="218"/>
      <c r="J126" s="218"/>
    </row>
    <row r="127" spans="1:17" s="217" customFormat="1" ht="15.75" x14ac:dyDescent="0.2">
      <c r="B127" s="229" t="s">
        <v>11</v>
      </c>
      <c r="C127" s="97" t="s">
        <v>420</v>
      </c>
      <c r="D127" s="227" t="s">
        <v>520</v>
      </c>
      <c r="E127" s="228" t="s">
        <v>4</v>
      </c>
      <c r="F127" s="93">
        <f>F17+(F39*F68/F66)</f>
        <v>73.711137267189599</v>
      </c>
      <c r="I127" s="218"/>
      <c r="J127" s="218"/>
    </row>
    <row r="128" spans="1:17" s="217" customFormat="1" ht="15.75" x14ac:dyDescent="0.2">
      <c r="B128" s="255" t="s">
        <v>11</v>
      </c>
      <c r="C128" s="261" t="s">
        <v>122</v>
      </c>
      <c r="D128" s="256" t="s">
        <v>574</v>
      </c>
      <c r="E128" s="257" t="s">
        <v>13</v>
      </c>
      <c r="F128" s="264">
        <f>F52*(F66/F68)*F126</f>
        <v>5.663593129329362</v>
      </c>
      <c r="G128" s="221"/>
      <c r="I128" s="71"/>
      <c r="J128" s="218"/>
    </row>
    <row r="129" spans="1:10" s="217" customFormat="1" ht="16.5" thickBot="1" x14ac:dyDescent="0.25">
      <c r="B129" s="255" t="s">
        <v>11</v>
      </c>
      <c r="C129" s="261" t="s">
        <v>418</v>
      </c>
      <c r="D129" s="256" t="s">
        <v>575</v>
      </c>
      <c r="E129" s="257" t="s">
        <v>13</v>
      </c>
      <c r="F129" s="264">
        <f>F54*SQRT((1-F76)/F76)*(F75*F126/(F17+F19))</f>
        <v>2.3303070688773007</v>
      </c>
      <c r="G129" s="221"/>
      <c r="I129" s="218"/>
      <c r="J129" s="218"/>
    </row>
    <row r="130" spans="1:10" s="217" customFormat="1" ht="16.5" thickBot="1" x14ac:dyDescent="0.25">
      <c r="B130" s="229" t="s">
        <v>11</v>
      </c>
      <c r="C130" s="97" t="s">
        <v>420</v>
      </c>
      <c r="D130" s="227" t="s">
        <v>521</v>
      </c>
      <c r="E130" s="228" t="s">
        <v>4</v>
      </c>
      <c r="F130" s="93">
        <f>F20+(F39*F70/F66)</f>
        <v>30.712973861329001</v>
      </c>
      <c r="G130" s="221"/>
      <c r="I130" s="218"/>
      <c r="J130" s="218"/>
    </row>
    <row r="131" spans="1:10" s="217" customFormat="1" ht="15.75" x14ac:dyDescent="0.2">
      <c r="B131" s="255" t="s">
        <v>11</v>
      </c>
      <c r="C131" s="261" t="s">
        <v>121</v>
      </c>
      <c r="D131" s="256" t="s">
        <v>571</v>
      </c>
      <c r="E131" s="257"/>
      <c r="F131" s="263">
        <f>(F20*F21)/F24</f>
        <v>6.25E-2</v>
      </c>
      <c r="G131" s="221"/>
      <c r="I131" s="218"/>
      <c r="J131" s="218"/>
    </row>
    <row r="132" spans="1:10" s="217" customFormat="1" ht="15.75" x14ac:dyDescent="0.2">
      <c r="B132" s="255" t="s">
        <v>11</v>
      </c>
      <c r="C132" s="261" t="s">
        <v>122</v>
      </c>
      <c r="D132" s="256" t="s">
        <v>572</v>
      </c>
      <c r="E132" s="257" t="s">
        <v>13</v>
      </c>
      <c r="F132" s="264">
        <f>F52*(F66/F70)*F131</f>
        <v>0.90617490069269813</v>
      </c>
      <c r="G132" s="221"/>
      <c r="I132" s="218"/>
      <c r="J132" s="218"/>
    </row>
    <row r="133" spans="1:10" s="217" customFormat="1" ht="15.75" x14ac:dyDescent="0.2">
      <c r="B133" s="255" t="s">
        <v>11</v>
      </c>
      <c r="C133" s="261" t="s">
        <v>418</v>
      </c>
      <c r="D133" s="256" t="s">
        <v>573</v>
      </c>
      <c r="E133" s="257" t="s">
        <v>13</v>
      </c>
      <c r="F133" s="264">
        <f>F54*SQRT((1-F76)/F76)*(F75*F131/(F20+F22))</f>
        <v>0.36053807480743139</v>
      </c>
      <c r="G133" s="221"/>
      <c r="I133" s="218"/>
      <c r="J133" s="218"/>
    </row>
    <row r="134" spans="1:10" s="217" customFormat="1" ht="16.5" thickBot="1" x14ac:dyDescent="0.25">
      <c r="B134" s="229" t="s">
        <v>11</v>
      </c>
      <c r="C134" s="97" t="s">
        <v>421</v>
      </c>
      <c r="D134" s="94" t="s">
        <v>419</v>
      </c>
      <c r="E134" s="228" t="s">
        <v>4</v>
      </c>
      <c r="F134" s="130">
        <f>F30+(F39*F72/F66)</f>
        <v>85.996326811721204</v>
      </c>
      <c r="G134" s="221"/>
      <c r="I134" s="218"/>
      <c r="J134" s="218"/>
    </row>
    <row r="135" spans="1:10" s="217" customFormat="1" ht="13.5" thickBot="1" x14ac:dyDescent="0.25">
      <c r="A135" s="333"/>
      <c r="B135" s="237" t="s">
        <v>526</v>
      </c>
      <c r="D135" s="58"/>
      <c r="I135" s="218"/>
      <c r="J135" s="218"/>
    </row>
    <row r="136" spans="1:10" s="217" customFormat="1" ht="15" thickBot="1" x14ac:dyDescent="0.25">
      <c r="A136" s="333"/>
      <c r="B136" s="225" t="s">
        <v>3</v>
      </c>
      <c r="C136" s="225" t="s">
        <v>524</v>
      </c>
      <c r="D136" s="225" t="s">
        <v>705</v>
      </c>
      <c r="E136" s="230" t="s">
        <v>4</v>
      </c>
      <c r="F136" s="107">
        <v>0.5</v>
      </c>
      <c r="I136" s="218"/>
      <c r="J136" s="218"/>
    </row>
    <row r="137" spans="1:10" s="217" customFormat="1" ht="15" thickBot="1" x14ac:dyDescent="0.25">
      <c r="A137" s="333"/>
      <c r="B137" s="225" t="s">
        <v>3</v>
      </c>
      <c r="C137" s="69" t="s">
        <v>103</v>
      </c>
      <c r="D137" s="69" t="s">
        <v>247</v>
      </c>
      <c r="E137" s="230"/>
      <c r="F137" s="107">
        <v>20</v>
      </c>
      <c r="I137" s="218"/>
      <c r="J137" s="218"/>
    </row>
    <row r="138" spans="1:10" s="217" customFormat="1" ht="16.5" thickBot="1" x14ac:dyDescent="0.25">
      <c r="A138" s="333"/>
      <c r="B138" s="229" t="s">
        <v>11</v>
      </c>
      <c r="C138" s="97" t="s">
        <v>423</v>
      </c>
      <c r="D138" s="227" t="s">
        <v>703</v>
      </c>
      <c r="E138" s="228" t="s">
        <v>13</v>
      </c>
      <c r="F138" s="233">
        <f>SQRT(F129^2-F18^2)</f>
        <v>1.9666802066577873</v>
      </c>
      <c r="I138" s="218"/>
      <c r="J138" s="218"/>
    </row>
    <row r="139" spans="1:10" s="217" customFormat="1" ht="16.5" thickBot="1" x14ac:dyDescent="0.25">
      <c r="A139" s="333"/>
      <c r="B139" s="229" t="s">
        <v>11</v>
      </c>
      <c r="C139" s="97" t="s">
        <v>422</v>
      </c>
      <c r="D139" s="227" t="s">
        <v>704</v>
      </c>
      <c r="E139" s="228" t="s">
        <v>12</v>
      </c>
      <c r="F139" s="131">
        <f>(F18*F137/(F136*F33))*1000000</f>
        <v>909.09090909090912</v>
      </c>
      <c r="G139" s="221"/>
      <c r="I139" s="218"/>
      <c r="J139" s="218"/>
    </row>
    <row r="140" spans="1:10" s="217" customFormat="1" ht="13.5" thickBot="1" x14ac:dyDescent="0.25">
      <c r="A140" s="333"/>
      <c r="B140" s="13" t="s">
        <v>348</v>
      </c>
      <c r="D140" s="58"/>
      <c r="G140" s="221"/>
      <c r="I140" s="218"/>
      <c r="J140" s="218"/>
    </row>
    <row r="141" spans="1:10" s="217" customFormat="1" ht="13.5" thickBot="1" x14ac:dyDescent="0.25">
      <c r="A141" s="333"/>
      <c r="B141" s="225" t="s">
        <v>3</v>
      </c>
      <c r="C141" s="69" t="s">
        <v>54</v>
      </c>
      <c r="D141" s="69" t="s">
        <v>168</v>
      </c>
      <c r="E141" s="230" t="s">
        <v>12</v>
      </c>
      <c r="F141" s="232">
        <v>1000</v>
      </c>
      <c r="G141" s="221"/>
      <c r="I141" s="218"/>
      <c r="J141" s="218"/>
    </row>
    <row r="142" spans="1:10" s="217" customFormat="1" ht="13.5" thickBot="1" x14ac:dyDescent="0.25">
      <c r="A142" s="333"/>
      <c r="B142" s="225" t="s">
        <v>3</v>
      </c>
      <c r="C142" s="69" t="s">
        <v>171</v>
      </c>
      <c r="D142" s="69" t="s">
        <v>55</v>
      </c>
      <c r="E142" s="230" t="s">
        <v>56</v>
      </c>
      <c r="F142" s="232">
        <v>2.8000000000000001E-2</v>
      </c>
      <c r="G142" s="221"/>
      <c r="I142" s="218"/>
      <c r="J142" s="218"/>
    </row>
    <row r="143" spans="1:10" s="217" customFormat="1" ht="15" thickBot="1" x14ac:dyDescent="0.25">
      <c r="A143" s="333"/>
      <c r="B143" s="225" t="s">
        <v>3</v>
      </c>
      <c r="C143" s="69" t="s">
        <v>170</v>
      </c>
      <c r="D143" s="69" t="s">
        <v>249</v>
      </c>
      <c r="E143" s="230" t="s">
        <v>169</v>
      </c>
      <c r="F143" s="232">
        <v>1.76</v>
      </c>
      <c r="G143" s="221"/>
      <c r="I143" s="218"/>
      <c r="J143" s="218"/>
    </row>
    <row r="144" spans="1:10" s="217" customFormat="1" ht="15" thickBot="1" x14ac:dyDescent="0.25">
      <c r="A144" s="333"/>
      <c r="B144" s="225" t="s">
        <v>3</v>
      </c>
      <c r="C144" s="69" t="s">
        <v>102</v>
      </c>
      <c r="D144" s="69" t="s">
        <v>250</v>
      </c>
      <c r="E144" s="230"/>
      <c r="F144" s="232">
        <v>1</v>
      </c>
      <c r="I144" s="218"/>
      <c r="J144" s="218"/>
    </row>
    <row r="145" spans="1:17" s="217" customFormat="1" ht="16.5" thickBot="1" x14ac:dyDescent="0.25">
      <c r="A145" s="333"/>
      <c r="B145" s="229" t="s">
        <v>11</v>
      </c>
      <c r="C145" s="97" t="s">
        <v>135</v>
      </c>
      <c r="D145" s="227" t="s">
        <v>709</v>
      </c>
      <c r="E145" s="228" t="s">
        <v>57</v>
      </c>
      <c r="F145" s="233">
        <f>1/(2*PI()*F142*F141*10^(-6)*1000)</f>
        <v>5.6841051104248335</v>
      </c>
      <c r="I145" s="218"/>
      <c r="J145" s="218"/>
    </row>
    <row r="146" spans="1:17" s="217" customFormat="1" ht="13.5" thickBot="1" x14ac:dyDescent="0.25">
      <c r="A146" s="333"/>
      <c r="B146" s="237" t="s">
        <v>529</v>
      </c>
      <c r="I146" s="218"/>
      <c r="J146" s="218"/>
    </row>
    <row r="147" spans="1:17" s="217" customFormat="1" ht="16.5" thickBot="1" x14ac:dyDescent="0.25">
      <c r="A147" s="333"/>
      <c r="B147" s="229" t="s">
        <v>11</v>
      </c>
      <c r="C147" s="97" t="s">
        <v>136</v>
      </c>
      <c r="D147" s="94" t="s">
        <v>151</v>
      </c>
      <c r="E147" s="228" t="s">
        <v>4</v>
      </c>
      <c r="F147" s="233">
        <f>F128*F142/F144</f>
        <v>0.15858060762122214</v>
      </c>
      <c r="I147" s="218"/>
      <c r="J147" s="218"/>
    </row>
    <row r="148" spans="1:17" s="217" customFormat="1" ht="15" thickBot="1" x14ac:dyDescent="0.25">
      <c r="A148" s="333"/>
      <c r="B148" s="225" t="s">
        <v>3</v>
      </c>
      <c r="C148" s="69" t="s">
        <v>379</v>
      </c>
      <c r="D148" s="225" t="s">
        <v>713</v>
      </c>
      <c r="E148" s="103" t="s">
        <v>58</v>
      </c>
      <c r="F148" s="232">
        <v>2.2000000000000002</v>
      </c>
      <c r="I148" s="218"/>
      <c r="J148" s="218"/>
    </row>
    <row r="149" spans="1:17" x14ac:dyDescent="0.2">
      <c r="A149" s="333"/>
      <c r="B149" s="237" t="s">
        <v>462</v>
      </c>
      <c r="C149" s="218"/>
      <c r="D149" s="27"/>
      <c r="E149" s="220"/>
      <c r="F149" s="222"/>
      <c r="G149" s="221"/>
      <c r="H149" s="217"/>
      <c r="I149" s="218"/>
      <c r="J149" s="218"/>
      <c r="K149" s="217"/>
      <c r="L149" s="217"/>
      <c r="M149" s="217"/>
      <c r="N149" s="217"/>
      <c r="O149" s="217"/>
      <c r="P149" s="217"/>
      <c r="Q149" s="217"/>
    </row>
    <row r="150" spans="1:17" ht="16.5" thickBot="1" x14ac:dyDescent="0.25">
      <c r="A150" s="333"/>
      <c r="B150" s="229" t="s">
        <v>11</v>
      </c>
      <c r="C150" s="97" t="s">
        <v>137</v>
      </c>
      <c r="D150" s="227" t="s">
        <v>711</v>
      </c>
      <c r="E150" s="101" t="s">
        <v>380</v>
      </c>
      <c r="F150" s="235">
        <f>(F142*F141)^2/F148</f>
        <v>356.36363636363632</v>
      </c>
      <c r="G150" s="221"/>
      <c r="H150" s="217"/>
      <c r="I150" s="218"/>
      <c r="J150" s="218"/>
      <c r="K150" s="217"/>
      <c r="L150" s="217"/>
      <c r="M150" s="217"/>
      <c r="N150" s="217"/>
      <c r="O150" s="217"/>
      <c r="P150" s="217"/>
      <c r="Q150" s="217"/>
    </row>
    <row r="151" spans="1:17" ht="15" thickBot="1" x14ac:dyDescent="0.25">
      <c r="A151" s="333"/>
      <c r="B151" s="225" t="s">
        <v>3</v>
      </c>
      <c r="C151" s="69" t="s">
        <v>59</v>
      </c>
      <c r="D151" s="225" t="s">
        <v>712</v>
      </c>
      <c r="E151" s="103" t="s">
        <v>12</v>
      </c>
      <c r="F151" s="115">
        <v>470</v>
      </c>
      <c r="G151" s="221"/>
      <c r="H151" s="217"/>
      <c r="I151" s="218"/>
      <c r="J151" s="218"/>
      <c r="K151" s="217"/>
      <c r="L151" s="217"/>
      <c r="M151" s="217"/>
      <c r="N151" s="217"/>
      <c r="O151" s="217"/>
      <c r="P151" s="217"/>
      <c r="Q151" s="217"/>
    </row>
    <row r="152" spans="1:17" ht="15.75" x14ac:dyDescent="0.2">
      <c r="A152" s="333"/>
      <c r="B152" s="229" t="s">
        <v>11</v>
      </c>
      <c r="C152" s="97" t="s">
        <v>424</v>
      </c>
      <c r="D152" s="227" t="s">
        <v>710</v>
      </c>
      <c r="E152" s="228" t="s">
        <v>57</v>
      </c>
      <c r="F152" s="234">
        <f>1/(1000*2*PI()*SQRT((F148*10^-6*F151*10^-6)))</f>
        <v>4.949483288837734</v>
      </c>
      <c r="G152" s="221"/>
      <c r="H152" s="217"/>
      <c r="I152" s="218"/>
      <c r="J152" s="218"/>
      <c r="K152" s="217"/>
      <c r="L152" s="217"/>
      <c r="M152" s="217"/>
      <c r="N152" s="217"/>
      <c r="O152" s="217"/>
      <c r="P152" s="217"/>
      <c r="Q152" s="217"/>
    </row>
    <row r="153" spans="1:17" x14ac:dyDescent="0.2">
      <c r="A153" s="333"/>
      <c r="B153" s="11" t="s">
        <v>378</v>
      </c>
      <c r="C153" s="218"/>
      <c r="D153" s="27"/>
      <c r="E153" s="220"/>
      <c r="F153" s="223"/>
      <c r="G153" s="221"/>
      <c r="H153" s="217"/>
      <c r="I153" s="218"/>
      <c r="J153" s="218"/>
      <c r="K153" s="217"/>
      <c r="L153" s="217"/>
      <c r="M153" s="217"/>
      <c r="N153" s="217"/>
      <c r="O153" s="217"/>
      <c r="P153" s="217"/>
      <c r="Q153" s="217"/>
    </row>
    <row r="154" spans="1:17" s="217" customFormat="1" ht="15.75" x14ac:dyDescent="0.2">
      <c r="A154" s="333"/>
      <c r="B154" s="229" t="s">
        <v>11</v>
      </c>
      <c r="C154" s="97" t="s">
        <v>425</v>
      </c>
      <c r="D154" s="94" t="s">
        <v>161</v>
      </c>
      <c r="E154" s="228" t="s">
        <v>60</v>
      </c>
      <c r="F154" s="234">
        <f>F147*((1/(2*PI()*F33*F148*0.000001))/((1/(2*PI()*F33*F148*0.000001))+(2*PI()*F33*F151*0.000001)))*1000</f>
        <v>1.2739181841061931</v>
      </c>
      <c r="G154"/>
      <c r="H154"/>
      <c r="I154" s="215"/>
      <c r="J154" s="215"/>
      <c r="K154"/>
      <c r="L154"/>
      <c r="M154"/>
      <c r="N154"/>
      <c r="O154"/>
      <c r="P154"/>
      <c r="Q154"/>
    </row>
    <row r="155" spans="1:17" s="217" customFormat="1" ht="13.5" thickBot="1" x14ac:dyDescent="0.25">
      <c r="A155" s="218"/>
      <c r="B155" s="237" t="s">
        <v>527</v>
      </c>
      <c r="C155" s="211"/>
      <c r="D155" s="212"/>
      <c r="E155" s="213"/>
      <c r="F155" s="214"/>
      <c r="G155"/>
      <c r="H155"/>
      <c r="I155" s="215"/>
      <c r="J155" s="215"/>
      <c r="K155"/>
      <c r="L155"/>
      <c r="M155"/>
      <c r="N155"/>
      <c r="O155"/>
      <c r="P155"/>
      <c r="Q155"/>
    </row>
    <row r="156" spans="1:17" s="217" customFormat="1" ht="15" thickBot="1" x14ac:dyDescent="0.25">
      <c r="B156" s="225" t="s">
        <v>3</v>
      </c>
      <c r="C156" s="225" t="s">
        <v>525</v>
      </c>
      <c r="D156" s="225" t="s">
        <v>706</v>
      </c>
      <c r="E156" s="230" t="s">
        <v>4</v>
      </c>
      <c r="F156" s="107">
        <v>0.25</v>
      </c>
      <c r="I156" s="218"/>
      <c r="J156" s="218"/>
    </row>
    <row r="157" spans="1:17" s="217" customFormat="1" ht="15" thickBot="1" x14ac:dyDescent="0.25">
      <c r="A157" s="11"/>
      <c r="B157" s="225" t="s">
        <v>3</v>
      </c>
      <c r="C157" s="69" t="s">
        <v>103</v>
      </c>
      <c r="D157" s="69" t="s">
        <v>247</v>
      </c>
      <c r="E157" s="230"/>
      <c r="F157" s="107">
        <v>20</v>
      </c>
      <c r="I157" s="218"/>
      <c r="J157" s="218"/>
    </row>
    <row r="158" spans="1:17" s="217" customFormat="1" ht="16.5" thickBot="1" x14ac:dyDescent="0.25">
      <c r="A158" s="11"/>
      <c r="B158" s="229" t="s">
        <v>11</v>
      </c>
      <c r="C158" s="97" t="s">
        <v>423</v>
      </c>
      <c r="D158" s="227" t="s">
        <v>707</v>
      </c>
      <c r="E158" s="228" t="s">
        <v>13</v>
      </c>
      <c r="F158" s="233">
        <f>SQRT(F133^2-(F21)^2)</f>
        <v>0.29997950494300274</v>
      </c>
      <c r="G158" s="221"/>
      <c r="I158" s="218"/>
      <c r="J158" s="218"/>
    </row>
    <row r="159" spans="1:17" s="217" customFormat="1" ht="16.5" thickBot="1" x14ac:dyDescent="0.25">
      <c r="B159" s="229" t="s">
        <v>11</v>
      </c>
      <c r="C159" s="97" t="s">
        <v>422</v>
      </c>
      <c r="D159" s="227" t="s">
        <v>708</v>
      </c>
      <c r="E159" s="228" t="s">
        <v>12</v>
      </c>
      <c r="F159" s="131">
        <f>(F21*F157/(F156*F33))*1000000</f>
        <v>290.90909090909093</v>
      </c>
      <c r="G159" s="221"/>
      <c r="I159" s="218"/>
      <c r="J159" s="218"/>
    </row>
    <row r="160" spans="1:17" s="217" customFormat="1" ht="13.5" thickBot="1" x14ac:dyDescent="0.25">
      <c r="A160" s="333"/>
      <c r="B160" s="13" t="s">
        <v>528</v>
      </c>
      <c r="D160" s="58"/>
      <c r="I160" s="218"/>
      <c r="J160" s="218"/>
    </row>
    <row r="161" spans="1:17" s="218" customFormat="1" ht="13.5" thickBot="1" x14ac:dyDescent="0.25">
      <c r="A161" s="333"/>
      <c r="B161" s="225" t="s">
        <v>3</v>
      </c>
      <c r="C161" s="69" t="s">
        <v>54</v>
      </c>
      <c r="D161" s="225" t="s">
        <v>523</v>
      </c>
      <c r="E161" s="230" t="s">
        <v>12</v>
      </c>
      <c r="F161" s="232">
        <v>330</v>
      </c>
      <c r="G161" s="221"/>
      <c r="H161" s="217"/>
      <c r="K161" s="217"/>
      <c r="L161" s="217"/>
      <c r="M161" s="217"/>
      <c r="N161" s="217"/>
      <c r="O161" s="217"/>
      <c r="P161" s="217"/>
      <c r="Q161" s="217"/>
    </row>
    <row r="162" spans="1:17" s="217" customFormat="1" ht="13.5" thickBot="1" x14ac:dyDescent="0.25">
      <c r="A162" s="333"/>
      <c r="B162" s="225" t="s">
        <v>3</v>
      </c>
      <c r="C162" s="69" t="s">
        <v>171</v>
      </c>
      <c r="D162" s="69" t="s">
        <v>55</v>
      </c>
      <c r="E162" s="230" t="s">
        <v>56</v>
      </c>
      <c r="F162" s="232">
        <v>9.4E-2</v>
      </c>
      <c r="G162" s="221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</row>
    <row r="163" spans="1:17" s="217" customFormat="1" ht="15" thickBot="1" x14ac:dyDescent="0.25">
      <c r="A163" s="333"/>
      <c r="B163" s="225" t="s">
        <v>3</v>
      </c>
      <c r="C163" s="69" t="s">
        <v>170</v>
      </c>
      <c r="D163" s="69" t="s">
        <v>249</v>
      </c>
      <c r="E163" s="230" t="s">
        <v>169</v>
      </c>
      <c r="F163" s="232">
        <v>0.54</v>
      </c>
      <c r="I163" s="218"/>
      <c r="J163" s="218"/>
    </row>
    <row r="164" spans="1:17" s="217" customFormat="1" ht="15" thickBot="1" x14ac:dyDescent="0.25">
      <c r="A164" s="333"/>
      <c r="B164" s="225" t="s">
        <v>3</v>
      </c>
      <c r="C164" s="69" t="s">
        <v>102</v>
      </c>
      <c r="D164" s="69" t="s">
        <v>250</v>
      </c>
      <c r="E164" s="230"/>
      <c r="F164" s="232">
        <v>1</v>
      </c>
      <c r="I164" s="218"/>
      <c r="J164" s="218"/>
    </row>
    <row r="165" spans="1:17" s="217" customFormat="1" ht="16.5" thickBot="1" x14ac:dyDescent="0.25">
      <c r="A165" s="333"/>
      <c r="B165" s="229" t="s">
        <v>11</v>
      </c>
      <c r="C165" s="97" t="s">
        <v>135</v>
      </c>
      <c r="D165" s="227" t="s">
        <v>714</v>
      </c>
      <c r="E165" s="228" t="s">
        <v>57</v>
      </c>
      <c r="F165" s="233">
        <f>1/(2*PI()*F162*F161*10^(-6)*1000)</f>
        <v>5.1307202802029446</v>
      </c>
      <c r="I165" s="218"/>
      <c r="J165" s="218"/>
    </row>
    <row r="166" spans="1:17" s="217" customFormat="1" ht="13.5" thickBot="1" x14ac:dyDescent="0.25">
      <c r="A166" s="333"/>
      <c r="B166" s="237" t="s">
        <v>529</v>
      </c>
      <c r="I166" s="218"/>
      <c r="J166" s="218"/>
    </row>
    <row r="167" spans="1:17" s="217" customFormat="1" ht="16.5" thickBot="1" x14ac:dyDescent="0.25">
      <c r="A167" s="333"/>
      <c r="B167" s="229" t="s">
        <v>11</v>
      </c>
      <c r="C167" s="97" t="s">
        <v>136</v>
      </c>
      <c r="D167" s="94" t="s">
        <v>151</v>
      </c>
      <c r="E167" s="228" t="s">
        <v>4</v>
      </c>
      <c r="F167" s="233">
        <f>F132*F162/F164</f>
        <v>8.5180440665113627E-2</v>
      </c>
      <c r="I167" s="218"/>
      <c r="J167" s="218"/>
    </row>
    <row r="168" spans="1:17" s="217" customFormat="1" ht="15" thickBot="1" x14ac:dyDescent="0.25">
      <c r="A168" s="333"/>
      <c r="B168" s="225" t="s">
        <v>3</v>
      </c>
      <c r="C168" s="69" t="s">
        <v>379</v>
      </c>
      <c r="D168" s="225" t="s">
        <v>715</v>
      </c>
      <c r="E168" s="103" t="s">
        <v>58</v>
      </c>
      <c r="F168" s="232">
        <v>4.7</v>
      </c>
      <c r="I168" s="218"/>
      <c r="J168" s="218"/>
    </row>
    <row r="169" spans="1:17" s="217" customFormat="1" x14ac:dyDescent="0.2">
      <c r="A169" s="333"/>
      <c r="B169" s="237" t="s">
        <v>462</v>
      </c>
      <c r="C169" s="218"/>
      <c r="D169" s="27"/>
      <c r="E169" s="220"/>
      <c r="F169" s="222"/>
      <c r="I169" s="218"/>
      <c r="J169" s="218"/>
    </row>
    <row r="170" spans="1:17" s="217" customFormat="1" ht="16.5" thickBot="1" x14ac:dyDescent="0.25">
      <c r="A170" s="333"/>
      <c r="B170" s="229" t="s">
        <v>11</v>
      </c>
      <c r="C170" s="97" t="s">
        <v>137</v>
      </c>
      <c r="D170" s="227" t="s">
        <v>718</v>
      </c>
      <c r="E170" s="101" t="s">
        <v>380</v>
      </c>
      <c r="F170" s="235">
        <f>(F162*F161)^2/F168</f>
        <v>204.732</v>
      </c>
      <c r="I170" s="218"/>
      <c r="J170" s="218"/>
    </row>
    <row r="171" spans="1:17" s="217" customFormat="1" ht="15" thickBot="1" x14ac:dyDescent="0.25">
      <c r="A171" s="333"/>
      <c r="B171" s="225" t="s">
        <v>3</v>
      </c>
      <c r="C171" s="69" t="s">
        <v>59</v>
      </c>
      <c r="D171" s="225" t="s">
        <v>717</v>
      </c>
      <c r="E171" s="103" t="s">
        <v>12</v>
      </c>
      <c r="F171" s="115">
        <v>330</v>
      </c>
      <c r="I171" s="218"/>
      <c r="J171" s="218"/>
    </row>
    <row r="172" spans="1:17" s="217" customFormat="1" ht="15.75" x14ac:dyDescent="0.2">
      <c r="A172" s="333"/>
      <c r="B172" s="229" t="s">
        <v>11</v>
      </c>
      <c r="C172" s="97" t="s">
        <v>424</v>
      </c>
      <c r="D172" s="227" t="s">
        <v>716</v>
      </c>
      <c r="E172" s="228" t="s">
        <v>57</v>
      </c>
      <c r="F172" s="234">
        <f>1/(1000*2*PI()*SQRT((F168*10^-6*F171*10^-6)))</f>
        <v>4.0412361826949263</v>
      </c>
      <c r="I172" s="218"/>
      <c r="J172" s="218"/>
    </row>
    <row r="173" spans="1:17" s="217" customFormat="1" x14ac:dyDescent="0.2">
      <c r="A173" s="333"/>
      <c r="B173" s="11" t="s">
        <v>378</v>
      </c>
      <c r="C173" s="218"/>
      <c r="D173" s="27"/>
      <c r="E173" s="220"/>
      <c r="F173" s="223"/>
      <c r="I173" s="218"/>
      <c r="J173" s="218"/>
    </row>
    <row r="174" spans="1:17" s="217" customFormat="1" ht="15.75" x14ac:dyDescent="0.2">
      <c r="A174" s="333"/>
      <c r="B174" s="229" t="s">
        <v>11</v>
      </c>
      <c r="C174" s="97" t="s">
        <v>425</v>
      </c>
      <c r="D174" s="94" t="s">
        <v>161</v>
      </c>
      <c r="E174" s="228" t="s">
        <v>60</v>
      </c>
      <c r="F174" s="234">
        <f>F167*((1/(2*PI()*F33*F171*0.000001))/((1/(2*PI()*F33*F171*0.000001))+(2*PI()*F33*F168*0.000001)))*1000</f>
        <v>0.45740886253097712</v>
      </c>
      <c r="I174" s="218"/>
      <c r="J174" s="218"/>
    </row>
    <row r="175" spans="1:17" s="217" customFormat="1" ht="13.5" thickBot="1" x14ac:dyDescent="0.25">
      <c r="A175" s="333"/>
      <c r="B175" s="11" t="s">
        <v>197</v>
      </c>
      <c r="C175" s="218"/>
      <c r="D175" s="27"/>
      <c r="E175" s="220"/>
      <c r="F175" s="223"/>
      <c r="I175" s="218"/>
      <c r="J175" s="218"/>
    </row>
    <row r="176" spans="1:17" s="217" customFormat="1" ht="15" thickBot="1" x14ac:dyDescent="0.25">
      <c r="A176" s="218"/>
      <c r="B176" s="225" t="s">
        <v>3</v>
      </c>
      <c r="C176" s="69" t="s">
        <v>198</v>
      </c>
      <c r="D176" s="69" t="s">
        <v>252</v>
      </c>
      <c r="E176" s="72" t="s">
        <v>14</v>
      </c>
      <c r="F176" s="107">
        <v>12</v>
      </c>
      <c r="G176" s="218"/>
      <c r="I176" s="218"/>
      <c r="J176" s="218"/>
    </row>
    <row r="177" spans="1:10" s="217" customFormat="1" ht="13.5" thickBot="1" x14ac:dyDescent="0.25">
      <c r="B177" s="237" t="s">
        <v>428</v>
      </c>
      <c r="C177" s="38"/>
      <c r="D177" s="27"/>
      <c r="E177" s="220"/>
      <c r="F177" s="57"/>
      <c r="I177" s="218"/>
      <c r="J177" s="218"/>
    </row>
    <row r="178" spans="1:10" s="217" customFormat="1" ht="15" thickBot="1" x14ac:dyDescent="0.25">
      <c r="A178" s="11"/>
      <c r="B178" s="225" t="s">
        <v>3</v>
      </c>
      <c r="C178" s="225" t="s">
        <v>641</v>
      </c>
      <c r="D178" s="225" t="s">
        <v>642</v>
      </c>
      <c r="E178" s="103" t="s">
        <v>125</v>
      </c>
      <c r="F178" s="107">
        <v>3</v>
      </c>
      <c r="G178" s="218"/>
      <c r="I178" s="218"/>
      <c r="J178" s="218"/>
    </row>
    <row r="179" spans="1:10" s="217" customFormat="1" ht="15" thickBot="1" x14ac:dyDescent="0.25">
      <c r="A179" s="11"/>
      <c r="B179" s="225" t="s">
        <v>3</v>
      </c>
      <c r="C179" s="69" t="s">
        <v>199</v>
      </c>
      <c r="D179" s="69" t="s">
        <v>253</v>
      </c>
      <c r="E179" s="103" t="s">
        <v>60</v>
      </c>
      <c r="F179" s="107">
        <v>6</v>
      </c>
      <c r="G179" s="218"/>
      <c r="I179" s="218"/>
      <c r="J179" s="218"/>
    </row>
    <row r="180" spans="1:10" s="217" customFormat="1" ht="16.5" thickBot="1" x14ac:dyDescent="0.25">
      <c r="B180" s="229" t="s">
        <v>11</v>
      </c>
      <c r="C180" s="332" t="s">
        <v>657</v>
      </c>
      <c r="D180" s="94" t="s">
        <v>156</v>
      </c>
      <c r="E180" s="228" t="s">
        <v>12</v>
      </c>
      <c r="F180" s="233">
        <f>(F178*10^-3*12*10^-3/F179)*10^6</f>
        <v>6.0000000000000009</v>
      </c>
      <c r="I180" s="218"/>
      <c r="J180" s="218"/>
    </row>
    <row r="181" spans="1:10" s="217" customFormat="1" ht="15" thickBot="1" x14ac:dyDescent="0.25">
      <c r="B181" s="225" t="s">
        <v>3</v>
      </c>
      <c r="C181" s="21" t="s">
        <v>426</v>
      </c>
      <c r="D181" s="69" t="s">
        <v>427</v>
      </c>
      <c r="E181" s="72" t="s">
        <v>12</v>
      </c>
      <c r="F181" s="96">
        <v>22</v>
      </c>
      <c r="I181" s="218"/>
      <c r="J181" s="218"/>
    </row>
    <row r="182" spans="1:10" s="217" customFormat="1" ht="15" thickBot="1" x14ac:dyDescent="0.25">
      <c r="B182" s="225" t="s">
        <v>3</v>
      </c>
      <c r="C182" s="225" t="s">
        <v>532</v>
      </c>
      <c r="D182" s="225" t="s">
        <v>533</v>
      </c>
      <c r="E182" s="103" t="s">
        <v>4</v>
      </c>
      <c r="F182" s="107">
        <v>1.1000000000000001</v>
      </c>
      <c r="I182" s="218"/>
      <c r="J182" s="218"/>
    </row>
    <row r="183" spans="1:10" s="217" customFormat="1" ht="15" thickBot="1" x14ac:dyDescent="0.25">
      <c r="B183" s="225" t="s">
        <v>3</v>
      </c>
      <c r="C183" s="225" t="s">
        <v>535</v>
      </c>
      <c r="D183" s="225" t="s">
        <v>534</v>
      </c>
      <c r="E183" s="103" t="s">
        <v>125</v>
      </c>
      <c r="F183" s="107">
        <v>0.2</v>
      </c>
      <c r="I183" s="218"/>
      <c r="J183" s="218"/>
    </row>
    <row r="184" spans="1:10" s="217" customFormat="1" ht="15" thickBot="1" x14ac:dyDescent="0.25">
      <c r="B184" s="225" t="s">
        <v>3</v>
      </c>
      <c r="C184" s="225" t="s">
        <v>536</v>
      </c>
      <c r="D184" s="225" t="s">
        <v>537</v>
      </c>
      <c r="E184" s="103" t="s">
        <v>4</v>
      </c>
      <c r="F184" s="107">
        <v>16</v>
      </c>
      <c r="I184" s="218"/>
      <c r="J184" s="218"/>
    </row>
    <row r="185" spans="1:10" s="217" customFormat="1" ht="16.5" thickBot="1" x14ac:dyDescent="0.25">
      <c r="B185" s="255" t="s">
        <v>11</v>
      </c>
      <c r="C185" s="261" t="s">
        <v>658</v>
      </c>
      <c r="D185" s="256" t="s">
        <v>570</v>
      </c>
      <c r="E185" s="257" t="s">
        <v>14</v>
      </c>
      <c r="F185" s="258">
        <f>((F182*0.000001*F181)/(F183*0.001))*1000+((F184*0.000001*F181)/(F178*0.001))*1000</f>
        <v>238.33333333333334</v>
      </c>
      <c r="I185" s="218"/>
      <c r="J185" s="218"/>
    </row>
    <row r="186" spans="1:10" s="217" customFormat="1" x14ac:dyDescent="0.2">
      <c r="B186" s="237" t="s">
        <v>163</v>
      </c>
      <c r="C186" s="38"/>
      <c r="D186" s="27"/>
      <c r="E186" s="220"/>
      <c r="F186" s="57"/>
      <c r="I186" s="218"/>
      <c r="J186" s="218"/>
    </row>
    <row r="187" spans="1:10" s="217" customFormat="1" ht="13.5" thickBot="1" x14ac:dyDescent="0.25">
      <c r="B187" s="11" t="s">
        <v>61</v>
      </c>
      <c r="D187" s="58"/>
      <c r="I187" s="218"/>
      <c r="J187" s="218"/>
    </row>
    <row r="188" spans="1:10" s="217" customFormat="1" ht="16.5" thickBot="1" x14ac:dyDescent="0.25">
      <c r="B188" s="100" t="s">
        <v>11</v>
      </c>
      <c r="C188" s="97" t="s">
        <v>138</v>
      </c>
      <c r="D188" s="94" t="s">
        <v>254</v>
      </c>
      <c r="E188" s="228" t="s">
        <v>7</v>
      </c>
      <c r="F188" s="233">
        <f>F38*1*2</f>
        <v>0.7381776239907728</v>
      </c>
      <c r="G188" s="218"/>
      <c r="I188" s="218"/>
      <c r="J188" s="218"/>
    </row>
    <row r="189" spans="1:10" s="217" customFormat="1" ht="13.5" thickBot="1" x14ac:dyDescent="0.25">
      <c r="B189" s="11" t="s">
        <v>62</v>
      </c>
      <c r="D189" s="58"/>
      <c r="I189" s="218"/>
      <c r="J189" s="218"/>
    </row>
    <row r="190" spans="1:10" s="217" customFormat="1" ht="15.75" x14ac:dyDescent="0.2">
      <c r="B190" s="100" t="s">
        <v>11</v>
      </c>
      <c r="C190" s="97" t="s">
        <v>139</v>
      </c>
      <c r="D190" s="94" t="s">
        <v>255</v>
      </c>
      <c r="E190" s="228" t="s">
        <v>63</v>
      </c>
      <c r="F190" s="93">
        <f>F63*0.001*F66*17.2/F96</f>
        <v>1205.4398235956248</v>
      </c>
      <c r="G190" s="221"/>
      <c r="I190" s="218"/>
      <c r="J190" s="218"/>
    </row>
    <row r="191" spans="1:10" s="217" customFormat="1" ht="15.75" x14ac:dyDescent="0.2">
      <c r="B191" s="100" t="s">
        <v>11</v>
      </c>
      <c r="C191" s="97" t="s">
        <v>139</v>
      </c>
      <c r="D191" s="227" t="s">
        <v>719</v>
      </c>
      <c r="E191" s="228" t="s">
        <v>63</v>
      </c>
      <c r="F191" s="129">
        <f>F63*0.001*F68*17.2/F110</f>
        <v>20.565344287401253</v>
      </c>
      <c r="G191" s="221"/>
      <c r="I191" s="26"/>
      <c r="J191" s="26"/>
    </row>
    <row r="192" spans="1:10" s="385" customFormat="1" ht="15.75" x14ac:dyDescent="0.2">
      <c r="B192" s="100" t="s">
        <v>11</v>
      </c>
      <c r="C192" s="372" t="s">
        <v>139</v>
      </c>
      <c r="D192" s="227" t="s">
        <v>720</v>
      </c>
      <c r="E192" s="228" t="s">
        <v>63</v>
      </c>
      <c r="F192" s="129">
        <f>F63*0.001*F70*17.2/F110</f>
        <v>8.5688934530838559</v>
      </c>
      <c r="G192" s="221"/>
      <c r="I192" s="26"/>
      <c r="J192" s="26"/>
    </row>
    <row r="193" spans="1:17" s="217" customFormat="1" ht="15.75" x14ac:dyDescent="0.2">
      <c r="B193" s="100" t="s">
        <v>11</v>
      </c>
      <c r="C193" s="97" t="s">
        <v>140</v>
      </c>
      <c r="D193" s="94" t="s">
        <v>257</v>
      </c>
      <c r="E193" s="228" t="s">
        <v>64</v>
      </c>
      <c r="F193" s="129">
        <f>F54^2*F190</f>
        <v>130.26364986290778</v>
      </c>
      <c r="G193" s="221"/>
      <c r="I193" s="218"/>
      <c r="J193" s="218"/>
    </row>
    <row r="194" spans="1:17" s="217" customFormat="1" ht="15.75" x14ac:dyDescent="0.2">
      <c r="B194" s="100" t="s">
        <v>11</v>
      </c>
      <c r="C194" s="97" t="s">
        <v>141</v>
      </c>
      <c r="D194" s="227" t="s">
        <v>721</v>
      </c>
      <c r="E194" s="228" t="s">
        <v>64</v>
      </c>
      <c r="F194" s="129">
        <f>F129^2*F191</f>
        <v>111.67662733467203</v>
      </c>
      <c r="G194" s="404"/>
      <c r="H194" s="405"/>
      <c r="I194" s="218"/>
      <c r="J194" s="218"/>
    </row>
    <row r="195" spans="1:17" s="385" customFormat="1" ht="15.75" x14ac:dyDescent="0.2">
      <c r="B195" s="100" t="s">
        <v>11</v>
      </c>
      <c r="C195" s="372" t="s">
        <v>141</v>
      </c>
      <c r="D195" s="227" t="s">
        <v>722</v>
      </c>
      <c r="E195" s="228" t="s">
        <v>64</v>
      </c>
      <c r="F195" s="129">
        <f>F133^2*F192</f>
        <v>1.1138507805244078</v>
      </c>
      <c r="G195" s="60"/>
      <c r="I195" s="380"/>
      <c r="J195" s="380"/>
    </row>
    <row r="196" spans="1:17" s="217" customFormat="1" ht="16.5" thickBot="1" x14ac:dyDescent="0.25">
      <c r="B196" s="100" t="s">
        <v>11</v>
      </c>
      <c r="C196" s="97" t="s">
        <v>429</v>
      </c>
      <c r="D196" s="94" t="s">
        <v>259</v>
      </c>
      <c r="E196" s="228" t="s">
        <v>7</v>
      </c>
      <c r="F196" s="186">
        <f>SUM(F193:F195)/1000</f>
        <v>0.24305412797810422</v>
      </c>
      <c r="I196" s="218"/>
      <c r="J196" s="218"/>
    </row>
    <row r="197" spans="1:17" s="217" customFormat="1" ht="13.5" thickBot="1" x14ac:dyDescent="0.25">
      <c r="B197" s="11" t="s">
        <v>65</v>
      </c>
      <c r="D197" s="58"/>
      <c r="I197" s="218"/>
      <c r="J197" s="218"/>
    </row>
    <row r="198" spans="1:17" s="218" customFormat="1" ht="16.5" thickBot="1" x14ac:dyDescent="0.25">
      <c r="A198" s="217"/>
      <c r="B198" s="100" t="s">
        <v>11</v>
      </c>
      <c r="C198" s="97" t="s">
        <v>430</v>
      </c>
      <c r="D198" s="227" t="s">
        <v>723</v>
      </c>
      <c r="E198" s="228" t="s">
        <v>7</v>
      </c>
      <c r="F198" s="233">
        <f>F129*F19</f>
        <v>0.69909212066319015</v>
      </c>
      <c r="G198" s="221"/>
      <c r="H198" s="217"/>
      <c r="I198" s="220"/>
      <c r="J198" s="220"/>
      <c r="K198" s="217"/>
      <c r="L198" s="217"/>
      <c r="M198" s="217"/>
      <c r="N198" s="217"/>
      <c r="O198" s="217"/>
      <c r="P198" s="217"/>
      <c r="Q198" s="217"/>
    </row>
    <row r="199" spans="1:17" s="218" customFormat="1" ht="16.5" thickBot="1" x14ac:dyDescent="0.25">
      <c r="A199" s="217"/>
      <c r="B199" s="100" t="s">
        <v>11</v>
      </c>
      <c r="C199" s="97" t="s">
        <v>430</v>
      </c>
      <c r="D199" s="227" t="s">
        <v>724</v>
      </c>
      <c r="E199" s="228" t="s">
        <v>7</v>
      </c>
      <c r="F199" s="233">
        <f>F133*F22</f>
        <v>0.10816142244222941</v>
      </c>
      <c r="G199" s="221"/>
      <c r="H199" s="217"/>
      <c r="I199" s="220"/>
      <c r="J199" s="220"/>
      <c r="K199" s="217"/>
      <c r="L199" s="217"/>
      <c r="M199" s="217"/>
      <c r="N199" s="217"/>
      <c r="O199" s="217"/>
      <c r="P199" s="217"/>
      <c r="Q199" s="217"/>
    </row>
    <row r="200" spans="1:17" s="217" customFormat="1" ht="13.5" thickBot="1" x14ac:dyDescent="0.25">
      <c r="A200" s="218"/>
      <c r="B200" s="11" t="s">
        <v>352</v>
      </c>
      <c r="C200" s="218"/>
      <c r="D200" s="27"/>
      <c r="E200" s="220"/>
      <c r="F200" s="222"/>
      <c r="G200" s="221"/>
      <c r="H200" s="218"/>
      <c r="I200" s="220"/>
      <c r="J200" s="220"/>
      <c r="K200" s="218"/>
      <c r="L200" s="218"/>
      <c r="M200" s="218"/>
      <c r="N200" s="218"/>
      <c r="O200" s="218"/>
      <c r="P200" s="218"/>
      <c r="Q200" s="218"/>
    </row>
    <row r="201" spans="1:17" s="217" customFormat="1" ht="16.5" thickBot="1" x14ac:dyDescent="0.25">
      <c r="B201" s="100" t="s">
        <v>11</v>
      </c>
      <c r="C201" s="97" t="s">
        <v>431</v>
      </c>
      <c r="D201" s="94" t="s">
        <v>469</v>
      </c>
      <c r="E201" s="228" t="s">
        <v>7</v>
      </c>
      <c r="F201" s="233">
        <f>0.5*F118*F52^2*F33*(F120+F75)/F120</f>
        <v>0.51399798209229164</v>
      </c>
      <c r="G201" s="221"/>
      <c r="I201" s="220"/>
      <c r="J201" s="220"/>
    </row>
    <row r="202" spans="1:17" s="217" customFormat="1" ht="13.5" thickBot="1" x14ac:dyDescent="0.25">
      <c r="B202" s="11" t="s">
        <v>159</v>
      </c>
      <c r="C202" s="218"/>
      <c r="D202" s="27"/>
      <c r="E202" s="220"/>
      <c r="F202" s="60"/>
      <c r="G202" s="221"/>
      <c r="I202" s="220"/>
      <c r="J202" s="220"/>
    </row>
    <row r="203" spans="1:17" s="217" customFormat="1" ht="19.5" thickBot="1" x14ac:dyDescent="0.25">
      <c r="A203" s="11"/>
      <c r="B203" s="225" t="s">
        <v>3</v>
      </c>
      <c r="C203" s="69" t="s">
        <v>101</v>
      </c>
      <c r="D203" s="69" t="s">
        <v>260</v>
      </c>
      <c r="E203" s="230" t="s">
        <v>56</v>
      </c>
      <c r="F203" s="389">
        <v>8.59</v>
      </c>
      <c r="I203" s="218"/>
      <c r="J203" s="218"/>
    </row>
    <row r="204" spans="1:17" s="217" customFormat="1" ht="13.5" thickBot="1" x14ac:dyDescent="0.25">
      <c r="A204" s="11"/>
      <c r="B204" s="225" t="s">
        <v>3</v>
      </c>
      <c r="C204" s="69" t="s">
        <v>173</v>
      </c>
      <c r="D204" s="69" t="s">
        <v>187</v>
      </c>
      <c r="E204" s="230" t="s">
        <v>67</v>
      </c>
      <c r="F204" s="390">
        <v>3</v>
      </c>
      <c r="I204" s="218"/>
      <c r="J204" s="64"/>
      <c r="K204" s="64"/>
      <c r="L204" s="64"/>
      <c r="M204" s="64"/>
      <c r="N204" s="64"/>
    </row>
    <row r="205" spans="1:17" s="217" customFormat="1" ht="15" thickBot="1" x14ac:dyDescent="0.25">
      <c r="B205" s="225" t="s">
        <v>3</v>
      </c>
      <c r="C205" s="225" t="s">
        <v>643</v>
      </c>
      <c r="D205" s="225" t="s">
        <v>639</v>
      </c>
      <c r="E205" s="230" t="s">
        <v>67</v>
      </c>
      <c r="F205" s="389">
        <v>4</v>
      </c>
      <c r="I205" s="218"/>
      <c r="J205" s="220"/>
      <c r="K205" s="220"/>
      <c r="L205" s="220"/>
      <c r="M205" s="220"/>
      <c r="N205" s="220"/>
    </row>
    <row r="206" spans="1:17" s="217" customFormat="1" x14ac:dyDescent="0.2">
      <c r="B206" s="11" t="s">
        <v>66</v>
      </c>
      <c r="C206" s="23"/>
      <c r="D206" s="23"/>
      <c r="E206" s="49"/>
      <c r="F206" s="59"/>
      <c r="I206" s="218"/>
      <c r="J206" s="220"/>
      <c r="K206" s="220"/>
      <c r="L206" s="220"/>
      <c r="M206" s="220"/>
      <c r="N206" s="220"/>
    </row>
    <row r="207" spans="1:17" s="217" customFormat="1" ht="15.75" x14ac:dyDescent="0.2">
      <c r="B207" s="100" t="s">
        <v>11</v>
      </c>
      <c r="C207" s="97" t="s">
        <v>175</v>
      </c>
      <c r="D207" s="94" t="s">
        <v>261</v>
      </c>
      <c r="E207" s="228" t="s">
        <v>7</v>
      </c>
      <c r="F207" s="337">
        <f>0.5*(F204+F205)*10^-12*(F41-F75)^2*F33</f>
        <v>5.7922623185414441E-6</v>
      </c>
      <c r="I207" s="218"/>
      <c r="J207" s="218"/>
    </row>
    <row r="208" spans="1:17" s="217" customFormat="1" ht="13.5" thickBot="1" x14ac:dyDescent="0.25">
      <c r="B208" s="100" t="s">
        <v>11</v>
      </c>
      <c r="C208" s="97" t="s">
        <v>179</v>
      </c>
      <c r="D208" s="94" t="s">
        <v>172</v>
      </c>
      <c r="E208" s="228" t="s">
        <v>7</v>
      </c>
      <c r="F208" s="187">
        <f>F54^2*F203</f>
        <v>0.92826263942790088</v>
      </c>
      <c r="I208" s="218"/>
      <c r="J208" s="218"/>
    </row>
    <row r="209" spans="1:31" s="217" customFormat="1" ht="13.5" thickBot="1" x14ac:dyDescent="0.25">
      <c r="B209" s="100" t="s">
        <v>11</v>
      </c>
      <c r="C209" s="97" t="s">
        <v>180</v>
      </c>
      <c r="D209" s="94" t="s">
        <v>68</v>
      </c>
      <c r="E209" s="228" t="s">
        <v>7</v>
      </c>
      <c r="F209" s="188">
        <f>SUM(F207:F208)</f>
        <v>0.92826843169021944</v>
      </c>
      <c r="I209" s="218"/>
      <c r="J209" s="218"/>
    </row>
    <row r="210" spans="1:31" s="217" customFormat="1" x14ac:dyDescent="0.2">
      <c r="B210" s="11" t="s">
        <v>158</v>
      </c>
      <c r="C210" s="218"/>
      <c r="D210" s="27"/>
      <c r="E210" s="220"/>
      <c r="F210" s="60"/>
      <c r="I210" s="218"/>
      <c r="J210" s="218"/>
    </row>
    <row r="211" spans="1:31" s="217" customFormat="1" ht="15.75" x14ac:dyDescent="0.2">
      <c r="B211" s="100" t="s">
        <v>11</v>
      </c>
      <c r="C211" s="97" t="s">
        <v>181</v>
      </c>
      <c r="D211" s="94" t="s">
        <v>261</v>
      </c>
      <c r="E211" s="228" t="s">
        <v>7</v>
      </c>
      <c r="F211" s="187">
        <f>0.5*(F204+F205)*10^-12*(F39-F75)^2*(F33*1.3)</f>
        <v>3.2856903947699329E-2</v>
      </c>
      <c r="I211" s="218"/>
      <c r="J211" s="218"/>
    </row>
    <row r="212" spans="1:31" s="217" customFormat="1" ht="13.5" thickBot="1" x14ac:dyDescent="0.25">
      <c r="B212" s="100" t="s">
        <v>11</v>
      </c>
      <c r="C212" s="97" t="s">
        <v>432</v>
      </c>
      <c r="D212" s="94" t="s">
        <v>172</v>
      </c>
      <c r="E212" s="228" t="s">
        <v>7</v>
      </c>
      <c r="F212" s="187">
        <f>(1/3)*F203*F52^2*F49*F52*F33*1.3/F39</f>
        <v>0.25514883569450841</v>
      </c>
      <c r="I212" s="218"/>
      <c r="J212" s="218"/>
    </row>
    <row r="213" spans="1:31" s="217" customFormat="1" ht="13.5" thickBot="1" x14ac:dyDescent="0.25">
      <c r="B213" s="100" t="s">
        <v>11</v>
      </c>
      <c r="C213" s="97" t="s">
        <v>182</v>
      </c>
      <c r="D213" s="94" t="s">
        <v>68</v>
      </c>
      <c r="E213" s="228" t="s">
        <v>7</v>
      </c>
      <c r="F213" s="188">
        <f>SUM(F211:F212)</f>
        <v>0.28800573964220777</v>
      </c>
      <c r="I213" s="218"/>
      <c r="J213" s="218"/>
    </row>
    <row r="214" spans="1:31" s="218" customFormat="1" ht="13.5" thickBot="1" x14ac:dyDescent="0.25">
      <c r="A214" s="217"/>
      <c r="B214" s="23" t="s">
        <v>162</v>
      </c>
      <c r="D214" s="27"/>
      <c r="E214" s="220"/>
      <c r="F214" s="60"/>
      <c r="G214" s="217"/>
      <c r="H214" s="217"/>
      <c r="K214" s="217"/>
      <c r="L214" s="217"/>
      <c r="M214" s="217"/>
      <c r="N214" s="217"/>
      <c r="O214" s="217"/>
      <c r="P214" s="217"/>
      <c r="Q214" s="217"/>
    </row>
    <row r="215" spans="1:31" s="218" customFormat="1" ht="13.5" thickBot="1" x14ac:dyDescent="0.25">
      <c r="B215" s="69" t="s">
        <v>3</v>
      </c>
      <c r="C215" s="69" t="s">
        <v>185</v>
      </c>
      <c r="D215" s="69" t="s">
        <v>68</v>
      </c>
      <c r="E215" s="72" t="s">
        <v>7</v>
      </c>
      <c r="F215" s="133">
        <v>0.92830000000000001</v>
      </c>
    </row>
    <row r="216" spans="1:31" s="218" customFormat="1" ht="13.5" thickBot="1" x14ac:dyDescent="0.25">
      <c r="B216" s="69" t="s">
        <v>3</v>
      </c>
      <c r="C216" s="69" t="s">
        <v>186</v>
      </c>
      <c r="D216" s="69" t="s">
        <v>146</v>
      </c>
      <c r="E216" s="72" t="s">
        <v>147</v>
      </c>
      <c r="F216" s="168">
        <v>96</v>
      </c>
    </row>
    <row r="217" spans="1:31" s="218" customFormat="1" x14ac:dyDescent="0.2">
      <c r="B217" s="100" t="s">
        <v>11</v>
      </c>
      <c r="C217" s="120" t="s">
        <v>433</v>
      </c>
      <c r="D217" s="94" t="s">
        <v>383</v>
      </c>
      <c r="E217" s="228" t="s">
        <v>148</v>
      </c>
      <c r="F217" s="128">
        <f>F216*F215</f>
        <v>89.116799999999998</v>
      </c>
    </row>
    <row r="218" spans="1:31" s="217" customFormat="1" ht="13.5" thickBot="1" x14ac:dyDescent="0.25">
      <c r="A218" s="218"/>
      <c r="B218" s="100" t="s">
        <v>11</v>
      </c>
      <c r="C218" s="120" t="s">
        <v>434</v>
      </c>
      <c r="D218" s="94" t="s">
        <v>155</v>
      </c>
      <c r="E218" s="228" t="s">
        <v>149</v>
      </c>
      <c r="F218" s="148">
        <f>F35+F217</f>
        <v>139.11680000000001</v>
      </c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</row>
    <row r="219" spans="1:31" s="217" customFormat="1" x14ac:dyDescent="0.2">
      <c r="B219" s="23" t="s">
        <v>353</v>
      </c>
      <c r="C219" s="218"/>
      <c r="D219" s="27"/>
      <c r="E219" s="220"/>
      <c r="F219" s="222"/>
      <c r="G219" s="218"/>
      <c r="I219" s="218"/>
      <c r="J219" s="218"/>
    </row>
    <row r="220" spans="1:31" s="217" customFormat="1" ht="14.25" x14ac:dyDescent="0.2">
      <c r="B220" s="255" t="s">
        <v>11</v>
      </c>
      <c r="C220" s="259" t="s">
        <v>569</v>
      </c>
      <c r="D220" s="256" t="s">
        <v>69</v>
      </c>
      <c r="E220" s="257" t="s">
        <v>7</v>
      </c>
      <c r="F220" s="260">
        <f>F73*0.9*10^-3</f>
        <v>1.2375000000000001E-2</v>
      </c>
      <c r="I220" s="218"/>
      <c r="J220" s="218"/>
    </row>
    <row r="221" spans="1:31" s="217" customFormat="1" ht="13.5" thickBot="1" x14ac:dyDescent="0.25">
      <c r="B221" s="11" t="s">
        <v>70</v>
      </c>
      <c r="D221" s="58"/>
      <c r="I221" s="218"/>
      <c r="J221" s="218"/>
    </row>
    <row r="222" spans="1:31" s="217" customFormat="1" ht="16.5" thickBot="1" x14ac:dyDescent="0.25">
      <c r="B222" s="100" t="s">
        <v>11</v>
      </c>
      <c r="C222" s="120" t="s">
        <v>435</v>
      </c>
      <c r="D222" s="94" t="s">
        <v>152</v>
      </c>
      <c r="E222" s="228" t="s">
        <v>7</v>
      </c>
      <c r="F222" s="233">
        <f>SUM(F188+F196+F198+F201+F215+F220)</f>
        <v>3.134996854724359</v>
      </c>
      <c r="G222" s="221"/>
      <c r="I222" s="220"/>
      <c r="J222" s="220"/>
    </row>
    <row r="223" spans="1:31" s="217" customFormat="1" ht="13.5" thickBot="1" x14ac:dyDescent="0.25">
      <c r="B223" s="23" t="s">
        <v>437</v>
      </c>
      <c r="C223" s="218"/>
      <c r="D223" s="27"/>
      <c r="E223" s="220"/>
      <c r="F223" s="75"/>
      <c r="G223" s="221"/>
      <c r="I223" s="220"/>
      <c r="J223" s="220"/>
    </row>
    <row r="224" spans="1:31" s="217" customFormat="1" ht="16.5" thickBot="1" x14ac:dyDescent="0.25">
      <c r="B224" s="100" t="s">
        <v>11</v>
      </c>
      <c r="C224" s="120" t="s">
        <v>436</v>
      </c>
      <c r="D224" s="94" t="s">
        <v>438</v>
      </c>
      <c r="E224" s="228"/>
      <c r="F224" s="188">
        <f>F23/(F23+F222)</f>
        <v>0.8361642346468251</v>
      </c>
      <c r="G224" s="221"/>
      <c r="I224" s="220"/>
      <c r="J224" s="220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</row>
    <row r="225" spans="1:17" s="218" customFormat="1" ht="13.5" thickBot="1" x14ac:dyDescent="0.25">
      <c r="B225" s="169" t="s">
        <v>666</v>
      </c>
      <c r="C225" s="224"/>
      <c r="D225" s="80"/>
      <c r="E225" s="74"/>
      <c r="F225" s="75"/>
      <c r="G225" s="76"/>
      <c r="H225" s="224"/>
      <c r="I225" s="74"/>
      <c r="J225" s="74"/>
      <c r="K225" s="224"/>
      <c r="L225" s="224"/>
      <c r="M225" s="224"/>
      <c r="N225" s="224"/>
      <c r="O225" s="224"/>
      <c r="P225" s="224"/>
      <c r="Q225" s="224"/>
    </row>
    <row r="226" spans="1:17" s="217" customFormat="1" ht="16.5" thickBot="1" x14ac:dyDescent="0.25">
      <c r="B226" s="225" t="s">
        <v>3</v>
      </c>
      <c r="C226" s="69" t="s">
        <v>126</v>
      </c>
      <c r="D226" s="231" t="s">
        <v>543</v>
      </c>
      <c r="E226" s="230" t="s">
        <v>125</v>
      </c>
      <c r="F226" s="107">
        <v>1</v>
      </c>
      <c r="I226" s="218"/>
      <c r="J226" s="218"/>
    </row>
    <row r="227" spans="1:17" s="217" customFormat="1" ht="16.5" thickBot="1" x14ac:dyDescent="0.25">
      <c r="B227" s="225" t="s">
        <v>3</v>
      </c>
      <c r="C227" s="225" t="s">
        <v>470</v>
      </c>
      <c r="D227" s="231" t="s">
        <v>699</v>
      </c>
      <c r="E227" s="230"/>
      <c r="F227" s="107">
        <v>1.5</v>
      </c>
      <c r="I227" s="218"/>
      <c r="J227" s="218"/>
    </row>
    <row r="228" spans="1:17" s="217" customFormat="1" ht="16.5" thickBot="1" x14ac:dyDescent="0.25">
      <c r="B228" s="225" t="s">
        <v>3</v>
      </c>
      <c r="C228" s="69" t="s">
        <v>127</v>
      </c>
      <c r="D228" s="231" t="s">
        <v>544</v>
      </c>
      <c r="E228" s="230" t="s">
        <v>125</v>
      </c>
      <c r="F228" s="107">
        <v>10</v>
      </c>
      <c r="I228" s="218"/>
      <c r="J228" s="218"/>
    </row>
    <row r="229" spans="1:17" s="217" customFormat="1" ht="16.5" thickBot="1" x14ac:dyDescent="0.25">
      <c r="B229" s="225" t="s">
        <v>3</v>
      </c>
      <c r="C229" s="225" t="s">
        <v>669</v>
      </c>
      <c r="D229" s="231" t="s">
        <v>670</v>
      </c>
      <c r="E229" s="103" t="s">
        <v>4</v>
      </c>
      <c r="F229" s="107">
        <v>2.5</v>
      </c>
      <c r="I229" s="218"/>
      <c r="J229" s="218"/>
    </row>
    <row r="230" spans="1:17" s="217" customFormat="1" ht="16.5" thickBot="1" x14ac:dyDescent="0.25">
      <c r="B230" s="225" t="s">
        <v>3</v>
      </c>
      <c r="C230" s="225" t="s">
        <v>674</v>
      </c>
      <c r="D230" s="231" t="s">
        <v>672</v>
      </c>
      <c r="E230" s="103"/>
      <c r="F230" s="107">
        <v>0.6</v>
      </c>
      <c r="I230" s="218"/>
      <c r="J230" s="218"/>
    </row>
    <row r="231" spans="1:17" s="217" customFormat="1" ht="16.5" thickBot="1" x14ac:dyDescent="0.25">
      <c r="B231" s="225" t="s">
        <v>3</v>
      </c>
      <c r="C231" s="225" t="s">
        <v>675</v>
      </c>
      <c r="D231" s="231" t="s">
        <v>673</v>
      </c>
      <c r="E231" s="103"/>
      <c r="F231" s="107">
        <v>0.4</v>
      </c>
      <c r="I231" s="218"/>
      <c r="J231" s="218"/>
    </row>
    <row r="232" spans="1:17" s="217" customFormat="1" ht="16.5" thickBot="1" x14ac:dyDescent="0.25">
      <c r="B232" s="225" t="s">
        <v>3</v>
      </c>
      <c r="C232" s="225" t="s">
        <v>667</v>
      </c>
      <c r="D232" s="231" t="s">
        <v>668</v>
      </c>
      <c r="E232" s="230" t="s">
        <v>125</v>
      </c>
      <c r="F232" s="107">
        <v>1</v>
      </c>
      <c r="I232" s="218"/>
      <c r="J232" s="218"/>
    </row>
    <row r="233" spans="1:17" s="217" customFormat="1" ht="13.5" thickBot="1" x14ac:dyDescent="0.25">
      <c r="B233" s="225" t="s">
        <v>3</v>
      </c>
      <c r="C233" s="225" t="s">
        <v>132</v>
      </c>
      <c r="D233" s="231" t="s">
        <v>130</v>
      </c>
      <c r="E233" s="230" t="s">
        <v>131</v>
      </c>
      <c r="F233" s="107">
        <v>3</v>
      </c>
      <c r="I233" s="218"/>
      <c r="J233" s="218"/>
    </row>
    <row r="234" spans="1:17" s="217" customFormat="1" ht="13.5" thickBot="1" x14ac:dyDescent="0.25">
      <c r="B234" s="229" t="s">
        <v>11</v>
      </c>
      <c r="C234" s="118" t="s">
        <v>671</v>
      </c>
      <c r="D234" s="227" t="s">
        <v>206</v>
      </c>
      <c r="E234" s="122" t="s">
        <v>53</v>
      </c>
      <c r="F234" s="370">
        <f>(F229/(F232*10^-3))/10^3</f>
        <v>2.5</v>
      </c>
      <c r="I234" s="218"/>
      <c r="J234" s="218"/>
    </row>
    <row r="235" spans="1:17" s="217" customFormat="1" ht="13.5" thickBot="1" x14ac:dyDescent="0.25">
      <c r="B235" s="225" t="s">
        <v>3</v>
      </c>
      <c r="C235" s="225" t="s">
        <v>440</v>
      </c>
      <c r="D235" s="225" t="s">
        <v>206</v>
      </c>
      <c r="E235" s="230" t="s">
        <v>53</v>
      </c>
      <c r="F235" s="107">
        <v>2.5</v>
      </c>
      <c r="I235" s="218"/>
      <c r="J235" s="218"/>
    </row>
    <row r="236" spans="1:17" s="217" customFormat="1" ht="13.5" thickBot="1" x14ac:dyDescent="0.25">
      <c r="B236" s="229" t="s">
        <v>11</v>
      </c>
      <c r="C236" s="118" t="s">
        <v>676</v>
      </c>
      <c r="D236" s="94" t="s">
        <v>207</v>
      </c>
      <c r="E236" s="228" t="s">
        <v>53</v>
      </c>
      <c r="F236" s="233">
        <f>((F17-F229)/(F230*F232*10^-3))/10^3</f>
        <v>15.833333333333334</v>
      </c>
      <c r="G236" s="221"/>
      <c r="I236" s="220"/>
      <c r="J236" s="220"/>
    </row>
    <row r="237" spans="1:17" s="217" customFormat="1" ht="13.5" thickBot="1" x14ac:dyDescent="0.25">
      <c r="B237" s="225" t="s">
        <v>3</v>
      </c>
      <c r="C237" s="225" t="s">
        <v>440</v>
      </c>
      <c r="D237" s="225" t="s">
        <v>207</v>
      </c>
      <c r="E237" s="230" t="s">
        <v>53</v>
      </c>
      <c r="F237" s="107">
        <v>16</v>
      </c>
      <c r="G237" s="221"/>
      <c r="I237" s="220"/>
      <c r="J237" s="220"/>
    </row>
    <row r="238" spans="1:17" s="218" customFormat="1" ht="13.5" thickBot="1" x14ac:dyDescent="0.25">
      <c r="A238" s="217"/>
      <c r="B238" s="229" t="s">
        <v>11</v>
      </c>
      <c r="C238" s="118" t="s">
        <v>677</v>
      </c>
      <c r="D238" s="227" t="s">
        <v>678</v>
      </c>
      <c r="E238" s="228" t="s">
        <v>53</v>
      </c>
      <c r="F238" s="233">
        <f>((F20-F229)/(F231*F232*10^-3))/10^3</f>
        <v>6.25</v>
      </c>
      <c r="G238" s="217"/>
      <c r="H238" s="217"/>
      <c r="K238" s="217"/>
      <c r="L238" s="217"/>
      <c r="M238" s="217"/>
      <c r="N238" s="217"/>
      <c r="O238" s="217"/>
      <c r="P238" s="217"/>
      <c r="Q238" s="217"/>
    </row>
    <row r="239" spans="1:17" s="218" customFormat="1" ht="13.5" thickBot="1" x14ac:dyDescent="0.25">
      <c r="A239" s="217"/>
      <c r="B239" s="225" t="s">
        <v>3</v>
      </c>
      <c r="C239" s="225" t="s">
        <v>679</v>
      </c>
      <c r="D239" s="225" t="s">
        <v>678</v>
      </c>
      <c r="E239" s="230" t="s">
        <v>53</v>
      </c>
      <c r="F239" s="107">
        <v>6.2</v>
      </c>
      <c r="G239" s="217"/>
      <c r="H239" s="217"/>
      <c r="K239" s="217"/>
      <c r="L239" s="217"/>
      <c r="M239" s="217"/>
      <c r="N239" s="217"/>
      <c r="O239" s="217"/>
      <c r="P239" s="217"/>
      <c r="Q239" s="217"/>
    </row>
    <row r="240" spans="1:17" s="217" customFormat="1" ht="13.5" thickBot="1" x14ac:dyDescent="0.25">
      <c r="B240" s="229" t="s">
        <v>11</v>
      </c>
      <c r="C240" s="120" t="s">
        <v>441</v>
      </c>
      <c r="D240" s="94" t="s">
        <v>208</v>
      </c>
      <c r="E240" s="228" t="s">
        <v>53</v>
      </c>
      <c r="F240" s="188">
        <f>(F17-(1.25+2.5))/F228</f>
        <v>0.82499999999999996</v>
      </c>
      <c r="G240" s="221"/>
      <c r="I240" s="220"/>
      <c r="J240" s="220"/>
    </row>
    <row r="241" spans="1:17" s="218" customFormat="1" ht="13.5" thickBot="1" x14ac:dyDescent="0.25">
      <c r="A241" s="217"/>
      <c r="B241" s="225" t="s">
        <v>3</v>
      </c>
      <c r="C241" s="225" t="s">
        <v>442</v>
      </c>
      <c r="D241" s="69" t="s">
        <v>208</v>
      </c>
      <c r="E241" s="230" t="s">
        <v>53</v>
      </c>
      <c r="F241" s="107">
        <v>0.82</v>
      </c>
      <c r="G241" s="217"/>
      <c r="H241" s="217"/>
      <c r="K241" s="217"/>
      <c r="L241" s="217"/>
      <c r="M241" s="217"/>
      <c r="N241" s="217"/>
      <c r="O241" s="217"/>
      <c r="P241" s="217"/>
      <c r="Q241" s="217"/>
    </row>
    <row r="242" spans="1:17" s="218" customFormat="1" ht="19.5" thickBot="1" x14ac:dyDescent="0.25">
      <c r="B242" s="225" t="s">
        <v>3</v>
      </c>
      <c r="C242" s="69" t="s">
        <v>202</v>
      </c>
      <c r="D242" s="231" t="s">
        <v>545</v>
      </c>
      <c r="E242" s="103" t="s">
        <v>4</v>
      </c>
      <c r="F242" s="107">
        <v>3.3</v>
      </c>
      <c r="G242" s="217"/>
      <c r="I242" s="220"/>
      <c r="J242" s="220"/>
    </row>
    <row r="243" spans="1:17" s="218" customFormat="1" ht="19.5" thickBot="1" x14ac:dyDescent="0.25">
      <c r="B243" s="225" t="s">
        <v>3</v>
      </c>
      <c r="C243" s="225" t="s">
        <v>540</v>
      </c>
      <c r="D243" s="231" t="s">
        <v>546</v>
      </c>
      <c r="E243" s="103" t="s">
        <v>4</v>
      </c>
      <c r="F243" s="107">
        <v>2.75</v>
      </c>
      <c r="G243" s="217"/>
      <c r="I243" s="220"/>
      <c r="J243" s="220"/>
    </row>
    <row r="244" spans="1:17" s="217" customFormat="1" ht="19.5" thickBot="1" x14ac:dyDescent="0.25">
      <c r="A244" s="218"/>
      <c r="B244" s="225" t="s">
        <v>3</v>
      </c>
      <c r="C244" s="69" t="s">
        <v>203</v>
      </c>
      <c r="D244" s="231" t="s">
        <v>547</v>
      </c>
      <c r="E244" s="230" t="s">
        <v>53</v>
      </c>
      <c r="F244" s="107">
        <v>15</v>
      </c>
      <c r="H244" s="218"/>
      <c r="I244" s="220"/>
      <c r="J244" s="220"/>
      <c r="K244" s="218"/>
      <c r="L244" s="218"/>
      <c r="M244" s="218"/>
      <c r="N244" s="218"/>
      <c r="O244" s="218"/>
      <c r="P244" s="218"/>
      <c r="Q244" s="218"/>
    </row>
    <row r="245" spans="1:17" s="217" customFormat="1" ht="13.5" thickBot="1" x14ac:dyDescent="0.25">
      <c r="B245" s="229" t="s">
        <v>11</v>
      </c>
      <c r="C245" s="120" t="s">
        <v>443</v>
      </c>
      <c r="D245" s="94" t="s">
        <v>209</v>
      </c>
      <c r="E245" s="228" t="s">
        <v>53</v>
      </c>
      <c r="F245" s="233">
        <f>((F241*1000*((F242-F243)/(F244*1000))/F227)+1.25)/(F226*0.001*1000)</f>
        <v>1.2700444444444445</v>
      </c>
      <c r="G245" s="221"/>
      <c r="I245" s="220"/>
      <c r="J245" s="220"/>
    </row>
    <row r="246" spans="1:17" s="218" customFormat="1" ht="13.5" thickBot="1" x14ac:dyDescent="0.25">
      <c r="A246" s="217"/>
      <c r="B246" s="225" t="s">
        <v>3</v>
      </c>
      <c r="C246" s="69" t="s">
        <v>444</v>
      </c>
      <c r="D246" s="69" t="s">
        <v>209</v>
      </c>
      <c r="E246" s="230" t="s">
        <v>53</v>
      </c>
      <c r="F246" s="107">
        <v>1.2</v>
      </c>
      <c r="G246" s="217"/>
      <c r="H246" s="217"/>
      <c r="K246" s="217"/>
      <c r="L246" s="217"/>
      <c r="M246" s="217"/>
      <c r="N246" s="217"/>
      <c r="O246" s="217"/>
      <c r="P246" s="217"/>
      <c r="Q246" s="217"/>
    </row>
    <row r="247" spans="1:17" s="218" customFormat="1" ht="16.5" thickBot="1" x14ac:dyDescent="0.25">
      <c r="A247" s="217"/>
      <c r="B247" s="229" t="s">
        <v>11</v>
      </c>
      <c r="C247" s="332" t="s">
        <v>676</v>
      </c>
      <c r="D247" s="227" t="s">
        <v>680</v>
      </c>
      <c r="E247" s="122" t="s">
        <v>4</v>
      </c>
      <c r="F247" s="371">
        <f>(F237*10^3*F230*F232*10^-3)+F229</f>
        <v>12.1</v>
      </c>
      <c r="G247" s="217"/>
      <c r="H247" s="217"/>
      <c r="K247" s="217"/>
      <c r="L247" s="217"/>
      <c r="M247" s="217"/>
      <c r="N247" s="217"/>
      <c r="O247" s="217"/>
      <c r="P247" s="217"/>
      <c r="Q247" s="217"/>
    </row>
    <row r="248" spans="1:17" s="218" customFormat="1" ht="16.5" thickBot="1" x14ac:dyDescent="0.25">
      <c r="A248" s="217"/>
      <c r="B248" s="229" t="s">
        <v>11</v>
      </c>
      <c r="C248" s="332" t="s">
        <v>677</v>
      </c>
      <c r="D248" s="227" t="s">
        <v>681</v>
      </c>
      <c r="E248" s="122" t="s">
        <v>4</v>
      </c>
      <c r="F248" s="371">
        <f>(F239*10^3*F231*F232*10^-3)+F229</f>
        <v>4.9800000000000004</v>
      </c>
      <c r="G248" s="217"/>
      <c r="H248" s="217"/>
      <c r="K248" s="217"/>
      <c r="L248" s="217"/>
      <c r="M248" s="217"/>
      <c r="N248" s="217"/>
      <c r="O248" s="217"/>
      <c r="P248" s="217"/>
      <c r="Q248" s="217"/>
    </row>
    <row r="249" spans="1:17" s="217" customFormat="1" ht="16.5" thickBot="1" x14ac:dyDescent="0.25">
      <c r="B249" s="229" t="s">
        <v>11</v>
      </c>
      <c r="C249" s="97" t="s">
        <v>447</v>
      </c>
      <c r="D249" s="94" t="s">
        <v>262</v>
      </c>
      <c r="E249" s="228"/>
      <c r="F249" s="233">
        <f>F227*F244*10^3/(F241*10^3)</f>
        <v>27.439024390243901</v>
      </c>
      <c r="G249" s="221"/>
      <c r="I249" s="220"/>
      <c r="J249" s="220"/>
    </row>
    <row r="250" spans="1:17" s="218" customFormat="1" ht="16.5" thickBot="1" x14ac:dyDescent="0.25">
      <c r="A250" s="217"/>
      <c r="B250" s="229" t="s">
        <v>11</v>
      </c>
      <c r="C250" s="97" t="s">
        <v>448</v>
      </c>
      <c r="D250" s="94" t="s">
        <v>263</v>
      </c>
      <c r="E250" s="228" t="s">
        <v>133</v>
      </c>
      <c r="F250" s="233">
        <f>LOG10(F249)*20</f>
        <v>28.767373314552916</v>
      </c>
      <c r="G250" s="221"/>
      <c r="H250" s="217"/>
      <c r="I250" s="220"/>
      <c r="J250" s="220"/>
      <c r="K250" s="217"/>
      <c r="L250" s="217"/>
      <c r="M250" s="217"/>
      <c r="N250" s="217"/>
      <c r="O250" s="217"/>
      <c r="P250" s="217"/>
      <c r="Q250" s="217"/>
    </row>
    <row r="251" spans="1:17" s="217" customFormat="1" ht="16.5" thickBot="1" x14ac:dyDescent="0.25">
      <c r="B251" s="229" t="s">
        <v>11</v>
      </c>
      <c r="C251" s="118" t="s">
        <v>449</v>
      </c>
      <c r="D251" s="227" t="s">
        <v>264</v>
      </c>
      <c r="E251" s="228"/>
      <c r="F251" s="233">
        <f>(F235/(F237+F235))</f>
        <v>0.13513513513513514</v>
      </c>
      <c r="G251" s="221"/>
      <c r="I251" s="220"/>
      <c r="J251" s="220"/>
    </row>
    <row r="252" spans="1:17" s="218" customFormat="1" ht="16.5" thickBot="1" x14ac:dyDescent="0.25">
      <c r="A252" s="217"/>
      <c r="B252" s="229" t="s">
        <v>11</v>
      </c>
      <c r="C252" s="120" t="s">
        <v>450</v>
      </c>
      <c r="D252" s="94" t="s">
        <v>265</v>
      </c>
      <c r="E252" s="228" t="s">
        <v>133</v>
      </c>
      <c r="F252" s="233">
        <f>LOG10(F251)*20</f>
        <v>-17.384634394619521</v>
      </c>
      <c r="G252" s="221"/>
      <c r="H252" s="217"/>
      <c r="I252" s="220"/>
      <c r="J252" s="220"/>
      <c r="K252" s="217"/>
      <c r="L252" s="217"/>
      <c r="M252" s="217"/>
      <c r="N252" s="217"/>
      <c r="O252" s="217"/>
      <c r="P252" s="217"/>
      <c r="Q252" s="217"/>
    </row>
    <row r="253" spans="1:17" s="217" customFormat="1" ht="16.5" thickBot="1" x14ac:dyDescent="0.25">
      <c r="B253" s="229" t="s">
        <v>11</v>
      </c>
      <c r="C253" s="120" t="s">
        <v>451</v>
      </c>
      <c r="D253" s="94" t="s">
        <v>384</v>
      </c>
      <c r="E253" s="228" t="s">
        <v>56</v>
      </c>
      <c r="F253" s="233">
        <f>F17^2/F23</f>
        <v>9</v>
      </c>
      <c r="G253" s="221"/>
      <c r="I253" s="220"/>
      <c r="J253" s="220"/>
    </row>
    <row r="254" spans="1:17" s="218" customFormat="1" ht="16.5" thickBot="1" x14ac:dyDescent="0.25">
      <c r="A254" s="217"/>
      <c r="B254" s="229" t="s">
        <v>11</v>
      </c>
      <c r="C254" s="120" t="s">
        <v>452</v>
      </c>
      <c r="D254" s="94" t="s">
        <v>385</v>
      </c>
      <c r="E254" s="228" t="s">
        <v>56</v>
      </c>
      <c r="F254" s="233">
        <f>F17^2/F25</f>
        <v>45</v>
      </c>
      <c r="G254" s="221"/>
      <c r="H254" s="217"/>
      <c r="I254" s="220"/>
      <c r="J254" s="220"/>
      <c r="K254" s="217"/>
      <c r="L254" s="217"/>
      <c r="M254" s="217"/>
      <c r="N254" s="217"/>
      <c r="O254" s="217"/>
      <c r="P254" s="217"/>
      <c r="Q254" s="217"/>
    </row>
    <row r="255" spans="1:17" s="217" customFormat="1" ht="16.5" thickBot="1" x14ac:dyDescent="0.25">
      <c r="B255" s="229" t="s">
        <v>11</v>
      </c>
      <c r="C255" s="120" t="s">
        <v>453</v>
      </c>
      <c r="D255" s="94" t="s">
        <v>386</v>
      </c>
      <c r="E255" s="228" t="s">
        <v>10</v>
      </c>
      <c r="F255" s="233">
        <f>1/(PI()*(F141*F144*F253))*1000000</f>
        <v>35.367765131532302</v>
      </c>
      <c r="G255" s="221"/>
      <c r="I255" s="220"/>
      <c r="J255" s="220"/>
    </row>
    <row r="256" spans="1:17" s="217" customFormat="1" ht="16.5" thickBot="1" x14ac:dyDescent="0.25">
      <c r="B256" s="229" t="s">
        <v>11</v>
      </c>
      <c r="C256" s="120" t="s">
        <v>454</v>
      </c>
      <c r="D256" s="94" t="s">
        <v>387</v>
      </c>
      <c r="E256" s="228" t="s">
        <v>10</v>
      </c>
      <c r="F256" s="233">
        <f>1/(PI()*(F141*F144*F254))*1000000</f>
        <v>7.0735530263064588</v>
      </c>
      <c r="G256" s="221"/>
      <c r="I256" s="220"/>
      <c r="J256" s="220"/>
    </row>
    <row r="257" spans="1:17" s="218" customFormat="1" ht="16.5" thickBot="1" x14ac:dyDescent="0.25">
      <c r="A257" s="217"/>
      <c r="B257" s="229" t="s">
        <v>11</v>
      </c>
      <c r="C257" s="120" t="s">
        <v>455</v>
      </c>
      <c r="D257" s="94" t="s">
        <v>388</v>
      </c>
      <c r="E257" s="228" t="s">
        <v>10</v>
      </c>
      <c r="F257" s="233">
        <f>F255*POWER(10,0.5*LOG10(F256/F255))</f>
        <v>15.816945409270598</v>
      </c>
      <c r="G257" s="221"/>
      <c r="H257" s="217"/>
      <c r="I257" s="220"/>
      <c r="J257" s="220"/>
      <c r="K257" s="217"/>
      <c r="L257" s="217"/>
      <c r="M257" s="217"/>
      <c r="N257" s="217"/>
      <c r="O257" s="217"/>
      <c r="P257" s="217"/>
      <c r="Q257" s="217"/>
    </row>
    <row r="258" spans="1:17" s="217" customFormat="1" ht="16.5" thickBot="1" x14ac:dyDescent="0.25">
      <c r="B258" s="229" t="s">
        <v>11</v>
      </c>
      <c r="C258" s="97" t="s">
        <v>456</v>
      </c>
      <c r="D258" s="94" t="s">
        <v>266</v>
      </c>
      <c r="E258" s="228"/>
      <c r="F258" s="134">
        <f>(1/F84)*(SQRT(F253*F49*F33*F26/2))/(SQRT(1+(F233*1000/F255)^2))</f>
        <v>6.901285979643644E-2</v>
      </c>
      <c r="G258" s="199"/>
      <c r="I258" s="220"/>
      <c r="J258" s="220"/>
    </row>
    <row r="259" spans="1:17" s="218" customFormat="1" ht="16.5" thickBot="1" x14ac:dyDescent="0.25">
      <c r="A259" s="217"/>
      <c r="B259" s="229" t="s">
        <v>11</v>
      </c>
      <c r="C259" s="97" t="s">
        <v>457</v>
      </c>
      <c r="D259" s="94" t="s">
        <v>267</v>
      </c>
      <c r="E259" s="228" t="s">
        <v>133</v>
      </c>
      <c r="F259" s="233">
        <f>LOG10(F258)*20</f>
        <v>-23.221399513297758</v>
      </c>
      <c r="G259" s="221"/>
      <c r="H259" s="217"/>
      <c r="I259" s="220"/>
      <c r="J259" s="220"/>
      <c r="K259" s="217"/>
      <c r="L259" s="217"/>
      <c r="M259" s="217"/>
      <c r="N259" s="217"/>
      <c r="O259" s="217"/>
      <c r="P259" s="217"/>
      <c r="Q259" s="217"/>
    </row>
    <row r="260" spans="1:17" s="218" customFormat="1" ht="13.5" thickBot="1" x14ac:dyDescent="0.25">
      <c r="A260" s="217"/>
      <c r="B260" s="229" t="s">
        <v>11</v>
      </c>
      <c r="C260" s="97" t="s">
        <v>458</v>
      </c>
      <c r="D260" s="94" t="s">
        <v>134</v>
      </c>
      <c r="E260" s="228" t="s">
        <v>133</v>
      </c>
      <c r="F260" s="134">
        <f>(F250+F252+F259)*-1</f>
        <v>11.838660593364363</v>
      </c>
      <c r="G260" s="221"/>
      <c r="H260" s="217"/>
      <c r="I260" s="220"/>
      <c r="J260" s="220"/>
      <c r="K260" s="217"/>
      <c r="L260" s="217"/>
      <c r="M260" s="217"/>
      <c r="N260" s="217"/>
      <c r="O260" s="217"/>
      <c r="P260" s="217"/>
      <c r="Q260" s="217"/>
    </row>
    <row r="261" spans="1:17" s="217" customFormat="1" ht="13.5" thickBot="1" x14ac:dyDescent="0.25">
      <c r="B261" s="229" t="s">
        <v>11</v>
      </c>
      <c r="C261" s="97" t="s">
        <v>459</v>
      </c>
      <c r="D261" s="94" t="s">
        <v>210</v>
      </c>
      <c r="E261" s="228" t="s">
        <v>53</v>
      </c>
      <c r="F261" s="233">
        <f>POWER(10,F260/20)*(F237*F235/(F237+F235))</f>
        <v>8.4493109375713846</v>
      </c>
      <c r="G261" s="221"/>
      <c r="I261" s="220"/>
      <c r="J261" s="220"/>
    </row>
    <row r="262" spans="1:17" s="218" customFormat="1" ht="13.5" thickBot="1" x14ac:dyDescent="0.25">
      <c r="A262" s="217"/>
      <c r="B262" s="225" t="s">
        <v>3</v>
      </c>
      <c r="C262" s="69" t="s">
        <v>355</v>
      </c>
      <c r="D262" s="69" t="s">
        <v>210</v>
      </c>
      <c r="E262" s="230" t="s">
        <v>53</v>
      </c>
      <c r="F262" s="107">
        <v>12</v>
      </c>
      <c r="G262" s="217"/>
      <c r="H262" s="217"/>
      <c r="K262" s="217"/>
      <c r="L262" s="217"/>
      <c r="M262" s="217"/>
      <c r="N262" s="217"/>
      <c r="O262" s="217"/>
      <c r="P262" s="217"/>
      <c r="Q262" s="217"/>
    </row>
    <row r="263" spans="1:17" s="217" customFormat="1" ht="13.5" thickBot="1" x14ac:dyDescent="0.25">
      <c r="B263" s="229" t="s">
        <v>11</v>
      </c>
      <c r="C263" s="120" t="s">
        <v>460</v>
      </c>
      <c r="D263" s="94" t="s">
        <v>211</v>
      </c>
      <c r="E263" s="228" t="s">
        <v>52</v>
      </c>
      <c r="F263" s="134">
        <f>(1/(2*PI()*F262*10^3*F233*10^3))*10^9</f>
        <v>4.4209706414415377</v>
      </c>
      <c r="G263" s="221"/>
      <c r="I263" s="220"/>
      <c r="J263" s="220"/>
    </row>
    <row r="264" spans="1:17" s="218" customFormat="1" ht="13.5" thickBot="1" x14ac:dyDescent="0.25">
      <c r="A264" s="217"/>
      <c r="B264" s="225" t="s">
        <v>3</v>
      </c>
      <c r="C264" s="69" t="s">
        <v>356</v>
      </c>
      <c r="D264" s="69" t="s">
        <v>211</v>
      </c>
      <c r="E264" s="230" t="s">
        <v>52</v>
      </c>
      <c r="F264" s="107">
        <v>4.7</v>
      </c>
      <c r="G264" s="217"/>
      <c r="H264" s="217"/>
      <c r="K264" s="217"/>
      <c r="L264" s="217"/>
      <c r="M264" s="217"/>
      <c r="N264" s="217"/>
      <c r="O264" s="217"/>
      <c r="P264" s="217"/>
      <c r="Q264" s="217"/>
    </row>
    <row r="265" spans="1:17" s="217" customFormat="1" ht="13.5" thickBot="1" x14ac:dyDescent="0.25">
      <c r="B265" s="229" t="s">
        <v>11</v>
      </c>
      <c r="C265" s="120" t="s">
        <v>461</v>
      </c>
      <c r="D265" s="94" t="s">
        <v>212</v>
      </c>
      <c r="E265" s="228" t="s">
        <v>52</v>
      </c>
      <c r="F265" s="233">
        <f>((1/(2*PI()*F262*10^3*F257))-(F264*10^-9))*10^9</f>
        <v>833.82549156242135</v>
      </c>
      <c r="G265" s="221"/>
      <c r="I265" s="220"/>
      <c r="J265" s="220"/>
    </row>
    <row r="266" spans="1:17" s="215" customFormat="1" ht="13.5" thickBot="1" x14ac:dyDescent="0.25">
      <c r="A266" s="217"/>
      <c r="B266" s="225" t="s">
        <v>3</v>
      </c>
      <c r="C266" s="69" t="s">
        <v>357</v>
      </c>
      <c r="D266" s="69" t="s">
        <v>212</v>
      </c>
      <c r="E266" s="230" t="s">
        <v>52</v>
      </c>
      <c r="F266" s="107">
        <v>820</v>
      </c>
      <c r="G266" s="217"/>
      <c r="H266" s="217"/>
      <c r="I266" s="218"/>
      <c r="J266" s="218"/>
      <c r="K266" s="217"/>
      <c r="L266" s="217"/>
      <c r="M266" s="217"/>
      <c r="N266" s="217"/>
      <c r="O266" s="217"/>
      <c r="P266" s="217"/>
      <c r="Q266" s="217"/>
    </row>
    <row r="267" spans="1:17" s="215" customFormat="1" ht="13.5" thickBot="1" x14ac:dyDescent="0.25">
      <c r="B267" s="169" t="s">
        <v>561</v>
      </c>
      <c r="C267" s="224"/>
      <c r="D267" s="27"/>
      <c r="E267" s="220"/>
      <c r="F267" s="222"/>
      <c r="G267" s="221"/>
      <c r="I267" s="74"/>
      <c r="J267" s="74"/>
    </row>
    <row r="268" spans="1:17" s="215" customFormat="1" ht="16.5" thickBot="1" x14ac:dyDescent="0.25">
      <c r="A268" s="217"/>
      <c r="B268" s="225" t="s">
        <v>3</v>
      </c>
      <c r="C268" s="225" t="s">
        <v>478</v>
      </c>
      <c r="D268" s="231" t="s">
        <v>548</v>
      </c>
      <c r="E268" s="230" t="s">
        <v>4</v>
      </c>
      <c r="F268" s="107">
        <v>16</v>
      </c>
      <c r="G268" s="217"/>
      <c r="I268" s="224"/>
      <c r="J268" s="224"/>
    </row>
    <row r="269" spans="1:17" s="215" customFormat="1" ht="19.5" thickBot="1" x14ac:dyDescent="0.25">
      <c r="A269" s="217"/>
      <c r="B269" s="225" t="s">
        <v>3</v>
      </c>
      <c r="C269" s="225" t="s">
        <v>477</v>
      </c>
      <c r="D269" s="231" t="s">
        <v>549</v>
      </c>
      <c r="E269" s="230" t="s">
        <v>4</v>
      </c>
      <c r="F269" s="107">
        <v>1.9</v>
      </c>
      <c r="G269" s="217"/>
      <c r="I269" s="224"/>
      <c r="J269" s="224"/>
    </row>
    <row r="270" spans="1:17" s="215" customFormat="1" ht="19.5" thickBot="1" x14ac:dyDescent="0.25">
      <c r="A270" s="217"/>
      <c r="B270" s="225" t="s">
        <v>3</v>
      </c>
      <c r="C270" s="225" t="s">
        <v>541</v>
      </c>
      <c r="D270" s="231" t="s">
        <v>550</v>
      </c>
      <c r="E270" s="230" t="s">
        <v>53</v>
      </c>
      <c r="F270" s="107">
        <v>3</v>
      </c>
      <c r="G270" s="217"/>
      <c r="I270" s="224"/>
      <c r="J270" s="224"/>
    </row>
    <row r="271" spans="1:17" s="215" customFormat="1" ht="16.5" thickBot="1" x14ac:dyDescent="0.25">
      <c r="A271" s="217"/>
      <c r="B271" s="255" t="s">
        <v>11</v>
      </c>
      <c r="C271" s="118" t="s">
        <v>644</v>
      </c>
      <c r="D271" s="256" t="s">
        <v>568</v>
      </c>
      <c r="E271" s="257" t="s">
        <v>53</v>
      </c>
      <c r="F271" s="258">
        <f>F270*(((F72/F68)*((F268+F19)/F269))-1)</f>
        <v>27.026315789473692</v>
      </c>
      <c r="G271" s="317"/>
      <c r="I271" s="224"/>
      <c r="J271" s="224"/>
    </row>
    <row r="272" spans="1:17" s="215" customFormat="1" ht="15" thickBot="1" x14ac:dyDescent="0.25">
      <c r="A272" s="217"/>
      <c r="B272" s="225" t="s">
        <v>3</v>
      </c>
      <c r="C272" s="239" t="s">
        <v>476</v>
      </c>
      <c r="D272" s="225" t="s">
        <v>542</v>
      </c>
      <c r="E272" s="230" t="s">
        <v>53</v>
      </c>
      <c r="F272" s="107">
        <v>27</v>
      </c>
      <c r="G272" s="217"/>
      <c r="I272" s="224"/>
      <c r="J272" s="224"/>
    </row>
    <row r="273" spans="1:10" s="215" customFormat="1" ht="16.5" thickBot="1" x14ac:dyDescent="0.25">
      <c r="A273" s="217"/>
      <c r="B273" s="225" t="s">
        <v>3</v>
      </c>
      <c r="C273" s="225" t="s">
        <v>480</v>
      </c>
      <c r="D273" s="231" t="s">
        <v>551</v>
      </c>
      <c r="E273" s="230" t="s">
        <v>131</v>
      </c>
      <c r="F273" s="107">
        <v>820</v>
      </c>
      <c r="G273" s="217"/>
      <c r="I273" s="224"/>
      <c r="J273" s="224"/>
    </row>
    <row r="274" spans="1:10" s="215" customFormat="1" ht="16.5" thickBot="1" x14ac:dyDescent="0.25">
      <c r="A274" s="224"/>
      <c r="B274" s="229" t="s">
        <v>11</v>
      </c>
      <c r="C274" s="118" t="s">
        <v>645</v>
      </c>
      <c r="D274" s="227" t="s">
        <v>479</v>
      </c>
      <c r="E274" s="122" t="s">
        <v>67</v>
      </c>
      <c r="F274" s="131">
        <f>(TAN(2*PI()*(1/4-(100*10^-9*F273*10^3)))*((F271*10^3+F270*10^3)/(F271*10^3*F270*10^3))*(1/(2*PI()*F273*10^3)))*1000000000000</f>
        <v>126.94176561883859</v>
      </c>
      <c r="G274" s="224"/>
      <c r="I274" s="224"/>
      <c r="J274" s="224"/>
    </row>
    <row r="275" spans="1:10" s="215" customFormat="1" ht="16.5" thickBot="1" x14ac:dyDescent="0.25">
      <c r="A275" s="224"/>
      <c r="B275" s="241" t="s">
        <v>3</v>
      </c>
      <c r="C275" s="239" t="s">
        <v>558</v>
      </c>
      <c r="D275" s="231" t="s">
        <v>479</v>
      </c>
      <c r="E275" s="230" t="s">
        <v>67</v>
      </c>
      <c r="F275" s="242">
        <v>120</v>
      </c>
      <c r="G275" s="224"/>
      <c r="I275" s="224"/>
      <c r="J275" s="224"/>
    </row>
    <row r="276" spans="1:10" s="215" customFormat="1" ht="13.5" thickBot="1" x14ac:dyDescent="0.25">
      <c r="A276" s="216"/>
      <c r="B276" s="246" t="s">
        <v>648</v>
      </c>
      <c r="C276" s="243"/>
      <c r="D276" s="244"/>
      <c r="E276" s="243"/>
      <c r="F276" s="243"/>
      <c r="G276" s="224"/>
      <c r="I276" s="224"/>
      <c r="J276" s="224"/>
    </row>
    <row r="277" spans="1:10" s="215" customFormat="1" ht="15" thickBot="1" x14ac:dyDescent="0.25">
      <c r="A277" s="216"/>
      <c r="B277" s="247" t="s">
        <v>3</v>
      </c>
      <c r="C277" s="250"/>
      <c r="D277" s="247" t="s">
        <v>562</v>
      </c>
      <c r="E277" s="268" t="s">
        <v>559</v>
      </c>
      <c r="F277" s="265">
        <v>9000000</v>
      </c>
      <c r="G277" s="224"/>
      <c r="I277" s="224"/>
      <c r="J277" s="224"/>
    </row>
    <row r="278" spans="1:10" s="215" customFormat="1" ht="16.5" thickBot="1" x14ac:dyDescent="0.25">
      <c r="A278" s="216"/>
      <c r="B278" s="247" t="s">
        <v>3</v>
      </c>
      <c r="C278" s="250"/>
      <c r="D278" s="245" t="s">
        <v>578</v>
      </c>
      <c r="E278" s="268" t="s">
        <v>560</v>
      </c>
      <c r="F278" s="269">
        <v>320</v>
      </c>
      <c r="G278" s="224"/>
      <c r="I278" s="224"/>
      <c r="J278" s="224"/>
    </row>
    <row r="279" spans="1:10" s="215" customFormat="1" ht="15" thickBot="1" x14ac:dyDescent="0.25">
      <c r="A279" s="216"/>
      <c r="B279" s="247" t="s">
        <v>3</v>
      </c>
      <c r="C279" s="250"/>
      <c r="D279" s="91" t="s">
        <v>309</v>
      </c>
      <c r="E279" s="268" t="s">
        <v>4</v>
      </c>
      <c r="F279" s="269">
        <f>F16</f>
        <v>24.5</v>
      </c>
      <c r="G279" s="224"/>
      <c r="I279" s="224"/>
      <c r="J279" s="224"/>
    </row>
    <row r="280" spans="1:10" s="215" customFormat="1" ht="16.5" thickBot="1" x14ac:dyDescent="0.25">
      <c r="A280" s="216"/>
      <c r="B280" s="251" t="s">
        <v>11</v>
      </c>
      <c r="C280" s="252" t="s">
        <v>659</v>
      </c>
      <c r="D280" s="253" t="s">
        <v>565</v>
      </c>
      <c r="E280" s="254" t="s">
        <v>566</v>
      </c>
      <c r="F280" s="266">
        <f>F277*2.9/((F278*SQRT(2))-2.9)</f>
        <v>58045.360519638962</v>
      </c>
      <c r="G280" s="224"/>
      <c r="I280" s="224"/>
      <c r="J280" s="224"/>
    </row>
    <row r="281" spans="1:10" s="215" customFormat="1" ht="15" thickBot="1" x14ac:dyDescent="0.25">
      <c r="A281" s="216"/>
      <c r="B281" s="247" t="s">
        <v>3</v>
      </c>
      <c r="C281" s="247" t="s">
        <v>564</v>
      </c>
      <c r="D281" s="247" t="s">
        <v>563</v>
      </c>
      <c r="E281" s="268" t="s">
        <v>559</v>
      </c>
      <c r="F281" s="265">
        <v>58300</v>
      </c>
      <c r="G281" s="224"/>
      <c r="I281" s="224"/>
      <c r="J281" s="224"/>
    </row>
    <row r="282" spans="1:10" s="215" customFormat="1" ht="16.5" thickBot="1" x14ac:dyDescent="0.25">
      <c r="A282" s="216"/>
      <c r="B282" s="251" t="s">
        <v>11</v>
      </c>
      <c r="C282" s="118" t="s">
        <v>652</v>
      </c>
      <c r="D282" s="253" t="s">
        <v>577</v>
      </c>
      <c r="E282" s="254" t="s">
        <v>567</v>
      </c>
      <c r="F282" s="267">
        <f>(0.66*(F277+F281)/F281)/SQRT(2)</f>
        <v>72.5115323323257</v>
      </c>
      <c r="G282" s="224"/>
      <c r="I282" s="224"/>
      <c r="J282" s="224"/>
    </row>
    <row r="283" spans="1:10" s="215" customFormat="1" ht="16.5" thickBot="1" x14ac:dyDescent="0.25">
      <c r="A283" s="216"/>
      <c r="B283" s="251" t="s">
        <v>11</v>
      </c>
      <c r="C283" s="118" t="s">
        <v>653</v>
      </c>
      <c r="D283" s="253" t="s">
        <v>646</v>
      </c>
      <c r="E283" s="254" t="s">
        <v>567</v>
      </c>
      <c r="F283" s="267">
        <f>((0.4*(F277+F281)/F281)+F279)/SQRT(2)</f>
        <v>61.270499370782957</v>
      </c>
      <c r="G283" s="224"/>
      <c r="J283" s="224"/>
    </row>
    <row r="284" spans="1:10" s="215" customFormat="1" ht="16.5" thickBot="1" x14ac:dyDescent="0.25">
      <c r="A284" s="216"/>
      <c r="B284" s="251" t="s">
        <v>11</v>
      </c>
      <c r="C284" s="118" t="s">
        <v>653</v>
      </c>
      <c r="D284" s="253" t="s">
        <v>647</v>
      </c>
      <c r="E284" s="254" t="s">
        <v>567</v>
      </c>
      <c r="F284" s="267">
        <f>((0.4*(F277+F281)/F281))/SQRT(2)</f>
        <v>43.946383231712538</v>
      </c>
      <c r="G284" s="224"/>
      <c r="J284" s="224"/>
    </row>
    <row r="285" spans="1:10" s="215" customFormat="1" ht="16.5" thickBot="1" x14ac:dyDescent="0.25">
      <c r="A285" s="216"/>
      <c r="B285" s="251" t="s">
        <v>11</v>
      </c>
      <c r="C285" s="118" t="s">
        <v>654</v>
      </c>
      <c r="D285" s="253" t="s">
        <v>650</v>
      </c>
      <c r="E285" s="254" t="s">
        <v>567</v>
      </c>
      <c r="F285" s="267">
        <f>(((F277+F281)*1.52/F281)+F279)/SQRT(2)</f>
        <v>184.32037241957806</v>
      </c>
      <c r="G285" s="224"/>
      <c r="I285" s="224"/>
      <c r="J285" s="224"/>
    </row>
    <row r="286" spans="1:10" s="215" customFormat="1" ht="16.5" thickBot="1" x14ac:dyDescent="0.25">
      <c r="A286" s="216"/>
      <c r="B286" s="251" t="s">
        <v>11</v>
      </c>
      <c r="C286" s="118" t="s">
        <v>654</v>
      </c>
      <c r="D286" s="253" t="s">
        <v>651</v>
      </c>
      <c r="E286" s="254" t="s">
        <v>567</v>
      </c>
      <c r="F286" s="267">
        <f>((F277+F281)*1.52/F281)/SQRT(2)</f>
        <v>166.99625628050765</v>
      </c>
      <c r="G286" s="224"/>
      <c r="I286" s="224"/>
      <c r="J286" s="224"/>
    </row>
    <row r="287" spans="1:10" s="215" customFormat="1" ht="13.5" thickBot="1" x14ac:dyDescent="0.25">
      <c r="A287" s="216"/>
      <c r="B287" s="246" t="s">
        <v>649</v>
      </c>
      <c r="C287" s="319"/>
      <c r="D287" s="319"/>
      <c r="E287" s="319"/>
      <c r="F287" s="319"/>
      <c r="G287" s="224"/>
      <c r="I287" s="224"/>
      <c r="J287" s="224"/>
    </row>
    <row r="288" spans="1:10" s="215" customFormat="1" ht="15" thickBot="1" x14ac:dyDescent="0.25">
      <c r="A288" s="216"/>
      <c r="B288" s="320" t="s">
        <v>3</v>
      </c>
      <c r="C288" s="321"/>
      <c r="D288" s="320" t="s">
        <v>630</v>
      </c>
      <c r="E288" s="322" t="s">
        <v>623</v>
      </c>
      <c r="F288" s="323">
        <v>9000000</v>
      </c>
      <c r="G288" s="224"/>
      <c r="I288" s="224"/>
      <c r="J288" s="224"/>
    </row>
    <row r="289" spans="1:10" s="215" customFormat="1" ht="15" thickBot="1" x14ac:dyDescent="0.25">
      <c r="A289" s="216"/>
      <c r="B289" s="320" t="s">
        <v>3</v>
      </c>
      <c r="C289" s="321"/>
      <c r="D289" s="324" t="s">
        <v>631</v>
      </c>
      <c r="E289" s="322" t="s">
        <v>632</v>
      </c>
      <c r="F289" s="325">
        <v>73</v>
      </c>
      <c r="G289" s="224"/>
      <c r="I289" s="224"/>
      <c r="J289" s="224"/>
    </row>
    <row r="290" spans="1:10" s="215" customFormat="1" ht="15" thickBot="1" x14ac:dyDescent="0.25">
      <c r="A290" s="216"/>
      <c r="B290" s="320" t="s">
        <v>3</v>
      </c>
      <c r="C290" s="321"/>
      <c r="D290" s="91" t="s">
        <v>309</v>
      </c>
      <c r="E290" s="322" t="s">
        <v>4</v>
      </c>
      <c r="F290" s="325">
        <f>F16</f>
        <v>24.5</v>
      </c>
      <c r="G290" s="224"/>
      <c r="I290" s="224"/>
      <c r="J290" s="224"/>
    </row>
    <row r="291" spans="1:10" s="215" customFormat="1" ht="15" thickBot="1" x14ac:dyDescent="0.25">
      <c r="A291" s="216"/>
      <c r="B291" s="326" t="s">
        <v>11</v>
      </c>
      <c r="C291" s="252" t="s">
        <v>660</v>
      </c>
      <c r="D291" s="327" t="s">
        <v>633</v>
      </c>
      <c r="E291" s="328" t="s">
        <v>623</v>
      </c>
      <c r="F291" s="329">
        <f>(0.66*F288)/((F289*SQRT(2))-0.66)</f>
        <v>57907.38500404665</v>
      </c>
      <c r="G291" s="224"/>
      <c r="I291" s="224"/>
      <c r="J291" s="224"/>
    </row>
    <row r="292" spans="1:10" s="215" customFormat="1" ht="15" thickBot="1" x14ac:dyDescent="0.25">
      <c r="A292" s="216"/>
      <c r="B292" s="320" t="s">
        <v>3</v>
      </c>
      <c r="C292" s="320" t="s">
        <v>634</v>
      </c>
      <c r="D292" s="320" t="s">
        <v>635</v>
      </c>
      <c r="E292" s="322" t="s">
        <v>623</v>
      </c>
      <c r="F292" s="323">
        <v>58300</v>
      </c>
      <c r="G292" s="224"/>
      <c r="I292" s="224"/>
      <c r="J292" s="224"/>
    </row>
    <row r="293" spans="1:10" s="215" customFormat="1" ht="16.5" thickBot="1" x14ac:dyDescent="0.25">
      <c r="A293" s="216"/>
      <c r="B293" s="326" t="s">
        <v>11</v>
      </c>
      <c r="C293" s="118" t="s">
        <v>653</v>
      </c>
      <c r="D293" s="253" t="s">
        <v>646</v>
      </c>
      <c r="E293" s="254" t="s">
        <v>567</v>
      </c>
      <c r="F293" s="330">
        <f>((0.4*(F288+F292)/F292)+F290)/SQRT(2)</f>
        <v>61.270499370782957</v>
      </c>
      <c r="G293" s="224"/>
      <c r="I293" s="224"/>
      <c r="J293" s="224"/>
    </row>
    <row r="294" spans="1:10" s="215" customFormat="1" ht="16.5" thickBot="1" x14ac:dyDescent="0.25">
      <c r="A294" s="216"/>
      <c r="B294" s="326" t="s">
        <v>11</v>
      </c>
      <c r="C294" s="118" t="s">
        <v>653</v>
      </c>
      <c r="D294" s="253" t="s">
        <v>647</v>
      </c>
      <c r="E294" s="254" t="s">
        <v>567</v>
      </c>
      <c r="F294" s="330">
        <f>((0.4*(F288+F292)/F292))/SQRT(2)</f>
        <v>43.946383231712538</v>
      </c>
      <c r="G294" s="224"/>
      <c r="I294" s="224"/>
      <c r="J294" s="224"/>
    </row>
    <row r="295" spans="1:10" s="215" customFormat="1" ht="15" thickBot="1" x14ac:dyDescent="0.25">
      <c r="A295" s="216"/>
      <c r="B295" s="326" t="s">
        <v>11</v>
      </c>
      <c r="C295" s="118" t="s">
        <v>661</v>
      </c>
      <c r="D295" s="327" t="s">
        <v>637</v>
      </c>
      <c r="E295" s="328" t="s">
        <v>636</v>
      </c>
      <c r="F295" s="330">
        <f>((F288*2.9/F292)+2.9)/SQRT(2)</f>
        <v>318.6112784299159</v>
      </c>
      <c r="G295" s="224"/>
      <c r="I295" s="224"/>
      <c r="J295" s="224"/>
    </row>
    <row r="296" spans="1:10" s="215" customFormat="1" ht="16.5" thickBot="1" x14ac:dyDescent="0.25">
      <c r="A296" s="216"/>
      <c r="B296" s="326" t="s">
        <v>11</v>
      </c>
      <c r="C296" s="118" t="s">
        <v>654</v>
      </c>
      <c r="D296" s="253" t="s">
        <v>650</v>
      </c>
      <c r="E296" s="328" t="s">
        <v>636</v>
      </c>
      <c r="F296" s="267">
        <f>(((F288+F292)*1.52/F292)+F290)/SQRT(2)</f>
        <v>184.32037241957806</v>
      </c>
      <c r="G296" s="224"/>
      <c r="I296" s="224"/>
      <c r="J296" s="224"/>
    </row>
    <row r="297" spans="1:10" s="215" customFormat="1" ht="16.5" thickBot="1" x14ac:dyDescent="0.25">
      <c r="A297" s="216"/>
      <c r="B297" s="326" t="s">
        <v>11</v>
      </c>
      <c r="C297" s="118" t="s">
        <v>654</v>
      </c>
      <c r="D297" s="253" t="s">
        <v>651</v>
      </c>
      <c r="E297" s="328" t="s">
        <v>636</v>
      </c>
      <c r="F297" s="267">
        <f>((F288+F292)*1.52/F292)/SQRT(2)</f>
        <v>166.99625628050765</v>
      </c>
      <c r="G297" s="224"/>
      <c r="I297" s="224"/>
      <c r="J297" s="224"/>
    </row>
    <row r="298" spans="1:10" s="215" customFormat="1" x14ac:dyDescent="0.2">
      <c r="A298" s="216"/>
      <c r="B298" s="340"/>
      <c r="C298" s="341"/>
      <c r="D298" s="338"/>
      <c r="E298" s="342"/>
      <c r="F298" s="339"/>
      <c r="G298" s="224"/>
      <c r="I298" s="224"/>
      <c r="J298" s="224"/>
    </row>
    <row r="299" spans="1:10" s="216" customFormat="1" ht="13.5" thickBot="1" x14ac:dyDescent="0.25">
      <c r="C299" s="170" t="s">
        <v>72</v>
      </c>
      <c r="D299" s="81"/>
      <c r="E299" s="81"/>
      <c r="F299" s="81"/>
      <c r="I299" s="226"/>
      <c r="J299" s="226"/>
    </row>
    <row r="300" spans="1:10" s="216" customFormat="1" ht="13.5" thickTop="1" x14ac:dyDescent="0.2">
      <c r="C300" s="171" t="s">
        <v>73</v>
      </c>
      <c r="D300" s="135"/>
      <c r="E300" s="138" t="s">
        <v>4</v>
      </c>
      <c r="F300" s="172">
        <f>F13</f>
        <v>85</v>
      </c>
      <c r="I300" s="226"/>
      <c r="J300" s="226"/>
    </row>
    <row r="301" spans="1:10" s="216" customFormat="1" x14ac:dyDescent="0.2">
      <c r="C301" s="173" t="s">
        <v>74</v>
      </c>
      <c r="D301" s="136"/>
      <c r="E301" s="139" t="s">
        <v>4</v>
      </c>
      <c r="F301" s="174">
        <f>F14</f>
        <v>320</v>
      </c>
      <c r="I301" s="226"/>
      <c r="J301" s="226"/>
    </row>
    <row r="302" spans="1:10" s="216" customFormat="1" x14ac:dyDescent="0.2">
      <c r="C302" s="173" t="s">
        <v>75</v>
      </c>
      <c r="D302" s="136"/>
      <c r="E302" s="139" t="s">
        <v>13</v>
      </c>
      <c r="F302" s="175">
        <f>F37/F13</f>
        <v>0.22145328719723184</v>
      </c>
      <c r="I302" s="226"/>
      <c r="J302" s="226"/>
    </row>
    <row r="303" spans="1:10" s="216" customFormat="1" x14ac:dyDescent="0.2">
      <c r="C303" s="173" t="s">
        <v>76</v>
      </c>
      <c r="D303" s="136"/>
      <c r="E303" s="139" t="s">
        <v>4</v>
      </c>
      <c r="F303" s="174">
        <f>F41</f>
        <v>95.685405580450137</v>
      </c>
      <c r="I303" s="226"/>
      <c r="J303" s="226"/>
    </row>
    <row r="304" spans="1:10" s="216" customFormat="1" x14ac:dyDescent="0.2">
      <c r="C304" s="173" t="s">
        <v>77</v>
      </c>
      <c r="D304" s="136"/>
      <c r="E304" s="139" t="s">
        <v>4</v>
      </c>
      <c r="F304" s="174">
        <f>F39</f>
        <v>452.54833995939043</v>
      </c>
      <c r="I304" s="226"/>
      <c r="J304" s="226"/>
    </row>
    <row r="305" spans="3:10" s="216" customFormat="1" x14ac:dyDescent="0.2">
      <c r="C305" s="173" t="s">
        <v>78</v>
      </c>
      <c r="D305" s="136"/>
      <c r="E305" s="139" t="s">
        <v>7</v>
      </c>
      <c r="F305" s="176">
        <f>F23</f>
        <v>16</v>
      </c>
      <c r="I305" s="226"/>
      <c r="J305" s="226"/>
    </row>
    <row r="306" spans="3:10" s="216" customFormat="1" x14ac:dyDescent="0.2">
      <c r="C306" s="173" t="s">
        <v>6</v>
      </c>
      <c r="D306" s="136"/>
      <c r="E306" s="139" t="s">
        <v>4</v>
      </c>
      <c r="F306" s="176">
        <f>F17</f>
        <v>12</v>
      </c>
      <c r="I306" s="226"/>
      <c r="J306" s="226"/>
    </row>
    <row r="307" spans="3:10" s="216" customFormat="1" x14ac:dyDescent="0.2">
      <c r="C307" s="173" t="s">
        <v>79</v>
      </c>
      <c r="D307" s="136"/>
      <c r="E307" s="139" t="s">
        <v>60</v>
      </c>
      <c r="F307" s="176">
        <f>F154</f>
        <v>1.2739181841061931</v>
      </c>
      <c r="I307" s="226"/>
      <c r="J307" s="226"/>
    </row>
    <row r="308" spans="3:10" s="216" customFormat="1" x14ac:dyDescent="0.2">
      <c r="C308" s="173" t="s">
        <v>80</v>
      </c>
      <c r="D308" s="136"/>
      <c r="E308" s="139" t="s">
        <v>13</v>
      </c>
      <c r="F308" s="175">
        <f>F52</f>
        <v>0.82379536426608913</v>
      </c>
      <c r="I308" s="226"/>
      <c r="J308" s="226"/>
    </row>
    <row r="309" spans="3:10" s="216" customFormat="1" x14ac:dyDescent="0.2">
      <c r="C309" s="173" t="s">
        <v>81</v>
      </c>
      <c r="D309" s="136"/>
      <c r="E309" s="139"/>
      <c r="F309" s="175">
        <f>F76</f>
        <v>0.48469075810595441</v>
      </c>
      <c r="I309" s="226"/>
      <c r="J309" s="226"/>
    </row>
    <row r="310" spans="3:10" s="216" customFormat="1" x14ac:dyDescent="0.2">
      <c r="C310" s="173" t="s">
        <v>9</v>
      </c>
      <c r="D310" s="136"/>
      <c r="E310" s="139" t="s">
        <v>4</v>
      </c>
      <c r="F310" s="174">
        <f>F75</f>
        <v>90.2</v>
      </c>
      <c r="I310" s="226"/>
      <c r="J310" s="226"/>
    </row>
    <row r="311" spans="3:10" s="216" customFormat="1" x14ac:dyDescent="0.2">
      <c r="C311" s="173" t="s">
        <v>82</v>
      </c>
      <c r="D311" s="136"/>
      <c r="E311" s="139" t="s">
        <v>7</v>
      </c>
      <c r="F311" s="175">
        <f>F196</f>
        <v>0.24305412797810422</v>
      </c>
      <c r="I311" s="226"/>
      <c r="J311" s="226"/>
    </row>
    <row r="312" spans="3:10" s="216" customFormat="1" x14ac:dyDescent="0.2">
      <c r="C312" s="173" t="s">
        <v>68</v>
      </c>
      <c r="D312" s="136"/>
      <c r="E312" s="139" t="s">
        <v>7</v>
      </c>
      <c r="F312" s="175">
        <f>F209</f>
        <v>0.92826843169021944</v>
      </c>
      <c r="I312" s="226"/>
      <c r="J312" s="226"/>
    </row>
    <row r="313" spans="3:10" s="216" customFormat="1" x14ac:dyDescent="0.2">
      <c r="C313" s="173" t="s">
        <v>83</v>
      </c>
      <c r="D313" s="136"/>
      <c r="E313" s="139" t="s">
        <v>7</v>
      </c>
      <c r="F313" s="175">
        <f>F222</f>
        <v>3.134996854724359</v>
      </c>
      <c r="I313" s="226"/>
      <c r="J313" s="226"/>
    </row>
    <row r="314" spans="3:10" s="216" customFormat="1" ht="13.5" thickBot="1" x14ac:dyDescent="0.25">
      <c r="C314" s="177" t="s">
        <v>71</v>
      </c>
      <c r="D314" s="137"/>
      <c r="E314" s="140"/>
      <c r="F314" s="178">
        <f>F224</f>
        <v>0.8361642346468251</v>
      </c>
      <c r="I314" s="226"/>
      <c r="J314" s="226"/>
    </row>
    <row r="315" spans="3:10" s="216" customFormat="1" ht="13.5" thickTop="1" x14ac:dyDescent="0.2">
      <c r="C315" s="81"/>
      <c r="D315" s="81"/>
      <c r="E315" s="81"/>
      <c r="F315" s="81"/>
      <c r="I315" s="226"/>
      <c r="J315" s="226"/>
    </row>
    <row r="316" spans="3:10" s="216" customFormat="1" ht="13.5" thickBot="1" x14ac:dyDescent="0.25">
      <c r="C316" s="170" t="s">
        <v>84</v>
      </c>
      <c r="D316" s="81"/>
      <c r="E316" s="81"/>
      <c r="F316" s="81"/>
      <c r="I316" s="226"/>
      <c r="J316" s="226"/>
    </row>
    <row r="317" spans="3:10" s="216" customFormat="1" ht="13.5" thickTop="1" x14ac:dyDescent="0.2">
      <c r="C317" s="171" t="s">
        <v>85</v>
      </c>
      <c r="D317" s="135"/>
      <c r="E317" s="138"/>
      <c r="F317" s="179" t="str">
        <f>F57</f>
        <v>EE20/10/6</v>
      </c>
      <c r="I317" s="226"/>
      <c r="J317" s="226"/>
    </row>
    <row r="318" spans="3:10" s="216" customFormat="1" x14ac:dyDescent="0.2">
      <c r="C318" s="173" t="s">
        <v>105</v>
      </c>
      <c r="D318" s="136"/>
      <c r="E318" s="139"/>
      <c r="F318" s="180" t="str">
        <f>F58</f>
        <v>TP4A(TDG)</v>
      </c>
      <c r="I318" s="226"/>
      <c r="J318" s="226"/>
    </row>
    <row r="319" spans="3:10" s="216" customFormat="1" ht="14.25" x14ac:dyDescent="0.2">
      <c r="C319" s="173" t="s">
        <v>86</v>
      </c>
      <c r="D319" s="136"/>
      <c r="E319" s="139" t="s">
        <v>359</v>
      </c>
      <c r="F319" s="180">
        <f>F60</f>
        <v>32</v>
      </c>
      <c r="I319" s="226"/>
      <c r="J319" s="226"/>
    </row>
    <row r="320" spans="3:10" s="216" customFormat="1" x14ac:dyDescent="0.2">
      <c r="C320" s="173" t="s">
        <v>360</v>
      </c>
      <c r="D320" s="136"/>
      <c r="E320" s="139" t="s">
        <v>87</v>
      </c>
      <c r="F320" s="174">
        <f>F78*1000</f>
        <v>295.12722765003082</v>
      </c>
      <c r="I320" s="226"/>
      <c r="J320" s="226"/>
    </row>
    <row r="321" spans="3:10" s="216" customFormat="1" x14ac:dyDescent="0.2">
      <c r="C321" s="173" t="s">
        <v>88</v>
      </c>
      <c r="D321" s="136"/>
      <c r="E321" s="139" t="s">
        <v>58</v>
      </c>
      <c r="F321" s="240">
        <f>F49*1000000</f>
        <v>1008.8406770811168</v>
      </c>
      <c r="I321" s="226"/>
      <c r="J321" s="226"/>
    </row>
    <row r="322" spans="3:10" s="216" customFormat="1" x14ac:dyDescent="0.2">
      <c r="C322" s="173" t="s">
        <v>89</v>
      </c>
      <c r="D322" s="136"/>
      <c r="E322" s="139" t="s">
        <v>23</v>
      </c>
      <c r="F322" s="174">
        <f>F86</f>
        <v>0</v>
      </c>
      <c r="I322" s="226"/>
      <c r="J322" s="226"/>
    </row>
    <row r="323" spans="3:10" s="216" customFormat="1" x14ac:dyDescent="0.2">
      <c r="C323" s="173" t="s">
        <v>90</v>
      </c>
      <c r="D323" s="136"/>
      <c r="E323" s="139" t="s">
        <v>32</v>
      </c>
      <c r="F323" s="240">
        <f>F66</f>
        <v>88</v>
      </c>
      <c r="I323" s="226"/>
      <c r="J323" s="226"/>
    </row>
    <row r="324" spans="3:10" s="216" customFormat="1" x14ac:dyDescent="0.2">
      <c r="C324" s="173" t="s">
        <v>91</v>
      </c>
      <c r="D324" s="136"/>
      <c r="E324" s="139" t="s">
        <v>42</v>
      </c>
      <c r="F324" s="174">
        <f>F93</f>
        <v>30</v>
      </c>
      <c r="I324" s="226"/>
      <c r="J324" s="226"/>
    </row>
    <row r="325" spans="3:10" s="216" customFormat="1" ht="15.75" x14ac:dyDescent="0.3">
      <c r="C325" s="238" t="s">
        <v>552</v>
      </c>
      <c r="D325" s="136"/>
      <c r="E325" s="228" t="s">
        <v>32</v>
      </c>
      <c r="F325" s="240">
        <f>F68</f>
        <v>12</v>
      </c>
      <c r="I325" s="226"/>
      <c r="J325" s="226"/>
    </row>
    <row r="326" spans="3:10" s="216" customFormat="1" x14ac:dyDescent="0.2">
      <c r="C326" s="173" t="s">
        <v>92</v>
      </c>
      <c r="D326" s="136"/>
      <c r="E326" s="139" t="s">
        <v>42</v>
      </c>
      <c r="F326" s="174">
        <f>F107</f>
        <v>21</v>
      </c>
      <c r="I326" s="226"/>
      <c r="J326" s="226"/>
    </row>
    <row r="327" spans="3:10" s="216" customFormat="1" x14ac:dyDescent="0.2">
      <c r="C327" s="173" t="s">
        <v>93</v>
      </c>
      <c r="D327" s="136"/>
      <c r="E327" s="139"/>
      <c r="F327" s="174">
        <f>F108</f>
        <v>1</v>
      </c>
      <c r="I327" s="226"/>
      <c r="J327" s="226"/>
    </row>
    <row r="328" spans="3:10" s="216" customFormat="1" ht="15.75" x14ac:dyDescent="0.3">
      <c r="C328" s="238" t="s">
        <v>553</v>
      </c>
      <c r="D328" s="136"/>
      <c r="E328" s="228" t="s">
        <v>32</v>
      </c>
      <c r="F328" s="240">
        <f>F70</f>
        <v>5</v>
      </c>
      <c r="I328" s="226"/>
      <c r="J328" s="226"/>
    </row>
    <row r="329" spans="3:10" s="216" customFormat="1" x14ac:dyDescent="0.2">
      <c r="C329" s="173" t="s">
        <v>119</v>
      </c>
      <c r="D329" s="136"/>
      <c r="E329" s="228" t="s">
        <v>32</v>
      </c>
      <c r="F329" s="240">
        <f>F72</f>
        <v>14</v>
      </c>
      <c r="I329" s="226"/>
      <c r="J329" s="226"/>
    </row>
    <row r="330" spans="3:10" s="216" customFormat="1" x14ac:dyDescent="0.2">
      <c r="C330" s="173" t="s">
        <v>51</v>
      </c>
      <c r="D330" s="136"/>
      <c r="E330" s="139" t="s">
        <v>58</v>
      </c>
      <c r="F330" s="176">
        <f>F118*1000000</f>
        <v>10.693711177059839</v>
      </c>
      <c r="I330" s="226"/>
      <c r="J330" s="226"/>
    </row>
    <row r="331" spans="3:10" s="216" customFormat="1" x14ac:dyDescent="0.2">
      <c r="C331" s="173" t="s">
        <v>94</v>
      </c>
      <c r="D331" s="136"/>
      <c r="E331" s="139"/>
      <c r="F331" s="175">
        <f>F66/F68</f>
        <v>7.333333333333333</v>
      </c>
      <c r="I331" s="226"/>
      <c r="J331" s="226"/>
    </row>
    <row r="332" spans="3:10" s="216" customFormat="1" x14ac:dyDescent="0.2">
      <c r="C332" s="173" t="s">
        <v>95</v>
      </c>
      <c r="D332" s="136"/>
      <c r="E332" s="139" t="s">
        <v>361</v>
      </c>
      <c r="F332" s="174">
        <f>F101</f>
        <v>3</v>
      </c>
      <c r="I332" s="226"/>
      <c r="J332" s="226"/>
    </row>
    <row r="333" spans="3:10" s="216" customFormat="1" ht="13.5" thickBot="1" x14ac:dyDescent="0.25">
      <c r="C333" s="177" t="s">
        <v>96</v>
      </c>
      <c r="D333" s="137"/>
      <c r="E333" s="140" t="s">
        <v>361</v>
      </c>
      <c r="F333" s="181">
        <f>F115</f>
        <v>1</v>
      </c>
      <c r="I333" s="226"/>
      <c r="J333" s="226"/>
    </row>
    <row r="334" spans="3:10" s="216" customFormat="1" ht="13.5" thickTop="1" x14ac:dyDescent="0.2">
      <c r="C334" s="81"/>
      <c r="D334" s="81"/>
      <c r="E334" s="81"/>
      <c r="F334" s="81"/>
      <c r="I334" s="226"/>
      <c r="J334" s="226"/>
    </row>
    <row r="335" spans="3:10" s="216" customFormat="1" ht="13.5" thickBot="1" x14ac:dyDescent="0.25">
      <c r="C335" s="170" t="s">
        <v>97</v>
      </c>
      <c r="D335" s="81"/>
      <c r="E335" s="81"/>
      <c r="F335" s="81"/>
      <c r="I335" s="226"/>
      <c r="J335" s="226"/>
    </row>
    <row r="336" spans="3:10" s="216" customFormat="1" ht="13.5" thickTop="1" x14ac:dyDescent="0.2">
      <c r="C336" s="171" t="s">
        <v>98</v>
      </c>
      <c r="D336" s="138" t="s">
        <v>165</v>
      </c>
      <c r="E336" s="138" t="s">
        <v>12</v>
      </c>
      <c r="F336" s="182">
        <f>F47</f>
        <v>47</v>
      </c>
      <c r="I336" s="226"/>
      <c r="J336" s="226"/>
    </row>
    <row r="337" spans="3:10" s="216" customFormat="1" x14ac:dyDescent="0.2">
      <c r="C337" s="173" t="s">
        <v>99</v>
      </c>
      <c r="D337" s="139" t="s">
        <v>168</v>
      </c>
      <c r="E337" s="139" t="s">
        <v>12</v>
      </c>
      <c r="F337" s="176">
        <f>F141</f>
        <v>1000</v>
      </c>
      <c r="I337" s="226"/>
      <c r="J337" s="226"/>
    </row>
    <row r="338" spans="3:10" s="216" customFormat="1" x14ac:dyDescent="0.2">
      <c r="C338" s="173" t="s">
        <v>188</v>
      </c>
      <c r="D338" s="139" t="s">
        <v>205</v>
      </c>
      <c r="E338" s="139" t="s">
        <v>12</v>
      </c>
      <c r="F338" s="176">
        <f>F151</f>
        <v>470</v>
      </c>
      <c r="I338" s="226"/>
      <c r="J338" s="226"/>
    </row>
    <row r="339" spans="3:10" s="216" customFormat="1" x14ac:dyDescent="0.2">
      <c r="C339" s="173" t="s">
        <v>99</v>
      </c>
      <c r="D339" s="236" t="s">
        <v>523</v>
      </c>
      <c r="E339" s="139" t="s">
        <v>12</v>
      </c>
      <c r="F339" s="176">
        <f>F161</f>
        <v>330</v>
      </c>
      <c r="I339" s="226"/>
      <c r="J339" s="226"/>
    </row>
    <row r="340" spans="3:10" s="216" customFormat="1" x14ac:dyDescent="0.2">
      <c r="C340" s="173" t="s">
        <v>188</v>
      </c>
      <c r="D340" s="236" t="s">
        <v>555</v>
      </c>
      <c r="E340" s="139" t="s">
        <v>12</v>
      </c>
      <c r="F340" s="176">
        <f>F171</f>
        <v>330</v>
      </c>
      <c r="I340" s="226"/>
      <c r="J340" s="226"/>
    </row>
    <row r="341" spans="3:10" s="216" customFormat="1" x14ac:dyDescent="0.2">
      <c r="C341" s="173" t="s">
        <v>189</v>
      </c>
      <c r="D341" s="139" t="s">
        <v>213</v>
      </c>
      <c r="E341" s="139" t="s">
        <v>58</v>
      </c>
      <c r="F341" s="176">
        <f>F148</f>
        <v>2.2000000000000002</v>
      </c>
      <c r="I341" s="226"/>
      <c r="J341" s="226"/>
    </row>
    <row r="342" spans="3:10" s="216" customFormat="1" x14ac:dyDescent="0.2">
      <c r="C342" s="173" t="s">
        <v>189</v>
      </c>
      <c r="D342" s="139" t="s">
        <v>556</v>
      </c>
      <c r="E342" s="139" t="s">
        <v>58</v>
      </c>
      <c r="F342" s="176">
        <f>F168</f>
        <v>4.7</v>
      </c>
      <c r="I342" s="226"/>
      <c r="J342" s="226"/>
    </row>
    <row r="343" spans="3:10" s="216" customFormat="1" x14ac:dyDescent="0.2">
      <c r="C343" s="173" t="s">
        <v>190</v>
      </c>
      <c r="D343" s="139" t="s">
        <v>214</v>
      </c>
      <c r="E343" s="139" t="s">
        <v>58</v>
      </c>
      <c r="F343" s="176">
        <f>F181</f>
        <v>22</v>
      </c>
      <c r="I343" s="226"/>
      <c r="J343" s="226"/>
    </row>
    <row r="344" spans="3:10" s="216" customFormat="1" x14ac:dyDescent="0.2">
      <c r="C344" s="238" t="s">
        <v>482</v>
      </c>
      <c r="D344" s="236" t="s">
        <v>483</v>
      </c>
      <c r="E344" s="236" t="s">
        <v>67</v>
      </c>
      <c r="F344" s="174">
        <f>F275</f>
        <v>120</v>
      </c>
      <c r="I344" s="226"/>
      <c r="J344" s="226"/>
    </row>
    <row r="345" spans="3:10" s="216" customFormat="1" x14ac:dyDescent="0.2">
      <c r="C345" s="238" t="s">
        <v>557</v>
      </c>
      <c r="D345" s="236" t="s">
        <v>484</v>
      </c>
      <c r="E345" s="139" t="s">
        <v>53</v>
      </c>
      <c r="F345" s="174">
        <f>F272</f>
        <v>27</v>
      </c>
      <c r="I345" s="226"/>
      <c r="J345" s="226"/>
    </row>
    <row r="346" spans="3:10" s="216" customFormat="1" x14ac:dyDescent="0.2">
      <c r="C346" s="173" t="s">
        <v>154</v>
      </c>
      <c r="D346" s="139" t="s">
        <v>215</v>
      </c>
      <c r="E346" s="139" t="s">
        <v>56</v>
      </c>
      <c r="F346" s="175">
        <f>F81</f>
        <v>1.2138936966353164</v>
      </c>
      <c r="I346" s="226"/>
      <c r="J346" s="226"/>
    </row>
    <row r="347" spans="3:10" s="216" customFormat="1" x14ac:dyDescent="0.2">
      <c r="C347" s="173" t="s">
        <v>183</v>
      </c>
      <c r="D347" s="139" t="s">
        <v>216</v>
      </c>
      <c r="E347" s="139" t="s">
        <v>53</v>
      </c>
      <c r="F347" s="176">
        <f>F124</f>
        <v>68</v>
      </c>
      <c r="I347" s="226"/>
      <c r="J347" s="226"/>
    </row>
    <row r="348" spans="3:10" s="216" customFormat="1" x14ac:dyDescent="0.2">
      <c r="C348" s="173" t="s">
        <v>184</v>
      </c>
      <c r="D348" s="139" t="s">
        <v>217</v>
      </c>
      <c r="E348" s="139" t="s">
        <v>52</v>
      </c>
      <c r="F348" s="174">
        <f>F122</f>
        <v>1</v>
      </c>
      <c r="I348" s="226"/>
      <c r="J348" s="226"/>
    </row>
    <row r="349" spans="3:10" s="216" customFormat="1" x14ac:dyDescent="0.2">
      <c r="C349" s="173" t="s">
        <v>358</v>
      </c>
      <c r="D349" s="139" t="s">
        <v>207</v>
      </c>
      <c r="E349" s="139" t="s">
        <v>53</v>
      </c>
      <c r="F349" s="176">
        <f>F236</f>
        <v>15.833333333333334</v>
      </c>
      <c r="I349" s="226"/>
      <c r="J349" s="226"/>
    </row>
    <row r="350" spans="3:10" s="216" customFormat="1" x14ac:dyDescent="0.2">
      <c r="C350" s="173" t="s">
        <v>358</v>
      </c>
      <c r="D350" s="139" t="s">
        <v>206</v>
      </c>
      <c r="E350" s="139" t="s">
        <v>53</v>
      </c>
      <c r="F350" s="176">
        <f>F234</f>
        <v>2.5</v>
      </c>
      <c r="I350" s="226"/>
      <c r="J350" s="226"/>
    </row>
    <row r="351" spans="3:10" s="216" customFormat="1" x14ac:dyDescent="0.2">
      <c r="C351" s="173" t="s">
        <v>142</v>
      </c>
      <c r="D351" s="139" t="s">
        <v>208</v>
      </c>
      <c r="E351" s="139" t="s">
        <v>53</v>
      </c>
      <c r="F351" s="175">
        <f>F241</f>
        <v>0.82</v>
      </c>
      <c r="I351" s="226"/>
      <c r="J351" s="226"/>
    </row>
    <row r="352" spans="3:10" s="216" customFormat="1" x14ac:dyDescent="0.2">
      <c r="C352" s="173" t="s">
        <v>142</v>
      </c>
      <c r="D352" s="139" t="s">
        <v>209</v>
      </c>
      <c r="E352" s="139" t="s">
        <v>53</v>
      </c>
      <c r="F352" s="176">
        <f>F246</f>
        <v>1.2</v>
      </c>
      <c r="I352" s="226"/>
      <c r="J352" s="226"/>
    </row>
    <row r="353" spans="1:31" s="216" customFormat="1" x14ac:dyDescent="0.2">
      <c r="C353" s="173" t="s">
        <v>142</v>
      </c>
      <c r="D353" s="139" t="s">
        <v>210</v>
      </c>
      <c r="E353" s="139" t="s">
        <v>53</v>
      </c>
      <c r="F353" s="176">
        <f>F262</f>
        <v>12</v>
      </c>
      <c r="I353" s="226"/>
      <c r="J353" s="226"/>
    </row>
    <row r="354" spans="1:31" s="216" customFormat="1" x14ac:dyDescent="0.2">
      <c r="C354" s="173" t="s">
        <v>142</v>
      </c>
      <c r="D354" s="139" t="s">
        <v>212</v>
      </c>
      <c r="E354" s="139" t="s">
        <v>52</v>
      </c>
      <c r="F354" s="176">
        <f>F266</f>
        <v>820</v>
      </c>
      <c r="I354" s="226"/>
      <c r="J354" s="226"/>
    </row>
    <row r="355" spans="1:31" s="216" customFormat="1" ht="13.5" thickBot="1" x14ac:dyDescent="0.25">
      <c r="C355" s="177" t="s">
        <v>142</v>
      </c>
      <c r="D355" s="140" t="s">
        <v>211</v>
      </c>
      <c r="E355" s="140" t="s">
        <v>52</v>
      </c>
      <c r="F355" s="178">
        <f>F264</f>
        <v>4.7</v>
      </c>
      <c r="I355" s="226"/>
      <c r="J355" s="226"/>
    </row>
    <row r="356" spans="1:31" s="216" customFormat="1" ht="13.5" thickTop="1" x14ac:dyDescent="0.2">
      <c r="D356" s="81"/>
    </row>
    <row r="357" spans="1:31" s="216" customFormat="1" x14ac:dyDescent="0.2">
      <c r="D357" s="81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">
      <c r="A358" s="216"/>
      <c r="B358" s="216"/>
      <c r="C358" s="216"/>
      <c r="E358" s="216"/>
      <c r="F358" s="216"/>
      <c r="G358" s="216"/>
      <c r="H358" s="216"/>
      <c r="I358" s="216"/>
      <c r="J358" s="216"/>
    </row>
    <row r="359" spans="1:31" s="216" customFormat="1" x14ac:dyDescent="0.2">
      <c r="A359"/>
      <c r="B359"/>
      <c r="C359"/>
      <c r="D359" s="81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s="216" customFormat="1" x14ac:dyDescent="0.2">
      <c r="D360" s="81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s="216" customFormat="1" x14ac:dyDescent="0.2">
      <c r="D361" s="8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s="216" customFormat="1" x14ac:dyDescent="0.2">
      <c r="D362" s="81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s="216" customFormat="1" x14ac:dyDescent="0.2">
      <c r="D363" s="81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">
      <c r="A364" s="216"/>
      <c r="B364" s="216"/>
      <c r="C364" s="216"/>
      <c r="E364" s="216"/>
      <c r="F364" s="216"/>
      <c r="G364" s="216"/>
      <c r="H364" s="216"/>
      <c r="I364" s="216"/>
      <c r="J364" s="216"/>
    </row>
  </sheetData>
  <sheetProtection password="D204" sheet="1" objects="1" scenarios="1"/>
  <mergeCells count="5">
    <mergeCell ref="C7:D7"/>
    <mergeCell ref="C3:D3"/>
    <mergeCell ref="C4:D4"/>
    <mergeCell ref="C6:D6"/>
    <mergeCell ref="C5:D5"/>
  </mergeCells>
  <printOptions headings="1" gridLines="1"/>
  <pageMargins left="0.78740157480314965" right="0.78740157480314965" top="0.98425196850393704" bottom="0.98425196850393704" header="0.51181102362204722" footer="0.51181102362204722"/>
  <pageSetup paperSize="9" scale="49" orientation="portrait" horizontalDpi="300" verticalDpi="300" r:id="rId1"/>
  <headerFooter alignWithMargins="0">
    <oddHeader>&amp;C&amp;F&amp;RSeite &amp;P</oddHeader>
    <oddFooter>&amp;RHL PS TM1
&amp;D</oddFooter>
  </headerFooter>
  <rowBreaks count="3" manualBreakCount="3">
    <brk id="54" max="5" man="1"/>
    <brk id="153" max="5" man="1"/>
    <brk id="259" max="5" man="1"/>
  </rowBreaks>
  <colBreaks count="1" manualBreakCount="1">
    <brk id="6" max="408" man="1"/>
  </colBreaks>
  <drawing r:id="rId2"/>
  <legacyDrawing r:id="rId3"/>
  <oleObjects>
    <mc:AlternateContent xmlns:mc="http://schemas.openxmlformats.org/markup-compatibility/2006">
      <mc:Choice Requires="x14">
        <oleObject progId="Visio.Drawing.11" shapeId="4097" r:id="rId4">
          <objectPr defaultSize="0" autoPict="0" r:id="rId5">
            <anchor moveWithCells="1">
              <from>
                <xdr:col>2</xdr:col>
                <xdr:colOff>2286000</xdr:colOff>
                <xdr:row>27</xdr:row>
                <xdr:rowOff>76200</xdr:rowOff>
              </from>
              <to>
                <xdr:col>3</xdr:col>
                <xdr:colOff>1828800</xdr:colOff>
                <xdr:row>27</xdr:row>
                <xdr:rowOff>3867150</xdr:rowOff>
              </to>
            </anchor>
          </objectPr>
        </oleObject>
      </mc:Choice>
      <mc:Fallback>
        <oleObject progId="Visio.Drawing.11" shapeId="4097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msc!$B$3:$B$21</xm:f>
          </x14:formula1>
          <xm:sqref>F33</xm:sqref>
        </x14:dataValidation>
        <x14:dataValidation type="list" allowBlank="1" showInputMessage="1" showErrorMessage="1">
          <x14:formula1>
            <xm:f>msc!J3:J5</xm:f>
          </x14:formula1>
          <xm:sqref>F176</xm:sqref>
        </x14:dataValidation>
        <x14:dataValidation type="list" allowBlank="1" showInputMessage="1" showErrorMessage="1">
          <x14:formula1>
            <xm:f>msc!L3:L7</xm:f>
          </x14:formula1>
          <xm:sqref>F178</xm:sqref>
        </x14:dataValidation>
        <x14:dataValidation type="list" allowBlank="1" showInputMessage="1" showErrorMessage="1">
          <x14:formula1>
            <xm:f>msc!N3:N5</xm:f>
          </x14:formula1>
          <xm:sqref>F179</xm:sqref>
        </x14:dataValidation>
        <x14:dataValidation type="list" allowBlank="1" showInputMessage="1" showErrorMessage="1">
          <x14:formula1>
            <xm:f>msc!D3:D10</xm:f>
          </x14:formula1>
          <xm:sqref>F34</xm:sqref>
        </x14:dataValidation>
        <x14:dataValidation type="list" allowBlank="1" showInputMessage="1" showErrorMessage="1">
          <x14:formula1>
            <xm:f>msc!F3:F8</xm:f>
          </x14:formula1>
          <xm:sqref>F80</xm:sqref>
        </x14:dataValidation>
        <x14:dataValidation type="list" allowBlank="1" showInputMessage="1" showErrorMessage="1">
          <x14:formula1>
            <xm:f>msc!H3:H6</xm:f>
          </x14:formula1>
          <xm:sqref>F83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="80" zoomScaleNormal="80" zoomScaleSheetLayoutView="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44" sqref="M44"/>
    </sheetView>
  </sheetViews>
  <sheetFormatPr defaultColWidth="17.28515625" defaultRowHeight="13.5" x14ac:dyDescent="0.25"/>
  <cols>
    <col min="1" max="1" width="9.5703125" style="271" customWidth="1"/>
    <col min="2" max="2" width="27.85546875" style="271" customWidth="1"/>
    <col min="3" max="3" width="24.7109375" style="273" customWidth="1"/>
    <col min="4" max="4" width="11.5703125" style="273" customWidth="1"/>
    <col min="5" max="5" width="12.42578125" style="273" customWidth="1"/>
    <col min="6" max="6" width="10.28515625" style="273" customWidth="1"/>
    <col min="7" max="7" width="30.28515625" style="273" customWidth="1"/>
    <col min="8" max="8" width="21.85546875" style="273" customWidth="1"/>
    <col min="9" max="9" width="32.5703125" style="273" customWidth="1"/>
    <col min="10" max="10" width="18.7109375" style="271" customWidth="1"/>
    <col min="11" max="13" width="17.28515625" style="271"/>
    <col min="14" max="14" width="2.28515625" style="271" bestFit="1" customWidth="1"/>
    <col min="15" max="16384" width="17.28515625" style="271"/>
  </cols>
  <sheetData>
    <row r="1" spans="1:10" x14ac:dyDescent="0.25">
      <c r="A1" s="270" t="s">
        <v>283</v>
      </c>
      <c r="C1" s="272"/>
      <c r="E1" s="274"/>
    </row>
    <row r="2" spans="1:10" x14ac:dyDescent="0.25">
      <c r="B2" s="274" t="s">
        <v>145</v>
      </c>
      <c r="C2" s="275" t="str">
        <f>'Calculation(Dual FB)'!C4:D4</f>
        <v>85~300(320)VAC and (12Vx1.25A+5Vx0.2A=16W) Dual Output Dual FB</v>
      </c>
    </row>
    <row r="3" spans="1:10" x14ac:dyDescent="0.25">
      <c r="A3" s="275"/>
      <c r="B3" s="274" t="s">
        <v>471</v>
      </c>
      <c r="C3" s="275" t="str">
        <f>'Calculation(Dual FB)'!F32</f>
        <v>ICE5QR4780AZ</v>
      </c>
      <c r="D3" s="276"/>
      <c r="F3" s="277"/>
      <c r="G3" s="277"/>
      <c r="H3" s="277"/>
      <c r="I3" s="277"/>
    </row>
    <row r="4" spans="1:10" x14ac:dyDescent="0.25">
      <c r="B4" s="274" t="s">
        <v>503</v>
      </c>
      <c r="C4" s="275">
        <f>'Calculation(Dual FB)'!C7:D7</f>
        <v>0</v>
      </c>
    </row>
    <row r="5" spans="1:10" ht="14.25" thickBot="1" x14ac:dyDescent="0.3">
      <c r="B5" s="274" t="s">
        <v>144</v>
      </c>
      <c r="C5" s="296">
        <f>'Calculation(Dual FB)'!C6:D6</f>
        <v>0</v>
      </c>
    </row>
    <row r="6" spans="1:10" ht="14.25" thickBot="1" x14ac:dyDescent="0.3">
      <c r="A6" s="278" t="s">
        <v>282</v>
      </c>
      <c r="B6" s="278" t="s">
        <v>281</v>
      </c>
      <c r="C6" s="278" t="s">
        <v>284</v>
      </c>
      <c r="D6" s="279" t="s">
        <v>490</v>
      </c>
      <c r="E6" s="278" t="s">
        <v>582</v>
      </c>
      <c r="F6" s="278" t="s">
        <v>491</v>
      </c>
      <c r="G6" s="279" t="s">
        <v>594</v>
      </c>
      <c r="H6" s="279" t="s">
        <v>580</v>
      </c>
      <c r="I6" s="279" t="s">
        <v>498</v>
      </c>
      <c r="J6" s="279" t="s">
        <v>499</v>
      </c>
    </row>
    <row r="7" spans="1:10" x14ac:dyDescent="0.25">
      <c r="A7" s="280">
        <v>1</v>
      </c>
      <c r="B7" s="281" t="s">
        <v>164</v>
      </c>
      <c r="C7" s="281"/>
      <c r="D7" s="281" t="s">
        <v>271</v>
      </c>
      <c r="E7" s="282">
        <f>'Calculation(Dual FB)'!F38</f>
        <v>0.3690888119953864</v>
      </c>
      <c r="F7" s="282"/>
      <c r="G7" s="295"/>
      <c r="H7" s="311"/>
      <c r="I7" s="312"/>
      <c r="J7" s="311"/>
    </row>
    <row r="8" spans="1:10" x14ac:dyDescent="0.25">
      <c r="A8" s="283">
        <f>A7+1</f>
        <v>2</v>
      </c>
      <c r="B8" s="284" t="s">
        <v>224</v>
      </c>
      <c r="C8" s="284" t="s">
        <v>624</v>
      </c>
      <c r="D8" s="284" t="s">
        <v>276</v>
      </c>
      <c r="E8" s="285"/>
      <c r="F8" s="285"/>
      <c r="G8" s="295"/>
      <c r="H8" s="293"/>
      <c r="I8" s="310"/>
      <c r="J8" s="293"/>
    </row>
    <row r="9" spans="1:10" x14ac:dyDescent="0.25">
      <c r="A9" s="283">
        <f t="shared" ref="A9:A70" si="0">A8+1</f>
        <v>3</v>
      </c>
      <c r="B9" s="284" t="s">
        <v>268</v>
      </c>
      <c r="C9" s="297" t="s">
        <v>626</v>
      </c>
      <c r="D9" s="297" t="s">
        <v>579</v>
      </c>
      <c r="E9" s="318"/>
      <c r="F9" s="318"/>
      <c r="G9" s="355"/>
      <c r="H9" s="345"/>
      <c r="I9" s="346"/>
      <c r="J9" s="345"/>
    </row>
    <row r="10" spans="1:10" x14ac:dyDescent="0.25">
      <c r="A10" s="283">
        <f t="shared" si="0"/>
        <v>4</v>
      </c>
      <c r="B10" s="287" t="s">
        <v>220</v>
      </c>
      <c r="C10" s="288">
        <f>'Calculation(Dual FB)'!F47</f>
        <v>47</v>
      </c>
      <c r="D10" s="288">
        <f>'Calculation(Dual FB)'!F39</f>
        <v>452.54833995939043</v>
      </c>
      <c r="E10" s="285"/>
      <c r="F10" s="285"/>
      <c r="G10" s="355"/>
      <c r="H10" s="368"/>
      <c r="I10" s="369"/>
      <c r="J10" s="368"/>
    </row>
    <row r="11" spans="1:10" x14ac:dyDescent="0.25">
      <c r="A11" s="283">
        <f t="shared" si="0"/>
        <v>5</v>
      </c>
      <c r="B11" s="284" t="s">
        <v>625</v>
      </c>
      <c r="C11" s="284" t="s">
        <v>684</v>
      </c>
      <c r="D11" s="284" t="s">
        <v>276</v>
      </c>
      <c r="E11" s="285"/>
      <c r="F11" s="285"/>
      <c r="G11" s="355"/>
      <c r="H11" s="368"/>
      <c r="I11" s="369"/>
      <c r="J11" s="368"/>
    </row>
    <row r="12" spans="1:10" x14ac:dyDescent="0.25">
      <c r="A12" s="283">
        <f t="shared" si="0"/>
        <v>6</v>
      </c>
      <c r="B12" s="287" t="s">
        <v>226</v>
      </c>
      <c r="C12" s="289">
        <f>'Calculation(Dual FB)'!F122</f>
        <v>1</v>
      </c>
      <c r="D12" s="284" t="s">
        <v>271</v>
      </c>
      <c r="E12" s="285"/>
      <c r="F12" s="285"/>
      <c r="G12" s="355"/>
      <c r="H12" s="313"/>
      <c r="I12" s="346"/>
      <c r="J12" s="345"/>
    </row>
    <row r="13" spans="1:10" x14ac:dyDescent="0.25">
      <c r="A13" s="283">
        <f t="shared" si="0"/>
        <v>7</v>
      </c>
      <c r="B13" s="287" t="s">
        <v>221</v>
      </c>
      <c r="C13" s="288">
        <f>'Calculation(Dual FB)'!F181</f>
        <v>22</v>
      </c>
      <c r="D13" s="284" t="s">
        <v>275</v>
      </c>
      <c r="E13" s="285"/>
      <c r="F13" s="285"/>
      <c r="G13" s="355"/>
      <c r="H13" s="368"/>
      <c r="I13" s="369"/>
      <c r="J13" s="368"/>
    </row>
    <row r="14" spans="1:10" x14ac:dyDescent="0.25">
      <c r="A14" s="283">
        <f t="shared" si="0"/>
        <v>8</v>
      </c>
      <c r="B14" s="284" t="s">
        <v>227</v>
      </c>
      <c r="C14" s="284" t="s">
        <v>273</v>
      </c>
      <c r="D14" s="284" t="s">
        <v>272</v>
      </c>
      <c r="E14" s="284"/>
      <c r="F14" s="284"/>
      <c r="G14" s="345"/>
      <c r="H14" s="313"/>
      <c r="I14" s="346"/>
      <c r="J14" s="345"/>
    </row>
    <row r="15" spans="1:10" x14ac:dyDescent="0.25">
      <c r="A15" s="283">
        <f t="shared" si="0"/>
        <v>9</v>
      </c>
      <c r="B15" s="284" t="s">
        <v>223</v>
      </c>
      <c r="C15" s="284" t="s">
        <v>274</v>
      </c>
      <c r="D15" s="284" t="s">
        <v>272</v>
      </c>
      <c r="E15" s="284"/>
      <c r="F15" s="284"/>
      <c r="G15" s="345"/>
      <c r="H15" s="313"/>
      <c r="I15" s="346"/>
      <c r="J15" s="345"/>
    </row>
    <row r="16" spans="1:10" x14ac:dyDescent="0.25">
      <c r="A16" s="283">
        <f t="shared" si="0"/>
        <v>10</v>
      </c>
      <c r="B16" s="287" t="s">
        <v>481</v>
      </c>
      <c r="C16" s="291">
        <f>'Calculation(Dual FB)'!F275</f>
        <v>120</v>
      </c>
      <c r="D16" s="284" t="s">
        <v>272</v>
      </c>
      <c r="E16" s="292"/>
      <c r="F16" s="292"/>
      <c r="G16" s="345"/>
      <c r="H16" s="313"/>
      <c r="I16" s="346"/>
      <c r="J16" s="345"/>
    </row>
    <row r="17" spans="1:10" x14ac:dyDescent="0.25">
      <c r="A17" s="283">
        <f t="shared" si="0"/>
        <v>11</v>
      </c>
      <c r="B17" s="284" t="s">
        <v>269</v>
      </c>
      <c r="C17" s="284"/>
      <c r="D17" s="284"/>
      <c r="E17" s="285"/>
      <c r="F17" s="285"/>
      <c r="G17" s="313"/>
      <c r="H17" s="313"/>
      <c r="I17" s="366"/>
      <c r="J17" s="345"/>
    </row>
    <row r="18" spans="1:10" x14ac:dyDescent="0.25">
      <c r="A18" s="283">
        <f t="shared" si="0"/>
        <v>12</v>
      </c>
      <c r="B18" s="284" t="s">
        <v>581</v>
      </c>
      <c r="C18" s="284"/>
      <c r="D18" s="284"/>
      <c r="E18" s="285"/>
      <c r="F18" s="285"/>
      <c r="G18" s="345"/>
      <c r="H18" s="313"/>
      <c r="I18" s="346"/>
      <c r="J18" s="345"/>
    </row>
    <row r="19" spans="1:10" x14ac:dyDescent="0.25">
      <c r="A19" s="283">
        <f t="shared" si="0"/>
        <v>13</v>
      </c>
      <c r="B19" s="284" t="s">
        <v>662</v>
      </c>
      <c r="C19" s="343"/>
      <c r="D19" s="343"/>
      <c r="E19" s="344"/>
      <c r="F19" s="344"/>
      <c r="G19" s="345"/>
      <c r="H19" s="313"/>
      <c r="I19" s="346"/>
      <c r="J19" s="345"/>
    </row>
    <row r="20" spans="1:10" x14ac:dyDescent="0.25">
      <c r="A20" s="283">
        <f t="shared" si="0"/>
        <v>14</v>
      </c>
      <c r="B20" s="284" t="s">
        <v>270</v>
      </c>
      <c r="C20" s="343"/>
      <c r="D20" s="343"/>
      <c r="E20" s="344"/>
      <c r="F20" s="344"/>
      <c r="G20" s="345"/>
      <c r="H20" s="313"/>
      <c r="I20" s="347"/>
      <c r="J20" s="345"/>
    </row>
    <row r="21" spans="1:10" x14ac:dyDescent="0.25">
      <c r="A21" s="283">
        <f t="shared" si="0"/>
        <v>15</v>
      </c>
      <c r="B21" s="287" t="s">
        <v>222</v>
      </c>
      <c r="C21" s="348">
        <f>'Calculation(Dual FB)'!F141</f>
        <v>1000</v>
      </c>
      <c r="D21" s="349"/>
      <c r="E21" s="350"/>
      <c r="F21" s="350"/>
      <c r="G21" s="351"/>
      <c r="H21" s="345"/>
      <c r="I21" s="346"/>
      <c r="J21" s="345"/>
    </row>
    <row r="22" spans="1:10" x14ac:dyDescent="0.25">
      <c r="A22" s="283">
        <f t="shared" si="0"/>
        <v>16</v>
      </c>
      <c r="B22" s="287" t="s">
        <v>663</v>
      </c>
      <c r="C22" s="348" t="str">
        <f>IF('Calculation(Dual FB)'!F144&gt;1,"same capacitance as C22"," ")</f>
        <v xml:space="preserve"> </v>
      </c>
      <c r="D22" s="349"/>
      <c r="E22" s="350"/>
      <c r="F22" s="350"/>
      <c r="G22" s="351"/>
      <c r="H22" s="345"/>
      <c r="I22" s="346"/>
      <c r="J22" s="345"/>
    </row>
    <row r="23" spans="1:10" x14ac:dyDescent="0.25">
      <c r="A23" s="283">
        <f t="shared" si="0"/>
        <v>17</v>
      </c>
      <c r="B23" s="287" t="s">
        <v>225</v>
      </c>
      <c r="C23" s="349">
        <f>'Calculation(Dual FB)'!F151</f>
        <v>470</v>
      </c>
      <c r="D23" s="343"/>
      <c r="E23" s="350"/>
      <c r="F23" s="350"/>
      <c r="G23" s="351"/>
      <c r="H23" s="345"/>
      <c r="I23" s="346"/>
      <c r="J23" s="345"/>
    </row>
    <row r="24" spans="1:10" x14ac:dyDescent="0.25">
      <c r="A24" s="283">
        <f t="shared" si="0"/>
        <v>18</v>
      </c>
      <c r="B24" s="287" t="s">
        <v>219</v>
      </c>
      <c r="C24" s="349">
        <f>'Calculation(Dual FB)'!F266</f>
        <v>820</v>
      </c>
      <c r="D24" s="343" t="s">
        <v>272</v>
      </c>
      <c r="E24" s="343"/>
      <c r="F24" s="343"/>
      <c r="G24" s="345"/>
      <c r="H24" s="313"/>
      <c r="I24" s="346"/>
      <c r="J24" s="345"/>
    </row>
    <row r="25" spans="1:10" x14ac:dyDescent="0.25">
      <c r="A25" s="283">
        <f t="shared" si="0"/>
        <v>19</v>
      </c>
      <c r="B25" s="287" t="s">
        <v>218</v>
      </c>
      <c r="C25" s="344">
        <f>'Calculation(Dual FB)'!F264</f>
        <v>4.7</v>
      </c>
      <c r="D25" s="343" t="s">
        <v>272</v>
      </c>
      <c r="E25" s="343"/>
      <c r="F25" s="343"/>
      <c r="G25" s="345"/>
      <c r="H25" s="313"/>
      <c r="I25" s="346"/>
      <c r="J25" s="345"/>
    </row>
    <row r="26" spans="1:10" x14ac:dyDescent="0.25">
      <c r="A26" s="283">
        <f t="shared" si="0"/>
        <v>20</v>
      </c>
      <c r="B26" s="284" t="s">
        <v>584</v>
      </c>
      <c r="C26" s="343"/>
      <c r="D26" s="343"/>
      <c r="E26" s="344"/>
      <c r="F26" s="344"/>
      <c r="G26" s="345"/>
      <c r="H26" s="313"/>
      <c r="I26" s="347"/>
      <c r="J26" s="345"/>
    </row>
    <row r="27" spans="1:10" x14ac:dyDescent="0.25">
      <c r="A27" s="283">
        <f t="shared" si="0"/>
        <v>21</v>
      </c>
      <c r="B27" s="287" t="s">
        <v>585</v>
      </c>
      <c r="C27" s="348">
        <f>'Calculation(Dual FB)'!F161</f>
        <v>330</v>
      </c>
      <c r="D27" s="349"/>
      <c r="E27" s="350"/>
      <c r="F27" s="350"/>
      <c r="G27" s="351"/>
      <c r="H27" s="345"/>
      <c r="I27" s="346"/>
      <c r="J27" s="345"/>
    </row>
    <row r="28" spans="1:10" x14ac:dyDescent="0.25">
      <c r="A28" s="283">
        <f t="shared" si="0"/>
        <v>22</v>
      </c>
      <c r="B28" s="287" t="s">
        <v>664</v>
      </c>
      <c r="C28" s="348" t="str">
        <f>IF('Calculation(Dual FB)'!F164&gt;1,"same capacitance as C28"," ")</f>
        <v xml:space="preserve"> </v>
      </c>
      <c r="D28" s="349"/>
      <c r="E28" s="350"/>
      <c r="F28" s="350"/>
      <c r="G28" s="351"/>
      <c r="H28" s="345"/>
      <c r="I28" s="346"/>
      <c r="J28" s="345"/>
    </row>
    <row r="29" spans="1:10" x14ac:dyDescent="0.25">
      <c r="A29" s="283">
        <f t="shared" si="0"/>
        <v>23</v>
      </c>
      <c r="B29" s="287" t="s">
        <v>586</v>
      </c>
      <c r="C29" s="349">
        <f>'Calculation(Dual FB)'!F171</f>
        <v>330</v>
      </c>
      <c r="D29" s="343"/>
      <c r="E29" s="350"/>
      <c r="F29" s="350"/>
      <c r="G29" s="351"/>
      <c r="H29" s="345"/>
      <c r="I29" s="346"/>
      <c r="J29" s="345"/>
    </row>
    <row r="30" spans="1:10" x14ac:dyDescent="0.25">
      <c r="A30" s="283">
        <f t="shared" si="0"/>
        <v>24</v>
      </c>
      <c r="B30" s="284" t="s">
        <v>230</v>
      </c>
      <c r="C30" s="343"/>
      <c r="D30" s="343" t="s">
        <v>622</v>
      </c>
      <c r="E30" s="343">
        <v>1</v>
      </c>
      <c r="F30" s="343"/>
      <c r="G30" s="345"/>
      <c r="H30" s="345"/>
      <c r="I30" s="346"/>
      <c r="J30" s="345"/>
    </row>
    <row r="31" spans="1:10" x14ac:dyDescent="0.25">
      <c r="A31" s="283">
        <f t="shared" si="0"/>
        <v>25</v>
      </c>
      <c r="B31" s="298" t="s">
        <v>229</v>
      </c>
      <c r="C31" s="343"/>
      <c r="D31" s="352">
        <f>'Calculation(Dual FB)'!F134</f>
        <v>85.996326811721204</v>
      </c>
      <c r="E31" s="343">
        <v>0.1</v>
      </c>
      <c r="F31" s="343"/>
      <c r="G31" s="345"/>
      <c r="H31" s="353"/>
      <c r="I31" s="353"/>
      <c r="J31" s="343"/>
    </row>
    <row r="32" spans="1:10" x14ac:dyDescent="0.25">
      <c r="A32" s="283">
        <f t="shared" si="0"/>
        <v>26</v>
      </c>
      <c r="B32" s="284" t="s">
        <v>587</v>
      </c>
      <c r="C32" s="343"/>
      <c r="D32" s="354"/>
      <c r="E32" s="343"/>
      <c r="F32" s="343"/>
      <c r="G32" s="345"/>
      <c r="H32" s="353"/>
      <c r="I32" s="353"/>
      <c r="J32" s="343"/>
    </row>
    <row r="33" spans="1:10" x14ac:dyDescent="0.25">
      <c r="A33" s="283">
        <f t="shared" si="0"/>
        <v>27</v>
      </c>
      <c r="B33" s="299" t="s">
        <v>228</v>
      </c>
      <c r="C33" s="349"/>
      <c r="D33" s="350">
        <f>'Calculation(Dual FB)'!F127</f>
        <v>73.711137267189599</v>
      </c>
      <c r="E33" s="350">
        <f>'Calculation(Dual FB)'!F129</f>
        <v>2.3303070688773007</v>
      </c>
      <c r="F33" s="350"/>
      <c r="G33" s="351"/>
      <c r="H33" s="353"/>
      <c r="I33" s="353"/>
      <c r="J33" s="343"/>
    </row>
    <row r="34" spans="1:10" x14ac:dyDescent="0.25">
      <c r="A34" s="283">
        <f t="shared" si="0"/>
        <v>28</v>
      </c>
      <c r="B34" s="299" t="s">
        <v>492</v>
      </c>
      <c r="C34" s="349"/>
      <c r="D34" s="350">
        <f>'Calculation(Dual FB)'!F130</f>
        <v>30.712973861329001</v>
      </c>
      <c r="E34" s="350">
        <f>'Calculation(Dual FB)'!F133</f>
        <v>0.36053807480743139</v>
      </c>
      <c r="F34" s="350"/>
      <c r="G34" s="351"/>
      <c r="H34" s="353"/>
      <c r="I34" s="353"/>
      <c r="J34" s="343"/>
    </row>
    <row r="35" spans="1:10" x14ac:dyDescent="0.25">
      <c r="A35" s="283">
        <f t="shared" si="0"/>
        <v>29</v>
      </c>
      <c r="B35" s="284" t="s">
        <v>166</v>
      </c>
      <c r="C35" s="343" t="s">
        <v>277</v>
      </c>
      <c r="D35" s="343" t="s">
        <v>500</v>
      </c>
      <c r="E35" s="344">
        <f>'Calculation(Dual FB)'!F38</f>
        <v>0.3690888119953864</v>
      </c>
      <c r="F35" s="344"/>
      <c r="G35" s="355"/>
      <c r="H35" s="356"/>
      <c r="I35" s="356"/>
      <c r="J35" s="357"/>
    </row>
    <row r="36" spans="1:10" x14ac:dyDescent="0.25">
      <c r="A36" s="283">
        <f t="shared" si="0"/>
        <v>30</v>
      </c>
      <c r="B36" s="284" t="s">
        <v>588</v>
      </c>
      <c r="C36" s="343"/>
      <c r="D36" s="343"/>
      <c r="E36" s="344"/>
      <c r="F36" s="344"/>
      <c r="G36" s="358"/>
      <c r="H36" s="359"/>
      <c r="I36" s="359"/>
      <c r="J36" s="357"/>
    </row>
    <row r="37" spans="1:10" x14ac:dyDescent="0.25">
      <c r="A37" s="283">
        <f t="shared" si="0"/>
        <v>31</v>
      </c>
      <c r="B37" s="284" t="s">
        <v>589</v>
      </c>
      <c r="C37" s="343"/>
      <c r="D37" s="343"/>
      <c r="E37" s="344"/>
      <c r="F37" s="344"/>
      <c r="G37" s="358"/>
      <c r="H37" s="359"/>
      <c r="I37" s="359"/>
      <c r="J37" s="357"/>
    </row>
    <row r="38" spans="1:10" x14ac:dyDescent="0.25">
      <c r="A38" s="283">
        <f t="shared" si="0"/>
        <v>32</v>
      </c>
      <c r="B38" s="287" t="s">
        <v>167</v>
      </c>
      <c r="C38" s="348" t="str">
        <f>'Calculation(Dual FB)'!F32</f>
        <v>ICE5QR4780AZ</v>
      </c>
      <c r="D38" s="343"/>
      <c r="E38" s="343"/>
      <c r="F38" s="343"/>
      <c r="G38" s="345"/>
      <c r="H38" s="353"/>
      <c r="I38" s="353"/>
      <c r="J38" s="343"/>
    </row>
    <row r="39" spans="1:10" x14ac:dyDescent="0.25">
      <c r="A39" s="283">
        <f t="shared" si="0"/>
        <v>33</v>
      </c>
      <c r="B39" s="284" t="s">
        <v>231</v>
      </c>
      <c r="C39" s="343" t="s">
        <v>232</v>
      </c>
      <c r="D39" s="343"/>
      <c r="E39" s="343"/>
      <c r="F39" s="343"/>
      <c r="G39" s="345"/>
      <c r="H39" s="353"/>
      <c r="I39" s="353"/>
      <c r="J39" s="343"/>
    </row>
    <row r="40" spans="1:10" ht="55.9" customHeight="1" x14ac:dyDescent="0.25">
      <c r="A40" s="283">
        <f t="shared" si="0"/>
        <v>34</v>
      </c>
      <c r="B40" s="284" t="s">
        <v>233</v>
      </c>
      <c r="C40" s="343" t="s">
        <v>598</v>
      </c>
      <c r="D40" s="343"/>
      <c r="E40" s="343"/>
      <c r="F40" s="343"/>
      <c r="G40" s="345"/>
      <c r="H40" s="359"/>
      <c r="I40" s="353"/>
      <c r="J40" s="343"/>
    </row>
    <row r="41" spans="1:10" x14ac:dyDescent="0.25">
      <c r="A41" s="283">
        <f t="shared" si="0"/>
        <v>35</v>
      </c>
      <c r="B41" s="299" t="s">
        <v>235</v>
      </c>
      <c r="C41" s="343"/>
      <c r="D41" s="343"/>
      <c r="E41" s="344">
        <f>'Calculation(Single FB)'!F39</f>
        <v>0.3690888119953864</v>
      </c>
      <c r="F41" s="344"/>
      <c r="G41" s="355"/>
      <c r="H41" s="359"/>
      <c r="I41" s="359"/>
      <c r="J41" s="343"/>
    </row>
    <row r="42" spans="1:10" x14ac:dyDescent="0.25">
      <c r="A42" s="283">
        <f t="shared" si="0"/>
        <v>36</v>
      </c>
      <c r="B42" s="287" t="s">
        <v>234</v>
      </c>
      <c r="C42" s="344">
        <f>'Calculation(Dual FB)'!F148</f>
        <v>2.2000000000000002</v>
      </c>
      <c r="D42" s="343"/>
      <c r="E42" s="344">
        <f>'Calculation(Dual FB)'!F18</f>
        <v>1.25</v>
      </c>
      <c r="F42" s="344"/>
      <c r="G42" s="360"/>
      <c r="H42" s="353"/>
      <c r="I42" s="353"/>
      <c r="J42" s="343"/>
    </row>
    <row r="43" spans="1:10" x14ac:dyDescent="0.25">
      <c r="A43" s="283">
        <f t="shared" si="0"/>
        <v>37</v>
      </c>
      <c r="B43" s="287" t="s">
        <v>590</v>
      </c>
      <c r="C43" s="344">
        <f>'Calculation(Dual FB)'!F168</f>
        <v>4.7</v>
      </c>
      <c r="D43" s="343"/>
      <c r="E43" s="344">
        <f>'Calculation(Dual FB)'!F21</f>
        <v>0.2</v>
      </c>
      <c r="F43" s="344"/>
      <c r="G43" s="360"/>
      <c r="H43" s="353"/>
      <c r="I43" s="353"/>
      <c r="J43" s="343"/>
    </row>
    <row r="44" spans="1:10" x14ac:dyDescent="0.25">
      <c r="A44" s="283">
        <f t="shared" si="0"/>
        <v>38</v>
      </c>
      <c r="B44" s="287" t="s">
        <v>583</v>
      </c>
      <c r="C44" s="350">
        <f>'Calculation(Dual FB)'!F124</f>
        <v>68</v>
      </c>
      <c r="D44" s="343"/>
      <c r="E44" s="350"/>
      <c r="F44" s="350" t="s">
        <v>496</v>
      </c>
      <c r="G44" s="351"/>
      <c r="H44" s="353"/>
      <c r="I44" s="359"/>
      <c r="J44" s="343"/>
    </row>
    <row r="45" spans="1:10" x14ac:dyDescent="0.25">
      <c r="A45" s="283">
        <f t="shared" si="0"/>
        <v>39</v>
      </c>
      <c r="B45" s="284" t="s">
        <v>592</v>
      </c>
      <c r="C45" s="343">
        <v>10</v>
      </c>
      <c r="D45" s="343"/>
      <c r="E45" s="343"/>
      <c r="F45" s="343"/>
      <c r="G45" s="345"/>
      <c r="H45" s="314"/>
      <c r="I45" s="315"/>
      <c r="J45" s="316"/>
    </row>
    <row r="46" spans="1:10" x14ac:dyDescent="0.25">
      <c r="A46" s="283">
        <f t="shared" si="0"/>
        <v>40</v>
      </c>
      <c r="B46" s="284" t="s">
        <v>593</v>
      </c>
      <c r="C46" s="343">
        <v>0</v>
      </c>
      <c r="D46" s="343"/>
      <c r="E46" s="343"/>
      <c r="F46" s="343"/>
      <c r="G46" s="345"/>
      <c r="H46" s="314"/>
      <c r="I46" s="315"/>
      <c r="J46" s="316"/>
    </row>
    <row r="47" spans="1:10" x14ac:dyDescent="0.25">
      <c r="A47" s="283">
        <f t="shared" si="0"/>
        <v>41</v>
      </c>
      <c r="B47" s="284" t="s">
        <v>278</v>
      </c>
      <c r="C47" s="343"/>
      <c r="D47" s="343"/>
      <c r="E47" s="343"/>
      <c r="F47" s="343"/>
      <c r="G47" s="313"/>
      <c r="H47" s="314"/>
      <c r="I47" s="315"/>
      <c r="J47" s="316"/>
    </row>
    <row r="48" spans="1:10" x14ac:dyDescent="0.25">
      <c r="A48" s="283">
        <f t="shared" si="0"/>
        <v>42</v>
      </c>
      <c r="B48" s="287" t="s">
        <v>286</v>
      </c>
      <c r="C48" s="344">
        <f>'Calculation(Dual FB)'!F81</f>
        <v>1.2138936966353164</v>
      </c>
      <c r="D48" s="343"/>
      <c r="E48" s="344"/>
      <c r="F48" s="344">
        <f>'Calculation(Dual FB)'!F82</f>
        <v>0.13117720219133766</v>
      </c>
      <c r="G48" s="355"/>
      <c r="H48" s="361"/>
      <c r="I48" s="353"/>
      <c r="J48" s="343"/>
    </row>
    <row r="49" spans="1:14" x14ac:dyDescent="0.25">
      <c r="A49" s="283">
        <f t="shared" si="0"/>
        <v>43</v>
      </c>
      <c r="B49" s="287" t="s">
        <v>495</v>
      </c>
      <c r="C49" s="344"/>
      <c r="D49" s="343"/>
      <c r="E49" s="344"/>
      <c r="F49" s="344"/>
      <c r="G49" s="355"/>
      <c r="H49" s="361"/>
      <c r="I49" s="353"/>
      <c r="J49" s="343"/>
    </row>
    <row r="50" spans="1:14" x14ac:dyDescent="0.25">
      <c r="A50" s="283">
        <f t="shared" si="0"/>
        <v>44</v>
      </c>
      <c r="B50" s="287" t="s">
        <v>497</v>
      </c>
      <c r="C50" s="344">
        <f>'Calculation(Dual FB)'!F272</f>
        <v>27</v>
      </c>
      <c r="D50" s="343"/>
      <c r="E50" s="344"/>
      <c r="F50" s="344"/>
      <c r="G50" s="355"/>
      <c r="H50" s="314"/>
      <c r="I50" s="315"/>
      <c r="J50" s="316"/>
    </row>
    <row r="51" spans="1:14" x14ac:dyDescent="0.25">
      <c r="A51" s="283">
        <f t="shared" si="0"/>
        <v>45</v>
      </c>
      <c r="B51" s="284" t="s">
        <v>685</v>
      </c>
      <c r="C51" s="362">
        <v>50</v>
      </c>
      <c r="D51" s="343"/>
      <c r="E51" s="344"/>
      <c r="F51" s="344"/>
      <c r="G51" s="313"/>
      <c r="H51" s="314"/>
      <c r="I51" s="315"/>
      <c r="J51" s="316"/>
    </row>
    <row r="52" spans="1:14" x14ac:dyDescent="0.25">
      <c r="A52" s="283">
        <f t="shared" si="0"/>
        <v>46</v>
      </c>
      <c r="B52" s="284" t="s">
        <v>591</v>
      </c>
      <c r="C52" s="343"/>
      <c r="D52" s="343"/>
      <c r="E52" s="344"/>
      <c r="F52" s="344"/>
      <c r="G52" s="313"/>
      <c r="H52" s="314"/>
      <c r="I52" s="315"/>
      <c r="J52" s="316"/>
    </row>
    <row r="53" spans="1:14" x14ac:dyDescent="0.25">
      <c r="A53" s="283">
        <f t="shared" si="0"/>
        <v>47</v>
      </c>
      <c r="B53" s="284" t="s">
        <v>686</v>
      </c>
      <c r="C53" s="343">
        <v>9</v>
      </c>
      <c r="D53" s="343"/>
      <c r="E53" s="344"/>
      <c r="F53" s="344"/>
      <c r="G53" s="313"/>
      <c r="H53" s="314"/>
      <c r="I53" s="363"/>
      <c r="J53" s="316"/>
    </row>
    <row r="54" spans="1:14" x14ac:dyDescent="0.25">
      <c r="A54" s="283">
        <f t="shared" si="0"/>
        <v>48</v>
      </c>
      <c r="B54" s="297" t="s">
        <v>687</v>
      </c>
      <c r="C54" s="364">
        <f>'Calculation(Dual FB)'!F281</f>
        <v>58300</v>
      </c>
      <c r="D54" s="343"/>
      <c r="E54" s="362"/>
      <c r="F54" s="362"/>
      <c r="G54" s="313"/>
      <c r="H54" s="314"/>
      <c r="I54" s="315"/>
      <c r="J54" s="316"/>
    </row>
    <row r="55" spans="1:14" x14ac:dyDescent="0.25">
      <c r="A55" s="283">
        <f t="shared" si="0"/>
        <v>49</v>
      </c>
      <c r="B55" s="297" t="s">
        <v>688</v>
      </c>
      <c r="C55" s="364">
        <f>'Calculation(Dual FB)'!F292</f>
        <v>58300</v>
      </c>
      <c r="D55" s="343"/>
      <c r="E55" s="362"/>
      <c r="F55" s="362"/>
      <c r="G55" s="313"/>
      <c r="H55" s="314"/>
      <c r="I55" s="315"/>
      <c r="J55" s="316"/>
    </row>
    <row r="56" spans="1:14" x14ac:dyDescent="0.25">
      <c r="A56" s="283">
        <f t="shared" si="0"/>
        <v>50</v>
      </c>
      <c r="B56" s="284" t="s">
        <v>279</v>
      </c>
      <c r="C56" s="344"/>
      <c r="D56" s="343"/>
      <c r="E56" s="344"/>
      <c r="F56" s="344"/>
      <c r="G56" s="313"/>
      <c r="H56" s="314"/>
      <c r="I56" s="315"/>
      <c r="J56" s="343"/>
    </row>
    <row r="57" spans="1:14" x14ac:dyDescent="0.25">
      <c r="A57" s="283">
        <f t="shared" si="0"/>
        <v>51</v>
      </c>
      <c r="B57" s="287" t="s">
        <v>287</v>
      </c>
      <c r="C57" s="348">
        <f>'Calculation(Dual FB)'!F241</f>
        <v>0.82</v>
      </c>
      <c r="D57" s="343"/>
      <c r="E57" s="343"/>
      <c r="F57" s="343"/>
      <c r="G57" s="345"/>
      <c r="H57" s="314"/>
      <c r="I57" s="315"/>
      <c r="J57" s="316"/>
      <c r="N57" s="271" t="s">
        <v>489</v>
      </c>
    </row>
    <row r="58" spans="1:14" x14ac:dyDescent="0.25">
      <c r="A58" s="283">
        <f t="shared" si="0"/>
        <v>52</v>
      </c>
      <c r="B58" s="287" t="s">
        <v>288</v>
      </c>
      <c r="C58" s="350">
        <f>'Calculation(Dual FB)'!F246</f>
        <v>1.2</v>
      </c>
      <c r="D58" s="343"/>
      <c r="E58" s="343"/>
      <c r="F58" s="343"/>
      <c r="G58" s="345"/>
      <c r="H58" s="314"/>
      <c r="I58" s="315"/>
      <c r="J58" s="316"/>
    </row>
    <row r="59" spans="1:14" x14ac:dyDescent="0.25">
      <c r="A59" s="283">
        <f t="shared" si="0"/>
        <v>53</v>
      </c>
      <c r="B59" s="287" t="s">
        <v>289</v>
      </c>
      <c r="C59" s="349">
        <f>'Calculation(Single FB)'!F253</f>
        <v>20</v>
      </c>
      <c r="D59" s="343"/>
      <c r="E59" s="343"/>
      <c r="F59" s="343"/>
      <c r="G59" s="345"/>
      <c r="H59" s="314"/>
      <c r="I59" s="315"/>
      <c r="J59" s="316"/>
    </row>
    <row r="60" spans="1:14" x14ac:dyDescent="0.25">
      <c r="A60" s="283">
        <f t="shared" si="0"/>
        <v>54</v>
      </c>
      <c r="B60" s="287" t="s">
        <v>290</v>
      </c>
      <c r="C60" s="350">
        <f>'Calculation(Dual FB)'!F237</f>
        <v>16</v>
      </c>
      <c r="D60" s="343"/>
      <c r="E60" s="343"/>
      <c r="F60" s="343"/>
      <c r="G60" s="345"/>
      <c r="H60" s="314"/>
      <c r="I60" s="315"/>
      <c r="J60" s="316"/>
    </row>
    <row r="61" spans="1:14" x14ac:dyDescent="0.25">
      <c r="A61" s="283">
        <f t="shared" si="0"/>
        <v>55</v>
      </c>
      <c r="B61" s="287" t="s">
        <v>595</v>
      </c>
      <c r="C61" s="350">
        <f>'Calculation(Dual FB)'!F239</f>
        <v>6.2</v>
      </c>
      <c r="D61" s="343"/>
      <c r="E61" s="343"/>
      <c r="F61" s="343"/>
      <c r="G61" s="345"/>
      <c r="H61" s="314"/>
      <c r="I61" s="315"/>
      <c r="J61" s="316"/>
    </row>
    <row r="62" spans="1:14" x14ac:dyDescent="0.25">
      <c r="A62" s="283">
        <f t="shared" si="0"/>
        <v>56</v>
      </c>
      <c r="B62" s="287" t="s">
        <v>291</v>
      </c>
      <c r="C62" s="350">
        <f>'Calculation(Dual FB)'!F235</f>
        <v>2.5</v>
      </c>
      <c r="D62" s="343"/>
      <c r="E62" s="343"/>
      <c r="F62" s="343"/>
      <c r="G62" s="345"/>
      <c r="H62" s="314"/>
      <c r="I62" s="315"/>
      <c r="J62" s="316"/>
    </row>
    <row r="63" spans="1:14" x14ac:dyDescent="0.25">
      <c r="A63" s="283">
        <f t="shared" si="0"/>
        <v>57</v>
      </c>
      <c r="B63" s="284" t="s">
        <v>597</v>
      </c>
      <c r="C63" s="344"/>
      <c r="D63" s="343"/>
      <c r="E63" s="344"/>
      <c r="F63" s="344"/>
      <c r="G63" s="313"/>
      <c r="H63" s="314"/>
      <c r="I63" s="315"/>
      <c r="J63" s="343"/>
    </row>
    <row r="64" spans="1:14" x14ac:dyDescent="0.25">
      <c r="A64" s="283">
        <f t="shared" si="0"/>
        <v>58</v>
      </c>
      <c r="B64" s="284" t="s">
        <v>596</v>
      </c>
      <c r="C64" s="350"/>
      <c r="D64" s="343"/>
      <c r="E64" s="343"/>
      <c r="F64" s="343"/>
      <c r="G64" s="313"/>
      <c r="H64" s="315"/>
      <c r="I64" s="315"/>
      <c r="J64" s="316"/>
    </row>
    <row r="65" spans="1:10" x14ac:dyDescent="0.25">
      <c r="A65" s="283">
        <f t="shared" si="0"/>
        <v>59</v>
      </c>
      <c r="B65" s="287" t="s">
        <v>280</v>
      </c>
      <c r="C65" s="349">
        <f>'Calculation(Dual FB)'!F321</f>
        <v>1008.8406770811168</v>
      </c>
      <c r="D65" s="343"/>
      <c r="E65" s="349"/>
      <c r="F65" s="349"/>
      <c r="G65" s="365"/>
      <c r="H65" s="315"/>
      <c r="I65" s="315"/>
      <c r="J65" s="343"/>
    </row>
    <row r="66" spans="1:10" x14ac:dyDescent="0.25">
      <c r="A66" s="283">
        <f t="shared" si="0"/>
        <v>60</v>
      </c>
      <c r="B66" s="284" t="s">
        <v>501</v>
      </c>
      <c r="C66" s="349"/>
      <c r="D66" s="343"/>
      <c r="E66" s="349"/>
      <c r="F66" s="349"/>
      <c r="G66" s="366"/>
      <c r="H66" s="315"/>
      <c r="I66" s="315"/>
      <c r="J66" s="343"/>
    </row>
    <row r="67" spans="1:10" x14ac:dyDescent="0.25">
      <c r="A67" s="283">
        <f t="shared" si="0"/>
        <v>61</v>
      </c>
      <c r="B67" s="284" t="s">
        <v>493</v>
      </c>
      <c r="C67" s="349"/>
      <c r="D67" s="343"/>
      <c r="E67" s="349"/>
      <c r="F67" s="349"/>
      <c r="G67" s="367"/>
      <c r="H67" s="353"/>
      <c r="I67" s="353"/>
      <c r="J67" s="343"/>
    </row>
    <row r="68" spans="1:10" x14ac:dyDescent="0.25">
      <c r="A68" s="283">
        <f t="shared" si="0"/>
        <v>62</v>
      </c>
      <c r="B68" s="294" t="s">
        <v>665</v>
      </c>
      <c r="C68" s="343"/>
      <c r="D68" s="343"/>
      <c r="E68" s="343"/>
      <c r="F68" s="343"/>
      <c r="G68" s="313"/>
      <c r="H68" s="315"/>
      <c r="I68" s="315"/>
      <c r="J68" s="316"/>
    </row>
    <row r="69" spans="1:10" x14ac:dyDescent="0.25">
      <c r="A69" s="283">
        <f t="shared" si="0"/>
        <v>63</v>
      </c>
      <c r="B69" s="294" t="s">
        <v>494</v>
      </c>
      <c r="C69" s="343"/>
      <c r="D69" s="343"/>
      <c r="E69" s="343"/>
      <c r="F69" s="343"/>
      <c r="G69" s="345"/>
      <c r="H69" s="315"/>
      <c r="I69" s="314"/>
      <c r="J69" s="343"/>
    </row>
    <row r="70" spans="1:10" ht="27" x14ac:dyDescent="0.25">
      <c r="A70" s="283">
        <f t="shared" si="0"/>
        <v>64</v>
      </c>
      <c r="B70" s="301" t="s">
        <v>599</v>
      </c>
      <c r="C70" s="343"/>
      <c r="D70" s="343"/>
      <c r="E70" s="343"/>
      <c r="F70" s="343"/>
      <c r="G70" s="345"/>
      <c r="H70" s="315"/>
      <c r="I70" s="315"/>
      <c r="J70" s="343"/>
    </row>
  </sheetData>
  <sheetProtection password="D204" sheet="1" objects="1" scenarios="1"/>
  <printOptions gridLinesSet="0"/>
  <pageMargins left="0.75" right="0.75" top="1" bottom="1" header="0.51181102300000003" footer="0.51181102300000003"/>
  <pageSetup paperSize="9" scale="35" orientation="portrait" horizontalDpi="4294967295" r:id="rId1"/>
  <headerFooter alignWithMargins="0">
    <oddHeader>&amp;A</oddHeader>
    <oddFooter>Seite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B9" sqref="B9"/>
    </sheetView>
  </sheetViews>
  <sheetFormatPr defaultRowHeight="12.75" x14ac:dyDescent="0.2"/>
  <cols>
    <col min="2" max="2" width="7" bestFit="1" customWidth="1"/>
    <col min="4" max="4" width="11.140625" bestFit="1" customWidth="1"/>
    <col min="6" max="6" width="8" bestFit="1" customWidth="1"/>
    <col min="8" max="8" width="5" bestFit="1" customWidth="1"/>
    <col min="10" max="10" width="9.28515625" bestFit="1" customWidth="1"/>
    <col min="12" max="12" width="20.140625" customWidth="1"/>
    <col min="14" max="14" width="11" bestFit="1" customWidth="1"/>
  </cols>
  <sheetData>
    <row r="2" spans="2:14" ht="18.75" x14ac:dyDescent="0.2">
      <c r="B2" s="19" t="s">
        <v>191</v>
      </c>
      <c r="D2" s="19" t="s">
        <v>192</v>
      </c>
      <c r="F2" s="19" t="s">
        <v>194</v>
      </c>
      <c r="H2" s="19" t="s">
        <v>195</v>
      </c>
      <c r="J2" s="19" t="s">
        <v>200</v>
      </c>
      <c r="L2" s="219" t="s">
        <v>689</v>
      </c>
      <c r="N2" s="19" t="s">
        <v>201</v>
      </c>
    </row>
    <row r="3" spans="2:14" x14ac:dyDescent="0.2">
      <c r="B3" s="67">
        <v>35000</v>
      </c>
      <c r="D3" s="68">
        <v>800</v>
      </c>
      <c r="F3" s="68"/>
      <c r="H3" s="68"/>
      <c r="J3" s="68"/>
      <c r="L3" s="68"/>
      <c r="N3" s="68"/>
    </row>
    <row r="4" spans="2:14" x14ac:dyDescent="0.2">
      <c r="B4" s="67">
        <v>40000</v>
      </c>
      <c r="D4" s="68">
        <v>750</v>
      </c>
      <c r="F4" s="68"/>
      <c r="H4" s="68"/>
      <c r="J4" s="68"/>
      <c r="L4" s="68">
        <v>3</v>
      </c>
      <c r="N4" s="68"/>
    </row>
    <row r="5" spans="2:14" x14ac:dyDescent="0.2">
      <c r="B5" s="67">
        <v>45000</v>
      </c>
      <c r="D5" s="68">
        <v>700</v>
      </c>
      <c r="F5" s="68"/>
      <c r="H5" s="68"/>
      <c r="J5" s="68">
        <v>12</v>
      </c>
      <c r="L5" s="68"/>
      <c r="N5" s="68">
        <v>6</v>
      </c>
    </row>
    <row r="6" spans="2:14" x14ac:dyDescent="0.2">
      <c r="B6" s="67">
        <v>50000</v>
      </c>
      <c r="D6" s="73">
        <v>650</v>
      </c>
      <c r="F6" s="68">
        <v>1</v>
      </c>
      <c r="H6" s="68">
        <v>2.0499999999999998</v>
      </c>
      <c r="L6" s="68"/>
    </row>
    <row r="7" spans="2:14" x14ac:dyDescent="0.2">
      <c r="B7" s="67">
        <v>55000</v>
      </c>
      <c r="D7" s="73">
        <v>600</v>
      </c>
      <c r="F7" s="68"/>
      <c r="H7" s="70"/>
      <c r="L7" s="68"/>
    </row>
    <row r="8" spans="2:14" x14ac:dyDescent="0.2">
      <c r="B8" s="201">
        <v>60000</v>
      </c>
      <c r="D8" s="73">
        <v>550</v>
      </c>
    </row>
    <row r="9" spans="2:14" x14ac:dyDescent="0.2">
      <c r="B9" s="201">
        <v>65000</v>
      </c>
      <c r="D9" s="73">
        <v>500</v>
      </c>
    </row>
    <row r="10" spans="2:14" x14ac:dyDescent="0.2">
      <c r="B10" s="67">
        <v>70000</v>
      </c>
      <c r="D10" s="68"/>
    </row>
    <row r="11" spans="2:14" x14ac:dyDescent="0.2">
      <c r="B11" s="67">
        <v>75000</v>
      </c>
    </row>
    <row r="12" spans="2:14" x14ac:dyDescent="0.2">
      <c r="B12" s="67">
        <v>80000</v>
      </c>
    </row>
    <row r="13" spans="2:14" x14ac:dyDescent="0.2">
      <c r="B13" s="67">
        <v>85000</v>
      </c>
    </row>
    <row r="14" spans="2:14" x14ac:dyDescent="0.2">
      <c r="B14" s="67">
        <v>90000</v>
      </c>
    </row>
    <row r="15" spans="2:14" x14ac:dyDescent="0.2">
      <c r="B15" s="67">
        <v>95000</v>
      </c>
    </row>
    <row r="16" spans="2:14" x14ac:dyDescent="0.2">
      <c r="B16" s="67">
        <v>100000</v>
      </c>
    </row>
    <row r="17" spans="2:2" x14ac:dyDescent="0.2">
      <c r="B17" s="67">
        <v>105000</v>
      </c>
    </row>
    <row r="18" spans="2:2" x14ac:dyDescent="0.2">
      <c r="B18" s="67">
        <v>110000</v>
      </c>
    </row>
    <row r="19" spans="2:2" x14ac:dyDescent="0.2">
      <c r="B19" s="67">
        <v>115000</v>
      </c>
    </row>
    <row r="20" spans="2:2" x14ac:dyDescent="0.2">
      <c r="B20" s="67">
        <v>120000</v>
      </c>
    </row>
    <row r="21" spans="2:2" x14ac:dyDescent="0.2">
      <c r="B21" s="67">
        <v>125000</v>
      </c>
    </row>
  </sheetData>
  <sheetProtection password="D204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98" zoomScaleNormal="98" workbookViewId="0">
      <selection activeCell="G30" sqref="G30"/>
    </sheetView>
  </sheetViews>
  <sheetFormatPr defaultColWidth="8.85546875" defaultRowHeight="13.5" x14ac:dyDescent="0.25"/>
  <cols>
    <col min="1" max="1" width="8.85546875" style="271"/>
    <col min="2" max="2" width="19.140625" style="271" bestFit="1" customWidth="1"/>
    <col min="3" max="3" width="48.140625" style="271" bestFit="1" customWidth="1"/>
    <col min="4" max="4" width="12.28515625" style="271" bestFit="1" customWidth="1"/>
    <col min="5" max="5" width="10.7109375" style="271" bestFit="1" customWidth="1"/>
    <col min="6" max="6" width="8.7109375" style="271" bestFit="1" customWidth="1"/>
    <col min="7" max="7" width="25" style="271" customWidth="1"/>
    <col min="8" max="16384" width="8.85546875" style="271"/>
  </cols>
  <sheetData>
    <row r="2" spans="1:8" x14ac:dyDescent="0.25">
      <c r="C2" s="302" t="s">
        <v>600</v>
      </c>
    </row>
    <row r="3" spans="1:8" x14ac:dyDescent="0.25">
      <c r="B3" s="303" t="s">
        <v>601</v>
      </c>
      <c r="C3" s="300"/>
    </row>
    <row r="4" spans="1:8" x14ac:dyDescent="0.25">
      <c r="A4" s="308"/>
      <c r="B4" s="418" t="s">
        <v>621</v>
      </c>
      <c r="C4" s="420" t="s">
        <v>485</v>
      </c>
      <c r="D4" s="304" t="s">
        <v>602</v>
      </c>
      <c r="E4" s="416" t="s">
        <v>603</v>
      </c>
      <c r="F4" s="417"/>
      <c r="G4" s="414" t="s">
        <v>486</v>
      </c>
      <c r="H4" s="308"/>
    </row>
    <row r="5" spans="1:8" x14ac:dyDescent="0.25">
      <c r="A5" s="308"/>
      <c r="B5" s="419"/>
      <c r="C5" s="421"/>
      <c r="D5" s="304"/>
      <c r="E5" s="304" t="s">
        <v>613</v>
      </c>
      <c r="F5" s="304" t="s">
        <v>614</v>
      </c>
      <c r="G5" s="415"/>
      <c r="H5" s="308"/>
    </row>
    <row r="6" spans="1:8" x14ac:dyDescent="0.25">
      <c r="A6" s="308"/>
      <c r="B6" s="307" t="s">
        <v>604</v>
      </c>
      <c r="C6" s="290" t="s">
        <v>615</v>
      </c>
      <c r="D6" s="305" t="s">
        <v>605</v>
      </c>
      <c r="E6" s="305" t="s">
        <v>605</v>
      </c>
      <c r="F6" s="305" t="s">
        <v>605</v>
      </c>
      <c r="G6" s="309" t="s">
        <v>627</v>
      </c>
      <c r="H6" s="308"/>
    </row>
    <row r="7" spans="1:8" x14ac:dyDescent="0.25">
      <c r="A7" s="308"/>
      <c r="B7" s="307" t="s">
        <v>616</v>
      </c>
      <c r="C7" s="290" t="s">
        <v>617</v>
      </c>
      <c r="D7" s="305" t="s">
        <v>605</v>
      </c>
      <c r="E7" s="305" t="s">
        <v>605</v>
      </c>
      <c r="F7" s="305" t="s">
        <v>605</v>
      </c>
      <c r="G7" s="309" t="s">
        <v>627</v>
      </c>
      <c r="H7" s="308"/>
    </row>
    <row r="8" spans="1:8" x14ac:dyDescent="0.25">
      <c r="A8" s="308"/>
      <c r="B8" s="307" t="s">
        <v>611</v>
      </c>
      <c r="C8" s="290" t="s">
        <v>697</v>
      </c>
      <c r="D8" s="305" t="s">
        <v>605</v>
      </c>
      <c r="E8" s="305" t="s">
        <v>605</v>
      </c>
      <c r="F8" s="306" t="s">
        <v>606</v>
      </c>
      <c r="G8" s="309" t="s">
        <v>607</v>
      </c>
      <c r="H8" s="308"/>
    </row>
    <row r="9" spans="1:8" x14ac:dyDescent="0.25">
      <c r="A9" s="308"/>
      <c r="B9" s="307" t="s">
        <v>612</v>
      </c>
      <c r="C9" s="290" t="s">
        <v>618</v>
      </c>
      <c r="D9" s="305" t="s">
        <v>605</v>
      </c>
      <c r="E9" s="305" t="s">
        <v>605</v>
      </c>
      <c r="F9" s="305" t="s">
        <v>605</v>
      </c>
      <c r="G9" s="309" t="s">
        <v>487</v>
      </c>
      <c r="H9" s="308"/>
    </row>
    <row r="10" spans="1:8" x14ac:dyDescent="0.25">
      <c r="A10" s="308"/>
      <c r="B10" s="307" t="s">
        <v>608</v>
      </c>
      <c r="C10" s="286" t="s">
        <v>629</v>
      </c>
      <c r="D10" s="305" t="s">
        <v>605</v>
      </c>
      <c r="E10" s="306" t="s">
        <v>606</v>
      </c>
      <c r="F10" s="306" t="s">
        <v>606</v>
      </c>
      <c r="G10" s="309" t="s">
        <v>607</v>
      </c>
      <c r="H10" s="308"/>
    </row>
    <row r="11" spans="1:8" x14ac:dyDescent="0.25">
      <c r="A11" s="308"/>
      <c r="B11" s="307" t="s">
        <v>488</v>
      </c>
      <c r="C11" s="286" t="s">
        <v>619</v>
      </c>
      <c r="D11" s="305" t="s">
        <v>605</v>
      </c>
      <c r="E11" s="305" t="s">
        <v>605</v>
      </c>
      <c r="F11" s="306" t="s">
        <v>606</v>
      </c>
      <c r="G11" s="309" t="s">
        <v>607</v>
      </c>
      <c r="H11" s="308"/>
    </row>
    <row r="12" spans="1:8" x14ac:dyDescent="0.25">
      <c r="A12" s="308"/>
      <c r="B12" s="307" t="s">
        <v>609</v>
      </c>
      <c r="C12" s="286" t="s">
        <v>620</v>
      </c>
      <c r="D12" s="305" t="s">
        <v>605</v>
      </c>
      <c r="E12" s="305" t="s">
        <v>605</v>
      </c>
      <c r="F12" s="305" t="s">
        <v>605</v>
      </c>
      <c r="G12" s="309" t="s">
        <v>627</v>
      </c>
      <c r="H12" s="308"/>
    </row>
    <row r="13" spans="1:8" x14ac:dyDescent="0.25">
      <c r="A13" s="308"/>
      <c r="B13" s="307" t="s">
        <v>610</v>
      </c>
      <c r="C13" s="286" t="s">
        <v>628</v>
      </c>
      <c r="D13" s="305" t="s">
        <v>605</v>
      </c>
      <c r="E13" s="305" t="s">
        <v>605</v>
      </c>
      <c r="F13" s="306" t="s">
        <v>606</v>
      </c>
      <c r="G13" s="309" t="s">
        <v>607</v>
      </c>
      <c r="H13" s="308"/>
    </row>
  </sheetData>
  <sheetProtection password="D204" sheet="1" objects="1" scenarios="1"/>
  <mergeCells count="4">
    <mergeCell ref="G4:G5"/>
    <mergeCell ref="E4:F4"/>
    <mergeCell ref="B4:B5"/>
    <mergeCell ref="C4:C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Calculation(Single FB)</vt:lpstr>
      <vt:lpstr>Part List &amp; Schematic(SingleFB)</vt:lpstr>
      <vt:lpstr>Calculation(Dual FB)</vt:lpstr>
      <vt:lpstr>Part List &amp; Schematic(Dual FB)</vt:lpstr>
      <vt:lpstr>msc</vt:lpstr>
      <vt:lpstr>Protection Mode</vt:lpstr>
      <vt:lpstr>'Protection Mode'!OLE_LINK1</vt:lpstr>
      <vt:lpstr>'Calculation(Dual FB)'!Print_Area</vt:lpstr>
      <vt:lpstr>'Calculation(Single FB)'!Print_Area</vt:lpstr>
      <vt:lpstr>'Part List &amp; Schematic(Dual FB)'!Print_Area</vt:lpstr>
      <vt:lpstr>'Part List &amp; Schematic(SingleFB)'!Print_Area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 PS TM1</dc:creator>
  <cp:lastModifiedBy>Kyaw Zin Min (IFAP PMM SMD AP ACDC AE)</cp:lastModifiedBy>
  <cp:lastPrinted>2015-11-19T08:47:03Z</cp:lastPrinted>
  <dcterms:created xsi:type="dcterms:W3CDTF">1998-08-14T06:43:00Z</dcterms:created>
  <dcterms:modified xsi:type="dcterms:W3CDTF">2017-09-18T05:38:09Z</dcterms:modified>
</cp:coreProperties>
</file>