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media/image1.wmf" ContentType="image/x-wmf"/>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RT HERE" sheetId="1" state="visible" r:id="rId2"/>
    <sheet name="SCHEMATIC AND BoM" sheetId="2" state="visible" r:id="rId3"/>
    <sheet name="CALCULATIONS" sheetId="3" state="visible" r:id="rId4"/>
    <sheet name="LOOKUP TABLES AND DROPDOWN LIST" sheetId="4" state="hidden" r:id="rId5"/>
    <sheet name="Sheet1" sheetId="5" state="visible" r:id="rId6"/>
  </sheets>
  <definedNames>
    <definedName function="false" hidden="false" name="Cbulk" vbProcedure="false">CALCULATIONS!$C$38</definedName>
    <definedName function="false" hidden="false" name="Cbulk_actual" vbProcedure="false">CALCULATIONS!$C$37</definedName>
    <definedName function="false" hidden="false" name="Cbulk_initial" vbProcedure="false">'LOOKUP TABLES AND DROPDOWN LIST'!$J$22</definedName>
    <definedName function="false" hidden="false" name="Cbulk_rcmd" vbProcedure="false">CALCULATIONS!$C$36</definedName>
    <definedName function="false" hidden="false" name="Cbulk_recommended" vbProcedure="false">'LOOKUP TABLES AND DROPDOWN LIST'!$J$22</definedName>
    <definedName function="false" hidden="false" name="Cext" vbProcedure="false">CALCULATIONS!$C$236</definedName>
    <definedName function="false" hidden="false" name="Cext_actual" vbProcedure="false">CALCULATIONS!$C$235</definedName>
    <definedName function="false" hidden="false" name="Cext_rcmd" vbProcedure="false">CALCULATIONS!$C$233</definedName>
    <definedName function="false" hidden="false" name="Cfb_actual" vbProcedure="false">CALCULATIONS!$C$238</definedName>
    <definedName function="false" hidden="false" name="Cfb_rcmd" vbProcedure="false">CALCULATIONS!$C$237</definedName>
    <definedName function="false" hidden="false" name="Copto" vbProcedure="false">CALCULATIONS!$C$231</definedName>
    <definedName function="false" hidden="false" name="Coss" vbProcedure="false">CALCULATIONS!$C$119</definedName>
    <definedName function="false" hidden="false" name="Cout" vbProcedure="false">CALCULATIONS!$C$154</definedName>
    <definedName function="false" hidden="false" name="Cout_actual" vbProcedure="false">CALCULATIONS!$C$153</definedName>
    <definedName function="false" hidden="false" name="Cout_no_opto" vbProcedure="false">CALCULATIONS!$C$149</definedName>
    <definedName function="false" hidden="false" name="Cout_rcmd" vbProcedure="false">CALCULATIONS!$C$151</definedName>
    <definedName function="false" hidden="false" name="CTRmin" vbProcedure="false">CALCULATIONS!$C$226</definedName>
    <definedName function="false" hidden="false" name="Cvdd1" vbProcedure="false">'LOOKUP TABLES AND DROPDOWN LIST'!$Q$23</definedName>
    <definedName function="false" hidden="false" name="Cvdd_rcmd" vbProcedure="false">CALCULATIONS!$C$209</definedName>
    <definedName function="false" hidden="false" name="Cz" vbProcedure="false">CALCULATIONS!$C$252</definedName>
    <definedName function="false" hidden="false" name="Cz_actual" vbProcedure="false">CALCULATIONS!$C$251</definedName>
    <definedName function="false" hidden="false" name="Cz_rcmd" vbProcedure="false">CALCULATIONS!$C$250</definedName>
    <definedName function="false" hidden="false" name="C_f1" vbProcedure="false">'LOOKUP TABLES AND DROPDOWN LIST'!$F$35</definedName>
    <definedName function="false" hidden="false" name="C_f2" vbProcedure="false">'LOOKUP TABLES AND DROPDOWN LIST'!$F$42</definedName>
    <definedName function="false" hidden="false" name="C_s1" vbProcedure="false">'LOOKUP TABLES AND DROPDOWN LIST'!$E$24</definedName>
    <definedName function="false" hidden="false" name="C_s2" vbProcedure="false">'LOOKUP TABLES AND DROPDOWN LIST'!$E$37</definedName>
    <definedName function="false" hidden="false" name="DCR_Lout" vbProcedure="false">CALCULATIONS!$C$146</definedName>
    <definedName function="false" hidden="false" name="Ddemag_cc" vbProcedure="false">CALCULATIONS!$C$54</definedName>
    <definedName function="false" hidden="false" name="Dmax" vbProcedure="false">CALCULATIONS!$C$98</definedName>
    <definedName function="false" hidden="false" name="Dmax_target" vbProcedure="false">CALCULATIONS!$C$60</definedName>
    <definedName function="false" hidden="false" name="efficiency" vbProcedure="false">CALCULATIONS!$C$29</definedName>
    <definedName function="false" hidden="false" name="eff_xfmr" vbProcedure="false">CALCULATIONS!$C$67</definedName>
    <definedName function="false" hidden="false" name="ESR" vbProcedure="false">CALCULATIONS!$C$158</definedName>
    <definedName function="false" hidden="false" name="ESRactual" vbProcedure="false">CALCULATIONS!$C$157</definedName>
    <definedName function="false" hidden="false" name="ESRrcmd" vbProcedure="false">CALCULATIONS!$C$156</definedName>
    <definedName function="false" hidden="false" name="E_48f" vbProcedure="false">'LOOKUP TABLES AND DROPDOWN LIST'!$B$70</definedName>
    <definedName function="false" hidden="false" name="E_48s" vbProcedure="false">'LOOKUP TABLES AND DROPDOWN LIST'!$A$23</definedName>
    <definedName function="false" hidden="false" name="fc_opto" vbProcedure="false">CALCULATIONS!$C$229</definedName>
    <definedName function="false" hidden="false" name="fline_min" vbProcedure="false">CALCULATIONS!$C$8</definedName>
    <definedName function="false" hidden="false" name="fmax" vbProcedure="false">CALCULATIONS!$C$95</definedName>
    <definedName function="false" hidden="false" name="fmax_target" vbProcedure="false">CALCULATIONS!$C$56</definedName>
    <definedName function="false" hidden="false" name="fmin" vbProcedure="false">CALCULATIONS!$C$204</definedName>
    <definedName function="false" hidden="false" name="fres" vbProcedure="false">CALCULATIONS!$C$58</definedName>
    <definedName function="false" hidden="false" name="fres_actual" vbProcedure="false">CALCULATIONS!$C$124</definedName>
    <definedName function="false" hidden="false" name="fswmax" vbProcedure="false">'LOOKUP TABLES AND DROPDOWN LIST'!$E$1</definedName>
    <definedName function="false" hidden="false" name="fswmin" vbProcedure="false">'LOOKUP TABLES AND DROPDOWN LIST'!$E$2</definedName>
    <definedName function="false" hidden="false" name="G_fb1" vbProcedure="false">CALCULATIONS!$C$243</definedName>
    <definedName function="false" hidden="false" name="G_fb2" vbProcedure="false">CALCULATIONS!$C$244</definedName>
    <definedName function="false" hidden="false" name="G_p4" vbProcedure="false">CALCULATIONS!$C$246</definedName>
    <definedName function="false" hidden="false" name="Ibridge" vbProcedure="false">CALCULATIONS!$C$49</definedName>
    <definedName function="false" hidden="false" name="Ibridge_avg" vbProcedure="false">calculations #REF!</definedName>
    <definedName function="false" hidden="false" name="Icin" vbProcedure="false">CALCULATIONS!$C$40</definedName>
    <definedName function="false" hidden="false" name="Icout_rms" vbProcedure="false">CALCULATIONS!$C$155</definedName>
    <definedName function="false" hidden="false" name="Idout" vbProcedure="false">CALCULATIONS!$C$138</definedName>
    <definedName function="false" hidden="false" name="Idrain" vbProcedure="false">CALCULATIONS!$C$128</definedName>
    <definedName function="false" hidden="false" name="Iin_peak" vbProcedure="false">CALCULATIONS!$C$45</definedName>
    <definedName function="false" hidden="false" name="Input_Voltage_type" vbProcedure="false">CALCULATIONS!$C$4</definedName>
    <definedName function="false" hidden="false" name="Iocc" vbProcedure="false">CALCULATIONS!$C$84</definedName>
    <definedName function="false" hidden="false" name="Iocc_max" vbProcedure="false">CALCULATIONS!$C$88</definedName>
    <definedName function="false" hidden="false" name="Iocc_target" vbProcedure="false">CALCULATIONS!$C$18</definedName>
    <definedName function="false" hidden="false" name="Iout" vbProcedure="false">CALCULATIONS!$C$17</definedName>
    <definedName function="false" hidden="false" name="Ipp_fm" vbProcedure="false">CALCULATIONS!$C$85</definedName>
    <definedName function="false" hidden="false" name="Ipp_max" vbProcedure="false">calculations #REF!</definedName>
    <definedName function="false" hidden="false" name="Ipp_min" vbProcedure="false">calculations #REF!</definedName>
    <definedName function="false" hidden="false" name="Ipp_nom" vbProcedure="false">CALCULATIONS!$C$82</definedName>
    <definedName function="false" hidden="false" name="Ipp_wc" vbProcedure="false">CALCULATIONS!$C$86</definedName>
    <definedName function="false" hidden="false" name="Ipri_RMS" vbProcedure="false">CALCULATIONS!$C$100</definedName>
    <definedName function="false" hidden="false" name="Ipulsed" vbProcedure="false">CALCULATIONS!$C$129</definedName>
    <definedName function="false" hidden="false" name="Iref431" vbProcedure="false">CALCULATIONS!$C$213</definedName>
    <definedName function="false" hidden="false" name="Irun" vbProcedure="false">CALCULATIONS!$C$201</definedName>
    <definedName function="false" hidden="false" name="Isec_rms" vbProcedure="false">CALCULATIONS!$C$102</definedName>
    <definedName function="false" hidden="false" name="Isp_max" vbProcedure="false">CALCULATIONS!$C$101</definedName>
    <definedName function="false" hidden="false" name="Itran" vbProcedure="false">CALCULATIONS!$C$24</definedName>
    <definedName function="false" hidden="false" name="Ivslrun_max" vbProcedure="false">CALCULATIONS!$C$164</definedName>
    <definedName function="false" hidden="false" name="Ivslrun_min" vbProcedure="false">CALCULATIONS!$C$162</definedName>
    <definedName function="false" hidden="false" name="Ivslrun_nom" vbProcedure="false">CALCULATIONS!$C$163</definedName>
    <definedName function="false" hidden="false" name="Ivslstop_max" vbProcedure="false">CALCULATIONS!$C$167</definedName>
    <definedName function="false" hidden="false" name="Ivslstop_min" vbProcedure="false">CALCULATIONS!$C$165</definedName>
    <definedName function="false" hidden="false" name="Ivslstop_nom" vbProcedure="false">CALCULATIONS!$C$166</definedName>
    <definedName function="false" hidden="false" name="Kam_nom" vbProcedure="false">CALCULATIONS!$C$55</definedName>
    <definedName function="false" hidden="false" name="kHz" vbProcedure="false">'LOOKUP TABLES AND DROPDOWN LIST'!$B$6</definedName>
    <definedName function="false" hidden="false" name="Klc" vbProcedure="false">CALCULATIONS!$C$192</definedName>
    <definedName function="false" hidden="false" name="kOhms" vbProcedure="false">'LOOKUP TABLES AND DROPDOWN LIST'!$B$17</definedName>
    <definedName function="false" hidden="false" name="K_fm4" vbProcedure="false">CALCULATIONS!$C$245</definedName>
    <definedName function="false" hidden="false" name="Lp" vbProcedure="false">CALCULATIONS!$C$94</definedName>
    <definedName function="false" hidden="false" name="Lp_actual" vbProcedure="false">CALCULATIONS!$C$93</definedName>
    <definedName function="false" hidden="false" name="Lp_est" vbProcedure="false">CALCULATIONS!$C$73</definedName>
    <definedName function="false" hidden="false" name="Lp_rcmd" vbProcedure="false">CALCULATIONS!$C$92</definedName>
    <definedName function="false" hidden="false" name="mA" vbProcedure="false">'LOOKUP TABLES AND DROPDOWN LIST'!$B$9</definedName>
    <definedName function="false" hidden="false" name="MHz" vbProcedure="false">'LOOKUP TABLES AND DROPDOWN LIST'!$B$15</definedName>
    <definedName function="false" hidden="false" name="mOhms" vbProcedure="false">'LOOKUP TABLES AND DROPDOWN LIST'!$B$7</definedName>
    <definedName function="false" hidden="false" name="ms" vbProcedure="false">'LOOKUP TABLES AND DROPDOWN LIST'!$B$8</definedName>
    <definedName function="false" hidden="false" name="mV" vbProcedure="false">'LOOKUP TABLES AND DROPDOWN LIST'!$B$4</definedName>
    <definedName function="false" hidden="false" name="mW" vbProcedure="false">'LOOKUP TABLES AND DROPDOWN LIST'!$B$13</definedName>
    <definedName function="false" hidden="false" name="Nas" vbProcedure="false">CALCULATIONS!$C$110</definedName>
    <definedName function="false" hidden="false" name="Nas_rcmd" vbProcedure="false">CALCULATIONS!$C$105</definedName>
    <definedName function="false" hidden="false" name="nC" vbProcedure="false">'LOOKUP TABLES AND DROPDOWN LIST'!$B$18</definedName>
    <definedName function="false" hidden="false" name="nF" vbProcedure="false">'LOOKUP TABLES AND DROPDOWN LIST'!$B$19</definedName>
    <definedName function="false" hidden="false" name="Npa" vbProcedure="false">CALCULATIONS!$C$108</definedName>
    <definedName function="false" hidden="false" name="Npa_actual" vbProcedure="false">CALCULATIONS!$C$107</definedName>
    <definedName function="false" hidden="false" name="Npa_rcmd" vbProcedure="false">CALCULATIONS!$C$106</definedName>
    <definedName function="false" hidden="false" name="Nps" vbProcedure="false">CALCULATIONS!$C$63</definedName>
    <definedName function="false" hidden="false" name="NPSmax" vbProcedure="false">CALCULATIONS!$C$61</definedName>
    <definedName function="false" hidden="false" name="Nps_actual" vbProcedure="false">CALCULATIONS!$C$62</definedName>
    <definedName function="false" hidden="false" name="Nps_ideal" vbProcedure="false">CALCULATIONS!$C$61</definedName>
    <definedName function="false" hidden="false" name="Nps_rcmd" vbProcedure="false">CALCULATIONS!$I$61</definedName>
    <definedName function="false" hidden="false" name="ns" vbProcedure="false">'LOOKUP TABLES AND DROPDOWN LIST'!$B$12</definedName>
    <definedName function="false" hidden="false" name="Pbridge" vbProcedure="false">CALCULATIONS!$C$51</definedName>
    <definedName function="false" hidden="false" name="Pdout" vbProcedure="false">CALCULATIONS!$C$139</definedName>
    <definedName function="false" hidden="false" name="pF" vbProcedure="false">'LOOKUP TABLES AND DROPDOWN LIST'!$B$14</definedName>
    <definedName function="false" hidden="false" name="Pfet" vbProcedure="false">CALCULATIONS!$C$132</definedName>
    <definedName function="false" hidden="false" name="Pfet_cond" vbProcedure="false">CALCULATIONS!$C$130</definedName>
    <definedName function="false" hidden="false" name="Pfet_switch" vbProcedure="false">CALCULATIONS!$C$131</definedName>
    <definedName function="false" hidden="false" name="Pin" vbProcedure="false">CALCULATIONS!$C$31</definedName>
    <definedName function="false" hidden="false" name="Pout" vbProcedure="false">CALCULATIONS!$C$30</definedName>
    <definedName function="false" hidden="false" name="Psb_target" vbProcedure="false">CALCULATIONS!$C$28</definedName>
    <definedName function="false" hidden="false" name="P_Rcs" vbProcedure="false">CALCULATIONS!$C$77</definedName>
    <definedName function="false" hidden="false" name="Qg" vbProcedure="false">CALCULATIONS!$C$123</definedName>
    <definedName function="false" hidden="false" name="Rcs" vbProcedure="false">CALCULATIONS!$C$76</definedName>
    <definedName function="false" hidden="false" name="Rcs_actual" vbProcedure="false">CALCULATIONS!$C$75</definedName>
    <definedName function="false" hidden="false" name="Rcs_rcmd" vbProcedure="false">CALCULATIONS!$C$74</definedName>
    <definedName function="false" hidden="false" name="Rdson" vbProcedure="false">CALCULATIONS!$C$120</definedName>
    <definedName function="false" hidden="false" name="Requ" vbProcedure="false">CALCULATIONS!$C$232</definedName>
    <definedName function="false" hidden="false" name="Rfb1_actual" vbProcedure="false">CALCULATIONS!$C$221</definedName>
    <definedName function="false" hidden="false" name="Rfb1_rcmd" vbProcedure="false">CALCULATIONS!$C$219</definedName>
    <definedName function="false" hidden="false" name="Rfb2_actual" vbProcedure="false">CALCULATIONS!$C$216</definedName>
    <definedName function="false" hidden="false" name="Rfb2_rcmd" vbProcedure="false">CALCULATIONS!$C$214</definedName>
    <definedName function="false" hidden="false" name="Rinj" vbProcedure="false">CALCULATIONS!$C$224</definedName>
    <definedName function="false" hidden="false" name="Rlc" vbProcedure="false">CALCULATIONS!$C$196</definedName>
    <definedName function="false" hidden="false" name="Rlc_actual" vbProcedure="false">CALCULATIONS!$C$195</definedName>
    <definedName function="false" hidden="false" name="Rlc_rcmd" vbProcedure="false">CALCULATIONS!$C$194</definedName>
    <definedName function="false" hidden="false" name="Rl_opto" vbProcedure="false">CALCULATIONS!$C$228</definedName>
    <definedName function="false" hidden="false" name="Rtl_actual" vbProcedure="false">CALCULATIONS!$C$248</definedName>
    <definedName function="false" hidden="false" name="Rtl_rcmd" vbProcedure="false">CALCULATIONS!$C$247</definedName>
    <definedName function="false" hidden="false" name="Rvs1_actual" vbProcedure="false">CALCULATIONS!$C$170</definedName>
    <definedName function="false" hidden="false" name="Rvs1_rcmd" vbProcedure="false">CALCULATIONS!$C$168</definedName>
    <definedName function="false" hidden="false" name="Rvs2_actual" vbProcedure="false">CALCULATIONS!$C$184</definedName>
    <definedName function="false" hidden="false" name="Rvs2_rcmd" vbProcedure="false">CALCULATIONS!$C$182</definedName>
    <definedName function="false" hidden="false" name="R_fb1" vbProcedure="false">CALCULATIONS!$C$223</definedName>
    <definedName function="false" hidden="false" name="R_fb2" vbProcedure="false">CALCULATIONS!$C$218</definedName>
    <definedName function="false" hidden="false" name="R_fb4" vbProcedure="false">CALCULATIONS!$C$242</definedName>
    <definedName function="false" hidden="false" name="R_fb4_actual" vbProcedure="false">CALCULATIONS!$C$241</definedName>
    <definedName function="false" hidden="false" name="R_fb4_rcmd" vbProcedure="false">CALCULATIONS!$C$240</definedName>
    <definedName function="false" hidden="false" name="R_tl" vbProcedure="false">CALCULATIONS!$C$249</definedName>
    <definedName function="false" hidden="false" name="R_vs1" vbProcedure="false">CALCULATIONS!$C$172</definedName>
    <definedName function="false" hidden="false" name="R_vs2" vbProcedure="false">CALCULATIONS!$C$186</definedName>
    <definedName function="false" hidden="false" name="t1_1" vbProcedure="false">'LOOKUP TABLES AND DROPDOWN LIST'!$J$35</definedName>
    <definedName function="false" hidden="false" name="t1_2" vbProcedure="false">'LOOKUP TABLES AND DROPDOWN LIST'!$J$41</definedName>
    <definedName function="false" hidden="false" name="t1_3" vbProcedure="false">'LOOKUP TABLES AND DROPDOWN LIST'!$J$47</definedName>
    <definedName function="false" hidden="false" name="t2_1" vbProcedure="false">'LOOKUP TABLES AND DROPDOWN LIST'!$J$36</definedName>
    <definedName function="false" hidden="false" name="t2_2" vbProcedure="false">'LOOKUP TABLES AND DROPDOWN LIST'!$J$42</definedName>
    <definedName function="false" hidden="false" name="t2_3" vbProcedure="false">'LOOKUP TABLES AND DROPDOWN LIST'!$J$48</definedName>
    <definedName function="false" hidden="false" name="tcharge_1" vbProcedure="false">'LOOKUP TABLES AND DROPDOWN LIST'!$J$38</definedName>
    <definedName function="false" hidden="false" name="tcharge_2" vbProcedure="false">'LOOKUP TABLES AND DROPDOWN LIST'!$J$44</definedName>
    <definedName function="false" hidden="false" name="tcharge_3" vbProcedure="false">'LOOKUP TABLES AND DROPDOWN LIST'!$J$50</definedName>
    <definedName function="false" hidden="false" name="tdelay" vbProcedure="false">CALCULATIONS!$C$193</definedName>
    <definedName function="false" hidden="false" name="tdemag" vbProcedure="false">CALCULATIONS!$C$99</definedName>
    <definedName function="false" hidden="false" name="tdemag_min" vbProcedure="false">CALCULATIONS!$C$113</definedName>
    <definedName function="false" hidden="false" name="tdischarge_1" vbProcedure="false">'LOOKUP TABLES AND DROPDOWN LIST'!$J$37</definedName>
    <definedName function="false" hidden="false" name="tdischarge_2" vbProcedure="false">'LOOKUP TABLES AND DROPDOWN LIST'!$J$43</definedName>
    <definedName function="false" hidden="false" name="tdischarge_3" vbProcedure="false">'LOOKUP TABLES AND DROPDOWN LIST'!$J$49</definedName>
    <definedName function="false" hidden="false" name="tdoff" vbProcedure="false">CALCULATIONS!$C$122</definedName>
    <definedName function="false" hidden="false" name="tf" vbProcedure="false">CALCULATIONS!$C$121</definedName>
    <definedName function="false" hidden="false" name="tf_opto" vbProcedure="false">CALCULATIONS!$C$227</definedName>
    <definedName function="false" hidden="false" name="tonmin_limit" vbProcedure="false">CALCULATIONS!$C$111</definedName>
    <definedName function="false" hidden="false" name="ton_max" vbProcedure="false">CALCULATIONS!$C$97</definedName>
    <definedName function="false" hidden="false" name="ton_max_est" vbProcedure="false">CALCULATIONS!$C$66</definedName>
    <definedName function="false" hidden="false" name="ton_min" vbProcedure="false">CALCULATIONS!$C$112</definedName>
    <definedName function="false" hidden="false" name="tov" vbProcedure="false">CALCULATIONS!$C$205</definedName>
    <definedName function="false" hidden="false" name="tres" vbProcedure="false">CALCULATIONS!$C$59</definedName>
    <definedName function="false" hidden="false" name="tresp" vbProcedure="false">CALCULATIONS!$C$25</definedName>
    <definedName function="false" hidden="false" name="tres_actual" vbProcedure="false">CALCULATIONS!$C$125</definedName>
    <definedName function="false" hidden="false" name="tsw" vbProcedure="false">CALCULATIONS!$C$96</definedName>
    <definedName function="false" hidden="false" name="tsw_target" vbProcedure="false">CALCULATIONS!$C$57</definedName>
    <definedName function="false" hidden="false" name="t_1" vbProcedure="false">'LOOKUP TABLES AND DROPDOWN LIST'!$J$29</definedName>
    <definedName function="false" hidden="false" name="t_2" vbProcedure="false">'LOOKUP TABLES AND DROPDOWN LIST'!$J$30</definedName>
    <definedName function="false" hidden="false" name="t_charge" vbProcedure="false">'LOOKUP TABLES AND DROPDOWN LIST'!$J$32</definedName>
    <definedName function="false" hidden="false" name="t_discharge" vbProcedure="false">'LOOKUP TABLES AND DROPDOWN LIST'!$J$31</definedName>
    <definedName function="false" hidden="false" name="t_line" vbProcedure="false">CALCULATIONS!$C$14</definedName>
    <definedName function="false" hidden="false" name="uA" vbProcedure="false">'LOOKUP TABLES AND DROPDOWN LIST'!$B$16</definedName>
    <definedName function="false" hidden="false" name="uC" vbProcedure="false">'LOOKUP TABLES AND DROPDOWN LIST'!$B$20</definedName>
    <definedName function="false" hidden="false" name="uF" vbProcedure="false">'LOOKUP TABLES AND DROPDOWN LIST'!$B$5</definedName>
    <definedName function="false" hidden="false" name="uH" vbProcedure="false">'LOOKUP TABLES AND DROPDOWN LIST'!$B$11</definedName>
    <definedName function="false" hidden="false" name="us" vbProcedure="false">'LOOKUP TABLES AND DROPDOWN LIST'!$B$10</definedName>
    <definedName function="false" hidden="false" name="Vbridge" vbProcedure="false">CALCULATIONS!$C$48</definedName>
    <definedName function="false" hidden="false" name="Vbrownout_max" vbProcedure="false">CALCULATIONS!$C$178</definedName>
    <definedName function="false" hidden="false" name="Vbrownout_min" vbProcedure="false">CALCULATIONS!$C$176</definedName>
    <definedName function="false" hidden="false" name="Vbrownout_nom" vbProcedure="false">CALCULATIONS!$C$177</definedName>
    <definedName function="false" hidden="false" name="Vbulkvalley" vbProcedure="false">'LOOKUP TABLES AND DROPDOWN LIST'!$J$51</definedName>
    <definedName function="false" hidden="false" name="Vbulkvalley_1" vbProcedure="false">'LOOKUP TABLES AND DROPDOWN LIST'!$J$33</definedName>
    <definedName function="false" hidden="false" name="Vbulkvalley_2" vbProcedure="false">'LOOKUP TABLES AND DROPDOWN LIST'!$J$39</definedName>
    <definedName function="false" hidden="false" name="Vbulkvalley_3" vbProcedure="false">'LOOKUP TABLES AND DROPDOWN LIST'!$J$45</definedName>
    <definedName function="false" hidden="false" name="Vbulkvalley_desired" vbProcedure="false">'START HERE'!$C$39</definedName>
    <definedName function="false" hidden="false" name="Vbulk_max" vbProcedure="false">CALCULATIONS!$C$11</definedName>
    <definedName function="false" hidden="false" name="Vbulk_min" vbProcedure="false">CALCULATIONS!$C$10</definedName>
    <definedName function="false" hidden="false" name="Vbulk_nom" vbProcedure="false">CALCULATIONS!$C$12</definedName>
    <definedName function="false" hidden="false" name="Vbulk_run" vbProcedure="false">CALCULATIONS!$C$13</definedName>
    <definedName function="false" hidden="false" name="Vbulk_valley" vbProcedure="false">CALCULATIONS!$C$39</definedName>
    <definedName function="false" hidden="false" name="Vbulk_valley_rcmd" vbProcedure="false">calculations #REF!</definedName>
    <definedName function="false" hidden="false" name="Vccr_max" vbProcedure="false">CALCULATIONS!$C$72</definedName>
    <definedName function="false" hidden="false" name="Vccr_min" vbProcedure="false">CALCULATIONS!$C$70</definedName>
    <definedName function="false" hidden="false" name="Vccr_nom" vbProcedure="false">CALCULATIONS!$C$71</definedName>
    <definedName function="false" hidden="false" name="Vcin_rated" vbProcedure="false">CALCULATIONS!$C$41</definedName>
    <definedName function="false" hidden="false" name="Vcstmax_max" vbProcedure="false">CALCULATIONS!$C$80</definedName>
    <definedName function="false" hidden="false" name="Vcstmax_min" vbProcedure="false">CALCULATIONS!$C$78</definedName>
    <definedName function="false" hidden="false" name="Vcstmax_nom" vbProcedure="false">CALCULATIONS!$C$79</definedName>
    <definedName function="false" hidden="false" name="VDbias_blocking" vbProcedure="false">CALCULATIONS!$C$143</definedName>
    <definedName function="false" hidden="false" name="VDD" vbProcedure="false">CALCULATIONS!$C$109</definedName>
    <definedName function="false" hidden="false" name="VDDoff" vbProcedure="false">CALCULATIONS!$C$203</definedName>
    <definedName function="false" hidden="false" name="VDDoff_max" vbProcedure="false">CALCULATIONS!$C$103</definedName>
    <definedName function="false" hidden="false" name="VDDoff_min" vbProcedure="false">CALCULATIONS!$C$104</definedName>
    <definedName function="false" hidden="false" name="VDDon" vbProcedure="false">CALCULATIONS!$C$202</definedName>
    <definedName function="false" hidden="false" name="Vdout_blocking" vbProcedure="false">CALCULATIONS!$C$137</definedName>
    <definedName function="false" hidden="false" name="Vdrain_clamp" vbProcedure="false">CALCULATIONS!$C$133</definedName>
    <definedName function="false" hidden="false" name="Vds" vbProcedure="false">CALCULATIONS!$C$118</definedName>
    <definedName function="false" hidden="false" name="VDS_derating" vbProcedure="false">CALCULATIONS!$C$127</definedName>
    <definedName function="false" hidden="false" name="Vds_min_rating" vbProcedure="false">CALCULATIONS!$C$117</definedName>
    <definedName function="false" hidden="false" name="Vf" vbProcedure="false">CALCULATIONS!$C$136</definedName>
    <definedName function="false" hidden="false" name="Vfa" vbProcedure="false">CALCULATIONS!$C$142</definedName>
    <definedName function="false" hidden="false" name="Vflyback" vbProcedure="false">CALCULATIONS!$C$64</definedName>
    <definedName function="false" hidden="false" name="Vflyback_rcmd" vbProcedure="false">calculations #REF!</definedName>
    <definedName function="false" hidden="false" name="Vf_bridge" vbProcedure="false">CALCULATIONS!$C$50</definedName>
    <definedName function="false" hidden="false" name="Vf_opto" vbProcedure="false">CALCULATIONS!$C$230</definedName>
    <definedName function="false" hidden="false" name="Vinput_max" vbProcedure="false">CALCULATIONS!$C$6</definedName>
    <definedName function="false" hidden="false" name="Vinput_min" vbProcedure="false">CALCULATIONS!$C$5</definedName>
    <definedName function="false" hidden="false" name="Vinput_nom" vbProcedure="false">CALCULATIONS!$C$7</definedName>
    <definedName function="false" hidden="false" name="Vinput_run" vbProcedure="false">CALCULATIONS!$C$9</definedName>
    <definedName function="false" hidden="false" name="Vin_type" vbProcedure="false">'START HERE'!$C$16</definedName>
    <definedName function="false" hidden="false" name="Vleakage" vbProcedure="false">CALCULATIONS!$C$65</definedName>
    <definedName function="false" hidden="false" name="Vocbc" vbProcedure="false">calculations #REF!</definedName>
    <definedName function="false" hidden="false" name="Voutripple" vbProcedure="false">CALCULATIONS!$C$159</definedName>
    <definedName function="false" hidden="false" name="Vout_cc" vbProcedure="false">CALCULATIONS!$C$19</definedName>
    <definedName function="false" hidden="false" name="Vout_cc_min" vbProcedure="false">CALCULATIONS!$C$114</definedName>
    <definedName function="false" hidden="false" name="Vout_cv" vbProcedure="false">CALCULATIONS!$C$16</definedName>
    <definedName function="false" hidden="false" name="Vout_delta" vbProcedure="false">CALCULATIONS!$C$21</definedName>
    <definedName function="false" hidden="false" name="Vout_ovp" vbProcedure="false">CALCULATIONS!$C$27</definedName>
    <definedName function="false" hidden="false" name="Vovp_max" vbProcedure="false">CALCULATIONS!$C$181</definedName>
    <definedName function="false" hidden="false" name="Vovp_min" vbProcedure="false">CALCULATIONS!$C$179</definedName>
    <definedName function="false" hidden="false" name="Vovp_nom" vbProcedure="false">CALCULATIONS!$C$180</definedName>
    <definedName function="false" hidden="false" name="Vref431" vbProcedure="false">CALCULATIONS!$C$212</definedName>
    <definedName function="false" hidden="false" name="Vripple_target" vbProcedure="false">CALCULATIONS!$C$23</definedName>
    <definedName function="false" hidden="false" name="Vturnon_max" vbProcedure="false">CALCULATIONS!$C$175</definedName>
    <definedName function="false" hidden="false" name="Vturnon_min" vbProcedure="false">CALCULATIONS!$C$173</definedName>
    <definedName function="false" hidden="false" name="Vturnon_nom" vbProcedure="false">CALCULATIONS!$C$174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<sst xmlns="http://schemas.openxmlformats.org/spreadsheetml/2006/main" count="1162" uniqueCount="760">
  <si>
    <t xml:space="preserve">UCC28740 DESIGN CALCULATOR TOOL</t>
  </si>
  <si>
    <t xml:space="preserve">TI Literature Number:</t>
  </si>
  <si>
    <t xml:space="preserve">SLUC487B</t>
  </si>
  <si>
    <t xml:space="preserve">Disclaimer</t>
  </si>
  <si>
    <t xml:space="preserve">This product is designed as an aid for customers of Texas Instruments. No warranties, either expressed or implied, with respect to this software or its fitness for any particular purpose, are claimed by Texas Instruments or the author. The software is licensed solely on an "as is" basis. The entire risk as to its quality and performance is with the customer.</t>
  </si>
  <si>
    <t xml:space="preserve">UCC28740 CONSTANT-VOLTAGE, CONSTANT-CURRENT FLYBACK DESIGN CALCULATOR</t>
  </si>
  <si>
    <t xml:space="preserve">CLEAR ALL USER INPUT CELLS BEFORE STARTING A NEW DESIGN</t>
  </si>
  <si>
    <r>
      <rPr>
        <b val="true"/>
        <sz val="14"/>
        <color rgb="FF000000"/>
        <rFont val="Arial"/>
        <family val="2"/>
        <charset val="1"/>
      </rPr>
      <t xml:space="preserve">ALL </t>
    </r>
    <r>
      <rPr>
        <b val="true"/>
        <sz val="14"/>
        <color rgb="FF9BBB59"/>
        <rFont val="Arial"/>
        <family val="2"/>
        <charset val="1"/>
      </rPr>
      <t xml:space="preserve">GREEN</t>
    </r>
    <r>
      <rPr>
        <b val="true"/>
        <sz val="14"/>
        <color rgb="FF000000"/>
        <rFont val="Arial"/>
        <family val="2"/>
        <charset val="1"/>
      </rPr>
      <t xml:space="preserve"> CELLS ARE USER INPUTS</t>
    </r>
  </si>
  <si>
    <t xml:space="preserve">WHERE APPLICABLE, A RECOMMENDED VALUE IS GIVEN THAT WILL BE THE BEST CHOICE TO MEET THE GIVEN SPECIFICATION.  IT IS IN THE BEST INTEREST OF THE USER TO USE A VALUE AS CLOSE AS POSSIBLE TO THE SUGGESTED RECOMMENDED VALUE.  FOR ACCURATE RESULTS, THE USER MUST ENTER THE ACTUAL VALUE USED IN THE APPROPRIATE CELL.</t>
  </si>
  <si>
    <t xml:space="preserve">DESIGN REQUIREMENTS</t>
  </si>
  <si>
    <t xml:space="preserve">INPUT SPECIFICATIONS</t>
  </si>
  <si>
    <t xml:space="preserve">Input Voltage Type, AC or DC:</t>
  </si>
  <si>
    <t xml:space="preserve">AC</t>
  </si>
  <si>
    <t xml:space="preserve">Choose either AC or DC</t>
  </si>
  <si>
    <r>
      <rPr>
        <sz val="11"/>
        <color rgb="FF000000"/>
        <rFont val="Arial"/>
        <family val="2"/>
        <charset val="1"/>
      </rPr>
      <t xml:space="preserve">Minimum Input Voltage, V</t>
    </r>
    <r>
      <rPr>
        <vertAlign val="subscript"/>
        <sz val="11"/>
        <color rgb="FF000000"/>
        <rFont val="Arial"/>
        <family val="2"/>
        <charset val="1"/>
      </rPr>
      <t xml:space="preserve">INPUTmin</t>
    </r>
    <r>
      <rPr>
        <sz val="11"/>
        <color rgb="FF000000"/>
        <rFont val="Arial"/>
        <family val="2"/>
        <charset val="1"/>
      </rPr>
      <t xml:space="preserve"> =</t>
    </r>
  </si>
  <si>
    <r>
      <rPr>
        <sz val="11"/>
        <color rgb="FF000000"/>
        <rFont val="Arial"/>
        <family val="2"/>
        <charset val="1"/>
      </rPr>
      <t xml:space="preserve">Maximum Input Voltage, V</t>
    </r>
    <r>
      <rPr>
        <vertAlign val="subscript"/>
        <sz val="11"/>
        <color rgb="FF000000"/>
        <rFont val="Arial"/>
        <family val="2"/>
        <charset val="1"/>
      </rPr>
      <t xml:space="preserve">INPUTmax</t>
    </r>
    <r>
      <rPr>
        <sz val="11"/>
        <color rgb="FF000000"/>
        <rFont val="Arial"/>
        <family val="2"/>
        <charset val="1"/>
      </rPr>
      <t xml:space="preserve"> =</t>
    </r>
  </si>
  <si>
    <r>
      <rPr>
        <sz val="11"/>
        <color rgb="FF000000"/>
        <rFont val="Arial"/>
        <family val="2"/>
        <charset val="1"/>
      </rPr>
      <t xml:space="preserve">Nominal Input Voltage, V</t>
    </r>
    <r>
      <rPr>
        <vertAlign val="subscript"/>
        <sz val="11"/>
        <color rgb="FF000000"/>
        <rFont val="Arial"/>
        <family val="2"/>
        <charset val="1"/>
      </rPr>
      <t xml:space="preserve">INPUTnom</t>
    </r>
    <r>
      <rPr>
        <sz val="11"/>
        <color rgb="FF000000"/>
        <rFont val="Arial"/>
        <family val="2"/>
        <charset val="1"/>
      </rPr>
      <t xml:space="preserve"> =</t>
    </r>
  </si>
  <si>
    <r>
      <rPr>
        <sz val="11"/>
        <color rgb="FF000000"/>
        <rFont val="Arial"/>
        <family val="2"/>
        <charset val="1"/>
      </rPr>
      <t xml:space="preserve">Minimum Line Frequency, f</t>
    </r>
    <r>
      <rPr>
        <vertAlign val="subscript"/>
        <sz val="11"/>
        <color rgb="FF000000"/>
        <rFont val="Arial"/>
        <family val="2"/>
        <charset val="1"/>
      </rPr>
      <t xml:space="preserve">LINEmin</t>
    </r>
    <r>
      <rPr>
        <sz val="11"/>
        <color rgb="FF000000"/>
        <rFont val="Arial"/>
        <family val="2"/>
        <charset val="1"/>
      </rPr>
      <t xml:space="preserve"> =</t>
    </r>
  </si>
  <si>
    <t xml:space="preserve">Hz</t>
  </si>
  <si>
    <t xml:space="preserve">For universal line enter 47 Hz</t>
  </si>
  <si>
    <r>
      <rPr>
        <sz val="11"/>
        <color rgb="FF000000"/>
        <rFont val="Arial"/>
        <family val="2"/>
        <charset val="1"/>
      </rPr>
      <t xml:space="preserve">Minimum Input Voltage for Start-Up, V</t>
    </r>
    <r>
      <rPr>
        <vertAlign val="subscript"/>
        <sz val="11"/>
        <color rgb="FF000000"/>
        <rFont val="Arial"/>
        <family val="2"/>
        <charset val="1"/>
      </rPr>
      <t xml:space="preserve">INPUTrun</t>
    </r>
    <r>
      <rPr>
        <sz val="11"/>
        <color rgb="FF000000"/>
        <rFont val="Arial"/>
        <family val="2"/>
        <charset val="1"/>
      </rPr>
      <t xml:space="preserve"> =</t>
    </r>
  </si>
  <si>
    <t xml:space="preserve">OUTPUT SPECIFICATIONS</t>
  </si>
  <si>
    <r>
      <rPr>
        <sz val="11"/>
        <color rgb="FF000000"/>
        <rFont val="Arial"/>
        <family val="2"/>
        <charset val="1"/>
      </rPr>
      <t xml:space="preserve">Regulated Output Voltage, Constant Voltage Mode, V</t>
    </r>
    <r>
      <rPr>
        <vertAlign val="subscript"/>
        <sz val="11"/>
        <color rgb="FF000000"/>
        <rFont val="Arial"/>
        <family val="2"/>
        <charset val="1"/>
      </rPr>
      <t xml:space="preserve">OUT_CV</t>
    </r>
    <r>
      <rPr>
        <sz val="11"/>
        <color rgb="FF000000"/>
        <rFont val="Arial"/>
        <family val="2"/>
        <charset val="1"/>
      </rPr>
      <t xml:space="preserve"> =</t>
    </r>
  </si>
  <si>
    <t xml:space="preserve">VDC</t>
  </si>
  <si>
    <r>
      <rPr>
        <sz val="11"/>
        <color rgb="FF000000"/>
        <rFont val="Arial"/>
        <family val="2"/>
        <charset val="1"/>
      </rPr>
      <t xml:space="preserve">Full Load Rated Output Current, I</t>
    </r>
    <r>
      <rPr>
        <vertAlign val="subscript"/>
        <sz val="11"/>
        <color rgb="FF000000"/>
        <rFont val="Arial"/>
        <family val="2"/>
        <charset val="1"/>
      </rPr>
      <t xml:space="preserve">OUT</t>
    </r>
    <r>
      <rPr>
        <sz val="11"/>
        <color rgb="FF000000"/>
        <rFont val="Arial"/>
        <family val="2"/>
        <charset val="1"/>
      </rPr>
      <t xml:space="preserve"> =</t>
    </r>
  </si>
  <si>
    <t xml:space="preserve">A</t>
  </si>
  <si>
    <r>
      <rPr>
        <sz val="11"/>
        <color rgb="FF000000"/>
        <rFont val="Arial"/>
        <family val="2"/>
        <charset val="1"/>
      </rPr>
      <t xml:space="preserve">Target Constant Current Mode Output Load Threshold, I</t>
    </r>
    <r>
      <rPr>
        <vertAlign val="subscript"/>
        <sz val="11"/>
        <color rgb="FF000000"/>
        <rFont val="Arial"/>
        <family val="2"/>
        <charset val="1"/>
      </rPr>
      <t xml:space="preserve">OCC</t>
    </r>
    <r>
      <rPr>
        <sz val="11"/>
        <color rgb="FF000000"/>
        <rFont val="Arial"/>
        <family val="2"/>
        <charset val="1"/>
      </rPr>
      <t xml:space="preserve"> =</t>
    </r>
  </si>
  <si>
    <r>
      <rPr>
        <sz val="11"/>
        <color rgb="FF000000"/>
        <rFont val="Arial"/>
        <family val="2"/>
        <charset val="1"/>
      </rPr>
      <t xml:space="preserve">Target Minimum Output Voltage During Constant Current Regulation, V</t>
    </r>
    <r>
      <rPr>
        <vertAlign val="subscript"/>
        <sz val="11"/>
        <color rgb="FF000000"/>
        <rFont val="Arial"/>
        <family val="2"/>
        <charset val="1"/>
      </rPr>
      <t xml:space="preserve">OUT_CC</t>
    </r>
    <r>
      <rPr>
        <sz val="11"/>
        <color rgb="FF000000"/>
        <rFont val="Arial"/>
        <family val="2"/>
        <charset val="1"/>
      </rPr>
      <t xml:space="preserve"> =</t>
    </r>
  </si>
  <si>
    <r>
      <rPr>
        <sz val="11"/>
        <color rgb="FF000000"/>
        <rFont val="Arial"/>
        <family val="2"/>
        <charset val="1"/>
      </rPr>
      <t xml:space="preserve">Allowable Output Voltage Drop During Load-Step Transient in Constant Voltage Mode, V</t>
    </r>
    <r>
      <rPr>
        <vertAlign val="subscript"/>
        <sz val="11"/>
        <color rgb="FF000000"/>
        <rFont val="Arial"/>
        <family val="2"/>
        <charset val="1"/>
      </rPr>
      <t xml:space="preserve">OUTΔ </t>
    </r>
    <r>
      <rPr>
        <sz val="11"/>
        <color rgb="FF000000"/>
        <rFont val="Arial"/>
        <family val="2"/>
        <charset val="1"/>
      </rPr>
      <t xml:space="preserve">=</t>
    </r>
  </si>
  <si>
    <t xml:space="preserve">V</t>
  </si>
  <si>
    <r>
      <rPr>
        <sz val="11"/>
        <color rgb="FF000000"/>
        <rFont val="Arial"/>
        <family val="2"/>
        <charset val="1"/>
      </rPr>
      <t xml:space="preserve">Maximum Peak to Peak Output Voltage Ripple, V</t>
    </r>
    <r>
      <rPr>
        <vertAlign val="subscript"/>
        <sz val="11"/>
        <color rgb="FF000000"/>
        <rFont val="Arial"/>
        <family val="2"/>
        <charset val="1"/>
      </rPr>
      <t xml:space="preserve">RIPPLE</t>
    </r>
    <r>
      <rPr>
        <sz val="11"/>
        <color rgb="FF000000"/>
        <rFont val="Arial"/>
        <family val="2"/>
        <charset val="1"/>
      </rPr>
      <t xml:space="preserve"> =</t>
    </r>
  </si>
  <si>
    <t xml:space="preserve">mV</t>
  </si>
  <si>
    <r>
      <rPr>
        <sz val="11"/>
        <color rgb="FF000000"/>
        <rFont val="Arial"/>
        <family val="2"/>
        <charset val="1"/>
      </rPr>
      <t xml:space="preserve">Maximum Desired Switching Frequency, User must input value not greater than 100 kHz,  f</t>
    </r>
    <r>
      <rPr>
        <vertAlign val="subscript"/>
        <sz val="11"/>
        <color rgb="FF000000"/>
        <rFont val="Arial"/>
        <family val="2"/>
        <charset val="1"/>
      </rPr>
      <t xml:space="preserve">max</t>
    </r>
    <r>
      <rPr>
        <sz val="11"/>
        <color rgb="FF000000"/>
        <rFont val="Arial"/>
        <family val="2"/>
        <charset val="1"/>
      </rPr>
      <t xml:space="preserve"> =</t>
    </r>
  </si>
  <si>
    <t xml:space="preserve">kHz</t>
  </si>
  <si>
    <r>
      <rPr>
        <sz val="11"/>
        <color rgb="FF000000"/>
        <rFont val="Arial"/>
        <family val="2"/>
        <charset val="1"/>
      </rPr>
      <t xml:space="preserve">Output Over Voltage Protection, V</t>
    </r>
    <r>
      <rPr>
        <vertAlign val="subscript"/>
        <sz val="11"/>
        <color rgb="FF000000"/>
        <rFont val="Arial"/>
        <family val="2"/>
        <charset val="1"/>
      </rPr>
      <t xml:space="preserve">OUT_OVP</t>
    </r>
    <r>
      <rPr>
        <sz val="11"/>
        <color rgb="FF000000"/>
        <rFont val="Arial"/>
        <family val="2"/>
        <charset val="1"/>
      </rPr>
      <t xml:space="preserve"> =</t>
    </r>
  </si>
  <si>
    <r>
      <rPr>
        <sz val="11"/>
        <color rgb="FF000000"/>
        <rFont val="Arial"/>
        <family val="2"/>
        <charset val="1"/>
      </rPr>
      <t xml:space="preserve">Required Positive Load Step Transient Current, I</t>
    </r>
    <r>
      <rPr>
        <vertAlign val="subscript"/>
        <sz val="11"/>
        <color rgb="FF000000"/>
        <rFont val="Arial"/>
        <family val="2"/>
        <charset val="1"/>
      </rPr>
      <t xml:space="preserve">TRAN</t>
    </r>
    <r>
      <rPr>
        <sz val="11"/>
        <color rgb="FF000000"/>
        <rFont val="Arial"/>
        <family val="2"/>
        <charset val="1"/>
      </rPr>
      <t xml:space="preserve"> =</t>
    </r>
  </si>
  <si>
    <r>
      <rPr>
        <sz val="11"/>
        <color rgb="FF000000"/>
        <rFont val="Arial"/>
        <family val="2"/>
        <charset val="1"/>
      </rPr>
      <t xml:space="preserve">Maximum Allowable Response Time to Load Step Transient, t</t>
    </r>
    <r>
      <rPr>
        <vertAlign val="subscript"/>
        <sz val="11"/>
        <color rgb="FF000000"/>
        <rFont val="Arial"/>
        <family val="2"/>
        <charset val="1"/>
      </rPr>
      <t xml:space="preserve">RESP</t>
    </r>
    <r>
      <rPr>
        <sz val="11"/>
        <color rgb="FF000000"/>
        <rFont val="Arial"/>
        <family val="2"/>
        <charset val="1"/>
      </rPr>
      <t xml:space="preserve"> =</t>
    </r>
  </si>
  <si>
    <t xml:space="preserve">ms</t>
  </si>
  <si>
    <r>
      <rPr>
        <sz val="11"/>
        <color rgb="FF000000"/>
        <rFont val="Arial"/>
        <family val="2"/>
        <charset val="1"/>
      </rPr>
      <t xml:space="preserve">Target Maximum Stand By Power Dissipation, P</t>
    </r>
    <r>
      <rPr>
        <vertAlign val="subscript"/>
        <sz val="11"/>
        <color rgb="FF000000"/>
        <rFont val="Arial"/>
        <family val="2"/>
        <charset val="1"/>
      </rPr>
      <t xml:space="preserve">SBtarget</t>
    </r>
    <r>
      <rPr>
        <sz val="11"/>
        <color rgb="FF000000"/>
        <rFont val="Arial"/>
        <family val="2"/>
        <charset val="1"/>
      </rPr>
      <t xml:space="preserve"> =</t>
    </r>
  </si>
  <si>
    <t xml:space="preserve">mW</t>
  </si>
  <si>
    <t xml:space="preserve">COMPONENT SELECTION USER INPUTS</t>
  </si>
  <si>
    <t xml:space="preserve">COMPONENT</t>
  </si>
  <si>
    <t xml:space="preserve">PARAMETER</t>
  </si>
  <si>
    <t xml:space="preserve">COMMENT</t>
  </si>
  <si>
    <r>
      <rPr>
        <b val="true"/>
        <sz val="11"/>
        <color rgb="FFFFFFFF"/>
        <rFont val="Arial"/>
        <family val="2"/>
        <charset val="1"/>
      </rPr>
      <t xml:space="preserve">Input Capacitor, C</t>
    </r>
    <r>
      <rPr>
        <b val="true"/>
        <vertAlign val="subscript"/>
        <sz val="11"/>
        <color rgb="FFFFFFFF"/>
        <rFont val="Arial"/>
        <family val="2"/>
        <charset val="1"/>
      </rPr>
      <t xml:space="preserve">BULK</t>
    </r>
  </si>
  <si>
    <r>
      <rPr>
        <b val="true"/>
        <sz val="11"/>
        <rFont val="Arial"/>
        <family val="2"/>
        <charset val="1"/>
      </rPr>
      <t xml:space="preserve">Desired </t>
    </r>
    <r>
      <rPr>
        <sz val="11"/>
        <rFont val="Arial"/>
        <family val="2"/>
        <charset val="1"/>
      </rPr>
      <t xml:space="preserve">Minimum Valley Voltage, V</t>
    </r>
    <r>
      <rPr>
        <vertAlign val="subscript"/>
        <sz val="11"/>
        <rFont val="Arial"/>
        <family val="2"/>
        <charset val="1"/>
      </rPr>
      <t xml:space="preserve">BULKvalley_desired</t>
    </r>
    <r>
      <rPr>
        <sz val="11"/>
        <rFont val="Arial"/>
        <family val="2"/>
        <charset val="1"/>
      </rPr>
      <t xml:space="preserve"> =</t>
    </r>
  </si>
  <si>
    <r>
      <rPr>
        <sz val="11"/>
        <rFont val="Arial"/>
        <family val="2"/>
        <charset val="1"/>
      </rPr>
      <t xml:space="preserve">Used to determine the required input bulk capacitor at minimum line, full load. For DC input, use V</t>
    </r>
    <r>
      <rPr>
        <vertAlign val="subscript"/>
        <sz val="11"/>
        <rFont val="Arial"/>
        <family val="2"/>
        <charset val="1"/>
      </rPr>
      <t xml:space="preserve">INPUTrun</t>
    </r>
  </si>
  <si>
    <r>
      <rPr>
        <b val="true"/>
        <sz val="11"/>
        <color rgb="FF000000"/>
        <rFont val="Arial"/>
        <family val="2"/>
        <charset val="1"/>
      </rPr>
      <t xml:space="preserve">Recommended</t>
    </r>
    <r>
      <rPr>
        <sz val="11"/>
        <color rgb="FF000000"/>
        <rFont val="Arial"/>
        <family val="2"/>
        <charset val="1"/>
      </rPr>
      <t xml:space="preserve"> Input Bulk Capacitance, C</t>
    </r>
    <r>
      <rPr>
        <vertAlign val="subscript"/>
        <sz val="11"/>
        <color rgb="FF000000"/>
        <rFont val="Arial"/>
        <family val="2"/>
        <charset val="1"/>
      </rPr>
      <t xml:space="preserve">BULK</t>
    </r>
    <r>
      <rPr>
        <sz val="11"/>
        <color rgb="FF000000"/>
        <rFont val="Arial"/>
        <family val="2"/>
        <charset val="1"/>
      </rPr>
      <t xml:space="preserve"> =</t>
    </r>
  </si>
  <si>
    <t xml:space="preserve">µF</t>
  </si>
  <si>
    <t xml:space="preserve">Using a value less than recommended will result in a minimum valley voltage less than desired, requiring a larger power stage to accommodate the higher currents due to the lower input rail.  Using a value larger than recommended will result in a higher input rail and lower currents on the power stage but higher peak current in the input capacitor itself.</t>
  </si>
  <si>
    <r>
      <rPr>
        <b val="true"/>
        <sz val="11"/>
        <color rgb="FF000000"/>
        <rFont val="Arial"/>
        <family val="2"/>
        <charset val="1"/>
      </rPr>
      <t xml:space="preserve">Actual</t>
    </r>
    <r>
      <rPr>
        <sz val="11"/>
        <color rgb="FF000000"/>
        <rFont val="Arial"/>
        <family val="2"/>
        <charset val="1"/>
      </rPr>
      <t xml:space="preserve"> Input Bulk Capacitance, C</t>
    </r>
    <r>
      <rPr>
        <vertAlign val="subscript"/>
        <sz val="11"/>
        <color rgb="FF000000"/>
        <rFont val="Arial"/>
        <family val="2"/>
        <charset val="1"/>
      </rPr>
      <t xml:space="preserve">BULK</t>
    </r>
    <r>
      <rPr>
        <sz val="11"/>
        <color rgb="FF000000"/>
        <rFont val="Arial"/>
        <family val="2"/>
        <charset val="1"/>
      </rPr>
      <t xml:space="preserve">, Used =</t>
    </r>
  </si>
  <si>
    <t xml:space="preserve">Enter actual input bulk capacitor used</t>
  </si>
  <si>
    <r>
      <rPr>
        <b val="true"/>
        <sz val="11"/>
        <color rgb="FFFFFFFF"/>
        <rFont val="Arial"/>
        <family val="2"/>
        <charset val="1"/>
      </rPr>
      <t xml:space="preserve">Output Rectifier, D</t>
    </r>
    <r>
      <rPr>
        <b val="true"/>
        <vertAlign val="subscript"/>
        <sz val="11"/>
        <color rgb="FFFFFFFF"/>
        <rFont val="Arial"/>
        <family val="2"/>
        <charset val="1"/>
      </rPr>
      <t xml:space="preserve">OUT</t>
    </r>
  </si>
  <si>
    <r>
      <rPr>
        <sz val="11"/>
        <color rgb="FF000000"/>
        <rFont val="Arial"/>
        <family val="2"/>
        <charset val="1"/>
      </rPr>
      <t xml:space="preserve">Forward Voltage Drop of Output Rectifier, V</t>
    </r>
    <r>
      <rPr>
        <vertAlign val="subscript"/>
        <sz val="11"/>
        <color rgb="FF000000"/>
        <rFont val="Arial"/>
        <family val="2"/>
        <charset val="1"/>
      </rPr>
      <t xml:space="preserve">F</t>
    </r>
    <r>
      <rPr>
        <sz val="11"/>
        <color rgb="FF000000"/>
        <rFont val="Arial"/>
        <family val="2"/>
        <charset val="1"/>
      </rPr>
      <t xml:space="preserve"> =</t>
    </r>
  </si>
  <si>
    <r>
      <rPr>
        <sz val="11"/>
        <color rgb="FF000000"/>
        <rFont val="Arial"/>
        <family val="2"/>
        <charset val="1"/>
      </rPr>
      <t xml:space="preserve">Enter V</t>
    </r>
    <r>
      <rPr>
        <vertAlign val="subscript"/>
        <sz val="11"/>
        <color rgb="FF000000"/>
        <rFont val="Arial"/>
        <family val="2"/>
        <charset val="1"/>
      </rPr>
      <t xml:space="preserve">F</t>
    </r>
    <r>
      <rPr>
        <sz val="11"/>
        <color rgb="FF000000"/>
        <rFont val="Arial"/>
        <family val="2"/>
        <charset val="1"/>
      </rPr>
      <t xml:space="preserve"> at full load</t>
    </r>
  </si>
  <si>
    <r>
      <rPr>
        <b val="true"/>
        <sz val="11"/>
        <color rgb="FFFFFFFF"/>
        <rFont val="Arial"/>
        <family val="2"/>
        <charset val="1"/>
      </rPr>
      <t xml:space="preserve">Output Inductor, L</t>
    </r>
    <r>
      <rPr>
        <b val="true"/>
        <vertAlign val="subscript"/>
        <sz val="11"/>
        <color rgb="FFFFFFFF"/>
        <rFont val="Arial"/>
        <family val="2"/>
        <charset val="1"/>
      </rPr>
      <t xml:space="preserve">OUT</t>
    </r>
  </si>
  <si>
    <r>
      <rPr>
        <sz val="11"/>
        <color rgb="FF000000"/>
        <rFont val="Arial"/>
        <family val="2"/>
        <charset val="1"/>
      </rPr>
      <t xml:space="preserve">DCR of Output Inductor, DCR</t>
    </r>
    <r>
      <rPr>
        <vertAlign val="subscript"/>
        <sz val="11"/>
        <color rgb="FF000000"/>
        <rFont val="Arial"/>
        <family val="2"/>
        <charset val="1"/>
      </rPr>
      <t xml:space="preserve">Lout</t>
    </r>
    <r>
      <rPr>
        <sz val="11"/>
        <color rgb="FF000000"/>
        <rFont val="Arial"/>
        <family val="2"/>
        <charset val="1"/>
      </rPr>
      <t xml:space="preserve">, if used =</t>
    </r>
  </si>
  <si>
    <t xml:space="preserve">mΩ</t>
  </si>
  <si>
    <t xml:space="preserve">Enter 0 if no secondary LC filter used</t>
  </si>
  <si>
    <t xml:space="preserve">Flyback Transformer, Primary to Secondary Turns Ratio</t>
  </si>
  <si>
    <r>
      <rPr>
        <b val="true"/>
        <sz val="11"/>
        <color rgb="FF000000"/>
        <rFont val="Arial"/>
        <family val="2"/>
        <charset val="1"/>
      </rPr>
      <t xml:space="preserve">Ideal</t>
    </r>
    <r>
      <rPr>
        <sz val="11"/>
        <color rgb="FF000000"/>
        <rFont val="Arial"/>
        <family val="2"/>
        <charset val="1"/>
      </rPr>
      <t xml:space="preserve"> Primary to Secondary Turns Ratio, N</t>
    </r>
    <r>
      <rPr>
        <vertAlign val="subscript"/>
        <sz val="11"/>
        <color rgb="FF000000"/>
        <rFont val="Arial"/>
        <family val="2"/>
        <charset val="1"/>
      </rPr>
      <t xml:space="preserve">PSideal</t>
    </r>
    <r>
      <rPr>
        <sz val="11"/>
        <color rgb="FF000000"/>
        <rFont val="Arial"/>
        <family val="2"/>
        <charset val="1"/>
      </rPr>
      <t xml:space="preserve"> =</t>
    </r>
  </si>
  <si>
    <r>
      <rPr>
        <sz val="11"/>
        <color rgb="FF000000"/>
        <rFont val="Arial"/>
        <family val="2"/>
        <charset val="1"/>
      </rPr>
      <t xml:space="preserve">Recommended N</t>
    </r>
    <r>
      <rPr>
        <vertAlign val="subscript"/>
        <sz val="11"/>
        <color rgb="FF000000"/>
        <rFont val="Arial"/>
        <family val="2"/>
        <charset val="1"/>
      </rPr>
      <t xml:space="preserve">PS</t>
    </r>
  </si>
  <si>
    <r>
      <rPr>
        <b val="true"/>
        <sz val="11"/>
        <color rgb="FF000000"/>
        <rFont val="Arial"/>
        <family val="2"/>
        <charset val="1"/>
      </rPr>
      <t xml:space="preserve">Actual</t>
    </r>
    <r>
      <rPr>
        <sz val="11"/>
        <color rgb="FF000000"/>
        <rFont val="Arial"/>
        <family val="2"/>
        <charset val="1"/>
      </rPr>
      <t xml:space="preserve"> Primary to Secondary Turns Ratio Used, N</t>
    </r>
    <r>
      <rPr>
        <vertAlign val="subscript"/>
        <sz val="11"/>
        <color rgb="FF000000"/>
        <rFont val="Arial"/>
        <family val="2"/>
        <charset val="1"/>
      </rPr>
      <t xml:space="preserve">PS</t>
    </r>
    <r>
      <rPr>
        <sz val="11"/>
        <color rgb="FF000000"/>
        <rFont val="Arial"/>
        <family val="2"/>
        <charset val="1"/>
      </rPr>
      <t xml:space="preserve">  =</t>
    </r>
  </si>
  <si>
    <r>
      <rPr>
        <sz val="11"/>
        <color rgb="FF000000"/>
        <rFont val="Arial"/>
        <family val="2"/>
        <charset val="1"/>
      </rPr>
      <t xml:space="preserve">Enter Actual N</t>
    </r>
    <r>
      <rPr>
        <vertAlign val="subscript"/>
        <sz val="11"/>
        <color rgb="FF000000"/>
        <rFont val="Arial"/>
        <family val="2"/>
        <charset val="1"/>
      </rPr>
      <t xml:space="preserve">PS</t>
    </r>
    <r>
      <rPr>
        <sz val="11"/>
        <color rgb="FF000000"/>
        <rFont val="Arial"/>
        <family val="2"/>
        <charset val="1"/>
      </rPr>
      <t xml:space="preserve"> of Transformer Used</t>
    </r>
  </si>
  <si>
    <r>
      <rPr>
        <b val="true"/>
        <sz val="11"/>
        <color rgb="FFFFFFFF"/>
        <rFont val="Arial"/>
        <family val="2"/>
        <charset val="1"/>
      </rPr>
      <t xml:space="preserve">Current Sense Resistor, R</t>
    </r>
    <r>
      <rPr>
        <b val="true"/>
        <vertAlign val="subscript"/>
        <sz val="11"/>
        <color rgb="FFFFFFFF"/>
        <rFont val="Arial"/>
        <family val="2"/>
        <charset val="1"/>
      </rPr>
      <t xml:space="preserve">CS</t>
    </r>
  </si>
  <si>
    <r>
      <rPr>
        <b val="true"/>
        <sz val="11"/>
        <color rgb="FF000000"/>
        <rFont val="Arial"/>
        <family val="2"/>
        <charset val="1"/>
      </rPr>
      <t xml:space="preserve">Recommended </t>
    </r>
    <r>
      <rPr>
        <sz val="11"/>
        <color rgb="FF000000"/>
        <rFont val="Arial"/>
        <family val="2"/>
        <charset val="1"/>
      </rPr>
      <t xml:space="preserve">Current Sense Resistor, R</t>
    </r>
    <r>
      <rPr>
        <vertAlign val="subscript"/>
        <sz val="11"/>
        <color rgb="FF000000"/>
        <rFont val="Arial"/>
        <family val="2"/>
        <charset val="1"/>
      </rPr>
      <t xml:space="preserve">CS</t>
    </r>
    <r>
      <rPr>
        <sz val="11"/>
        <color rgb="FF000000"/>
        <rFont val="Arial"/>
        <family val="2"/>
        <charset val="1"/>
      </rPr>
      <t xml:space="preserve"> =</t>
    </r>
  </si>
  <si>
    <t xml:space="preserve">Ω</t>
  </si>
  <si>
    <r>
      <rPr>
        <sz val="11"/>
        <color rgb="FF000000"/>
        <rFont val="Arial"/>
        <family val="2"/>
        <charset val="1"/>
      </rPr>
      <t xml:space="preserve">Recommended R</t>
    </r>
    <r>
      <rPr>
        <vertAlign val="subscript"/>
        <sz val="11"/>
        <color rgb="FF000000"/>
        <rFont val="Arial"/>
        <family val="2"/>
        <charset val="1"/>
      </rPr>
      <t xml:space="preserve">CS</t>
    </r>
  </si>
  <si>
    <r>
      <rPr>
        <b val="true"/>
        <sz val="11"/>
        <color rgb="FF000000"/>
        <rFont val="Arial"/>
        <family val="2"/>
        <charset val="1"/>
      </rPr>
      <t xml:space="preserve">Actual</t>
    </r>
    <r>
      <rPr>
        <sz val="11"/>
        <color rgb="FF000000"/>
        <rFont val="Arial"/>
        <family val="2"/>
        <charset val="1"/>
      </rPr>
      <t xml:space="preserve"> Current Sense Resistor Used, R</t>
    </r>
    <r>
      <rPr>
        <vertAlign val="subscript"/>
        <sz val="11"/>
        <color rgb="FF000000"/>
        <rFont val="Arial"/>
        <family val="2"/>
        <charset val="1"/>
      </rPr>
      <t xml:space="preserve">CS</t>
    </r>
    <r>
      <rPr>
        <sz val="11"/>
        <color rgb="FF000000"/>
        <rFont val="Arial"/>
        <family val="2"/>
        <charset val="1"/>
      </rPr>
      <t xml:space="preserve"> =</t>
    </r>
  </si>
  <si>
    <r>
      <rPr>
        <sz val="11"/>
        <color rgb="FF000000"/>
        <rFont val="Arial"/>
        <family val="2"/>
        <charset val="1"/>
      </rPr>
      <t xml:space="preserve">Enter Actual R</t>
    </r>
    <r>
      <rPr>
        <vertAlign val="subscript"/>
        <sz val="11"/>
        <color rgb="FF000000"/>
        <rFont val="Arial"/>
        <family val="2"/>
        <charset val="1"/>
      </rPr>
      <t xml:space="preserve">CS</t>
    </r>
    <r>
      <rPr>
        <sz val="11"/>
        <color rgb="FF000000"/>
        <rFont val="Arial"/>
        <family val="2"/>
        <charset val="1"/>
      </rPr>
      <t xml:space="preserve"> Used</t>
    </r>
  </si>
  <si>
    <t xml:space="preserve">Flyback Transformer, T</t>
  </si>
  <si>
    <r>
      <rPr>
        <b val="true"/>
        <sz val="11"/>
        <color rgb="FF000000"/>
        <rFont val="Arial"/>
        <family val="2"/>
        <charset val="1"/>
      </rPr>
      <t xml:space="preserve">Recommended</t>
    </r>
    <r>
      <rPr>
        <sz val="11"/>
        <color rgb="FF000000"/>
        <rFont val="Arial"/>
        <family val="2"/>
        <charset val="1"/>
      </rPr>
      <t xml:space="preserve"> Primary Inductance Value, L</t>
    </r>
    <r>
      <rPr>
        <vertAlign val="subscript"/>
        <sz val="11"/>
        <color rgb="FF000000"/>
        <rFont val="Arial"/>
        <family val="2"/>
        <charset val="1"/>
      </rPr>
      <t xml:space="preserve">P</t>
    </r>
    <r>
      <rPr>
        <sz val="11"/>
        <color rgb="FF000000"/>
        <rFont val="Arial"/>
        <family val="2"/>
        <charset val="1"/>
      </rPr>
      <t xml:space="preserve"> =</t>
    </r>
  </si>
  <si>
    <t xml:space="preserve">µH</t>
  </si>
  <si>
    <r>
      <rPr>
        <b val="true"/>
        <sz val="11"/>
        <color rgb="FF000000"/>
        <rFont val="Arial"/>
        <family val="2"/>
        <charset val="1"/>
      </rPr>
      <t xml:space="preserve">Actual </t>
    </r>
    <r>
      <rPr>
        <sz val="11"/>
        <color rgb="FF000000"/>
        <rFont val="Arial"/>
        <family val="2"/>
        <charset val="1"/>
      </rPr>
      <t xml:space="preserve">Primary Inductance Used, L</t>
    </r>
    <r>
      <rPr>
        <vertAlign val="subscript"/>
        <sz val="11"/>
        <color rgb="FF000000"/>
        <rFont val="Arial"/>
        <family val="2"/>
        <charset val="1"/>
      </rPr>
      <t xml:space="preserve">P </t>
    </r>
    <r>
      <rPr>
        <sz val="11"/>
        <color rgb="FF000000"/>
        <rFont val="Arial"/>
        <family val="2"/>
        <charset val="1"/>
      </rPr>
      <t xml:space="preserve">=</t>
    </r>
  </si>
  <si>
    <r>
      <rPr>
        <b val="true"/>
        <sz val="11"/>
        <color rgb="FF000000"/>
        <rFont val="Arial"/>
        <family val="2"/>
        <charset val="1"/>
      </rPr>
      <t xml:space="preserve">Recommended</t>
    </r>
    <r>
      <rPr>
        <sz val="11"/>
        <color rgb="FF000000"/>
        <rFont val="Arial"/>
        <family val="2"/>
        <charset val="1"/>
      </rPr>
      <t xml:space="preserve"> Primary to Auxillary Turns Ratio, N</t>
    </r>
    <r>
      <rPr>
        <vertAlign val="subscript"/>
        <sz val="11"/>
        <color rgb="FF000000"/>
        <rFont val="Arial"/>
        <family val="2"/>
        <charset val="1"/>
      </rPr>
      <t xml:space="preserve">PA</t>
    </r>
    <r>
      <rPr>
        <sz val="11"/>
        <color rgb="FF000000"/>
        <rFont val="Arial"/>
        <family val="2"/>
        <charset val="1"/>
      </rPr>
      <t xml:space="preserve"> =</t>
    </r>
  </si>
  <si>
    <r>
      <rPr>
        <sz val="11"/>
        <color rgb="FF000000"/>
        <rFont val="Arial"/>
        <family val="2"/>
        <charset val="1"/>
      </rPr>
      <t xml:space="preserve">Suggested N</t>
    </r>
    <r>
      <rPr>
        <vertAlign val="subscript"/>
        <sz val="11"/>
        <color rgb="FF000000"/>
        <rFont val="Arial"/>
        <family val="2"/>
        <charset val="1"/>
      </rPr>
      <t xml:space="preserve">PA</t>
    </r>
  </si>
  <si>
    <r>
      <rPr>
        <b val="true"/>
        <sz val="11"/>
        <color rgb="FF000000"/>
        <rFont val="Arial"/>
        <family val="2"/>
        <charset val="1"/>
      </rPr>
      <t xml:space="preserve">Actual</t>
    </r>
    <r>
      <rPr>
        <sz val="11"/>
        <color rgb="FF000000"/>
        <rFont val="Arial"/>
        <family val="2"/>
        <charset val="1"/>
      </rPr>
      <t xml:space="preserve"> Primary to Auxiliary Turns Ratio, N</t>
    </r>
    <r>
      <rPr>
        <vertAlign val="subscript"/>
        <sz val="11"/>
        <color rgb="FF000000"/>
        <rFont val="Arial"/>
        <family val="2"/>
        <charset val="1"/>
      </rPr>
      <t xml:space="preserve">PA</t>
    </r>
    <r>
      <rPr>
        <sz val="11"/>
        <color rgb="FF000000"/>
        <rFont val="Arial"/>
        <family val="2"/>
        <charset val="1"/>
      </rPr>
      <t xml:space="preserve"> =</t>
    </r>
  </si>
  <si>
    <r>
      <rPr>
        <sz val="11"/>
        <color rgb="FF000000"/>
        <rFont val="Arial"/>
        <family val="2"/>
        <charset val="1"/>
      </rPr>
      <t xml:space="preserve">Enter Actual N</t>
    </r>
    <r>
      <rPr>
        <vertAlign val="subscript"/>
        <sz val="11"/>
        <color rgb="FF000000"/>
        <rFont val="Arial"/>
        <family val="2"/>
        <charset val="1"/>
      </rPr>
      <t xml:space="preserve">PA</t>
    </r>
    <r>
      <rPr>
        <sz val="11"/>
        <color rgb="FF000000"/>
        <rFont val="Arial"/>
        <family val="2"/>
        <charset val="1"/>
      </rPr>
      <t xml:space="preserve"> of Transformer Used</t>
    </r>
  </si>
  <si>
    <t xml:space="preserve">MOSFET Switch, Q</t>
  </si>
  <si>
    <r>
      <rPr>
        <sz val="11"/>
        <rFont val="Arial"/>
        <family val="2"/>
        <charset val="1"/>
      </rPr>
      <t xml:space="preserve">Required Drain to Soure Voltage Rating , V</t>
    </r>
    <r>
      <rPr>
        <vertAlign val="subscript"/>
        <sz val="11"/>
        <rFont val="Arial"/>
        <family val="2"/>
        <charset val="1"/>
      </rPr>
      <t xml:space="preserve">DSrated</t>
    </r>
    <r>
      <rPr>
        <sz val="11"/>
        <rFont val="Arial"/>
        <family val="2"/>
        <charset val="1"/>
      </rPr>
      <t xml:space="preserve"> =</t>
    </r>
  </si>
  <si>
    <r>
      <rPr>
        <sz val="11"/>
        <color rgb="FF000000"/>
        <rFont val="Arial"/>
        <family val="2"/>
        <charset val="1"/>
      </rPr>
      <t xml:space="preserve">MOSFET Rated Drain to Source Voltage, V</t>
    </r>
    <r>
      <rPr>
        <vertAlign val="subscript"/>
        <sz val="11"/>
        <color rgb="FF000000"/>
        <rFont val="Arial"/>
        <family val="2"/>
        <charset val="1"/>
      </rPr>
      <t xml:space="preserve">DS</t>
    </r>
    <r>
      <rPr>
        <sz val="11"/>
        <color rgb="FF000000"/>
        <rFont val="Arial"/>
        <family val="2"/>
        <charset val="1"/>
      </rPr>
      <t xml:space="preserve"> =</t>
    </r>
  </si>
  <si>
    <r>
      <rPr>
        <sz val="11"/>
        <color rgb="FF000000"/>
        <rFont val="Arial"/>
        <family val="2"/>
        <charset val="1"/>
      </rPr>
      <t xml:space="preserve">Output Capacitance of Selected MOSFET, C</t>
    </r>
    <r>
      <rPr>
        <vertAlign val="subscript"/>
        <sz val="11"/>
        <color rgb="FF000000"/>
        <rFont val="Arial"/>
        <family val="2"/>
        <charset val="1"/>
      </rPr>
      <t xml:space="preserve">OSS</t>
    </r>
    <r>
      <rPr>
        <sz val="11"/>
        <color rgb="FF000000"/>
        <rFont val="Arial"/>
        <family val="2"/>
        <charset val="1"/>
      </rPr>
      <t xml:space="preserve"> =</t>
    </r>
  </si>
  <si>
    <t xml:space="preserve">pF</t>
  </si>
  <si>
    <r>
      <rPr>
        <sz val="11"/>
        <color rgb="FF000000"/>
        <rFont val="Arial"/>
        <family val="2"/>
        <charset val="1"/>
      </rPr>
      <t xml:space="preserve">Drain to Source On-Resistance of Selected MOSFET, R</t>
    </r>
    <r>
      <rPr>
        <vertAlign val="subscript"/>
        <sz val="11"/>
        <color rgb="FF000000"/>
        <rFont val="Arial"/>
        <family val="2"/>
        <charset val="1"/>
      </rPr>
      <t xml:space="preserve">DSon</t>
    </r>
    <r>
      <rPr>
        <sz val="11"/>
        <color rgb="FF000000"/>
        <rFont val="Arial"/>
        <family val="2"/>
        <charset val="1"/>
      </rPr>
      <t xml:space="preserve"> =</t>
    </r>
  </si>
  <si>
    <r>
      <rPr>
        <sz val="11"/>
        <color rgb="FF000000"/>
        <rFont val="Arial"/>
        <family val="2"/>
        <charset val="1"/>
      </rPr>
      <t xml:space="preserve">MOSFET Fall Time, t</t>
    </r>
    <r>
      <rPr>
        <vertAlign val="subscript"/>
        <sz val="11"/>
        <color rgb="FF000000"/>
        <rFont val="Arial"/>
        <family val="2"/>
        <charset val="1"/>
      </rPr>
      <t xml:space="preserve">f</t>
    </r>
    <r>
      <rPr>
        <sz val="11"/>
        <color rgb="FF000000"/>
        <rFont val="Arial"/>
        <family val="2"/>
        <charset val="1"/>
      </rPr>
      <t xml:space="preserve"> =</t>
    </r>
  </si>
  <si>
    <t xml:space="preserve">ns</t>
  </si>
  <si>
    <r>
      <rPr>
        <sz val="11"/>
        <color rgb="FF000000"/>
        <rFont val="Arial"/>
        <family val="2"/>
        <charset val="1"/>
      </rPr>
      <t xml:space="preserve">MOSFET Turn Off Delay Time, t</t>
    </r>
    <r>
      <rPr>
        <vertAlign val="subscript"/>
        <sz val="11"/>
        <color rgb="FF000000"/>
        <rFont val="Arial"/>
        <family val="2"/>
        <charset val="1"/>
      </rPr>
      <t xml:space="preserve">Doff</t>
    </r>
    <r>
      <rPr>
        <sz val="11"/>
        <color rgb="FF000000"/>
        <rFont val="Arial"/>
        <family val="2"/>
        <charset val="1"/>
      </rPr>
      <t xml:space="preserve"> =</t>
    </r>
  </si>
  <si>
    <r>
      <rPr>
        <sz val="11"/>
        <color rgb="FF000000"/>
        <rFont val="Arial"/>
        <family val="2"/>
        <charset val="1"/>
      </rPr>
      <t xml:space="preserve">MOSFET Total Gate Charge, Q</t>
    </r>
    <r>
      <rPr>
        <vertAlign val="subscript"/>
        <sz val="11"/>
        <color rgb="FF000000"/>
        <rFont val="Arial"/>
        <family val="2"/>
        <charset val="1"/>
      </rPr>
      <t xml:space="preserve">g</t>
    </r>
    <r>
      <rPr>
        <sz val="11"/>
        <color rgb="FF000000"/>
        <rFont val="Arial"/>
        <family val="2"/>
        <charset val="1"/>
      </rPr>
      <t xml:space="preserve"> =</t>
    </r>
  </si>
  <si>
    <t xml:space="preserve">nC</t>
  </si>
  <si>
    <r>
      <rPr>
        <b val="true"/>
        <sz val="11"/>
        <color rgb="FFFFFFFF"/>
        <rFont val="Arial"/>
        <family val="2"/>
        <charset val="1"/>
      </rPr>
      <t xml:space="preserve">Output Capacitor, C</t>
    </r>
    <r>
      <rPr>
        <b val="true"/>
        <vertAlign val="subscript"/>
        <sz val="11"/>
        <color rgb="FFFFFFFF"/>
        <rFont val="Arial"/>
        <family val="2"/>
        <charset val="1"/>
      </rPr>
      <t xml:space="preserve">OUT</t>
    </r>
  </si>
  <si>
    <r>
      <rPr>
        <b val="true"/>
        <sz val="11"/>
        <color rgb="FF000000"/>
        <rFont val="Arial"/>
        <family val="2"/>
        <charset val="1"/>
      </rPr>
      <t xml:space="preserve">Recommended</t>
    </r>
    <r>
      <rPr>
        <sz val="11"/>
        <color rgb="FF000000"/>
        <rFont val="Arial"/>
        <family val="2"/>
        <charset val="1"/>
      </rPr>
      <t xml:space="preserve"> Minimum Output Capacitance, C</t>
    </r>
    <r>
      <rPr>
        <vertAlign val="subscript"/>
        <sz val="11"/>
        <color rgb="FF000000"/>
        <rFont val="Arial"/>
        <family val="2"/>
        <charset val="1"/>
      </rPr>
      <t xml:space="preserve">OUT</t>
    </r>
    <r>
      <rPr>
        <sz val="11"/>
        <color rgb="FF000000"/>
        <rFont val="Arial"/>
        <family val="2"/>
        <charset val="1"/>
      </rPr>
      <t xml:space="preserve"> =</t>
    </r>
  </si>
  <si>
    <r>
      <rPr>
        <sz val="11"/>
        <color rgb="FF000000"/>
        <rFont val="Arial"/>
        <family val="2"/>
        <charset val="1"/>
      </rPr>
      <t xml:space="preserve">Recommended C</t>
    </r>
    <r>
      <rPr>
        <vertAlign val="subscript"/>
        <sz val="11"/>
        <color rgb="FF000000"/>
        <rFont val="Arial"/>
        <family val="2"/>
        <charset val="1"/>
      </rPr>
      <t xml:space="preserve">OUT</t>
    </r>
  </si>
  <si>
    <r>
      <rPr>
        <b val="true"/>
        <sz val="11"/>
        <color rgb="FF000000"/>
        <rFont val="Arial"/>
        <family val="2"/>
        <charset val="1"/>
      </rPr>
      <t xml:space="preserve">Actual</t>
    </r>
    <r>
      <rPr>
        <sz val="11"/>
        <color rgb="FF000000"/>
        <rFont val="Arial"/>
        <family val="2"/>
        <charset val="1"/>
      </rPr>
      <t xml:space="preserve"> Minimum Output Capacitance, C</t>
    </r>
    <r>
      <rPr>
        <vertAlign val="subscript"/>
        <sz val="11"/>
        <color rgb="FF000000"/>
        <rFont val="Arial"/>
        <family val="2"/>
        <charset val="1"/>
      </rPr>
      <t xml:space="preserve">OUT</t>
    </r>
    <r>
      <rPr>
        <sz val="11"/>
        <color rgb="FF000000"/>
        <rFont val="Arial"/>
        <family val="2"/>
        <charset val="1"/>
      </rPr>
      <t xml:space="preserve"> =</t>
    </r>
  </si>
  <si>
    <r>
      <rPr>
        <sz val="11"/>
        <color rgb="FF000000"/>
        <rFont val="Arial"/>
        <family val="2"/>
        <charset val="1"/>
      </rPr>
      <t xml:space="preserve">Enter Actual C</t>
    </r>
    <r>
      <rPr>
        <vertAlign val="subscript"/>
        <sz val="11"/>
        <color rgb="FF000000"/>
        <rFont val="Arial"/>
        <family val="2"/>
        <charset val="1"/>
      </rPr>
      <t xml:space="preserve">OUT</t>
    </r>
    <r>
      <rPr>
        <sz val="11"/>
        <color rgb="FF000000"/>
        <rFont val="Arial"/>
        <family val="2"/>
        <charset val="1"/>
      </rPr>
      <t xml:space="preserve"> Used</t>
    </r>
  </si>
  <si>
    <r>
      <rPr>
        <b val="true"/>
        <sz val="11"/>
        <color rgb="FF000000"/>
        <rFont val="Arial"/>
        <family val="2"/>
        <charset val="1"/>
      </rPr>
      <t xml:space="preserve">Recommended</t>
    </r>
    <r>
      <rPr>
        <sz val="11"/>
        <color rgb="FF000000"/>
        <rFont val="Arial"/>
        <family val="2"/>
        <charset val="1"/>
      </rPr>
      <t xml:space="preserve"> Maximum ESR, ESR</t>
    </r>
    <r>
      <rPr>
        <vertAlign val="subscript"/>
        <sz val="11"/>
        <color rgb="FF000000"/>
        <rFont val="Arial"/>
        <family val="2"/>
        <charset val="1"/>
      </rPr>
      <t xml:space="preserve">Cout</t>
    </r>
    <r>
      <rPr>
        <sz val="11"/>
        <color rgb="FF000000"/>
        <rFont val="Arial"/>
        <family val="2"/>
        <charset val="1"/>
      </rPr>
      <t xml:space="preserve"> =</t>
    </r>
  </si>
  <si>
    <t xml:space="preserve">Recommended ESR</t>
  </si>
  <si>
    <r>
      <rPr>
        <b val="true"/>
        <sz val="11"/>
        <color rgb="FF000000"/>
        <rFont val="Arial"/>
        <family val="2"/>
        <charset val="1"/>
      </rPr>
      <t xml:space="preserve">Actual</t>
    </r>
    <r>
      <rPr>
        <sz val="11"/>
        <color rgb="FF000000"/>
        <rFont val="Arial"/>
        <family val="2"/>
        <charset val="1"/>
      </rPr>
      <t xml:space="preserve"> ESR of C</t>
    </r>
    <r>
      <rPr>
        <vertAlign val="subscript"/>
        <sz val="11"/>
        <color rgb="FF000000"/>
        <rFont val="Arial"/>
        <family val="2"/>
        <charset val="1"/>
      </rPr>
      <t xml:space="preserve">OUT</t>
    </r>
    <r>
      <rPr>
        <sz val="11"/>
        <color rgb="FF000000"/>
        <rFont val="Arial"/>
        <family val="2"/>
        <charset val="1"/>
      </rPr>
      <t xml:space="preserve"> Used, ESR</t>
    </r>
    <r>
      <rPr>
        <vertAlign val="subscript"/>
        <sz val="11"/>
        <color rgb="FF000000"/>
        <rFont val="Arial"/>
        <family val="2"/>
        <charset val="1"/>
      </rPr>
      <t xml:space="preserve">Cout</t>
    </r>
    <r>
      <rPr>
        <sz val="11"/>
        <color rgb="FF000000"/>
        <rFont val="Arial"/>
        <family val="2"/>
        <charset val="1"/>
      </rPr>
      <t xml:space="preserve"> =</t>
    </r>
  </si>
  <si>
    <r>
      <rPr>
        <sz val="11"/>
        <color rgb="FF000000"/>
        <rFont val="Arial"/>
        <family val="2"/>
        <charset val="1"/>
      </rPr>
      <t xml:space="preserve">Enter Actual ESR of C</t>
    </r>
    <r>
      <rPr>
        <vertAlign val="subscript"/>
        <sz val="11"/>
        <color rgb="FF000000"/>
        <rFont val="Arial"/>
        <family val="2"/>
        <charset val="1"/>
      </rPr>
      <t xml:space="preserve">OUT</t>
    </r>
    <r>
      <rPr>
        <sz val="11"/>
        <color rgb="FF000000"/>
        <rFont val="Arial"/>
        <family val="2"/>
        <charset val="1"/>
      </rPr>
      <t xml:space="preserve"> Used</t>
    </r>
  </si>
  <si>
    <r>
      <rPr>
        <b val="true"/>
        <sz val="11"/>
        <color rgb="FFFFFFFF"/>
        <rFont val="Arial"/>
        <family val="2"/>
        <charset val="1"/>
      </rPr>
      <t xml:space="preserve">Bridge Rectifier, D</t>
    </r>
    <r>
      <rPr>
        <b val="true"/>
        <vertAlign val="subscript"/>
        <sz val="11"/>
        <color rgb="FFFFFFFF"/>
        <rFont val="Arial"/>
        <family val="2"/>
        <charset val="1"/>
      </rPr>
      <t xml:space="preserve">BRIDGE</t>
    </r>
  </si>
  <si>
    <r>
      <rPr>
        <sz val="11"/>
        <color rgb="FF000000"/>
        <rFont val="Arial"/>
        <family val="2"/>
        <charset val="1"/>
      </rPr>
      <t xml:space="preserve">Forward Voltage Drop, V</t>
    </r>
    <r>
      <rPr>
        <vertAlign val="subscript"/>
        <sz val="11"/>
        <color rgb="FF000000"/>
        <rFont val="Arial"/>
        <family val="2"/>
        <charset val="1"/>
      </rPr>
      <t xml:space="preserve">F_BRIDGE</t>
    </r>
    <r>
      <rPr>
        <sz val="11"/>
        <color rgb="FF000000"/>
        <rFont val="Arial"/>
        <family val="2"/>
        <charset val="1"/>
      </rPr>
      <t xml:space="preserve"> =</t>
    </r>
  </si>
  <si>
    <r>
      <rPr>
        <sz val="11"/>
        <color rgb="FF000000"/>
        <rFont val="Arial"/>
        <family val="2"/>
        <charset val="1"/>
      </rPr>
      <t xml:space="preserve">At I</t>
    </r>
    <r>
      <rPr>
        <vertAlign val="subscript"/>
        <sz val="11"/>
        <color rgb="FF000000"/>
        <rFont val="Arial"/>
        <family val="2"/>
        <charset val="1"/>
      </rPr>
      <t xml:space="preserve">INPEAK</t>
    </r>
  </si>
  <si>
    <t xml:space="preserve">Not Applicable for DC input</t>
  </si>
  <si>
    <r>
      <rPr>
        <b val="true"/>
        <sz val="11"/>
        <color rgb="FFFFFFFF"/>
        <rFont val="Arial"/>
        <family val="2"/>
        <charset val="1"/>
      </rPr>
      <t xml:space="preserve">Auxiliary Winding Rectifier, D</t>
    </r>
    <r>
      <rPr>
        <b val="true"/>
        <vertAlign val="subscript"/>
        <sz val="11"/>
        <color rgb="FFFFFFFF"/>
        <rFont val="Arial"/>
        <family val="2"/>
        <charset val="1"/>
      </rPr>
      <t xml:space="preserve">AUX</t>
    </r>
  </si>
  <si>
    <r>
      <rPr>
        <sz val="11"/>
        <color rgb="FF000000"/>
        <rFont val="Arial"/>
        <family val="2"/>
        <charset val="1"/>
      </rPr>
      <t xml:space="preserve">Auxiliary Rectifier Forward Voltage Drop, V</t>
    </r>
    <r>
      <rPr>
        <vertAlign val="subscript"/>
        <sz val="11"/>
        <color rgb="FF000000"/>
        <rFont val="Arial"/>
        <family val="2"/>
        <charset val="1"/>
      </rPr>
      <t xml:space="preserve">FA</t>
    </r>
    <r>
      <rPr>
        <sz val="11"/>
        <color rgb="FF000000"/>
        <rFont val="Arial"/>
        <family val="2"/>
        <charset val="1"/>
      </rPr>
      <t xml:space="preserve"> =</t>
    </r>
  </si>
  <si>
    <r>
      <rPr>
        <b val="true"/>
        <sz val="11"/>
        <color rgb="FFFFFFFF"/>
        <rFont val="Arial"/>
        <family val="2"/>
        <charset val="1"/>
      </rPr>
      <t xml:space="preserve">Input Line Voltage Turn On Resistor, R</t>
    </r>
    <r>
      <rPr>
        <b val="true"/>
        <vertAlign val="subscript"/>
        <sz val="11"/>
        <color rgb="FFFFFFFF"/>
        <rFont val="Arial"/>
        <family val="2"/>
        <charset val="1"/>
      </rPr>
      <t xml:space="preserve">VS1</t>
    </r>
  </si>
  <si>
    <r>
      <rPr>
        <b val="true"/>
        <sz val="11"/>
        <color rgb="FF000000"/>
        <rFont val="Arial"/>
        <family val="2"/>
        <charset val="1"/>
      </rPr>
      <t xml:space="preserve">Recommended</t>
    </r>
    <r>
      <rPr>
        <sz val="11"/>
        <color rgb="FF000000"/>
        <rFont val="Arial"/>
        <family val="2"/>
        <charset val="1"/>
      </rPr>
      <t xml:space="preserve"> Value for R</t>
    </r>
    <r>
      <rPr>
        <vertAlign val="subscript"/>
        <sz val="11"/>
        <color rgb="FF000000"/>
        <rFont val="Arial"/>
        <family val="2"/>
        <charset val="1"/>
      </rPr>
      <t xml:space="preserve">VS1</t>
    </r>
    <r>
      <rPr>
        <sz val="11"/>
        <color rgb="FF000000"/>
        <rFont val="Arial"/>
        <family val="2"/>
        <charset val="1"/>
      </rPr>
      <t xml:space="preserve">, R</t>
    </r>
    <r>
      <rPr>
        <vertAlign val="subscript"/>
        <sz val="11"/>
        <color rgb="FF000000"/>
        <rFont val="Arial"/>
        <family val="2"/>
        <charset val="1"/>
      </rPr>
      <t xml:space="preserve">VS1</t>
    </r>
    <r>
      <rPr>
        <sz val="11"/>
        <color rgb="FF000000"/>
        <rFont val="Arial"/>
        <family val="2"/>
        <charset val="1"/>
      </rPr>
      <t xml:space="preserve"> =</t>
    </r>
  </si>
  <si>
    <t xml:space="preserve">kΩ</t>
  </si>
  <si>
    <r>
      <rPr>
        <sz val="11"/>
        <color rgb="FF000000"/>
        <rFont val="Arial"/>
        <family val="2"/>
        <charset val="1"/>
      </rPr>
      <t xml:space="preserve">Recommended R</t>
    </r>
    <r>
      <rPr>
        <vertAlign val="subscript"/>
        <sz val="11"/>
        <color rgb="FF000000"/>
        <rFont val="Arial"/>
        <family val="2"/>
        <charset val="1"/>
      </rPr>
      <t xml:space="preserve">VS1</t>
    </r>
  </si>
  <si>
    <r>
      <rPr>
        <b val="true"/>
        <sz val="11"/>
        <color rgb="FF000000"/>
        <rFont val="Arial"/>
        <family val="2"/>
        <charset val="1"/>
      </rPr>
      <t xml:space="preserve">Actual</t>
    </r>
    <r>
      <rPr>
        <sz val="11"/>
        <color rgb="FF000000"/>
        <rFont val="Arial"/>
        <family val="2"/>
        <charset val="1"/>
      </rPr>
      <t xml:space="preserve"> Value for R</t>
    </r>
    <r>
      <rPr>
        <vertAlign val="subscript"/>
        <sz val="11"/>
        <color rgb="FF000000"/>
        <rFont val="Arial"/>
        <family val="2"/>
        <charset val="1"/>
      </rPr>
      <t xml:space="preserve">VS1</t>
    </r>
    <r>
      <rPr>
        <sz val="11"/>
        <color rgb="FF000000"/>
        <rFont val="Arial"/>
        <family val="2"/>
        <charset val="1"/>
      </rPr>
      <t xml:space="preserve">, R</t>
    </r>
    <r>
      <rPr>
        <vertAlign val="subscript"/>
        <sz val="11"/>
        <color rgb="FF000000"/>
        <rFont val="Arial"/>
        <family val="2"/>
        <charset val="1"/>
      </rPr>
      <t xml:space="preserve">VS1</t>
    </r>
    <r>
      <rPr>
        <sz val="11"/>
        <color rgb="FF000000"/>
        <rFont val="Arial"/>
        <family val="2"/>
        <charset val="1"/>
      </rPr>
      <t xml:space="preserve"> =</t>
    </r>
  </si>
  <si>
    <r>
      <rPr>
        <sz val="11"/>
        <color rgb="FF000000"/>
        <rFont val="Arial"/>
        <family val="2"/>
        <charset val="1"/>
      </rPr>
      <t xml:space="preserve">Enter Actual R</t>
    </r>
    <r>
      <rPr>
        <vertAlign val="subscript"/>
        <sz val="11"/>
        <color rgb="FF000000"/>
        <rFont val="Arial"/>
        <family val="2"/>
        <charset val="1"/>
      </rPr>
      <t xml:space="preserve">VS1</t>
    </r>
    <r>
      <rPr>
        <sz val="11"/>
        <color rgb="FF000000"/>
        <rFont val="Arial"/>
        <family val="2"/>
        <charset val="1"/>
      </rPr>
      <t xml:space="preserve"> Used</t>
    </r>
  </si>
  <si>
    <r>
      <rPr>
        <b val="true"/>
        <sz val="11"/>
        <color rgb="FFFFFFFF"/>
        <rFont val="Arial"/>
        <family val="2"/>
        <charset val="1"/>
      </rPr>
      <t xml:space="preserve">Output Over Voltage Resistor, R</t>
    </r>
    <r>
      <rPr>
        <b val="true"/>
        <vertAlign val="subscript"/>
        <sz val="11"/>
        <color rgb="FFFFFFFF"/>
        <rFont val="Arial"/>
        <family val="2"/>
        <charset val="1"/>
      </rPr>
      <t xml:space="preserve">VS2</t>
    </r>
  </si>
  <si>
    <r>
      <rPr>
        <b val="true"/>
        <sz val="11"/>
        <color rgb="FF000000"/>
        <rFont val="Arial"/>
        <family val="2"/>
        <charset val="1"/>
      </rPr>
      <t xml:space="preserve">Recommended</t>
    </r>
    <r>
      <rPr>
        <sz val="11"/>
        <color rgb="FF000000"/>
        <rFont val="Arial"/>
        <family val="2"/>
        <charset val="1"/>
      </rPr>
      <t xml:space="preserve"> Value for R</t>
    </r>
    <r>
      <rPr>
        <vertAlign val="subscript"/>
        <sz val="11"/>
        <color rgb="FF000000"/>
        <rFont val="Arial"/>
        <family val="2"/>
        <charset val="1"/>
      </rPr>
      <t xml:space="preserve">VS2</t>
    </r>
    <r>
      <rPr>
        <sz val="11"/>
        <color rgb="FF000000"/>
        <rFont val="Arial"/>
        <family val="2"/>
        <charset val="1"/>
      </rPr>
      <t xml:space="preserve">, R</t>
    </r>
    <r>
      <rPr>
        <vertAlign val="subscript"/>
        <sz val="11"/>
        <color rgb="FF000000"/>
        <rFont val="Arial"/>
        <family val="2"/>
        <charset val="1"/>
      </rPr>
      <t xml:space="preserve">VS2</t>
    </r>
    <r>
      <rPr>
        <sz val="11"/>
        <color rgb="FF000000"/>
        <rFont val="Arial"/>
        <family val="2"/>
        <charset val="1"/>
      </rPr>
      <t xml:space="preserve"> =</t>
    </r>
  </si>
  <si>
    <r>
      <rPr>
        <sz val="11"/>
        <color rgb="FF000000"/>
        <rFont val="Arial"/>
        <family val="2"/>
        <charset val="1"/>
      </rPr>
      <t xml:space="preserve">Recommended R</t>
    </r>
    <r>
      <rPr>
        <vertAlign val="subscript"/>
        <sz val="11"/>
        <color rgb="FF000000"/>
        <rFont val="Arial"/>
        <family val="2"/>
        <charset val="1"/>
      </rPr>
      <t xml:space="preserve">VS2</t>
    </r>
  </si>
  <si>
    <r>
      <rPr>
        <b val="true"/>
        <sz val="11"/>
        <color rgb="FF000000"/>
        <rFont val="Arial"/>
        <family val="2"/>
        <charset val="1"/>
      </rPr>
      <t xml:space="preserve">Actual</t>
    </r>
    <r>
      <rPr>
        <sz val="11"/>
        <color rgb="FF000000"/>
        <rFont val="Arial"/>
        <family val="2"/>
        <charset val="1"/>
      </rPr>
      <t xml:space="preserve"> Value for R</t>
    </r>
    <r>
      <rPr>
        <vertAlign val="subscript"/>
        <sz val="11"/>
        <color rgb="FF000000"/>
        <rFont val="Arial"/>
        <family val="2"/>
        <charset val="1"/>
      </rPr>
      <t xml:space="preserve">VS2</t>
    </r>
    <r>
      <rPr>
        <sz val="11"/>
        <color rgb="FF000000"/>
        <rFont val="Arial"/>
        <family val="2"/>
        <charset val="1"/>
      </rPr>
      <t xml:space="preserve">, R</t>
    </r>
    <r>
      <rPr>
        <vertAlign val="subscript"/>
        <sz val="11"/>
        <color rgb="FF000000"/>
        <rFont val="Arial"/>
        <family val="2"/>
        <charset val="1"/>
      </rPr>
      <t xml:space="preserve">VS2</t>
    </r>
    <r>
      <rPr>
        <sz val="11"/>
        <color rgb="FF000000"/>
        <rFont val="Arial"/>
        <family val="2"/>
        <charset val="1"/>
      </rPr>
      <t xml:space="preserve"> =</t>
    </r>
  </si>
  <si>
    <r>
      <rPr>
        <sz val="11"/>
        <color rgb="FF000000"/>
        <rFont val="Arial"/>
        <family val="2"/>
        <charset val="1"/>
      </rPr>
      <t xml:space="preserve">Enter Actual R</t>
    </r>
    <r>
      <rPr>
        <vertAlign val="subscript"/>
        <sz val="11"/>
        <color rgb="FF000000"/>
        <rFont val="Arial"/>
        <family val="2"/>
        <charset val="1"/>
      </rPr>
      <t xml:space="preserve">VS2</t>
    </r>
    <r>
      <rPr>
        <sz val="11"/>
        <color rgb="FF000000"/>
        <rFont val="Arial"/>
        <family val="2"/>
        <charset val="1"/>
      </rPr>
      <t xml:space="preserve"> Used</t>
    </r>
  </si>
  <si>
    <r>
      <rPr>
        <b val="true"/>
        <sz val="11"/>
        <color rgb="FFFFFFFF"/>
        <rFont val="Arial"/>
        <family val="2"/>
        <charset val="1"/>
      </rPr>
      <t xml:space="preserve">Line Compensation Resistor, R</t>
    </r>
    <r>
      <rPr>
        <b val="true"/>
        <vertAlign val="subscript"/>
        <sz val="11"/>
        <color rgb="FFFFFFFF"/>
        <rFont val="Arial"/>
        <family val="2"/>
        <charset val="1"/>
      </rPr>
      <t xml:space="preserve">LC</t>
    </r>
  </si>
  <si>
    <r>
      <rPr>
        <b val="true"/>
        <sz val="11"/>
        <color rgb="FF000000"/>
        <rFont val="Arial"/>
        <family val="2"/>
        <charset val="1"/>
      </rPr>
      <t xml:space="preserve">Recommended</t>
    </r>
    <r>
      <rPr>
        <sz val="11"/>
        <color rgb="FF000000"/>
        <rFont val="Arial"/>
        <family val="2"/>
        <charset val="1"/>
      </rPr>
      <t xml:space="preserve"> Value for R</t>
    </r>
    <r>
      <rPr>
        <vertAlign val="subscript"/>
        <sz val="11"/>
        <color rgb="FF000000"/>
        <rFont val="Arial"/>
        <family val="2"/>
        <charset val="1"/>
      </rPr>
      <t xml:space="preserve">LC</t>
    </r>
    <r>
      <rPr>
        <sz val="11"/>
        <color rgb="FF000000"/>
        <rFont val="Arial"/>
        <family val="2"/>
        <charset val="1"/>
      </rPr>
      <t xml:space="preserve">, R</t>
    </r>
    <r>
      <rPr>
        <vertAlign val="subscript"/>
        <sz val="11"/>
        <color rgb="FF000000"/>
        <rFont val="Arial"/>
        <family val="2"/>
        <charset val="1"/>
      </rPr>
      <t xml:space="preserve">LC</t>
    </r>
    <r>
      <rPr>
        <sz val="11"/>
        <color rgb="FF000000"/>
        <rFont val="Arial"/>
        <family val="2"/>
        <charset val="1"/>
      </rPr>
      <t xml:space="preserve"> =</t>
    </r>
  </si>
  <si>
    <r>
      <rPr>
        <sz val="11"/>
        <color rgb="FF000000"/>
        <rFont val="Arial"/>
        <family val="2"/>
        <charset val="1"/>
      </rPr>
      <t xml:space="preserve">Recommeded R</t>
    </r>
    <r>
      <rPr>
        <vertAlign val="subscript"/>
        <sz val="11"/>
        <color rgb="FF000000"/>
        <rFont val="Arial"/>
        <family val="2"/>
        <charset val="1"/>
      </rPr>
      <t xml:space="preserve">LC</t>
    </r>
  </si>
  <si>
    <r>
      <rPr>
        <b val="true"/>
        <sz val="11"/>
        <color rgb="FF000000"/>
        <rFont val="Arial"/>
        <family val="2"/>
        <charset val="1"/>
      </rPr>
      <t xml:space="preserve">Actual</t>
    </r>
    <r>
      <rPr>
        <sz val="11"/>
        <color rgb="FF000000"/>
        <rFont val="Arial"/>
        <family val="2"/>
        <charset val="1"/>
      </rPr>
      <t xml:space="preserve"> Value for R</t>
    </r>
    <r>
      <rPr>
        <vertAlign val="subscript"/>
        <sz val="11"/>
        <color rgb="FF000000"/>
        <rFont val="Arial"/>
        <family val="2"/>
        <charset val="1"/>
      </rPr>
      <t xml:space="preserve">LC</t>
    </r>
    <r>
      <rPr>
        <sz val="11"/>
        <color rgb="FF000000"/>
        <rFont val="Arial"/>
        <family val="2"/>
        <charset val="1"/>
      </rPr>
      <t xml:space="preserve">, R</t>
    </r>
    <r>
      <rPr>
        <vertAlign val="subscript"/>
        <sz val="11"/>
        <color rgb="FF000000"/>
        <rFont val="Arial"/>
        <family val="2"/>
        <charset val="1"/>
      </rPr>
      <t xml:space="preserve">LC</t>
    </r>
    <r>
      <rPr>
        <sz val="11"/>
        <color rgb="FF000000"/>
        <rFont val="Arial"/>
        <family val="2"/>
        <charset val="1"/>
      </rPr>
      <t xml:space="preserve"> =</t>
    </r>
  </si>
  <si>
    <r>
      <rPr>
        <sz val="11"/>
        <rFont val="Arial"/>
        <family val="2"/>
        <charset val="1"/>
      </rPr>
      <t xml:space="preserve">Enter Actual R</t>
    </r>
    <r>
      <rPr>
        <vertAlign val="subscript"/>
        <sz val="11"/>
        <rFont val="Arial"/>
        <family val="2"/>
        <charset val="1"/>
      </rPr>
      <t xml:space="preserve">LC</t>
    </r>
    <r>
      <rPr>
        <sz val="11"/>
        <rFont val="Arial"/>
        <family val="2"/>
        <charset val="1"/>
      </rPr>
      <t xml:space="preserve"> Used</t>
    </r>
  </si>
  <si>
    <r>
      <rPr>
        <b val="true"/>
        <sz val="11"/>
        <color rgb="FFFFFFFF"/>
        <rFont val="Arial"/>
        <family val="2"/>
        <charset val="1"/>
      </rPr>
      <t xml:space="preserve">Loop Compensation Components, R</t>
    </r>
    <r>
      <rPr>
        <b val="true"/>
        <vertAlign val="subscript"/>
        <sz val="11"/>
        <color rgb="FFFFFFFF"/>
        <rFont val="Arial"/>
        <family val="2"/>
        <charset val="1"/>
      </rPr>
      <t xml:space="preserve">FB1</t>
    </r>
    <r>
      <rPr>
        <b val="true"/>
        <sz val="11"/>
        <color rgb="FFFFFFFF"/>
        <rFont val="Arial"/>
        <family val="2"/>
        <charset val="1"/>
      </rPr>
      <t xml:space="preserve">, R</t>
    </r>
    <r>
      <rPr>
        <b val="true"/>
        <vertAlign val="subscript"/>
        <sz val="11"/>
        <color rgb="FFFFFFFF"/>
        <rFont val="Arial"/>
        <family val="2"/>
        <charset val="1"/>
      </rPr>
      <t xml:space="preserve">FB2</t>
    </r>
    <r>
      <rPr>
        <b val="true"/>
        <sz val="11"/>
        <color rgb="FFFFFFFF"/>
        <rFont val="Arial"/>
        <family val="2"/>
        <charset val="1"/>
      </rPr>
      <t xml:space="preserve">, R</t>
    </r>
    <r>
      <rPr>
        <b val="true"/>
        <vertAlign val="subscript"/>
        <sz val="11"/>
        <color rgb="FFFFFFFF"/>
        <rFont val="Arial"/>
        <family val="2"/>
        <charset val="1"/>
      </rPr>
      <t xml:space="preserve">TL</t>
    </r>
    <r>
      <rPr>
        <b val="true"/>
        <sz val="11"/>
        <color rgb="FFFFFFFF"/>
        <rFont val="Arial"/>
        <family val="2"/>
        <charset val="1"/>
      </rPr>
      <t xml:space="preserve">, R</t>
    </r>
    <r>
      <rPr>
        <b val="true"/>
        <vertAlign val="subscript"/>
        <sz val="11"/>
        <color rgb="FFFFFFFF"/>
        <rFont val="Arial"/>
        <family val="2"/>
        <charset val="1"/>
      </rPr>
      <t xml:space="preserve">OPT</t>
    </r>
    <r>
      <rPr>
        <b val="true"/>
        <sz val="11"/>
        <color rgb="FFFFFFFF"/>
        <rFont val="Arial"/>
        <family val="2"/>
        <charset val="1"/>
      </rPr>
      <t xml:space="preserve">, C</t>
    </r>
    <r>
      <rPr>
        <b val="true"/>
        <vertAlign val="subscript"/>
        <sz val="11"/>
        <color rgb="FFFFFFFF"/>
        <rFont val="Arial"/>
        <family val="2"/>
        <charset val="1"/>
      </rPr>
      <t xml:space="preserve">FB</t>
    </r>
    <r>
      <rPr>
        <b val="true"/>
        <sz val="11"/>
        <color rgb="FFFFFFFF"/>
        <rFont val="Arial"/>
        <family val="2"/>
        <charset val="1"/>
      </rPr>
      <t xml:space="preserve">, C</t>
    </r>
    <r>
      <rPr>
        <b val="true"/>
        <vertAlign val="subscript"/>
        <sz val="11"/>
        <color rgb="FFFFFFFF"/>
        <rFont val="Arial"/>
        <family val="2"/>
        <charset val="1"/>
      </rPr>
      <t xml:space="preserve">EXT</t>
    </r>
    <r>
      <rPr>
        <b val="true"/>
        <sz val="11"/>
        <color rgb="FFFFFFFF"/>
        <rFont val="Arial"/>
        <family val="2"/>
        <charset val="1"/>
      </rPr>
      <t xml:space="preserve">, R</t>
    </r>
    <r>
      <rPr>
        <b val="true"/>
        <vertAlign val="subscript"/>
        <sz val="11"/>
        <color rgb="FFFFFFFF"/>
        <rFont val="Arial"/>
        <family val="2"/>
        <charset val="1"/>
      </rPr>
      <t xml:space="preserve">FB3</t>
    </r>
    <r>
      <rPr>
        <b val="true"/>
        <sz val="11"/>
        <color rgb="FFFFFFFF"/>
        <rFont val="Arial"/>
        <family val="2"/>
        <charset val="1"/>
      </rPr>
      <t xml:space="preserve">, R</t>
    </r>
    <r>
      <rPr>
        <b val="true"/>
        <vertAlign val="subscript"/>
        <sz val="11"/>
        <color rgb="FFFFFFFF"/>
        <rFont val="Arial"/>
        <family val="2"/>
        <charset val="1"/>
      </rPr>
      <t xml:space="preserve">FB4, </t>
    </r>
    <r>
      <rPr>
        <b val="true"/>
        <sz val="11"/>
        <color rgb="FFFFFFFF"/>
        <rFont val="Arial"/>
        <family val="2"/>
        <charset val="1"/>
      </rPr>
      <t xml:space="preserve">C</t>
    </r>
    <r>
      <rPr>
        <b val="true"/>
        <vertAlign val="subscript"/>
        <sz val="11"/>
        <color rgb="FFFFFFFF"/>
        <rFont val="Arial"/>
        <family val="2"/>
        <charset val="1"/>
      </rPr>
      <t xml:space="preserve">Z</t>
    </r>
  </si>
  <si>
    <r>
      <rPr>
        <sz val="11"/>
        <rFont val="Arial"/>
        <family val="2"/>
        <charset val="1"/>
      </rPr>
      <t xml:space="preserve">Reference Voltage of Shunt Regulator, i.e. TL431, V</t>
    </r>
    <r>
      <rPr>
        <vertAlign val="subscript"/>
        <sz val="11"/>
        <rFont val="Arial"/>
        <family val="2"/>
        <charset val="1"/>
      </rPr>
      <t xml:space="preserve">REF431</t>
    </r>
    <r>
      <rPr>
        <sz val="11"/>
        <rFont val="Arial"/>
        <family val="2"/>
        <charset val="1"/>
      </rPr>
      <t xml:space="preserve"> =</t>
    </r>
  </si>
  <si>
    <r>
      <rPr>
        <sz val="11"/>
        <rFont val="Arial"/>
        <family val="2"/>
        <charset val="1"/>
      </rPr>
      <t xml:space="preserve">Enter Nominal V</t>
    </r>
    <r>
      <rPr>
        <vertAlign val="subscript"/>
        <sz val="11"/>
        <rFont val="Arial"/>
        <family val="2"/>
        <charset val="1"/>
      </rPr>
      <t xml:space="preserve">REF</t>
    </r>
    <r>
      <rPr>
        <sz val="11"/>
        <rFont val="Arial"/>
        <family val="2"/>
        <charset val="1"/>
      </rPr>
      <t xml:space="preserve"> Used</t>
    </r>
  </si>
  <si>
    <r>
      <rPr>
        <sz val="11"/>
        <rFont val="Arial"/>
        <family val="2"/>
        <charset val="1"/>
      </rPr>
      <t xml:space="preserve">Maximum Reference Input Current of Shunt Regulator, I</t>
    </r>
    <r>
      <rPr>
        <vertAlign val="subscript"/>
        <sz val="11"/>
        <rFont val="Arial"/>
        <family val="2"/>
        <charset val="1"/>
      </rPr>
      <t xml:space="preserve">REF431</t>
    </r>
    <r>
      <rPr>
        <sz val="11"/>
        <rFont val="Arial"/>
        <family val="2"/>
        <charset val="1"/>
      </rPr>
      <t xml:space="preserve"> =</t>
    </r>
  </si>
  <si>
    <r>
      <rPr>
        <sz val="11"/>
        <rFont val="Calibri"/>
        <family val="2"/>
        <charset val="1"/>
      </rPr>
      <t xml:space="preserve">µ</t>
    </r>
    <r>
      <rPr>
        <sz val="11"/>
        <rFont val="Arial"/>
        <family val="2"/>
        <charset val="1"/>
      </rPr>
      <t xml:space="preserve">A</t>
    </r>
  </si>
  <si>
    <t xml:space="preserve">Enter Reference Pin Input Current</t>
  </si>
  <si>
    <r>
      <rPr>
        <b val="true"/>
        <sz val="11"/>
        <color rgb="FF000000"/>
        <rFont val="Arial"/>
        <family val="2"/>
        <charset val="1"/>
      </rPr>
      <t xml:space="preserve">Recommended</t>
    </r>
    <r>
      <rPr>
        <sz val="11"/>
        <color rgb="FF000000"/>
        <rFont val="Arial"/>
        <family val="2"/>
        <charset val="1"/>
      </rPr>
      <t xml:space="preserve"> Value for R</t>
    </r>
    <r>
      <rPr>
        <vertAlign val="subscript"/>
        <sz val="11"/>
        <color rgb="FF000000"/>
        <rFont val="Arial"/>
        <family val="2"/>
        <charset val="1"/>
      </rPr>
      <t xml:space="preserve">FB2</t>
    </r>
    <r>
      <rPr>
        <sz val="11"/>
        <color rgb="FF000000"/>
        <rFont val="Arial"/>
        <family val="2"/>
        <charset val="1"/>
      </rPr>
      <t xml:space="preserve">, R</t>
    </r>
    <r>
      <rPr>
        <vertAlign val="subscript"/>
        <sz val="11"/>
        <color rgb="FF000000"/>
        <rFont val="Arial"/>
        <family val="2"/>
        <charset val="1"/>
      </rPr>
      <t xml:space="preserve">FB2</t>
    </r>
    <r>
      <rPr>
        <sz val="11"/>
        <color rgb="FF000000"/>
        <rFont val="Arial"/>
        <family val="2"/>
        <charset val="1"/>
      </rPr>
      <t xml:space="preserve"> =</t>
    </r>
  </si>
  <si>
    <r>
      <rPr>
        <sz val="11"/>
        <color rgb="FF000000"/>
        <rFont val="Arial"/>
        <family val="2"/>
        <charset val="1"/>
      </rPr>
      <t xml:space="preserve">k</t>
    </r>
    <r>
      <rPr>
        <sz val="11"/>
        <color rgb="FF000000"/>
        <rFont val="Calibri"/>
        <family val="2"/>
        <charset val="1"/>
      </rPr>
      <t xml:space="preserve">Ω</t>
    </r>
  </si>
  <si>
    <r>
      <rPr>
        <sz val="11"/>
        <color rgb="FF000000"/>
        <rFont val="Arial"/>
        <family val="2"/>
        <charset val="1"/>
      </rPr>
      <t xml:space="preserve">Recommended R</t>
    </r>
    <r>
      <rPr>
        <vertAlign val="subscript"/>
        <sz val="11"/>
        <color rgb="FF000000"/>
        <rFont val="Arial"/>
        <family val="2"/>
        <charset val="1"/>
      </rPr>
      <t xml:space="preserve">FB2</t>
    </r>
  </si>
  <si>
    <r>
      <rPr>
        <b val="true"/>
        <sz val="11"/>
        <color rgb="FF000000"/>
        <rFont val="Arial"/>
        <family val="2"/>
        <charset val="1"/>
      </rPr>
      <t xml:space="preserve">Actual</t>
    </r>
    <r>
      <rPr>
        <sz val="11"/>
        <color rgb="FF000000"/>
        <rFont val="Arial"/>
        <family val="2"/>
        <charset val="1"/>
      </rPr>
      <t xml:space="preserve"> Value for R</t>
    </r>
    <r>
      <rPr>
        <vertAlign val="subscript"/>
        <sz val="11"/>
        <color rgb="FF000000"/>
        <rFont val="Arial"/>
        <family val="2"/>
        <charset val="1"/>
      </rPr>
      <t xml:space="preserve">FB2</t>
    </r>
    <r>
      <rPr>
        <sz val="11"/>
        <color rgb="FF000000"/>
        <rFont val="Arial"/>
        <family val="2"/>
        <charset val="1"/>
      </rPr>
      <t xml:space="preserve">, R</t>
    </r>
    <r>
      <rPr>
        <vertAlign val="subscript"/>
        <sz val="11"/>
        <color rgb="FF000000"/>
        <rFont val="Arial"/>
        <family val="2"/>
        <charset val="1"/>
      </rPr>
      <t xml:space="preserve">FB2</t>
    </r>
    <r>
      <rPr>
        <sz val="11"/>
        <color rgb="FF000000"/>
        <rFont val="Arial"/>
        <family val="2"/>
        <charset val="1"/>
      </rPr>
      <t xml:space="preserve"> =</t>
    </r>
  </si>
  <si>
    <r>
      <rPr>
        <sz val="11"/>
        <color rgb="FF000000"/>
        <rFont val="Arial"/>
        <family val="2"/>
        <charset val="1"/>
      </rPr>
      <t xml:space="preserve">Enter Actual R</t>
    </r>
    <r>
      <rPr>
        <vertAlign val="subscript"/>
        <sz val="11"/>
        <color rgb="FF000000"/>
        <rFont val="Arial"/>
        <family val="2"/>
        <charset val="1"/>
      </rPr>
      <t xml:space="preserve">FB2</t>
    </r>
    <r>
      <rPr>
        <sz val="11"/>
        <color rgb="FF000000"/>
        <rFont val="Arial"/>
        <family val="2"/>
        <charset val="1"/>
      </rPr>
      <t xml:space="preserve"> Used</t>
    </r>
  </si>
  <si>
    <r>
      <rPr>
        <b val="true"/>
        <sz val="11"/>
        <color rgb="FF000000"/>
        <rFont val="Arial"/>
        <family val="2"/>
        <charset val="1"/>
      </rPr>
      <t xml:space="preserve">Recommended</t>
    </r>
    <r>
      <rPr>
        <sz val="11"/>
        <color rgb="FF000000"/>
        <rFont val="Arial"/>
        <family val="2"/>
        <charset val="1"/>
      </rPr>
      <t xml:space="preserve"> Value for R</t>
    </r>
    <r>
      <rPr>
        <vertAlign val="subscript"/>
        <sz val="11"/>
        <color rgb="FF000000"/>
        <rFont val="Arial"/>
        <family val="2"/>
        <charset val="1"/>
      </rPr>
      <t xml:space="preserve">FB1</t>
    </r>
    <r>
      <rPr>
        <sz val="11"/>
        <color rgb="FF000000"/>
        <rFont val="Arial"/>
        <family val="2"/>
        <charset val="1"/>
      </rPr>
      <t xml:space="preserve">, R</t>
    </r>
    <r>
      <rPr>
        <vertAlign val="subscript"/>
        <sz val="11"/>
        <color rgb="FF000000"/>
        <rFont val="Arial"/>
        <family val="2"/>
        <charset val="1"/>
      </rPr>
      <t xml:space="preserve">FB1</t>
    </r>
    <r>
      <rPr>
        <sz val="11"/>
        <color rgb="FF000000"/>
        <rFont val="Arial"/>
        <family val="2"/>
        <charset val="1"/>
      </rPr>
      <t xml:space="preserve"> =</t>
    </r>
  </si>
  <si>
    <r>
      <rPr>
        <sz val="11"/>
        <color rgb="FF000000"/>
        <rFont val="Arial"/>
        <family val="2"/>
        <charset val="1"/>
      </rPr>
      <t xml:space="preserve">Recommended R</t>
    </r>
    <r>
      <rPr>
        <vertAlign val="subscript"/>
        <sz val="11"/>
        <color rgb="FF000000"/>
        <rFont val="Arial"/>
        <family val="2"/>
        <charset val="1"/>
      </rPr>
      <t xml:space="preserve">FB1</t>
    </r>
  </si>
  <si>
    <r>
      <rPr>
        <b val="true"/>
        <sz val="11"/>
        <color rgb="FF000000"/>
        <rFont val="Arial"/>
        <family val="2"/>
        <charset val="1"/>
      </rPr>
      <t xml:space="preserve">Actual</t>
    </r>
    <r>
      <rPr>
        <sz val="11"/>
        <color rgb="FF000000"/>
        <rFont val="Arial"/>
        <family val="2"/>
        <charset val="1"/>
      </rPr>
      <t xml:space="preserve"> Value for R</t>
    </r>
    <r>
      <rPr>
        <vertAlign val="subscript"/>
        <sz val="11"/>
        <color rgb="FF000000"/>
        <rFont val="Arial"/>
        <family val="2"/>
        <charset val="1"/>
      </rPr>
      <t xml:space="preserve">FB1</t>
    </r>
    <r>
      <rPr>
        <sz val="11"/>
        <color rgb="FF000000"/>
        <rFont val="Arial"/>
        <family val="2"/>
        <charset val="1"/>
      </rPr>
      <t xml:space="preserve">, R</t>
    </r>
    <r>
      <rPr>
        <vertAlign val="subscript"/>
        <sz val="11"/>
        <color rgb="FF000000"/>
        <rFont val="Arial"/>
        <family val="2"/>
        <charset val="1"/>
      </rPr>
      <t xml:space="preserve">FB1</t>
    </r>
    <r>
      <rPr>
        <sz val="11"/>
        <color rgb="FF000000"/>
        <rFont val="Arial"/>
        <family val="2"/>
        <charset val="1"/>
      </rPr>
      <t xml:space="preserve"> =</t>
    </r>
  </si>
  <si>
    <r>
      <rPr>
        <sz val="11"/>
        <color rgb="FF000000"/>
        <rFont val="Arial"/>
        <family val="2"/>
        <charset val="1"/>
      </rPr>
      <t xml:space="preserve">Enter Actual R</t>
    </r>
    <r>
      <rPr>
        <vertAlign val="subscript"/>
        <sz val="11"/>
        <color rgb="FF000000"/>
        <rFont val="Arial"/>
        <family val="2"/>
        <charset val="1"/>
      </rPr>
      <t xml:space="preserve">FB1</t>
    </r>
    <r>
      <rPr>
        <sz val="11"/>
        <color rgb="FF000000"/>
        <rFont val="Arial"/>
        <family val="2"/>
        <charset val="1"/>
      </rPr>
      <t xml:space="preserve"> Used</t>
    </r>
  </si>
  <si>
    <r>
      <rPr>
        <sz val="11"/>
        <color rgb="FF000000"/>
        <rFont val="Arial"/>
        <family val="2"/>
        <charset val="1"/>
      </rPr>
      <t xml:space="preserve">Minimum Current Transfer  Ratio of Selected Opto-Coupler, CTR</t>
    </r>
    <r>
      <rPr>
        <vertAlign val="subscript"/>
        <sz val="11"/>
        <color rgb="FF000000"/>
        <rFont val="Arial"/>
        <family val="2"/>
        <charset val="1"/>
      </rPr>
      <t xml:space="preserve">min</t>
    </r>
    <r>
      <rPr>
        <sz val="11"/>
        <color rgb="FF000000"/>
        <rFont val="Arial"/>
        <family val="2"/>
        <charset val="1"/>
      </rPr>
      <t xml:space="preserve"> =</t>
    </r>
  </si>
  <si>
    <t xml:space="preserve">%</t>
  </si>
  <si>
    <r>
      <rPr>
        <sz val="11"/>
        <color rgb="FF000000"/>
        <rFont val="Arial"/>
        <family val="2"/>
        <charset val="1"/>
      </rPr>
      <t xml:space="preserve">Enter CTR</t>
    </r>
    <r>
      <rPr>
        <vertAlign val="subscript"/>
        <sz val="11"/>
        <color rgb="FF000000"/>
        <rFont val="Arial"/>
        <family val="2"/>
        <charset val="1"/>
      </rPr>
      <t xml:space="preserve">min</t>
    </r>
  </si>
  <si>
    <r>
      <rPr>
        <sz val="11"/>
        <color rgb="FF000000"/>
        <rFont val="Arial"/>
        <family val="2"/>
        <charset val="1"/>
      </rPr>
      <t xml:space="preserve">Response Fall Time of Opto-Coupler, t</t>
    </r>
    <r>
      <rPr>
        <vertAlign val="subscript"/>
        <sz val="11"/>
        <color rgb="FF000000"/>
        <rFont val="Arial"/>
        <family val="2"/>
        <charset val="1"/>
      </rPr>
      <t xml:space="preserve">f_opto</t>
    </r>
    <r>
      <rPr>
        <sz val="11"/>
        <color rgb="FF000000"/>
        <rFont val="Arial"/>
        <family val="2"/>
        <charset val="1"/>
      </rPr>
      <t xml:space="preserve"> =</t>
    </r>
  </si>
  <si>
    <r>
      <rPr>
        <sz val="11"/>
        <color rgb="FF000000"/>
        <rFont val="Calibri"/>
        <family val="2"/>
        <charset val="1"/>
      </rPr>
      <t xml:space="preserve">µ</t>
    </r>
    <r>
      <rPr>
        <sz val="11"/>
        <color rgb="FF000000"/>
        <rFont val="Arial"/>
        <family val="2"/>
        <charset val="1"/>
      </rPr>
      <t xml:space="preserve">s</t>
    </r>
  </si>
  <si>
    <r>
      <rPr>
        <sz val="11"/>
        <color rgb="FF000000"/>
        <rFont val="Arial"/>
        <family val="2"/>
        <charset val="1"/>
      </rPr>
      <t xml:space="preserve">Enter Opto-Coupler t</t>
    </r>
    <r>
      <rPr>
        <vertAlign val="subscript"/>
        <sz val="11"/>
        <color rgb="FF000000"/>
        <rFont val="Arial"/>
        <family val="2"/>
        <charset val="1"/>
      </rPr>
      <t xml:space="preserve">f</t>
    </r>
  </si>
  <si>
    <r>
      <rPr>
        <sz val="11"/>
        <color rgb="FF000000"/>
        <rFont val="Arial"/>
        <family val="2"/>
        <charset val="1"/>
      </rPr>
      <t xml:space="preserve">R</t>
    </r>
    <r>
      <rPr>
        <vertAlign val="subscript"/>
        <sz val="11"/>
        <color rgb="FF000000"/>
        <rFont val="Arial"/>
        <family val="2"/>
        <charset val="1"/>
      </rPr>
      <t xml:space="preserve">L</t>
    </r>
    <r>
      <rPr>
        <sz val="11"/>
        <color rgb="FF000000"/>
        <rFont val="Arial"/>
        <family val="2"/>
        <charset val="1"/>
      </rPr>
      <t xml:space="preserve"> of Specified Opto-Coupler Fall Time, R</t>
    </r>
    <r>
      <rPr>
        <vertAlign val="subscript"/>
        <sz val="11"/>
        <color rgb="FF000000"/>
        <rFont val="Arial"/>
        <family val="2"/>
        <charset val="1"/>
      </rPr>
      <t xml:space="preserve">L_opto</t>
    </r>
    <r>
      <rPr>
        <sz val="11"/>
        <color rgb="FF000000"/>
        <rFont val="Arial"/>
        <family val="2"/>
        <charset val="1"/>
      </rPr>
      <t xml:space="preserve"> =</t>
    </r>
  </si>
  <si>
    <r>
      <rPr>
        <sz val="11"/>
        <color rgb="FF000000"/>
        <rFont val="Arial"/>
        <family val="2"/>
        <charset val="1"/>
      </rPr>
      <t xml:space="preserve">Enter R</t>
    </r>
    <r>
      <rPr>
        <vertAlign val="subscript"/>
        <sz val="11"/>
        <color rgb="FF000000"/>
        <rFont val="Arial"/>
        <family val="2"/>
        <charset val="1"/>
      </rPr>
      <t xml:space="preserve">L</t>
    </r>
    <r>
      <rPr>
        <sz val="11"/>
        <color rgb="FF000000"/>
        <rFont val="Arial"/>
        <family val="2"/>
        <charset val="1"/>
      </rPr>
      <t xml:space="preserve"> from Opto-Coupler t</t>
    </r>
    <r>
      <rPr>
        <vertAlign val="subscript"/>
        <sz val="11"/>
        <color rgb="FF000000"/>
        <rFont val="Arial"/>
        <family val="2"/>
        <charset val="1"/>
      </rPr>
      <t xml:space="preserve">f</t>
    </r>
    <r>
      <rPr>
        <sz val="11"/>
        <color rgb="FF000000"/>
        <rFont val="Arial"/>
        <family val="2"/>
        <charset val="1"/>
      </rPr>
      <t xml:space="preserve"> spec</t>
    </r>
  </si>
  <si>
    <r>
      <rPr>
        <sz val="11"/>
        <color rgb="FF000000"/>
        <rFont val="Arial"/>
        <family val="2"/>
        <charset val="1"/>
      </rPr>
      <t xml:space="preserve">Cut-Off Frequency of Opto-Coupler, f</t>
    </r>
    <r>
      <rPr>
        <vertAlign val="subscript"/>
        <sz val="11"/>
        <color rgb="FF000000"/>
        <rFont val="Arial"/>
        <family val="2"/>
        <charset val="1"/>
      </rPr>
      <t xml:space="preserve">c_opto</t>
    </r>
    <r>
      <rPr>
        <sz val="11"/>
        <color rgb="FF000000"/>
        <rFont val="Arial"/>
        <family val="2"/>
        <charset val="1"/>
      </rPr>
      <t xml:space="preserve"> =</t>
    </r>
  </si>
  <si>
    <t xml:space="preserve">Enter Opto-Coupler Cut-Off Frequency</t>
  </si>
  <si>
    <r>
      <rPr>
        <sz val="11"/>
        <color rgb="FF000000"/>
        <rFont val="Arial"/>
        <family val="2"/>
        <charset val="1"/>
      </rPr>
      <t xml:space="preserve">Input Forward Voltage of Opto-Coupler, V</t>
    </r>
    <r>
      <rPr>
        <vertAlign val="subscript"/>
        <sz val="11"/>
        <color rgb="FF000000"/>
        <rFont val="Arial"/>
        <family val="2"/>
        <charset val="1"/>
      </rPr>
      <t xml:space="preserve">F_opto</t>
    </r>
    <r>
      <rPr>
        <sz val="11"/>
        <color rgb="FF000000"/>
        <rFont val="Arial"/>
        <family val="2"/>
        <charset val="1"/>
      </rPr>
      <t xml:space="preserve"> =</t>
    </r>
  </si>
  <si>
    <r>
      <rPr>
        <sz val="11"/>
        <color rgb="FF000000"/>
        <rFont val="Arial"/>
        <family val="2"/>
        <charset val="1"/>
      </rPr>
      <t xml:space="preserve">Enter Maximum V</t>
    </r>
    <r>
      <rPr>
        <vertAlign val="subscript"/>
        <sz val="11"/>
        <color rgb="FF000000"/>
        <rFont val="Arial"/>
        <family val="2"/>
        <charset val="1"/>
      </rPr>
      <t xml:space="preserve">F</t>
    </r>
    <r>
      <rPr>
        <sz val="11"/>
        <color rgb="FF000000"/>
        <rFont val="Arial"/>
        <family val="2"/>
        <charset val="1"/>
      </rPr>
      <t xml:space="preserve"> of Opto-Coupler</t>
    </r>
  </si>
  <si>
    <r>
      <rPr>
        <b val="true"/>
        <sz val="11"/>
        <color rgb="FF000000"/>
        <rFont val="Arial"/>
        <family val="2"/>
        <charset val="1"/>
      </rPr>
      <t xml:space="preserve">Recommended</t>
    </r>
    <r>
      <rPr>
        <sz val="11"/>
        <color rgb="FF000000"/>
        <rFont val="Arial"/>
        <family val="2"/>
        <charset val="1"/>
      </rPr>
      <t xml:space="preserve"> External Capacitor Across Opto-Coupler Output, C</t>
    </r>
    <r>
      <rPr>
        <vertAlign val="subscript"/>
        <sz val="11"/>
        <color rgb="FF000000"/>
        <rFont val="Arial"/>
        <family val="2"/>
        <charset val="1"/>
      </rPr>
      <t xml:space="preserve">EXT</t>
    </r>
    <r>
      <rPr>
        <sz val="11"/>
        <color rgb="FF000000"/>
        <rFont val="Arial"/>
        <family val="2"/>
        <charset val="1"/>
      </rPr>
      <t xml:space="preserve"> =</t>
    </r>
  </si>
  <si>
    <r>
      <rPr>
        <sz val="11"/>
        <color rgb="FF000000"/>
        <rFont val="Arial"/>
        <family val="2"/>
        <charset val="1"/>
      </rPr>
      <t xml:space="preserve">Recommended C</t>
    </r>
    <r>
      <rPr>
        <vertAlign val="subscript"/>
        <sz val="11"/>
        <color rgb="FF000000"/>
        <rFont val="Arial"/>
        <family val="2"/>
        <charset val="1"/>
      </rPr>
      <t xml:space="preserve">EXT</t>
    </r>
  </si>
  <si>
    <r>
      <rPr>
        <b val="true"/>
        <sz val="11"/>
        <color rgb="FF000000"/>
        <rFont val="Arial"/>
        <family val="2"/>
        <charset val="1"/>
      </rPr>
      <t xml:space="preserve">Actual</t>
    </r>
    <r>
      <rPr>
        <sz val="11"/>
        <color rgb="FF000000"/>
        <rFont val="Arial"/>
        <family val="2"/>
        <charset val="1"/>
      </rPr>
      <t xml:space="preserve"> Value for C</t>
    </r>
    <r>
      <rPr>
        <vertAlign val="subscript"/>
        <sz val="11"/>
        <color rgb="FF000000"/>
        <rFont val="Arial"/>
        <family val="2"/>
        <charset val="1"/>
      </rPr>
      <t xml:space="preserve">EXT</t>
    </r>
    <r>
      <rPr>
        <sz val="11"/>
        <color rgb="FF000000"/>
        <rFont val="Arial"/>
        <family val="2"/>
        <charset val="1"/>
      </rPr>
      <t xml:space="preserve"> Used , C</t>
    </r>
    <r>
      <rPr>
        <vertAlign val="subscript"/>
        <sz val="11"/>
        <color rgb="FF000000"/>
        <rFont val="Arial"/>
        <family val="2"/>
        <charset val="1"/>
      </rPr>
      <t xml:space="preserve">EXT</t>
    </r>
    <r>
      <rPr>
        <sz val="11"/>
        <color rgb="FF000000"/>
        <rFont val="Arial"/>
        <family val="2"/>
        <charset val="1"/>
      </rPr>
      <t xml:space="preserve"> =</t>
    </r>
  </si>
  <si>
    <r>
      <rPr>
        <sz val="11"/>
        <color rgb="FF000000"/>
        <rFont val="Calibri"/>
        <family val="2"/>
        <charset val="1"/>
      </rPr>
      <t xml:space="preserve">µ</t>
    </r>
    <r>
      <rPr>
        <sz val="11"/>
        <color rgb="FF000000"/>
        <rFont val="Arial"/>
        <family val="2"/>
        <charset val="1"/>
      </rPr>
      <t xml:space="preserve">F</t>
    </r>
  </si>
  <si>
    <r>
      <rPr>
        <sz val="11"/>
        <color rgb="FF000000"/>
        <rFont val="Arial"/>
        <family val="2"/>
        <charset val="1"/>
      </rPr>
      <t xml:space="preserve">Enter Actual C</t>
    </r>
    <r>
      <rPr>
        <vertAlign val="subscript"/>
        <sz val="11"/>
        <color rgb="FF000000"/>
        <rFont val="Arial"/>
        <family val="2"/>
        <charset val="1"/>
      </rPr>
      <t xml:space="preserve">EXT</t>
    </r>
    <r>
      <rPr>
        <sz val="11"/>
        <color rgb="FF000000"/>
        <rFont val="Arial"/>
        <family val="2"/>
        <charset val="1"/>
      </rPr>
      <t xml:space="preserve"> Used</t>
    </r>
  </si>
  <si>
    <r>
      <rPr>
        <b val="true"/>
        <sz val="11"/>
        <color rgb="FF000000"/>
        <rFont val="Arial"/>
        <family val="2"/>
        <charset val="1"/>
      </rPr>
      <t xml:space="preserve">Recommended</t>
    </r>
    <r>
      <rPr>
        <sz val="11"/>
        <color rgb="FF000000"/>
        <rFont val="Arial"/>
        <family val="2"/>
        <charset val="1"/>
      </rPr>
      <t xml:space="preserve"> Capacitor on Opto_Coupler Emitter, C</t>
    </r>
    <r>
      <rPr>
        <vertAlign val="subscript"/>
        <sz val="11"/>
        <color rgb="FF000000"/>
        <rFont val="Arial"/>
        <family val="2"/>
        <charset val="1"/>
      </rPr>
      <t xml:space="preserve">FB</t>
    </r>
    <r>
      <rPr>
        <sz val="11"/>
        <color rgb="FF000000"/>
        <rFont val="Arial"/>
        <family val="2"/>
        <charset val="1"/>
      </rPr>
      <t xml:space="preserve"> =</t>
    </r>
  </si>
  <si>
    <r>
      <rPr>
        <sz val="11"/>
        <color rgb="FF000000"/>
        <rFont val="Arial"/>
        <family val="2"/>
        <charset val="1"/>
      </rPr>
      <t xml:space="preserve">Recommended C</t>
    </r>
    <r>
      <rPr>
        <vertAlign val="subscript"/>
        <sz val="11"/>
        <color rgb="FF000000"/>
        <rFont val="Arial"/>
        <family val="2"/>
        <charset val="1"/>
      </rPr>
      <t xml:space="preserve">FB</t>
    </r>
  </si>
  <si>
    <r>
      <rPr>
        <b val="true"/>
        <sz val="11"/>
        <color rgb="FF000000"/>
        <rFont val="Arial"/>
        <family val="2"/>
        <charset val="1"/>
      </rPr>
      <t xml:space="preserve">Actual </t>
    </r>
    <r>
      <rPr>
        <sz val="11"/>
        <color rgb="FF000000"/>
        <rFont val="Arial"/>
        <family val="2"/>
        <charset val="1"/>
      </rPr>
      <t xml:space="preserve">Value for C</t>
    </r>
    <r>
      <rPr>
        <vertAlign val="subscript"/>
        <sz val="11"/>
        <color rgb="FF000000"/>
        <rFont val="Arial"/>
        <family val="2"/>
        <charset val="1"/>
      </rPr>
      <t xml:space="preserve">FB</t>
    </r>
    <r>
      <rPr>
        <sz val="11"/>
        <color rgb="FF000000"/>
        <rFont val="Arial"/>
        <family val="2"/>
        <charset val="1"/>
      </rPr>
      <t xml:space="preserve"> Used, C</t>
    </r>
    <r>
      <rPr>
        <vertAlign val="subscript"/>
        <sz val="11"/>
        <color rgb="FF000000"/>
        <rFont val="Arial"/>
        <family val="2"/>
        <charset val="1"/>
      </rPr>
      <t xml:space="preserve">FB</t>
    </r>
    <r>
      <rPr>
        <sz val="11"/>
        <color rgb="FF000000"/>
        <rFont val="Arial"/>
        <family val="2"/>
        <charset val="1"/>
      </rPr>
      <t xml:space="preserve"> =</t>
    </r>
  </si>
  <si>
    <r>
      <rPr>
        <sz val="11"/>
        <color rgb="FF000000"/>
        <rFont val="Arial"/>
        <family val="2"/>
        <charset val="1"/>
      </rPr>
      <t xml:space="preserve">Enter Actual C</t>
    </r>
    <r>
      <rPr>
        <vertAlign val="subscript"/>
        <sz val="11"/>
        <color rgb="FF000000"/>
        <rFont val="Arial"/>
        <family val="2"/>
        <charset val="1"/>
      </rPr>
      <t xml:space="preserve">FB</t>
    </r>
    <r>
      <rPr>
        <sz val="11"/>
        <color rgb="FF000000"/>
        <rFont val="Arial"/>
        <family val="2"/>
        <charset val="1"/>
      </rPr>
      <t xml:space="preserve"> Used</t>
    </r>
  </si>
  <si>
    <r>
      <rPr>
        <b val="true"/>
        <sz val="11"/>
        <color rgb="FF000000"/>
        <rFont val="Arial"/>
        <family val="2"/>
        <charset val="1"/>
      </rPr>
      <t xml:space="preserve">Recommended</t>
    </r>
    <r>
      <rPr>
        <sz val="11"/>
        <color rgb="FF000000"/>
        <rFont val="Arial"/>
        <family val="2"/>
        <charset val="1"/>
      </rPr>
      <t xml:space="preserve"> Value For R</t>
    </r>
    <r>
      <rPr>
        <vertAlign val="subscript"/>
        <sz val="11"/>
        <color rgb="FF000000"/>
        <rFont val="Arial"/>
        <family val="2"/>
        <charset val="1"/>
      </rPr>
      <t xml:space="preserve">FB4,</t>
    </r>
    <r>
      <rPr>
        <sz val="11"/>
        <color rgb="FF000000"/>
        <rFont val="Arial"/>
        <family val="2"/>
        <charset val="1"/>
      </rPr>
      <t xml:space="preserve"> R</t>
    </r>
    <r>
      <rPr>
        <vertAlign val="subscript"/>
        <sz val="11"/>
        <color rgb="FF000000"/>
        <rFont val="Arial"/>
        <family val="2"/>
        <charset val="1"/>
      </rPr>
      <t xml:space="preserve">FB4 =</t>
    </r>
  </si>
  <si>
    <r>
      <rPr>
        <sz val="11"/>
        <color rgb="FF000000"/>
        <rFont val="Arial"/>
        <family val="2"/>
        <charset val="1"/>
      </rPr>
      <t xml:space="preserve">Recommended R</t>
    </r>
    <r>
      <rPr>
        <vertAlign val="subscript"/>
        <sz val="11"/>
        <color rgb="FF000000"/>
        <rFont val="Arial"/>
        <family val="2"/>
        <charset val="1"/>
      </rPr>
      <t xml:space="preserve">FB4</t>
    </r>
  </si>
  <si>
    <r>
      <rPr>
        <b val="true"/>
        <sz val="11"/>
        <color rgb="FF000000"/>
        <rFont val="Arial"/>
        <family val="2"/>
        <charset val="1"/>
      </rPr>
      <t xml:space="preserve">Actual</t>
    </r>
    <r>
      <rPr>
        <sz val="11"/>
        <color rgb="FF000000"/>
        <rFont val="Arial"/>
        <family val="2"/>
        <charset val="1"/>
      </rPr>
      <t xml:space="preserve"> Value for R</t>
    </r>
    <r>
      <rPr>
        <vertAlign val="subscript"/>
        <sz val="11"/>
        <color rgb="FF000000"/>
        <rFont val="Arial"/>
        <family val="2"/>
        <charset val="1"/>
      </rPr>
      <t xml:space="preserve">FB4</t>
    </r>
    <r>
      <rPr>
        <sz val="11"/>
        <color rgb="FF000000"/>
        <rFont val="Arial"/>
        <family val="2"/>
        <charset val="1"/>
      </rPr>
      <t xml:space="preserve"> Used </t>
    </r>
  </si>
  <si>
    <r>
      <rPr>
        <sz val="11"/>
        <color rgb="FF000000"/>
        <rFont val="Arial"/>
        <family val="2"/>
        <charset val="1"/>
      </rPr>
      <t xml:space="preserve">Enter Actual R</t>
    </r>
    <r>
      <rPr>
        <vertAlign val="subscript"/>
        <sz val="11"/>
        <color rgb="FF000000"/>
        <rFont val="Arial"/>
        <family val="2"/>
        <charset val="1"/>
      </rPr>
      <t xml:space="preserve">FB4</t>
    </r>
    <r>
      <rPr>
        <sz val="11"/>
        <color rgb="FF000000"/>
        <rFont val="Arial"/>
        <family val="2"/>
        <charset val="1"/>
      </rPr>
      <t xml:space="preserve"> Used </t>
    </r>
  </si>
  <si>
    <r>
      <rPr>
        <b val="true"/>
        <sz val="11"/>
        <color rgb="FF000000"/>
        <rFont val="Arial"/>
        <family val="2"/>
        <charset val="1"/>
      </rPr>
      <t xml:space="preserve">Recommended</t>
    </r>
    <r>
      <rPr>
        <sz val="11"/>
        <color rgb="FF000000"/>
        <rFont val="Arial"/>
        <family val="2"/>
        <charset val="1"/>
      </rPr>
      <t xml:space="preserve"> Value for Shunt Regulator Bias Resistor, R</t>
    </r>
    <r>
      <rPr>
        <vertAlign val="subscript"/>
        <sz val="11"/>
        <color rgb="FF000000"/>
        <rFont val="Arial"/>
        <family val="2"/>
        <charset val="1"/>
      </rPr>
      <t xml:space="preserve">TL</t>
    </r>
    <r>
      <rPr>
        <sz val="11"/>
        <color rgb="FF000000"/>
        <rFont val="Arial"/>
        <family val="2"/>
        <charset val="1"/>
      </rPr>
      <t xml:space="preserve"> =</t>
    </r>
  </si>
  <si>
    <r>
      <rPr>
        <sz val="11"/>
        <color rgb="FF000000"/>
        <rFont val="Arial"/>
        <family val="2"/>
        <charset val="1"/>
      </rPr>
      <t xml:space="preserve">Recommended R</t>
    </r>
    <r>
      <rPr>
        <vertAlign val="subscript"/>
        <sz val="11"/>
        <color rgb="FF000000"/>
        <rFont val="Arial"/>
        <family val="2"/>
        <charset val="1"/>
      </rPr>
      <t xml:space="preserve">TL</t>
    </r>
  </si>
  <si>
    <r>
      <rPr>
        <b val="true"/>
        <sz val="11"/>
        <color rgb="FF000000"/>
        <rFont val="Arial"/>
        <family val="2"/>
        <charset val="1"/>
      </rPr>
      <t xml:space="preserve">Actual</t>
    </r>
    <r>
      <rPr>
        <sz val="11"/>
        <color rgb="FF000000"/>
        <rFont val="Arial"/>
        <family val="2"/>
        <charset val="1"/>
      </rPr>
      <t xml:space="preserve"> Value of Shunt Regulator Bias Resistor Used, R</t>
    </r>
    <r>
      <rPr>
        <vertAlign val="subscript"/>
        <sz val="11"/>
        <color rgb="FF000000"/>
        <rFont val="Arial"/>
        <family val="2"/>
        <charset val="1"/>
      </rPr>
      <t xml:space="preserve">TL</t>
    </r>
    <r>
      <rPr>
        <sz val="11"/>
        <color rgb="FF000000"/>
        <rFont val="Arial"/>
        <family val="2"/>
        <charset val="1"/>
      </rPr>
      <t xml:space="preserve"> =</t>
    </r>
  </si>
  <si>
    <r>
      <rPr>
        <sz val="11"/>
        <color rgb="FF000000"/>
        <rFont val="Arial"/>
        <family val="2"/>
        <charset val="1"/>
      </rPr>
      <t xml:space="preserve">Enter Actual R</t>
    </r>
    <r>
      <rPr>
        <vertAlign val="subscript"/>
        <sz val="11"/>
        <color rgb="FF000000"/>
        <rFont val="Arial"/>
        <family val="2"/>
        <charset val="1"/>
      </rPr>
      <t xml:space="preserve">TL</t>
    </r>
    <r>
      <rPr>
        <sz val="11"/>
        <color rgb="FF000000"/>
        <rFont val="Arial"/>
        <family val="2"/>
        <charset val="1"/>
      </rPr>
      <t xml:space="preserve"> Used</t>
    </r>
  </si>
  <si>
    <r>
      <rPr>
        <b val="true"/>
        <sz val="11"/>
        <color rgb="FF000000"/>
        <rFont val="Arial"/>
        <family val="2"/>
        <charset val="1"/>
      </rPr>
      <t xml:space="preserve">Recommended</t>
    </r>
    <r>
      <rPr>
        <sz val="11"/>
        <color rgb="FF000000"/>
        <rFont val="Arial"/>
        <family val="2"/>
        <charset val="1"/>
      </rPr>
      <t xml:space="preserve"> Value for Compensation Capacitor, C</t>
    </r>
    <r>
      <rPr>
        <vertAlign val="subscript"/>
        <sz val="11"/>
        <color rgb="FF000000"/>
        <rFont val="Arial"/>
        <family val="2"/>
        <charset val="1"/>
      </rPr>
      <t xml:space="preserve">Z</t>
    </r>
    <r>
      <rPr>
        <sz val="11"/>
        <color rgb="FF000000"/>
        <rFont val="Arial"/>
        <family val="2"/>
        <charset val="1"/>
      </rPr>
      <t xml:space="preserve"> =</t>
    </r>
  </si>
  <si>
    <r>
      <rPr>
        <sz val="11"/>
        <color rgb="FF000000"/>
        <rFont val="Arial"/>
        <family val="2"/>
        <charset val="1"/>
      </rPr>
      <t xml:space="preserve">Recommended C</t>
    </r>
    <r>
      <rPr>
        <vertAlign val="subscript"/>
        <sz val="11"/>
        <color rgb="FF000000"/>
        <rFont val="Arial"/>
        <family val="2"/>
        <charset val="1"/>
      </rPr>
      <t xml:space="preserve">Z</t>
    </r>
  </si>
  <si>
    <r>
      <rPr>
        <b val="true"/>
        <sz val="11"/>
        <color rgb="FF000000"/>
        <rFont val="Arial"/>
        <family val="2"/>
        <charset val="1"/>
      </rPr>
      <t xml:space="preserve">Actual</t>
    </r>
    <r>
      <rPr>
        <sz val="11"/>
        <color rgb="FF000000"/>
        <rFont val="Arial"/>
        <family val="2"/>
        <charset val="1"/>
      </rPr>
      <t xml:space="preserve"> Value of Compensation Capacitor Used, C</t>
    </r>
    <r>
      <rPr>
        <vertAlign val="subscript"/>
        <sz val="11"/>
        <color rgb="FF000000"/>
        <rFont val="Arial"/>
        <family val="2"/>
        <charset val="1"/>
      </rPr>
      <t xml:space="preserve">Z</t>
    </r>
    <r>
      <rPr>
        <sz val="11"/>
        <color rgb="FF000000"/>
        <rFont val="Arial"/>
        <family val="2"/>
        <charset val="1"/>
      </rPr>
      <t xml:space="preserve"> =</t>
    </r>
  </si>
  <si>
    <r>
      <rPr>
        <sz val="11"/>
        <color rgb="FF000000"/>
        <rFont val="Arial"/>
        <family val="2"/>
        <charset val="1"/>
      </rPr>
      <t xml:space="preserve">Enter Actual C</t>
    </r>
    <r>
      <rPr>
        <vertAlign val="subscript"/>
        <sz val="11"/>
        <color rgb="FF000000"/>
        <rFont val="Arial"/>
        <family val="2"/>
        <charset val="1"/>
      </rPr>
      <t xml:space="preserve">Z</t>
    </r>
    <r>
      <rPr>
        <sz val="11"/>
        <color rgb="FF000000"/>
        <rFont val="Arial"/>
        <family val="2"/>
        <charset val="1"/>
      </rPr>
      <t xml:space="preserve"> Used</t>
    </r>
  </si>
  <si>
    <t xml:space="preserve">RECOMMENDED BILL OF MATERIALS</t>
  </si>
  <si>
    <t xml:space="preserve">Reference Designator</t>
  </si>
  <si>
    <t xml:space="preserve">Description/Comments</t>
  </si>
  <si>
    <t xml:space="preserve">BRIDGE RECTIFIER</t>
  </si>
  <si>
    <t xml:space="preserve">Minimum DC Blocking Voltage:</t>
  </si>
  <si>
    <t xml:space="preserve">Minimum Current Rating:</t>
  </si>
  <si>
    <t xml:space="preserve">Power Dissipation:</t>
  </si>
  <si>
    <r>
      <rPr>
        <b val="true"/>
        <sz val="12"/>
        <color rgb="FFFF0000"/>
        <rFont val="Arial"/>
        <family val="2"/>
        <charset val="1"/>
      </rPr>
      <t xml:space="preserve">C</t>
    </r>
    <r>
      <rPr>
        <b val="true"/>
        <vertAlign val="subscript"/>
        <sz val="12"/>
        <color rgb="FFFF0000"/>
        <rFont val="Arial"/>
        <family val="2"/>
        <charset val="1"/>
      </rPr>
      <t xml:space="preserve">BULKtotal</t>
    </r>
    <r>
      <rPr>
        <b val="true"/>
        <sz val="12"/>
        <color rgb="FFFF0000"/>
        <rFont val="Arial"/>
        <family val="2"/>
        <charset val="1"/>
      </rPr>
      <t xml:space="preserve"> = C</t>
    </r>
    <r>
      <rPr>
        <b val="true"/>
        <vertAlign val="subscript"/>
        <sz val="12"/>
        <color rgb="FFFF0000"/>
        <rFont val="Arial"/>
        <family val="2"/>
        <charset val="1"/>
      </rPr>
      <t xml:space="preserve">BULK1</t>
    </r>
    <r>
      <rPr>
        <b val="true"/>
        <sz val="12"/>
        <color rgb="FFFF0000"/>
        <rFont val="Arial"/>
        <family val="2"/>
        <charset val="1"/>
      </rPr>
      <t xml:space="preserve"> + C</t>
    </r>
    <r>
      <rPr>
        <b val="true"/>
        <vertAlign val="subscript"/>
        <sz val="12"/>
        <color rgb="FFFF0000"/>
        <rFont val="Arial"/>
        <family val="2"/>
        <charset val="1"/>
      </rPr>
      <t xml:space="preserve">BULK2</t>
    </r>
  </si>
  <si>
    <t xml:space="preserve">Type:</t>
  </si>
  <si>
    <t xml:space="preserve">Aluminum Electrolytic</t>
  </si>
  <si>
    <t xml:space="preserve">Value:</t>
  </si>
  <si>
    <t xml:space="preserve">Total Capacitance</t>
  </si>
  <si>
    <t xml:space="preserve">Minimum Voltage Rating:</t>
  </si>
  <si>
    <t xml:space="preserve">Minimum Ripple Current Rating:</t>
  </si>
  <si>
    <r>
      <rPr>
        <b val="true"/>
        <sz val="12"/>
        <color rgb="FFFF0000"/>
        <rFont val="Arial"/>
        <family val="2"/>
        <charset val="1"/>
      </rPr>
      <t xml:space="preserve">C</t>
    </r>
    <r>
      <rPr>
        <b val="true"/>
        <vertAlign val="subscript"/>
        <sz val="12"/>
        <color rgb="FFFF0000"/>
        <rFont val="Arial"/>
        <family val="2"/>
        <charset val="1"/>
      </rPr>
      <t xml:space="preserve">EXT</t>
    </r>
  </si>
  <si>
    <t xml:space="preserve">Ceramic</t>
  </si>
  <si>
    <t xml:space="preserve">±10%</t>
  </si>
  <si>
    <r>
      <rPr>
        <b val="true"/>
        <sz val="12"/>
        <color rgb="FFFF0000"/>
        <rFont val="Arial"/>
        <family val="2"/>
        <charset val="1"/>
      </rPr>
      <t xml:space="preserve">C</t>
    </r>
    <r>
      <rPr>
        <b val="true"/>
        <vertAlign val="subscript"/>
        <sz val="12"/>
        <color rgb="FFFF0000"/>
        <rFont val="Arial"/>
        <family val="2"/>
        <charset val="1"/>
      </rPr>
      <t xml:space="preserve">FB</t>
    </r>
  </si>
  <si>
    <r>
      <rPr>
        <b val="true"/>
        <sz val="12"/>
        <color rgb="FFFF0000"/>
        <rFont val="Arial"/>
        <family val="2"/>
        <charset val="1"/>
      </rPr>
      <t xml:space="preserve">C</t>
    </r>
    <r>
      <rPr>
        <b val="true"/>
        <vertAlign val="subscript"/>
        <sz val="12"/>
        <color rgb="FFFF0000"/>
        <rFont val="Arial"/>
        <family val="2"/>
        <charset val="1"/>
      </rPr>
      <t xml:space="preserve">OUTtotal</t>
    </r>
    <r>
      <rPr>
        <b val="true"/>
        <sz val="12"/>
        <color rgb="FFFF0000"/>
        <rFont val="Arial"/>
        <family val="2"/>
        <charset val="1"/>
      </rPr>
      <t xml:space="preserve"> = C</t>
    </r>
    <r>
      <rPr>
        <b val="true"/>
        <vertAlign val="subscript"/>
        <sz val="12"/>
        <color rgb="FFFF0000"/>
        <rFont val="Arial"/>
        <family val="2"/>
        <charset val="1"/>
      </rPr>
      <t xml:space="preserve">OUT1</t>
    </r>
    <r>
      <rPr>
        <b val="true"/>
        <sz val="12"/>
        <color rgb="FFFF0000"/>
        <rFont val="Arial"/>
        <family val="2"/>
        <charset val="1"/>
      </rPr>
      <t xml:space="preserve"> + C</t>
    </r>
    <r>
      <rPr>
        <b val="true"/>
        <vertAlign val="subscript"/>
        <sz val="12"/>
        <color rgb="FFFF0000"/>
        <rFont val="Arial"/>
        <family val="2"/>
        <charset val="1"/>
      </rPr>
      <t xml:space="preserve">OUT2</t>
    </r>
  </si>
  <si>
    <t xml:space="preserve">Minimum Value:</t>
  </si>
  <si>
    <t xml:space="preserve">Maximum ESR Rating:</t>
  </si>
  <si>
    <r>
      <rPr>
        <b val="true"/>
        <sz val="12"/>
        <color rgb="FFFF0000"/>
        <rFont val="Arial"/>
        <family val="2"/>
        <charset val="1"/>
      </rPr>
      <t xml:space="preserve">C</t>
    </r>
    <r>
      <rPr>
        <b val="true"/>
        <vertAlign val="subscript"/>
        <sz val="12"/>
        <color rgb="FFFF0000"/>
        <rFont val="Arial"/>
        <family val="2"/>
        <charset val="1"/>
      </rPr>
      <t xml:space="preserve">SS431</t>
    </r>
  </si>
  <si>
    <r>
      <rPr>
        <b val="true"/>
        <sz val="12"/>
        <color rgb="FFFF0000"/>
        <rFont val="Arial"/>
        <family val="2"/>
        <charset val="1"/>
      </rPr>
      <t xml:space="preserve">C</t>
    </r>
    <r>
      <rPr>
        <b val="true"/>
        <vertAlign val="subscript"/>
        <sz val="12"/>
        <color rgb="FFFF0000"/>
        <rFont val="Arial"/>
        <family val="2"/>
        <charset val="1"/>
      </rPr>
      <t xml:space="preserve">VDD</t>
    </r>
  </si>
  <si>
    <t xml:space="preserve">Voltage Rating:</t>
  </si>
  <si>
    <r>
      <rPr>
        <b val="true"/>
        <sz val="12"/>
        <color rgb="FFFF0000"/>
        <rFont val="Arial"/>
        <family val="2"/>
        <charset val="1"/>
      </rPr>
      <t xml:space="preserve">C</t>
    </r>
    <r>
      <rPr>
        <b val="true"/>
        <vertAlign val="subscript"/>
        <sz val="12"/>
        <color rgb="FFFF0000"/>
        <rFont val="Arial"/>
        <family val="2"/>
        <charset val="1"/>
      </rPr>
      <t xml:space="preserve">Z</t>
    </r>
  </si>
  <si>
    <r>
      <rPr>
        <b val="true"/>
        <sz val="12"/>
        <color rgb="FFFF0000"/>
        <rFont val="Arial"/>
        <family val="2"/>
        <charset val="1"/>
      </rPr>
      <t xml:space="preserve">D</t>
    </r>
    <r>
      <rPr>
        <b val="true"/>
        <vertAlign val="subscript"/>
        <sz val="12"/>
        <color rgb="FFFF0000"/>
        <rFont val="Arial"/>
        <family val="2"/>
        <charset val="1"/>
      </rPr>
      <t xml:space="preserve">AUX</t>
    </r>
  </si>
  <si>
    <t xml:space="preserve">Switching</t>
  </si>
  <si>
    <t xml:space="preserve">Minimum Required Blocking Voltage:</t>
  </si>
  <si>
    <t xml:space="preserve">Minimum Rated Current:</t>
  </si>
  <si>
    <t xml:space="preserve">mA</t>
  </si>
  <si>
    <r>
      <rPr>
        <b val="true"/>
        <sz val="12"/>
        <color rgb="FFFF0000"/>
        <rFont val="Arial"/>
        <family val="2"/>
        <charset val="1"/>
      </rPr>
      <t xml:space="preserve">D</t>
    </r>
    <r>
      <rPr>
        <b val="true"/>
        <vertAlign val="subscript"/>
        <sz val="12"/>
        <color rgb="FFFF0000"/>
        <rFont val="Arial"/>
        <family val="2"/>
        <charset val="1"/>
      </rPr>
      <t xml:space="preserve">CLAMP</t>
    </r>
  </si>
  <si>
    <t xml:space="preserve">Transient Voltage Suppressor</t>
  </si>
  <si>
    <t xml:space="preserve">Voltage:</t>
  </si>
  <si>
    <t xml:space="preserve">Power Rating:</t>
  </si>
  <si>
    <t xml:space="preserve">W</t>
  </si>
  <si>
    <r>
      <rPr>
        <b val="true"/>
        <sz val="12"/>
        <color rgb="FFFF0000"/>
        <rFont val="Arial"/>
        <family val="2"/>
        <charset val="1"/>
      </rPr>
      <t xml:space="preserve">D</t>
    </r>
    <r>
      <rPr>
        <b val="true"/>
        <vertAlign val="subscript"/>
        <sz val="12"/>
        <color rgb="FFFF0000"/>
        <rFont val="Arial"/>
        <family val="2"/>
        <charset val="1"/>
      </rPr>
      <t xml:space="preserve">OUT</t>
    </r>
  </si>
  <si>
    <t xml:space="preserve">Schottky</t>
  </si>
  <si>
    <t xml:space="preserve">Minimum Blocking Voltage Rating:</t>
  </si>
  <si>
    <t xml:space="preserve">Minimum Average Current Rating:</t>
  </si>
  <si>
    <r>
      <rPr>
        <b val="true"/>
        <sz val="12"/>
        <color rgb="FFFF0000"/>
        <rFont val="Arial"/>
        <family val="2"/>
        <charset val="1"/>
      </rPr>
      <t xml:space="preserve">D</t>
    </r>
    <r>
      <rPr>
        <b val="true"/>
        <vertAlign val="subscript"/>
        <sz val="12"/>
        <color rgb="FFFF0000"/>
        <rFont val="Arial"/>
        <family val="2"/>
        <charset val="1"/>
      </rPr>
      <t xml:space="preserve">1</t>
    </r>
  </si>
  <si>
    <t xml:space="preserve">Ultra Fast</t>
  </si>
  <si>
    <t xml:space="preserve">Current Rating:</t>
  </si>
  <si>
    <t xml:space="preserve">FUSE</t>
  </si>
  <si>
    <t xml:space="preserve">Slow Blow</t>
  </si>
  <si>
    <t xml:space="preserve">Minimum Peak Current Rating:</t>
  </si>
  <si>
    <t xml:space="preserve">OPTO-COUPLER</t>
  </si>
  <si>
    <r>
      <rPr>
        <sz val="12"/>
        <color rgb="FF000000"/>
        <rFont val="Arial"/>
        <family val="2"/>
        <charset val="1"/>
      </rPr>
      <t xml:space="preserve">CTR</t>
    </r>
    <r>
      <rPr>
        <vertAlign val="subscript"/>
        <sz val="12"/>
        <color rgb="FF000000"/>
        <rFont val="Arial"/>
        <family val="2"/>
        <charset val="1"/>
      </rPr>
      <t xml:space="preserve">min</t>
    </r>
    <r>
      <rPr>
        <sz val="12"/>
        <color rgb="FF000000"/>
        <rFont val="Arial"/>
        <family val="2"/>
        <charset val="1"/>
      </rPr>
      <t xml:space="preserve">:</t>
    </r>
  </si>
  <si>
    <t xml:space="preserve">Q</t>
  </si>
  <si>
    <r>
      <rPr>
        <sz val="12"/>
        <color rgb="FF000000"/>
        <rFont val="Arial"/>
        <family val="2"/>
        <charset val="1"/>
      </rPr>
      <t xml:space="preserve">Minimum V</t>
    </r>
    <r>
      <rPr>
        <vertAlign val="subscript"/>
        <sz val="12"/>
        <color rgb="FF000000"/>
        <rFont val="Arial"/>
        <family val="2"/>
        <charset val="1"/>
      </rPr>
      <t xml:space="preserve">DS</t>
    </r>
    <r>
      <rPr>
        <sz val="12"/>
        <color rgb="FF000000"/>
        <rFont val="Arial"/>
        <family val="2"/>
        <charset val="1"/>
      </rPr>
      <t xml:space="preserve"> Voltage Rating:</t>
    </r>
  </si>
  <si>
    <t xml:space="preserve">Minimum Continuous Current Rating:</t>
  </si>
  <si>
    <t xml:space="preserve">Minimum Repetitive Peak Current Rating:</t>
  </si>
  <si>
    <r>
      <rPr>
        <b val="true"/>
        <sz val="12"/>
        <color rgb="FFFF0000"/>
        <rFont val="Arial"/>
        <family val="2"/>
        <charset val="1"/>
      </rPr>
      <t xml:space="preserve">R</t>
    </r>
    <r>
      <rPr>
        <b val="true"/>
        <vertAlign val="subscript"/>
        <sz val="12"/>
        <color rgb="FFFF0000"/>
        <rFont val="Arial"/>
        <family val="2"/>
        <charset val="1"/>
      </rPr>
      <t xml:space="preserve">CS</t>
    </r>
  </si>
  <si>
    <t xml:space="preserve">±1%</t>
  </si>
  <si>
    <t xml:space="preserve">Low Inductance</t>
  </si>
  <si>
    <r>
      <rPr>
        <b val="true"/>
        <sz val="12"/>
        <color rgb="FFFF0000"/>
        <rFont val="Arial"/>
        <family val="2"/>
        <charset val="1"/>
      </rPr>
      <t xml:space="preserve">R</t>
    </r>
    <r>
      <rPr>
        <b val="true"/>
        <vertAlign val="subscript"/>
        <sz val="12"/>
        <color rgb="FFFF0000"/>
        <rFont val="Arial"/>
        <family val="2"/>
        <charset val="1"/>
      </rPr>
      <t xml:space="preserve">FB1</t>
    </r>
  </si>
  <si>
    <r>
      <rPr>
        <b val="true"/>
        <sz val="12"/>
        <color rgb="FFFF0000"/>
        <rFont val="Arial"/>
        <family val="2"/>
        <charset val="1"/>
      </rPr>
      <t xml:space="preserve">R</t>
    </r>
    <r>
      <rPr>
        <b val="true"/>
        <vertAlign val="subscript"/>
        <sz val="12"/>
        <color rgb="FFFF0000"/>
        <rFont val="Arial"/>
        <family val="2"/>
        <charset val="1"/>
      </rPr>
      <t xml:space="preserve">FB2</t>
    </r>
  </si>
  <si>
    <r>
      <rPr>
        <b val="true"/>
        <sz val="12"/>
        <color rgb="FFFF0000"/>
        <rFont val="Arial"/>
        <family val="2"/>
        <charset val="1"/>
      </rPr>
      <t xml:space="preserve">R</t>
    </r>
    <r>
      <rPr>
        <b val="true"/>
        <vertAlign val="subscript"/>
        <sz val="12"/>
        <color rgb="FFFF0000"/>
        <rFont val="Arial"/>
        <family val="2"/>
        <charset val="1"/>
      </rPr>
      <t xml:space="preserve">FB3</t>
    </r>
  </si>
  <si>
    <r>
      <rPr>
        <b val="true"/>
        <sz val="12"/>
        <color rgb="FFFF0000"/>
        <rFont val="Arial"/>
        <family val="2"/>
        <charset val="1"/>
      </rPr>
      <t xml:space="preserve">R</t>
    </r>
    <r>
      <rPr>
        <b val="true"/>
        <vertAlign val="subscript"/>
        <sz val="12"/>
        <color rgb="FFFF0000"/>
        <rFont val="Arial"/>
        <family val="2"/>
        <charset val="1"/>
      </rPr>
      <t xml:space="preserve">FB4</t>
    </r>
  </si>
  <si>
    <r>
      <rPr>
        <sz val="12"/>
        <color rgb="FF000000"/>
        <rFont val="Arial"/>
        <family val="2"/>
        <charset val="1"/>
      </rPr>
      <t xml:space="preserve">k</t>
    </r>
    <r>
      <rPr>
        <sz val="12"/>
        <color rgb="FF000000"/>
        <rFont val="Calibri"/>
        <family val="2"/>
        <charset val="1"/>
      </rPr>
      <t xml:space="preserve">Ω</t>
    </r>
  </si>
  <si>
    <r>
      <rPr>
        <b val="true"/>
        <sz val="12"/>
        <color rgb="FFFF0000"/>
        <rFont val="Arial"/>
        <family val="2"/>
        <charset val="1"/>
      </rPr>
      <t xml:space="preserve">R</t>
    </r>
    <r>
      <rPr>
        <b val="true"/>
        <vertAlign val="subscript"/>
        <sz val="12"/>
        <color rgb="FFFF0000"/>
        <rFont val="Arial"/>
        <family val="2"/>
        <charset val="1"/>
      </rPr>
      <t xml:space="preserve">INJ</t>
    </r>
  </si>
  <si>
    <r>
      <rPr>
        <b val="true"/>
        <sz val="12"/>
        <color rgb="FFFF0000"/>
        <rFont val="Arial"/>
        <family val="2"/>
        <charset val="1"/>
      </rPr>
      <t xml:space="preserve">R</t>
    </r>
    <r>
      <rPr>
        <b val="true"/>
        <vertAlign val="subscript"/>
        <sz val="12"/>
        <color rgb="FFFF0000"/>
        <rFont val="Arial"/>
        <family val="2"/>
        <charset val="1"/>
      </rPr>
      <t xml:space="preserve">LC</t>
    </r>
  </si>
  <si>
    <r>
      <rPr>
        <b val="true"/>
        <sz val="12"/>
        <color rgb="FFFF0000"/>
        <rFont val="Arial"/>
        <family val="2"/>
        <charset val="1"/>
      </rPr>
      <t xml:space="preserve">R</t>
    </r>
    <r>
      <rPr>
        <b val="true"/>
        <vertAlign val="subscript"/>
        <sz val="12"/>
        <color rgb="FFFF0000"/>
        <rFont val="Arial"/>
        <family val="2"/>
        <charset val="1"/>
      </rPr>
      <t xml:space="preserve">OPT</t>
    </r>
  </si>
  <si>
    <r>
      <rPr>
        <b val="true"/>
        <sz val="12"/>
        <color rgb="FFFF0000"/>
        <rFont val="Arial"/>
        <family val="2"/>
        <charset val="1"/>
      </rPr>
      <t xml:space="preserve">R</t>
    </r>
    <r>
      <rPr>
        <b val="true"/>
        <vertAlign val="subscript"/>
        <sz val="12"/>
        <color rgb="FFFF0000"/>
        <rFont val="Arial"/>
        <family val="2"/>
        <charset val="1"/>
      </rPr>
      <t xml:space="preserve">TL</t>
    </r>
  </si>
  <si>
    <r>
      <rPr>
        <b val="true"/>
        <sz val="12"/>
        <color rgb="FFFF0000"/>
        <rFont val="Arial"/>
        <family val="2"/>
        <charset val="1"/>
      </rPr>
      <t xml:space="preserve">R</t>
    </r>
    <r>
      <rPr>
        <b val="true"/>
        <vertAlign val="subscript"/>
        <sz val="12"/>
        <color rgb="FFFF0000"/>
        <rFont val="Arial"/>
        <family val="2"/>
        <charset val="1"/>
      </rPr>
      <t xml:space="preserve">VDD</t>
    </r>
  </si>
  <si>
    <t xml:space="preserve">2 to 50</t>
  </si>
  <si>
    <t xml:space="preserve">As Needed for Voltage Spike Smoothing</t>
  </si>
  <si>
    <t xml:space="preserve">1/10 to 1/2</t>
  </si>
  <si>
    <r>
      <rPr>
        <b val="true"/>
        <sz val="12"/>
        <color rgb="FFFF0000"/>
        <rFont val="Arial"/>
        <family val="2"/>
        <charset val="1"/>
      </rPr>
      <t xml:space="preserve">R</t>
    </r>
    <r>
      <rPr>
        <b val="true"/>
        <vertAlign val="subscript"/>
        <sz val="12"/>
        <color rgb="FFFF0000"/>
        <rFont val="Arial"/>
        <family val="2"/>
        <charset val="1"/>
      </rPr>
      <t xml:space="preserve">VS1</t>
    </r>
  </si>
  <si>
    <r>
      <rPr>
        <b val="true"/>
        <sz val="12"/>
        <color rgb="FFFF0000"/>
        <rFont val="Arial"/>
        <family val="2"/>
        <charset val="1"/>
      </rPr>
      <t xml:space="preserve">R</t>
    </r>
    <r>
      <rPr>
        <b val="true"/>
        <vertAlign val="subscript"/>
        <sz val="12"/>
        <color rgb="FFFF0000"/>
        <rFont val="Arial"/>
        <family val="2"/>
        <charset val="1"/>
      </rPr>
      <t xml:space="preserve">VS2</t>
    </r>
  </si>
  <si>
    <t xml:space="preserve">SHUNT REGULATOR</t>
  </si>
  <si>
    <t xml:space="preserve">Voltage Reference:</t>
  </si>
  <si>
    <t xml:space="preserve">TRANSFORMER</t>
  </si>
  <si>
    <t xml:space="preserve">Primary Inductance:</t>
  </si>
  <si>
    <t xml:space="preserve">Primary to Secondary Turns Ratio:</t>
  </si>
  <si>
    <r>
      <rPr>
        <sz val="12"/>
        <color rgb="FF000000"/>
        <rFont val="Arial"/>
        <family val="2"/>
        <charset val="1"/>
      </rPr>
      <t xml:space="preserve">N</t>
    </r>
    <r>
      <rPr>
        <vertAlign val="subscript"/>
        <sz val="12"/>
        <color rgb="FF000000"/>
        <rFont val="Arial"/>
        <family val="2"/>
        <charset val="1"/>
      </rPr>
      <t xml:space="preserve">PS</t>
    </r>
  </si>
  <si>
    <t xml:space="preserve">Primary to Auxiliary Turns Ratio:</t>
  </si>
  <si>
    <r>
      <rPr>
        <sz val="12"/>
        <color rgb="FF000000"/>
        <rFont val="Arial"/>
        <family val="2"/>
        <charset val="1"/>
      </rPr>
      <t xml:space="preserve">N</t>
    </r>
    <r>
      <rPr>
        <vertAlign val="subscript"/>
        <sz val="12"/>
        <color rgb="FF000000"/>
        <rFont val="Arial"/>
        <family val="2"/>
        <charset val="1"/>
      </rPr>
      <t xml:space="preserve">PA</t>
    </r>
  </si>
  <si>
    <t xml:space="preserve">Peak Primary Current:</t>
  </si>
  <si>
    <t xml:space="preserve">Primary RMS Current:</t>
  </si>
  <si>
    <t xml:space="preserve">Peak Secondary Current:</t>
  </si>
  <si>
    <t xml:space="preserve">Secondary RMS Current:</t>
  </si>
  <si>
    <t xml:space="preserve">Maximum Switching Frequency:</t>
  </si>
  <si>
    <t xml:space="preserve">UCC28740 DESIGN CALCULATIONS</t>
  </si>
  <si>
    <t xml:space="preserve">The Values Entered by the User on the DESIGN INPUT Page are Used in the Design Calculations</t>
  </si>
  <si>
    <t xml:space="preserve">INPUT</t>
  </si>
  <si>
    <t xml:space="preserve">Input Voltage Type</t>
  </si>
  <si>
    <t xml:space="preserve">AC or DC:</t>
  </si>
  <si>
    <t xml:space="preserve">User Input Values From Design Input Page</t>
  </si>
  <si>
    <t xml:space="preserve">Minimum Input Voltage</t>
  </si>
  <si>
    <r>
      <rPr>
        <sz val="11"/>
        <rFont val="Arial"/>
        <family val="2"/>
        <charset val="1"/>
      </rPr>
      <t xml:space="preserve"> V</t>
    </r>
    <r>
      <rPr>
        <vertAlign val="subscript"/>
        <sz val="11"/>
        <rFont val="Arial"/>
        <family val="2"/>
        <charset val="1"/>
      </rPr>
      <t xml:space="preserve">INPUTmin</t>
    </r>
    <r>
      <rPr>
        <sz val="11"/>
        <rFont val="Arial"/>
        <family val="2"/>
        <charset val="1"/>
      </rPr>
      <t xml:space="preserve"> =</t>
    </r>
  </si>
  <si>
    <t xml:space="preserve">Maximum Input Voltage</t>
  </si>
  <si>
    <r>
      <rPr>
        <sz val="11"/>
        <rFont val="Arial"/>
        <family val="2"/>
        <charset val="1"/>
      </rPr>
      <t xml:space="preserve">V</t>
    </r>
    <r>
      <rPr>
        <vertAlign val="subscript"/>
        <sz val="11"/>
        <rFont val="Arial"/>
        <family val="2"/>
        <charset val="1"/>
      </rPr>
      <t xml:space="preserve">INPUTmax</t>
    </r>
    <r>
      <rPr>
        <sz val="11"/>
        <rFont val="Arial"/>
        <family val="2"/>
        <charset val="1"/>
      </rPr>
      <t xml:space="preserve"> =</t>
    </r>
  </si>
  <si>
    <t xml:space="preserve">Nominal Input Voltage </t>
  </si>
  <si>
    <r>
      <rPr>
        <sz val="11"/>
        <rFont val="Arial"/>
        <family val="2"/>
        <charset val="1"/>
      </rPr>
      <t xml:space="preserve">V</t>
    </r>
    <r>
      <rPr>
        <vertAlign val="subscript"/>
        <sz val="11"/>
        <rFont val="Arial"/>
        <family val="2"/>
        <charset val="1"/>
      </rPr>
      <t xml:space="preserve">INPUTnom</t>
    </r>
    <r>
      <rPr>
        <sz val="11"/>
        <rFont val="Arial"/>
        <family val="2"/>
        <charset val="1"/>
      </rPr>
      <t xml:space="preserve"> =</t>
    </r>
  </si>
  <si>
    <t xml:space="preserve">Minimum Line Frequency</t>
  </si>
  <si>
    <r>
      <rPr>
        <sz val="11"/>
        <rFont val="Arial"/>
        <family val="2"/>
        <charset val="1"/>
      </rPr>
      <t xml:space="preserve"> f</t>
    </r>
    <r>
      <rPr>
        <vertAlign val="subscript"/>
        <sz val="11"/>
        <rFont val="Arial"/>
        <family val="2"/>
        <charset val="1"/>
      </rPr>
      <t xml:space="preserve">LINEmin</t>
    </r>
    <r>
      <rPr>
        <sz val="11"/>
        <rFont val="Arial"/>
        <family val="2"/>
        <charset val="1"/>
      </rPr>
      <t xml:space="preserve"> =</t>
    </r>
  </si>
  <si>
    <t xml:space="preserve">Minimum Input Voltage for Start-Up</t>
  </si>
  <si>
    <r>
      <rPr>
        <sz val="11"/>
        <rFont val="Arial"/>
        <family val="2"/>
        <charset val="1"/>
      </rPr>
      <t xml:space="preserve">V</t>
    </r>
    <r>
      <rPr>
        <vertAlign val="subscript"/>
        <sz val="11"/>
        <rFont val="Arial"/>
        <family val="2"/>
        <charset val="1"/>
      </rPr>
      <t xml:space="preserve">INPUTrun</t>
    </r>
    <r>
      <rPr>
        <sz val="11"/>
        <rFont val="Arial"/>
        <family val="2"/>
        <charset val="1"/>
      </rPr>
      <t xml:space="preserve"> =</t>
    </r>
  </si>
  <si>
    <t xml:space="preserve">Minimum Peak Bulk Input Voltage </t>
  </si>
  <si>
    <r>
      <rPr>
        <sz val="11"/>
        <color rgb="FF000000"/>
        <rFont val="Arial"/>
        <family val="2"/>
        <charset val="1"/>
      </rPr>
      <t xml:space="preserve">V</t>
    </r>
    <r>
      <rPr>
        <vertAlign val="subscript"/>
        <sz val="11"/>
        <color rgb="FF000000"/>
        <rFont val="Arial"/>
        <family val="2"/>
        <charset val="1"/>
      </rPr>
      <t xml:space="preserve">BULKmin</t>
    </r>
    <r>
      <rPr>
        <sz val="11"/>
        <color rgb="FF000000"/>
        <rFont val="Arial"/>
        <family val="2"/>
        <charset val="1"/>
      </rPr>
      <t xml:space="preserve"> =</t>
    </r>
  </si>
  <si>
    <t xml:space="preserve">Maximum Peak Bulk Input Voltage</t>
  </si>
  <si>
    <r>
      <rPr>
        <sz val="11"/>
        <color rgb="FF000000"/>
        <rFont val="Arial"/>
        <family val="2"/>
        <charset val="1"/>
      </rPr>
      <t xml:space="preserve">V</t>
    </r>
    <r>
      <rPr>
        <vertAlign val="subscript"/>
        <sz val="11"/>
        <color rgb="FF000000"/>
        <rFont val="Arial"/>
        <family val="2"/>
        <charset val="1"/>
      </rPr>
      <t xml:space="preserve">BULKmax</t>
    </r>
    <r>
      <rPr>
        <sz val="11"/>
        <color rgb="FF000000"/>
        <rFont val="Arial"/>
        <family val="2"/>
        <charset val="1"/>
      </rPr>
      <t xml:space="preserve"> =</t>
    </r>
  </si>
  <si>
    <t xml:space="preserve">Nominal Peak Bulk Input Voltage</t>
  </si>
  <si>
    <r>
      <rPr>
        <sz val="11"/>
        <color rgb="FF000000"/>
        <rFont val="Arial"/>
        <family val="2"/>
        <charset val="1"/>
      </rPr>
      <t xml:space="preserve">V</t>
    </r>
    <r>
      <rPr>
        <vertAlign val="subscript"/>
        <sz val="11"/>
        <color rgb="FF000000"/>
        <rFont val="Arial"/>
        <family val="2"/>
        <charset val="1"/>
      </rPr>
      <t xml:space="preserve">BULKnom</t>
    </r>
    <r>
      <rPr>
        <sz val="11"/>
        <color rgb="FF000000"/>
        <rFont val="Arial"/>
        <family val="2"/>
        <charset val="1"/>
      </rPr>
      <t xml:space="preserve"> =</t>
    </r>
  </si>
  <si>
    <t xml:space="preserve">Turn-On Peak Bulk Input Voltage</t>
  </si>
  <si>
    <r>
      <rPr>
        <sz val="11"/>
        <color rgb="FF000000"/>
        <rFont val="Arial"/>
        <family val="2"/>
        <charset val="1"/>
      </rPr>
      <t xml:space="preserve">V</t>
    </r>
    <r>
      <rPr>
        <vertAlign val="subscript"/>
        <sz val="11"/>
        <color rgb="FF000000"/>
        <rFont val="Arial"/>
        <family val="2"/>
        <charset val="1"/>
      </rPr>
      <t xml:space="preserve">BULKstartup</t>
    </r>
    <r>
      <rPr>
        <sz val="11"/>
        <color rgb="FF000000"/>
        <rFont val="Arial"/>
        <family val="2"/>
        <charset val="1"/>
      </rPr>
      <t xml:space="preserve"> =</t>
    </r>
  </si>
  <si>
    <t xml:space="preserve">Line Cycle Period </t>
  </si>
  <si>
    <r>
      <rPr>
        <sz val="11"/>
        <color rgb="FF000000"/>
        <rFont val="Arial"/>
        <family val="2"/>
        <charset val="1"/>
      </rPr>
      <t xml:space="preserve">t</t>
    </r>
    <r>
      <rPr>
        <vertAlign val="subscript"/>
        <sz val="11"/>
        <color rgb="FF000000"/>
        <rFont val="Arial"/>
        <family val="2"/>
        <charset val="1"/>
      </rPr>
      <t xml:space="preserve">LINE</t>
    </r>
    <r>
      <rPr>
        <sz val="11"/>
        <color rgb="FF000000"/>
        <rFont val="Arial"/>
        <family val="2"/>
        <charset val="1"/>
      </rPr>
      <t xml:space="preserve"> = </t>
    </r>
  </si>
  <si>
    <t xml:space="preserve">OUTPUT</t>
  </si>
  <si>
    <t xml:space="preserve">Regulated Output Voltage, Constant Voltage Mode </t>
  </si>
  <si>
    <r>
      <rPr>
        <sz val="11"/>
        <rFont val="Arial"/>
        <family val="2"/>
        <charset val="1"/>
      </rPr>
      <t xml:space="preserve">V</t>
    </r>
    <r>
      <rPr>
        <vertAlign val="subscript"/>
        <sz val="11"/>
        <rFont val="Arial"/>
        <family val="2"/>
        <charset val="1"/>
      </rPr>
      <t xml:space="preserve">OUT_CV</t>
    </r>
    <r>
      <rPr>
        <sz val="11"/>
        <rFont val="Arial"/>
        <family val="2"/>
        <charset val="1"/>
      </rPr>
      <t xml:space="preserve"> =</t>
    </r>
  </si>
  <si>
    <t xml:space="preserve">Full Load Rated Output Current</t>
  </si>
  <si>
    <r>
      <rPr>
        <sz val="11"/>
        <rFont val="Arial"/>
        <family val="2"/>
        <charset val="1"/>
      </rPr>
      <t xml:space="preserve">I</t>
    </r>
    <r>
      <rPr>
        <vertAlign val="subscript"/>
        <sz val="11"/>
        <rFont val="Arial"/>
        <family val="2"/>
        <charset val="1"/>
      </rPr>
      <t xml:space="preserve">OUT</t>
    </r>
    <r>
      <rPr>
        <sz val="11"/>
        <rFont val="Arial"/>
        <family val="2"/>
        <charset val="1"/>
      </rPr>
      <t xml:space="preserve"> =</t>
    </r>
  </si>
  <si>
    <t xml:space="preserve">Target Constant Current Mode Output Load Threshold</t>
  </si>
  <si>
    <r>
      <rPr>
        <sz val="11"/>
        <rFont val="Arial"/>
        <family val="2"/>
        <charset val="1"/>
      </rPr>
      <t xml:space="preserve">I</t>
    </r>
    <r>
      <rPr>
        <vertAlign val="subscript"/>
        <sz val="11"/>
        <rFont val="Arial"/>
        <family val="2"/>
        <charset val="1"/>
      </rPr>
      <t xml:space="preserve">OCC_target</t>
    </r>
    <r>
      <rPr>
        <sz val="11"/>
        <rFont val="Arial"/>
        <family val="2"/>
        <charset val="1"/>
      </rPr>
      <t xml:space="preserve"> =</t>
    </r>
  </si>
  <si>
    <t xml:space="preserve">Target Minimum Output Voltage During Constant Current Regulation</t>
  </si>
  <si>
    <r>
      <rPr>
        <sz val="11"/>
        <rFont val="Arial"/>
        <family val="2"/>
        <charset val="1"/>
      </rPr>
      <t xml:space="preserve">V</t>
    </r>
    <r>
      <rPr>
        <vertAlign val="subscript"/>
        <sz val="11"/>
        <rFont val="Arial"/>
        <family val="2"/>
        <charset val="1"/>
      </rPr>
      <t xml:space="preserve">OUT_CC</t>
    </r>
    <r>
      <rPr>
        <sz val="11"/>
        <rFont val="Arial"/>
        <family val="2"/>
        <charset val="1"/>
      </rPr>
      <t xml:space="preserve"> =</t>
    </r>
  </si>
  <si>
    <t xml:space="preserve">Allowable Output Voltage Drop During Load-Step Transient in Constant Voltage Mode</t>
  </si>
  <si>
    <r>
      <rPr>
        <sz val="11"/>
        <rFont val="Arial"/>
        <family val="2"/>
        <charset val="1"/>
      </rPr>
      <t xml:space="preserve">V</t>
    </r>
    <r>
      <rPr>
        <vertAlign val="subscript"/>
        <sz val="11"/>
        <rFont val="Arial"/>
        <family val="2"/>
        <charset val="1"/>
      </rPr>
      <t xml:space="preserve">OUTΔ</t>
    </r>
    <r>
      <rPr>
        <sz val="11"/>
        <rFont val="Arial"/>
        <family val="2"/>
        <charset val="1"/>
      </rPr>
      <t xml:space="preserve"> =</t>
    </r>
  </si>
  <si>
    <t xml:space="preserve">Maximum Peak to Peak Output Voltage Ripple</t>
  </si>
  <si>
    <r>
      <rPr>
        <sz val="11"/>
        <rFont val="Arial"/>
        <family val="2"/>
        <charset val="1"/>
      </rPr>
      <t xml:space="preserve">V</t>
    </r>
    <r>
      <rPr>
        <vertAlign val="subscript"/>
        <sz val="11"/>
        <rFont val="Arial"/>
        <family val="2"/>
        <charset val="1"/>
      </rPr>
      <t xml:space="preserve">RIPPLE</t>
    </r>
    <r>
      <rPr>
        <sz val="11"/>
        <rFont val="Arial"/>
        <family val="2"/>
        <charset val="1"/>
      </rPr>
      <t xml:space="preserve"> =</t>
    </r>
  </si>
  <si>
    <t xml:space="preserve">Required Positive Load Step Transient Current</t>
  </si>
  <si>
    <r>
      <rPr>
        <sz val="11"/>
        <rFont val="Arial"/>
        <family val="2"/>
        <charset val="1"/>
      </rPr>
      <t xml:space="preserve">I</t>
    </r>
    <r>
      <rPr>
        <vertAlign val="subscript"/>
        <sz val="11"/>
        <rFont val="Arial"/>
        <family val="2"/>
        <charset val="1"/>
      </rPr>
      <t xml:space="preserve">TRAN</t>
    </r>
    <r>
      <rPr>
        <sz val="11"/>
        <rFont val="Arial"/>
        <family val="2"/>
        <charset val="1"/>
      </rPr>
      <t xml:space="preserve"> =</t>
    </r>
  </si>
  <si>
    <t xml:space="preserve">Maximum Allowable Response Time to Load Step Transient</t>
  </si>
  <si>
    <r>
      <rPr>
        <sz val="11"/>
        <rFont val="Arial"/>
        <family val="2"/>
        <charset val="1"/>
      </rPr>
      <t xml:space="preserve">t</t>
    </r>
    <r>
      <rPr>
        <vertAlign val="subscript"/>
        <sz val="11"/>
        <rFont val="Arial"/>
        <family val="2"/>
        <charset val="1"/>
      </rPr>
      <t xml:space="preserve">RESP</t>
    </r>
    <r>
      <rPr>
        <sz val="11"/>
        <rFont val="Arial"/>
        <family val="2"/>
        <charset val="1"/>
      </rPr>
      <t xml:space="preserve"> =</t>
    </r>
  </si>
  <si>
    <t xml:space="preserve">Output Over Voltage Protection</t>
  </si>
  <si>
    <r>
      <rPr>
        <sz val="11"/>
        <rFont val="Arial"/>
        <family val="2"/>
        <charset val="1"/>
      </rPr>
      <t xml:space="preserve">V</t>
    </r>
    <r>
      <rPr>
        <vertAlign val="subscript"/>
        <sz val="11"/>
        <rFont val="Arial"/>
        <family val="2"/>
        <charset val="1"/>
      </rPr>
      <t xml:space="preserve">OUT_OVP</t>
    </r>
    <r>
      <rPr>
        <sz val="11"/>
        <rFont val="Arial"/>
        <family val="2"/>
        <charset val="1"/>
      </rPr>
      <t xml:space="preserve"> =</t>
    </r>
  </si>
  <si>
    <t xml:space="preserve">Maximum Stand By Power Dissipation</t>
  </si>
  <si>
    <r>
      <rPr>
        <sz val="11"/>
        <rFont val="Arial"/>
        <family val="2"/>
        <charset val="1"/>
      </rPr>
      <t xml:space="preserve">P</t>
    </r>
    <r>
      <rPr>
        <vertAlign val="subscript"/>
        <sz val="11"/>
        <rFont val="Arial"/>
        <family val="2"/>
        <charset val="1"/>
      </rPr>
      <t xml:space="preserve">SBtarget</t>
    </r>
    <r>
      <rPr>
        <sz val="11"/>
        <rFont val="Arial"/>
        <family val="2"/>
        <charset val="1"/>
      </rPr>
      <t xml:space="preserve"> =</t>
    </r>
  </si>
  <si>
    <t xml:space="preserve">Estimated Efficiency</t>
  </si>
  <si>
    <t xml:space="preserve">η  =</t>
  </si>
  <si>
    <t xml:space="preserve">Output Power</t>
  </si>
  <si>
    <r>
      <rPr>
        <sz val="11"/>
        <color rgb="FF000000"/>
        <rFont val="Arial"/>
        <family val="2"/>
        <charset val="1"/>
      </rPr>
      <t xml:space="preserve">P</t>
    </r>
    <r>
      <rPr>
        <vertAlign val="subscript"/>
        <sz val="11"/>
        <color rgb="FF000000"/>
        <rFont val="Arial"/>
        <family val="2"/>
        <charset val="1"/>
      </rPr>
      <t xml:space="preserve">OUT</t>
    </r>
    <r>
      <rPr>
        <sz val="11"/>
        <color rgb="FF000000"/>
        <rFont val="Arial"/>
        <family val="2"/>
        <charset val="1"/>
      </rPr>
      <t xml:space="preserve"> =</t>
    </r>
  </si>
  <si>
    <t xml:space="preserve">Estimated Input Power</t>
  </si>
  <si>
    <r>
      <rPr>
        <sz val="11"/>
        <color rgb="FF000000"/>
        <rFont val="Arial"/>
        <family val="2"/>
        <charset val="1"/>
      </rPr>
      <t xml:space="preserve">P</t>
    </r>
    <r>
      <rPr>
        <vertAlign val="subscript"/>
        <sz val="11"/>
        <color rgb="FF000000"/>
        <rFont val="Arial"/>
        <family val="2"/>
        <charset val="1"/>
      </rPr>
      <t xml:space="preserve">IN</t>
    </r>
    <r>
      <rPr>
        <sz val="11"/>
        <color rgb="FF000000"/>
        <rFont val="Arial"/>
        <family val="2"/>
        <charset val="1"/>
      </rPr>
      <t xml:space="preserve"> =</t>
    </r>
  </si>
  <si>
    <t xml:space="preserve">COMPONENT PARAMETER CALCULATIONS</t>
  </si>
  <si>
    <r>
      <rPr>
        <b val="true"/>
        <i val="true"/>
        <sz val="12"/>
        <color rgb="FFFFFFFF"/>
        <rFont val="Arial"/>
        <family val="2"/>
        <charset val="1"/>
      </rPr>
      <t xml:space="preserve">INPUT CAPACITOR, C</t>
    </r>
    <r>
      <rPr>
        <b val="true"/>
        <i val="true"/>
        <vertAlign val="subscript"/>
        <sz val="11"/>
        <color rgb="FFFFFFFF"/>
        <rFont val="Arial"/>
        <family val="2"/>
        <charset val="1"/>
      </rPr>
      <t xml:space="preserve">BULK</t>
    </r>
  </si>
  <si>
    <r>
      <rPr>
        <b val="true"/>
        <sz val="11"/>
        <color rgb="FF000000"/>
        <rFont val="Arial"/>
        <family val="2"/>
        <charset val="1"/>
      </rPr>
      <t xml:space="preserve">Recommended</t>
    </r>
    <r>
      <rPr>
        <sz val="11"/>
        <color rgb="FF000000"/>
        <rFont val="Arial"/>
        <family val="2"/>
        <charset val="1"/>
      </rPr>
      <t xml:space="preserve"> Input Bulk Capacitance</t>
    </r>
  </si>
  <si>
    <r>
      <rPr>
        <sz val="11"/>
        <color rgb="FF000000"/>
        <rFont val="Arial"/>
        <family val="2"/>
        <charset val="1"/>
      </rPr>
      <t xml:space="preserve">C</t>
    </r>
    <r>
      <rPr>
        <vertAlign val="subscript"/>
        <sz val="11"/>
        <color rgb="FF000000"/>
        <rFont val="Arial"/>
        <family val="2"/>
        <charset val="1"/>
      </rPr>
      <t xml:space="preserve">BULKrecommended</t>
    </r>
    <r>
      <rPr>
        <sz val="11"/>
        <color rgb="FF000000"/>
        <rFont val="Arial"/>
        <family val="2"/>
        <charset val="1"/>
      </rPr>
      <t xml:space="preserve"> =</t>
    </r>
  </si>
  <si>
    <r>
      <rPr>
        <b val="true"/>
        <sz val="11"/>
        <color rgb="FF000000"/>
        <rFont val="Arial"/>
        <family val="2"/>
        <charset val="1"/>
      </rPr>
      <t xml:space="preserve">Actual</t>
    </r>
    <r>
      <rPr>
        <sz val="11"/>
        <color rgb="FF000000"/>
        <rFont val="Arial"/>
        <family val="2"/>
        <charset val="1"/>
      </rPr>
      <t xml:space="preserve"> Input Bulk Capacitance</t>
    </r>
  </si>
  <si>
    <r>
      <rPr>
        <sz val="11"/>
        <color rgb="FF000000"/>
        <rFont val="Arial"/>
        <family val="2"/>
        <charset val="1"/>
      </rPr>
      <t xml:space="preserve">C</t>
    </r>
    <r>
      <rPr>
        <vertAlign val="subscript"/>
        <sz val="11"/>
        <color rgb="FF000000"/>
        <rFont val="Arial"/>
        <family val="2"/>
        <charset val="1"/>
      </rPr>
      <t xml:space="preserve">BULKactual</t>
    </r>
    <r>
      <rPr>
        <sz val="11"/>
        <color rgb="FF000000"/>
        <rFont val="Arial"/>
        <family val="2"/>
        <charset val="1"/>
      </rPr>
      <t xml:space="preserve"> =</t>
    </r>
  </si>
  <si>
    <t xml:space="preserve">User Input</t>
  </si>
  <si>
    <t xml:space="preserve">Input Capacitor Value Used in Calculations</t>
  </si>
  <si>
    <r>
      <rPr>
        <sz val="11"/>
        <color rgb="FF000000"/>
        <rFont val="Arial"/>
        <family val="2"/>
        <charset val="1"/>
      </rPr>
      <t xml:space="preserve">C</t>
    </r>
    <r>
      <rPr>
        <vertAlign val="subscript"/>
        <sz val="11"/>
        <color rgb="FF000000"/>
        <rFont val="Arial"/>
        <family val="2"/>
        <charset val="1"/>
      </rPr>
      <t xml:space="preserve">BULK </t>
    </r>
    <r>
      <rPr>
        <sz val="11"/>
        <color rgb="FF000000"/>
        <rFont val="Arial"/>
        <family val="2"/>
        <charset val="1"/>
      </rPr>
      <t xml:space="preserve">=</t>
    </r>
  </si>
  <si>
    <t xml:space="preserve">Minimum Valley Voltage on Input Bulk Capacitors</t>
  </si>
  <si>
    <r>
      <rPr>
        <sz val="11"/>
        <color rgb="FF000000"/>
        <rFont val="Arial"/>
        <family val="2"/>
        <charset val="1"/>
      </rPr>
      <t xml:space="preserve">V</t>
    </r>
    <r>
      <rPr>
        <vertAlign val="subscript"/>
        <sz val="11"/>
        <color rgb="FF000000"/>
        <rFont val="Arial"/>
        <family val="2"/>
        <charset val="1"/>
      </rPr>
      <t xml:space="preserve">BULKvalley</t>
    </r>
    <r>
      <rPr>
        <sz val="11"/>
        <color rgb="FF000000"/>
        <rFont val="Arial"/>
        <family val="2"/>
        <charset val="1"/>
      </rPr>
      <t xml:space="preserve"> =</t>
    </r>
  </si>
  <si>
    <t xml:space="preserve">Minimum Input Capacitor Ripple Current Rating</t>
  </si>
  <si>
    <r>
      <rPr>
        <sz val="11"/>
        <color rgb="FF000000"/>
        <rFont val="Arial"/>
        <family val="2"/>
        <charset val="1"/>
      </rPr>
      <t xml:space="preserve">I</t>
    </r>
    <r>
      <rPr>
        <vertAlign val="subscript"/>
        <sz val="11"/>
        <color rgb="FF000000"/>
        <rFont val="Arial"/>
        <family val="2"/>
        <charset val="1"/>
      </rPr>
      <t xml:space="preserve">CINripple</t>
    </r>
    <r>
      <rPr>
        <sz val="11"/>
        <color rgb="FF000000"/>
        <rFont val="Arial"/>
        <family val="2"/>
        <charset val="1"/>
      </rPr>
      <t xml:space="preserve"> = </t>
    </r>
  </si>
  <si>
    <t xml:space="preserve">Minimum Input Capacitor Voltage Rating</t>
  </si>
  <si>
    <r>
      <rPr>
        <sz val="11"/>
        <color rgb="FF000000"/>
        <rFont val="Arial"/>
        <family val="2"/>
        <charset val="1"/>
      </rPr>
      <t xml:space="preserve">V</t>
    </r>
    <r>
      <rPr>
        <vertAlign val="subscript"/>
        <sz val="11"/>
        <color rgb="FF000000"/>
        <rFont val="Arial"/>
        <family val="2"/>
        <charset val="1"/>
      </rPr>
      <t xml:space="preserve">Cin</t>
    </r>
    <r>
      <rPr>
        <sz val="11"/>
        <color rgb="FF000000"/>
        <rFont val="Arial"/>
        <family val="2"/>
        <charset val="1"/>
      </rPr>
      <t xml:space="preserve"> =</t>
    </r>
  </si>
  <si>
    <t xml:space="preserve">INPUT FUSE</t>
  </si>
  <si>
    <t xml:space="preserve">Voltage Rating</t>
  </si>
  <si>
    <r>
      <rPr>
        <sz val="11"/>
        <rFont val="Arial"/>
        <family val="2"/>
        <charset val="1"/>
      </rPr>
      <t xml:space="preserve">V</t>
    </r>
    <r>
      <rPr>
        <vertAlign val="subscript"/>
        <sz val="11"/>
        <rFont val="Arial"/>
        <family val="2"/>
        <charset val="1"/>
      </rPr>
      <t xml:space="preserve">FUSE</t>
    </r>
    <r>
      <rPr>
        <sz val="11"/>
        <rFont val="Arial"/>
        <family val="2"/>
        <charset val="1"/>
      </rPr>
      <t xml:space="preserve"> =</t>
    </r>
  </si>
  <si>
    <t xml:space="preserve">Peak Input Current</t>
  </si>
  <si>
    <r>
      <rPr>
        <sz val="11"/>
        <color rgb="FF000000"/>
        <rFont val="Arial"/>
        <family val="2"/>
        <charset val="1"/>
      </rPr>
      <t xml:space="preserve">I</t>
    </r>
    <r>
      <rPr>
        <vertAlign val="subscript"/>
        <sz val="11"/>
        <color rgb="FF000000"/>
        <rFont val="Arial"/>
        <family val="2"/>
        <charset val="1"/>
      </rPr>
      <t xml:space="preserve">INpeak</t>
    </r>
    <r>
      <rPr>
        <sz val="11"/>
        <color rgb="FF000000"/>
        <rFont val="Arial"/>
        <family val="2"/>
        <charset val="1"/>
      </rPr>
      <t xml:space="preserve"> =</t>
    </r>
  </si>
  <si>
    <r>
      <rPr>
        <sz val="11"/>
        <color rgb="FF000000"/>
        <rFont val="Arial"/>
        <family val="2"/>
        <charset val="1"/>
      </rPr>
      <t xml:space="preserve">V</t>
    </r>
    <r>
      <rPr>
        <vertAlign val="subscript"/>
        <sz val="11"/>
        <color rgb="FF000000"/>
        <rFont val="Arial"/>
        <family val="2"/>
        <charset val="1"/>
      </rPr>
      <t xml:space="preserve">BRIDGE_minrating</t>
    </r>
    <r>
      <rPr>
        <sz val="11"/>
        <color rgb="FF000000"/>
        <rFont val="Arial"/>
        <family val="2"/>
        <charset val="1"/>
      </rPr>
      <t xml:space="preserve"> =</t>
    </r>
  </si>
  <si>
    <t xml:space="preserve">Current Rating</t>
  </si>
  <si>
    <r>
      <rPr>
        <sz val="11"/>
        <color rgb="FF000000"/>
        <rFont val="Arial"/>
        <family val="2"/>
        <charset val="1"/>
      </rPr>
      <t xml:space="preserve">I</t>
    </r>
    <r>
      <rPr>
        <vertAlign val="subscript"/>
        <sz val="11"/>
        <color rgb="FF000000"/>
        <rFont val="Arial"/>
        <family val="2"/>
        <charset val="1"/>
      </rPr>
      <t xml:space="preserve">BRIDGE_minrating</t>
    </r>
    <r>
      <rPr>
        <sz val="11"/>
        <color rgb="FF000000"/>
        <rFont val="Arial"/>
        <family val="2"/>
        <charset val="1"/>
      </rPr>
      <t xml:space="preserve"> =</t>
    </r>
  </si>
  <si>
    <t xml:space="preserve">Forward Voltage Drop</t>
  </si>
  <si>
    <r>
      <rPr>
        <sz val="11"/>
        <color rgb="FF000000"/>
        <rFont val="Arial"/>
        <family val="2"/>
        <charset val="1"/>
      </rPr>
      <t xml:space="preserve">V</t>
    </r>
    <r>
      <rPr>
        <vertAlign val="subscript"/>
        <sz val="11"/>
        <color rgb="FF000000"/>
        <rFont val="Arial"/>
        <family val="2"/>
        <charset val="1"/>
      </rPr>
      <t xml:space="preserve">F_BRIDGE</t>
    </r>
    <r>
      <rPr>
        <sz val="11"/>
        <color rgb="FF000000"/>
        <rFont val="Arial"/>
        <family val="2"/>
        <charset val="1"/>
      </rPr>
      <t xml:space="preserve"> =</t>
    </r>
  </si>
  <si>
    <t xml:space="preserve">Full Load Power Dissipation of Bridge Rectifier</t>
  </si>
  <si>
    <r>
      <rPr>
        <sz val="11"/>
        <color rgb="FF000000"/>
        <rFont val="Arial"/>
        <family val="2"/>
        <charset val="1"/>
      </rPr>
      <t xml:space="preserve">P</t>
    </r>
    <r>
      <rPr>
        <vertAlign val="subscript"/>
        <sz val="11"/>
        <color rgb="FF000000"/>
        <rFont val="Arial"/>
        <family val="2"/>
        <charset val="1"/>
      </rPr>
      <t xml:space="preserve">BRIDGE</t>
    </r>
    <r>
      <rPr>
        <sz val="11"/>
        <color rgb="FF000000"/>
        <rFont val="Arial"/>
        <family val="2"/>
        <charset val="1"/>
      </rPr>
      <t xml:space="preserve"> = </t>
    </r>
  </si>
  <si>
    <r>
      <rPr>
        <b val="true"/>
        <i val="true"/>
        <sz val="12"/>
        <color rgb="FFFFFFFF"/>
        <rFont val="Arial"/>
        <family val="2"/>
        <charset val="1"/>
      </rPr>
      <t xml:space="preserve">TRANSFORMER TURNS-RATIO, N</t>
    </r>
    <r>
      <rPr>
        <b val="true"/>
        <i val="true"/>
        <vertAlign val="subscript"/>
        <sz val="12"/>
        <color rgb="FFFFFFFF"/>
        <rFont val="Arial"/>
        <family val="2"/>
        <charset val="1"/>
      </rPr>
      <t xml:space="preserve">PS</t>
    </r>
  </si>
  <si>
    <t xml:space="preserve">Demagnetizing Duty Cycle</t>
  </si>
  <si>
    <r>
      <rPr>
        <sz val="11"/>
        <color rgb="FF000000"/>
        <rFont val="Arial"/>
        <family val="2"/>
        <charset val="1"/>
      </rPr>
      <t xml:space="preserve">D</t>
    </r>
    <r>
      <rPr>
        <vertAlign val="subscript"/>
        <sz val="11"/>
        <color rgb="FF000000"/>
        <rFont val="Arial"/>
        <family val="2"/>
        <charset val="1"/>
      </rPr>
      <t xml:space="preserve">DEMAG_CC</t>
    </r>
    <r>
      <rPr>
        <sz val="11"/>
        <color rgb="FF000000"/>
        <rFont val="Arial"/>
        <family val="2"/>
        <charset val="1"/>
      </rPr>
      <t xml:space="preserve"> =</t>
    </r>
  </si>
  <si>
    <t xml:space="preserve">Device Parameter</t>
  </si>
  <si>
    <t xml:space="preserve">Amplitude Modulation Control Ratio</t>
  </si>
  <si>
    <r>
      <rPr>
        <sz val="11"/>
        <color rgb="FF000000"/>
        <rFont val="Arial"/>
        <family val="2"/>
        <charset val="1"/>
      </rPr>
      <t xml:space="preserve">K</t>
    </r>
    <r>
      <rPr>
        <vertAlign val="subscript"/>
        <sz val="11"/>
        <color rgb="FF000000"/>
        <rFont val="Arial"/>
        <family val="2"/>
        <charset val="1"/>
      </rPr>
      <t xml:space="preserve">AMnom</t>
    </r>
    <r>
      <rPr>
        <sz val="11"/>
        <color rgb="FF000000"/>
        <rFont val="Arial"/>
        <family val="2"/>
        <charset val="1"/>
      </rPr>
      <t xml:space="preserve"> =</t>
    </r>
  </si>
  <si>
    <t xml:space="preserve">Maximum Desired Switching Frequency</t>
  </si>
  <si>
    <r>
      <rPr>
        <sz val="11"/>
        <color rgb="FF000000"/>
        <rFont val="Arial"/>
        <family val="2"/>
        <charset val="1"/>
      </rPr>
      <t xml:space="preserve">f</t>
    </r>
    <r>
      <rPr>
        <vertAlign val="subscript"/>
        <sz val="11"/>
        <color rgb="FF000000"/>
        <rFont val="Arial"/>
        <family val="2"/>
        <charset val="1"/>
      </rPr>
      <t xml:space="preserve">max_target</t>
    </r>
    <r>
      <rPr>
        <sz val="11"/>
        <color rgb="FF000000"/>
        <rFont val="Arial"/>
        <family val="2"/>
        <charset val="1"/>
      </rPr>
      <t xml:space="preserve"> =</t>
    </r>
  </si>
  <si>
    <t xml:space="preserve">Desired Switching Period</t>
  </si>
  <si>
    <r>
      <rPr>
        <sz val="11"/>
        <color rgb="FF000000"/>
        <rFont val="Arial"/>
        <family val="2"/>
        <charset val="1"/>
      </rPr>
      <t xml:space="preserve">t</t>
    </r>
    <r>
      <rPr>
        <vertAlign val="subscript"/>
        <sz val="11"/>
        <color rgb="FF000000"/>
        <rFont val="Arial"/>
        <family val="2"/>
        <charset val="1"/>
      </rPr>
      <t xml:space="preserve">SW_target</t>
    </r>
    <r>
      <rPr>
        <sz val="11"/>
        <color rgb="FF000000"/>
        <rFont val="Arial"/>
        <family val="2"/>
        <charset val="1"/>
      </rPr>
      <t xml:space="preserve"> =</t>
    </r>
  </si>
  <si>
    <t xml:space="preserve">µs</t>
  </si>
  <si>
    <t xml:space="preserve">Resonant Frequency During DCM Dead Time</t>
  </si>
  <si>
    <r>
      <rPr>
        <sz val="11"/>
        <color rgb="FF000000"/>
        <rFont val="Arial"/>
        <family val="2"/>
        <charset val="1"/>
      </rPr>
      <t xml:space="preserve">f</t>
    </r>
    <r>
      <rPr>
        <vertAlign val="subscript"/>
        <sz val="11"/>
        <color rgb="FF000000"/>
        <rFont val="Arial"/>
        <family val="2"/>
        <charset val="1"/>
      </rPr>
      <t xml:space="preserve">RES</t>
    </r>
    <r>
      <rPr>
        <sz val="11"/>
        <color rgb="FF000000"/>
        <rFont val="Arial"/>
        <family val="2"/>
        <charset val="1"/>
      </rPr>
      <t xml:space="preserve"> =</t>
    </r>
  </si>
  <si>
    <t xml:space="preserve">MHz</t>
  </si>
  <si>
    <t xml:space="preserve">Time to First Resonant Valley</t>
  </si>
  <si>
    <r>
      <rPr>
        <sz val="11"/>
        <color rgb="FF000000"/>
        <rFont val="Arial"/>
        <family val="2"/>
        <charset val="1"/>
      </rPr>
      <t xml:space="preserve">t</t>
    </r>
    <r>
      <rPr>
        <vertAlign val="subscript"/>
        <sz val="11"/>
        <color rgb="FF000000"/>
        <rFont val="Arial"/>
        <family val="2"/>
        <charset val="1"/>
      </rPr>
      <t xml:space="preserve">RES</t>
    </r>
    <r>
      <rPr>
        <sz val="11"/>
        <color rgb="FF000000"/>
        <rFont val="Arial"/>
        <family val="2"/>
        <charset val="1"/>
      </rPr>
      <t xml:space="preserve"> =</t>
    </r>
  </si>
  <si>
    <t xml:space="preserve">Estimated Maximum Duty Cycle</t>
  </si>
  <si>
    <r>
      <rPr>
        <sz val="11"/>
        <color rgb="FF000000"/>
        <rFont val="Arial"/>
        <family val="2"/>
        <charset val="1"/>
      </rPr>
      <t xml:space="preserve">D</t>
    </r>
    <r>
      <rPr>
        <vertAlign val="subscript"/>
        <sz val="11"/>
        <color rgb="FF000000"/>
        <rFont val="Arial"/>
        <family val="2"/>
        <charset val="1"/>
      </rPr>
      <t xml:space="preserve">max_target</t>
    </r>
    <r>
      <rPr>
        <sz val="11"/>
        <color rgb="FF000000"/>
        <rFont val="Arial"/>
        <family val="2"/>
        <charset val="1"/>
      </rPr>
      <t xml:space="preserve"> = </t>
    </r>
  </si>
  <si>
    <r>
      <rPr>
        <b val="true"/>
        <sz val="11"/>
        <color rgb="FF000000"/>
        <rFont val="Arial"/>
        <family val="2"/>
        <charset val="1"/>
      </rPr>
      <t xml:space="preserve">Ideal</t>
    </r>
    <r>
      <rPr>
        <sz val="11"/>
        <color rgb="FF000000"/>
        <rFont val="Arial"/>
        <family val="2"/>
        <charset val="1"/>
      </rPr>
      <t xml:space="preserve"> Primary to Secondary Turns Ratio</t>
    </r>
  </si>
  <si>
    <r>
      <rPr>
        <sz val="11"/>
        <color rgb="FF000000"/>
        <rFont val="Arial"/>
        <family val="2"/>
        <charset val="1"/>
      </rPr>
      <t xml:space="preserve">N</t>
    </r>
    <r>
      <rPr>
        <vertAlign val="subscript"/>
        <sz val="11"/>
        <color rgb="FF000000"/>
        <rFont val="Arial"/>
        <family val="2"/>
        <charset val="1"/>
      </rPr>
      <t xml:space="preserve">PSideal</t>
    </r>
    <r>
      <rPr>
        <sz val="11"/>
        <color rgb="FF000000"/>
        <rFont val="Arial"/>
        <family val="2"/>
        <charset val="1"/>
      </rPr>
      <t xml:space="preserve"> =</t>
    </r>
  </si>
  <si>
    <r>
      <rPr>
        <sz val="11"/>
        <color rgb="FF000000"/>
        <rFont val="Arial"/>
        <family val="2"/>
        <charset val="1"/>
      </rPr>
      <t xml:space="preserve">Ideal N</t>
    </r>
    <r>
      <rPr>
        <vertAlign val="subscript"/>
        <sz val="11"/>
        <color rgb="FF000000"/>
        <rFont val="Arial"/>
        <family val="2"/>
        <charset val="1"/>
      </rPr>
      <t xml:space="preserve">PS</t>
    </r>
  </si>
  <si>
    <r>
      <rPr>
        <b val="true"/>
        <sz val="11"/>
        <color rgb="FF000000"/>
        <rFont val="Arial"/>
        <family val="2"/>
        <charset val="1"/>
      </rPr>
      <t xml:space="preserve">Actual</t>
    </r>
    <r>
      <rPr>
        <sz val="11"/>
        <color rgb="FF000000"/>
        <rFont val="Arial"/>
        <family val="2"/>
        <charset val="1"/>
      </rPr>
      <t xml:space="preserve"> Primary to Secondary Turns Ratio</t>
    </r>
  </si>
  <si>
    <r>
      <rPr>
        <sz val="11"/>
        <color rgb="FF000000"/>
        <rFont val="Arial"/>
        <family val="2"/>
        <charset val="1"/>
      </rPr>
      <t xml:space="preserve">N</t>
    </r>
    <r>
      <rPr>
        <vertAlign val="subscript"/>
        <sz val="11"/>
        <color rgb="FF000000"/>
        <rFont val="Arial"/>
        <family val="2"/>
        <charset val="1"/>
      </rPr>
      <t xml:space="preserve">PSactual</t>
    </r>
    <r>
      <rPr>
        <sz val="11"/>
        <color rgb="FF000000"/>
        <rFont val="Arial"/>
        <family val="2"/>
        <charset val="1"/>
      </rPr>
      <t xml:space="preserve"> =</t>
    </r>
  </si>
  <si>
    <t xml:space="preserve">Primary to Secondary Turns Ratio Used in Calculations</t>
  </si>
  <si>
    <r>
      <rPr>
        <sz val="11"/>
        <color rgb="FF000000"/>
        <rFont val="Arial"/>
        <family val="2"/>
        <charset val="1"/>
      </rPr>
      <t xml:space="preserve">N</t>
    </r>
    <r>
      <rPr>
        <vertAlign val="subscript"/>
        <sz val="11"/>
        <color rgb="FF000000"/>
        <rFont val="Arial"/>
        <family val="2"/>
        <charset val="1"/>
      </rPr>
      <t xml:space="preserve">PS</t>
    </r>
    <r>
      <rPr>
        <sz val="11"/>
        <color rgb="FF000000"/>
        <rFont val="Arial"/>
        <family val="2"/>
        <charset val="1"/>
      </rPr>
      <t xml:space="preserve"> =</t>
    </r>
  </si>
  <si>
    <t xml:space="preserve">Actual Flyback Voltage</t>
  </si>
  <si>
    <r>
      <rPr>
        <sz val="11"/>
        <color rgb="FF000000"/>
        <rFont val="Arial"/>
        <family val="2"/>
        <charset val="1"/>
      </rPr>
      <t xml:space="preserve">V</t>
    </r>
    <r>
      <rPr>
        <vertAlign val="subscript"/>
        <sz val="11"/>
        <color rgb="FF000000"/>
        <rFont val="Arial"/>
        <family val="2"/>
        <charset val="1"/>
      </rPr>
      <t xml:space="preserve">FLYBACK</t>
    </r>
    <r>
      <rPr>
        <sz val="11"/>
        <color rgb="FF000000"/>
        <rFont val="Arial"/>
        <family val="2"/>
        <charset val="1"/>
      </rPr>
      <t xml:space="preserve"> =</t>
    </r>
  </si>
  <si>
    <t xml:space="preserve">Allowable Leakage Inductance Voltage Spike</t>
  </si>
  <si>
    <r>
      <rPr>
        <sz val="11"/>
        <color rgb="FF000000"/>
        <rFont val="Arial"/>
        <family val="2"/>
        <charset val="1"/>
      </rPr>
      <t xml:space="preserve">V</t>
    </r>
    <r>
      <rPr>
        <vertAlign val="subscript"/>
        <sz val="11"/>
        <color rgb="FF000000"/>
        <rFont val="Arial"/>
        <family val="2"/>
        <charset val="1"/>
      </rPr>
      <t xml:space="preserve">LEAKAGE</t>
    </r>
    <r>
      <rPr>
        <sz val="11"/>
        <color rgb="FF000000"/>
        <rFont val="Arial"/>
        <family val="2"/>
        <charset val="1"/>
      </rPr>
      <t xml:space="preserve"> =</t>
    </r>
  </si>
  <si>
    <t xml:space="preserve">Estimated Maximum On-Time</t>
  </si>
  <si>
    <r>
      <rPr>
        <sz val="11"/>
        <color rgb="FF000000"/>
        <rFont val="Arial"/>
        <family val="2"/>
        <charset val="1"/>
      </rPr>
      <t xml:space="preserve">t</t>
    </r>
    <r>
      <rPr>
        <vertAlign val="subscript"/>
        <sz val="11"/>
        <color rgb="FF000000"/>
        <rFont val="Arial"/>
        <family val="2"/>
        <charset val="1"/>
      </rPr>
      <t xml:space="preserve">ONestimated</t>
    </r>
    <r>
      <rPr>
        <sz val="11"/>
        <color rgb="FF000000"/>
        <rFont val="Arial"/>
        <family val="2"/>
        <charset val="1"/>
      </rPr>
      <t xml:space="preserve"> =</t>
    </r>
  </si>
  <si>
    <t xml:space="preserve">Estimated Transformer Efficiency</t>
  </si>
  <si>
    <r>
      <rPr>
        <sz val="11"/>
        <color rgb="FF000000"/>
        <rFont val="Arial"/>
        <family val="2"/>
        <charset val="1"/>
      </rPr>
      <t xml:space="preserve">η</t>
    </r>
    <r>
      <rPr>
        <vertAlign val="subscript"/>
        <sz val="11"/>
        <color rgb="FF000000"/>
        <rFont val="Arial"/>
        <family val="2"/>
        <charset val="1"/>
      </rPr>
      <t xml:space="preserve">XFMR</t>
    </r>
    <r>
      <rPr>
        <sz val="11"/>
        <color rgb="FF000000"/>
        <rFont val="Arial"/>
        <family val="2"/>
        <charset val="1"/>
      </rPr>
      <t xml:space="preserve"> =</t>
    </r>
  </si>
  <si>
    <r>
      <rPr>
        <b val="true"/>
        <i val="true"/>
        <sz val="12"/>
        <color rgb="FFFFFFFF"/>
        <rFont val="Arial"/>
        <family val="2"/>
        <charset val="1"/>
      </rPr>
      <t xml:space="preserve">CURRENT SENSE RESISTOR, R</t>
    </r>
    <r>
      <rPr>
        <b val="true"/>
        <i val="true"/>
        <vertAlign val="subscript"/>
        <sz val="12"/>
        <color rgb="FFFFFFFF"/>
        <rFont val="Arial"/>
        <family val="2"/>
        <charset val="1"/>
      </rPr>
      <t xml:space="preserve">CS</t>
    </r>
    <r>
      <rPr>
        <b val="true"/>
        <i val="true"/>
        <sz val="12"/>
        <color rgb="FFFFFFFF"/>
        <rFont val="Arial"/>
        <family val="2"/>
        <charset val="1"/>
      </rPr>
      <t xml:space="preserve">, PEAK PRIMARY CURRENT, I</t>
    </r>
    <r>
      <rPr>
        <b val="true"/>
        <i val="true"/>
        <vertAlign val="subscript"/>
        <sz val="12"/>
        <color rgb="FFFFFFFF"/>
        <rFont val="Arial"/>
        <family val="2"/>
        <charset val="1"/>
      </rPr>
      <t xml:space="preserve">PP</t>
    </r>
  </si>
  <si>
    <t xml:space="preserve">Constant Current Regulation Factor, Minimum</t>
  </si>
  <si>
    <r>
      <rPr>
        <sz val="11"/>
        <rFont val="Arial"/>
        <family val="2"/>
        <charset val="1"/>
      </rPr>
      <t xml:space="preserve">V</t>
    </r>
    <r>
      <rPr>
        <vertAlign val="subscript"/>
        <sz val="11"/>
        <rFont val="Arial"/>
        <family val="2"/>
        <charset val="1"/>
      </rPr>
      <t xml:space="preserve">CCR_min</t>
    </r>
    <r>
      <rPr>
        <sz val="11"/>
        <rFont val="Arial"/>
        <family val="2"/>
        <charset val="1"/>
      </rPr>
      <t xml:space="preserve"> =</t>
    </r>
  </si>
  <si>
    <t xml:space="preserve">Constant Current Regulation Factor, Nominal</t>
  </si>
  <si>
    <r>
      <rPr>
        <sz val="11"/>
        <rFont val="Arial"/>
        <family val="2"/>
        <charset val="1"/>
      </rPr>
      <t xml:space="preserve">V</t>
    </r>
    <r>
      <rPr>
        <vertAlign val="subscript"/>
        <sz val="11"/>
        <rFont val="Arial"/>
        <family val="2"/>
        <charset val="1"/>
      </rPr>
      <t xml:space="preserve">CCR_nom</t>
    </r>
    <r>
      <rPr>
        <sz val="11"/>
        <rFont val="Arial"/>
        <family val="2"/>
        <charset val="1"/>
      </rPr>
      <t xml:space="preserve"> =</t>
    </r>
  </si>
  <si>
    <r>
      <rPr>
        <sz val="11"/>
        <rFont val="Arial"/>
        <family val="2"/>
        <charset val="1"/>
      </rPr>
      <t xml:space="preserve">Initial estimate for L</t>
    </r>
    <r>
      <rPr>
        <vertAlign val="subscript"/>
        <sz val="11"/>
        <rFont val="Arial"/>
        <family val="2"/>
        <charset val="1"/>
      </rPr>
      <t xml:space="preserve">P</t>
    </r>
  </si>
  <si>
    <r>
      <rPr>
        <sz val="11"/>
        <rFont val="Arial"/>
        <family val="2"/>
        <charset val="1"/>
      </rPr>
      <t xml:space="preserve">L</t>
    </r>
    <r>
      <rPr>
        <vertAlign val="subscript"/>
        <sz val="11"/>
        <rFont val="Arial"/>
        <family val="2"/>
        <charset val="1"/>
      </rPr>
      <t xml:space="preserve">P_estimate</t>
    </r>
    <r>
      <rPr>
        <sz val="11"/>
        <rFont val="Arial"/>
        <family val="2"/>
        <charset val="1"/>
      </rPr>
      <t xml:space="preserve"> =</t>
    </r>
  </si>
  <si>
    <r>
      <rPr>
        <b val="true"/>
        <sz val="11"/>
        <color rgb="FF000000"/>
        <rFont val="Arial"/>
        <family val="2"/>
        <charset val="1"/>
      </rPr>
      <t xml:space="preserve">Recommended</t>
    </r>
    <r>
      <rPr>
        <sz val="11"/>
        <color rgb="FF000000"/>
        <rFont val="Arial"/>
        <family val="2"/>
        <charset val="1"/>
      </rPr>
      <t xml:space="preserve"> Current Sense Resistor Value</t>
    </r>
  </si>
  <si>
    <r>
      <rPr>
        <sz val="11"/>
        <color rgb="FF000000"/>
        <rFont val="Arial"/>
        <family val="2"/>
        <charset val="1"/>
      </rPr>
      <t xml:space="preserve">R</t>
    </r>
    <r>
      <rPr>
        <vertAlign val="subscript"/>
        <sz val="11"/>
        <color rgb="FF000000"/>
        <rFont val="Arial"/>
        <family val="2"/>
        <charset val="1"/>
      </rPr>
      <t xml:space="preserve">CSrecommended</t>
    </r>
    <r>
      <rPr>
        <sz val="11"/>
        <color rgb="FF000000"/>
        <rFont val="Arial"/>
        <family val="2"/>
        <charset val="1"/>
      </rPr>
      <t xml:space="preserve"> =</t>
    </r>
  </si>
  <si>
    <r>
      <rPr>
        <b val="true"/>
        <sz val="11"/>
        <color rgb="FF000000"/>
        <rFont val="Arial"/>
        <family val="2"/>
        <charset val="1"/>
      </rPr>
      <t xml:space="preserve">Actual</t>
    </r>
    <r>
      <rPr>
        <sz val="11"/>
        <color rgb="FF000000"/>
        <rFont val="Arial"/>
        <family val="2"/>
        <charset val="1"/>
      </rPr>
      <t xml:space="preserve"> Current Sense Resistor Used</t>
    </r>
  </si>
  <si>
    <r>
      <rPr>
        <sz val="11"/>
        <color rgb="FF000000"/>
        <rFont val="Arial"/>
        <family val="2"/>
        <charset val="1"/>
      </rPr>
      <t xml:space="preserve">R</t>
    </r>
    <r>
      <rPr>
        <vertAlign val="subscript"/>
        <sz val="11"/>
        <color rgb="FF000000"/>
        <rFont val="Arial"/>
        <family val="2"/>
        <charset val="1"/>
      </rPr>
      <t xml:space="preserve">CSactual</t>
    </r>
    <r>
      <rPr>
        <sz val="11"/>
        <color rgb="FF000000"/>
        <rFont val="Arial"/>
        <family val="2"/>
        <charset val="1"/>
      </rPr>
      <t xml:space="preserve"> =</t>
    </r>
  </si>
  <si>
    <t xml:space="preserve">Current Sense Resistor Value Used in Calculation</t>
  </si>
  <si>
    <r>
      <rPr>
        <sz val="11"/>
        <color rgb="FF000000"/>
        <rFont val="Arial"/>
        <family val="2"/>
        <charset val="1"/>
      </rPr>
      <t xml:space="preserve"> R</t>
    </r>
    <r>
      <rPr>
        <vertAlign val="subscript"/>
        <sz val="11"/>
        <color rgb="FF000000"/>
        <rFont val="Arial"/>
        <family val="2"/>
        <charset val="1"/>
      </rPr>
      <t xml:space="preserve">CS</t>
    </r>
    <r>
      <rPr>
        <sz val="11"/>
        <color rgb="FF000000"/>
        <rFont val="Arial"/>
        <family val="2"/>
        <charset val="1"/>
      </rPr>
      <t xml:space="preserve"> =</t>
    </r>
  </si>
  <si>
    <r>
      <rPr>
        <sz val="11"/>
        <color rgb="FF000000"/>
        <rFont val="Arial"/>
        <family val="2"/>
        <charset val="1"/>
      </rPr>
      <t xml:space="preserve">Power Dissipation of R</t>
    </r>
    <r>
      <rPr>
        <vertAlign val="subscript"/>
        <sz val="11"/>
        <color rgb="FF000000"/>
        <rFont val="Arial"/>
        <family val="2"/>
        <charset val="1"/>
      </rPr>
      <t xml:space="preserve">CS</t>
    </r>
  </si>
  <si>
    <r>
      <rPr>
        <sz val="11"/>
        <color rgb="FF000000"/>
        <rFont val="Arial"/>
        <family val="2"/>
        <charset val="1"/>
      </rPr>
      <t xml:space="preserve">P</t>
    </r>
    <r>
      <rPr>
        <vertAlign val="subscript"/>
        <sz val="11"/>
        <color rgb="FF000000"/>
        <rFont val="Arial"/>
        <family val="2"/>
        <charset val="1"/>
      </rPr>
      <t xml:space="preserve">Rcs</t>
    </r>
    <r>
      <rPr>
        <sz val="11"/>
        <color rgb="FF000000"/>
        <rFont val="Arial"/>
        <family val="2"/>
        <charset val="1"/>
      </rPr>
      <t xml:space="preserve"> =</t>
    </r>
  </si>
  <si>
    <t xml:space="preserve">Maximum Current Sense Threshold Voltage, Minimum</t>
  </si>
  <si>
    <r>
      <rPr>
        <sz val="11"/>
        <color rgb="FF000000"/>
        <rFont val="Arial"/>
        <family val="2"/>
        <charset val="1"/>
      </rPr>
      <t xml:space="preserve">V</t>
    </r>
    <r>
      <rPr>
        <vertAlign val="subscript"/>
        <sz val="11"/>
        <color rgb="FF000000"/>
        <rFont val="Arial"/>
        <family val="2"/>
        <charset val="1"/>
      </rPr>
      <t xml:space="preserve">CSTmax_min</t>
    </r>
    <r>
      <rPr>
        <sz val="11"/>
        <color rgb="FF000000"/>
        <rFont val="Arial"/>
        <family val="2"/>
        <charset val="1"/>
      </rPr>
      <t xml:space="preserve"> =</t>
    </r>
  </si>
  <si>
    <t xml:space="preserve">Maximum Current Sense Threshold Voltage, Nominal</t>
  </si>
  <si>
    <r>
      <rPr>
        <sz val="11"/>
        <color rgb="FF000000"/>
        <rFont val="Arial"/>
        <family val="2"/>
        <charset val="1"/>
      </rPr>
      <t xml:space="preserve">V</t>
    </r>
    <r>
      <rPr>
        <vertAlign val="subscript"/>
        <sz val="11"/>
        <color rgb="FF000000"/>
        <rFont val="Arial"/>
        <family val="2"/>
        <charset val="1"/>
      </rPr>
      <t xml:space="preserve">CSTmax_nom</t>
    </r>
    <r>
      <rPr>
        <sz val="11"/>
        <color rgb="FF000000"/>
        <rFont val="Arial"/>
        <family val="2"/>
        <charset val="1"/>
      </rPr>
      <t xml:space="preserve"> =</t>
    </r>
  </si>
  <si>
    <t xml:space="preserve">Maximum Current Sense Threshold Voltage, Maximum</t>
  </si>
  <si>
    <r>
      <rPr>
        <sz val="11"/>
        <color rgb="FF000000"/>
        <rFont val="Arial"/>
        <family val="2"/>
        <charset val="1"/>
      </rPr>
      <t xml:space="preserve">V</t>
    </r>
    <r>
      <rPr>
        <vertAlign val="subscript"/>
        <sz val="11"/>
        <color rgb="FF000000"/>
        <rFont val="Arial"/>
        <family val="2"/>
        <charset val="1"/>
      </rPr>
      <t xml:space="preserve">CSTmax_max</t>
    </r>
    <r>
      <rPr>
        <sz val="11"/>
        <color rgb="FF000000"/>
        <rFont val="Arial"/>
        <family val="2"/>
        <charset val="1"/>
      </rPr>
      <t xml:space="preserve"> =</t>
    </r>
  </si>
  <si>
    <t xml:space="preserve">Peak Primary Current, Minimum, Full Load</t>
  </si>
  <si>
    <r>
      <rPr>
        <sz val="11"/>
        <color rgb="FF000000"/>
        <rFont val="Arial"/>
        <family val="2"/>
        <charset val="1"/>
      </rPr>
      <t xml:space="preserve">I</t>
    </r>
    <r>
      <rPr>
        <vertAlign val="subscript"/>
        <sz val="11"/>
        <color rgb="FF000000"/>
        <rFont val="Arial"/>
        <family val="2"/>
        <charset val="1"/>
      </rPr>
      <t xml:space="preserve">PPmin</t>
    </r>
    <r>
      <rPr>
        <sz val="11"/>
        <color rgb="FF000000"/>
        <rFont val="Arial"/>
        <family val="2"/>
        <charset val="1"/>
      </rPr>
      <t xml:space="preserve"> =</t>
    </r>
  </si>
  <si>
    <t xml:space="preserve">Peak Primary Current, Nominal, Full Load</t>
  </si>
  <si>
    <r>
      <rPr>
        <b val="true"/>
        <sz val="11"/>
        <color rgb="FF000000"/>
        <rFont val="Arial"/>
        <family val="2"/>
        <charset val="1"/>
      </rPr>
      <t xml:space="preserve">I</t>
    </r>
    <r>
      <rPr>
        <b val="true"/>
        <vertAlign val="subscript"/>
        <sz val="11"/>
        <color rgb="FF000000"/>
        <rFont val="Arial"/>
        <family val="2"/>
        <charset val="1"/>
      </rPr>
      <t xml:space="preserve">PPnom</t>
    </r>
    <r>
      <rPr>
        <b val="true"/>
        <sz val="11"/>
        <color rgb="FF000000"/>
        <rFont val="Arial"/>
        <family val="2"/>
        <charset val="1"/>
      </rPr>
      <t xml:space="preserve"> =</t>
    </r>
  </si>
  <si>
    <t xml:space="preserve">Peak Primary Current, Maximum, Full Load</t>
  </si>
  <si>
    <r>
      <rPr>
        <sz val="11"/>
        <color rgb="FF000000"/>
        <rFont val="Arial"/>
        <family val="2"/>
        <charset val="1"/>
      </rPr>
      <t xml:space="preserve">I</t>
    </r>
    <r>
      <rPr>
        <vertAlign val="subscript"/>
        <sz val="11"/>
        <color rgb="FF000000"/>
        <rFont val="Arial"/>
        <family val="2"/>
        <charset val="1"/>
      </rPr>
      <t xml:space="preserve">PPmax</t>
    </r>
    <r>
      <rPr>
        <sz val="11"/>
        <color rgb="FF000000"/>
        <rFont val="Arial"/>
        <family val="2"/>
        <charset val="1"/>
      </rPr>
      <t xml:space="preserve"> =</t>
    </r>
  </si>
  <si>
    <t xml:space="preserve">Actual Output Current During Constant Current Mode</t>
  </si>
  <si>
    <r>
      <rPr>
        <b val="true"/>
        <sz val="11"/>
        <color rgb="FF000000"/>
        <rFont val="Arial"/>
        <family val="2"/>
        <charset val="1"/>
      </rPr>
      <t xml:space="preserve">I</t>
    </r>
    <r>
      <rPr>
        <b val="true"/>
        <vertAlign val="subscript"/>
        <sz val="11"/>
        <color rgb="FF000000"/>
        <rFont val="Arial"/>
        <family val="2"/>
        <charset val="1"/>
      </rPr>
      <t xml:space="preserve">OCC_actual</t>
    </r>
    <r>
      <rPr>
        <b val="true"/>
        <sz val="11"/>
        <color rgb="FF000000"/>
        <rFont val="Arial"/>
        <family val="2"/>
        <charset val="1"/>
      </rPr>
      <t xml:space="preserve"> =</t>
    </r>
  </si>
  <si>
    <t xml:space="preserve">Peak Primary Current During Light Load, FM Mode </t>
  </si>
  <si>
    <r>
      <rPr>
        <sz val="11"/>
        <color rgb="FF000000"/>
        <rFont val="Arial"/>
        <family val="2"/>
        <charset val="1"/>
      </rPr>
      <t xml:space="preserve">I</t>
    </r>
    <r>
      <rPr>
        <vertAlign val="subscript"/>
        <sz val="11"/>
        <color rgb="FF000000"/>
        <rFont val="Arial"/>
        <family val="2"/>
        <charset val="1"/>
      </rPr>
      <t xml:space="preserve">PP_FM</t>
    </r>
    <r>
      <rPr>
        <sz val="11"/>
        <color rgb="FF000000"/>
        <rFont val="Arial"/>
        <family val="2"/>
        <charset val="1"/>
      </rPr>
      <t xml:space="preserve"> =</t>
    </r>
  </si>
  <si>
    <t xml:space="preserve">Worst Case Peak Primary Current</t>
  </si>
  <si>
    <r>
      <rPr>
        <sz val="11"/>
        <color rgb="FF000000"/>
        <rFont val="Arial"/>
        <family val="2"/>
        <charset val="1"/>
      </rPr>
      <t xml:space="preserve">I</t>
    </r>
    <r>
      <rPr>
        <vertAlign val="subscript"/>
        <sz val="11"/>
        <color rgb="FF000000"/>
        <rFont val="Arial"/>
        <family val="2"/>
        <charset val="1"/>
      </rPr>
      <t xml:space="preserve">PP_WC</t>
    </r>
    <r>
      <rPr>
        <sz val="11"/>
        <color rgb="FF000000"/>
        <rFont val="Arial"/>
        <family val="2"/>
        <charset val="1"/>
      </rPr>
      <t xml:space="preserve"> =</t>
    </r>
  </si>
  <si>
    <r>
      <rPr>
        <sz val="11"/>
        <color rgb="FF000000"/>
        <rFont val="Arial"/>
        <family val="2"/>
        <charset val="1"/>
      </rPr>
      <t xml:space="preserve">Assumes -1%R</t>
    </r>
    <r>
      <rPr>
        <vertAlign val="subscript"/>
        <sz val="11"/>
        <color rgb="FF000000"/>
        <rFont val="Arial"/>
        <family val="2"/>
        <charset val="1"/>
      </rPr>
      <t xml:space="preserve">CS</t>
    </r>
    <r>
      <rPr>
        <sz val="11"/>
        <color rgb="FF000000"/>
        <rFont val="Arial"/>
        <family val="2"/>
        <charset val="1"/>
      </rPr>
      <t xml:space="preserve"> and V</t>
    </r>
    <r>
      <rPr>
        <vertAlign val="subscript"/>
        <sz val="11"/>
        <color rgb="FF000000"/>
        <rFont val="Arial"/>
        <family val="2"/>
        <charset val="1"/>
      </rPr>
      <t xml:space="preserve">CSTmax_max</t>
    </r>
  </si>
  <si>
    <t xml:space="preserve">Maximum Output Current During Constant Current Mode</t>
  </si>
  <si>
    <r>
      <rPr>
        <sz val="11"/>
        <color rgb="FF000000"/>
        <rFont val="Arial"/>
        <family val="2"/>
        <charset val="1"/>
      </rPr>
      <t xml:space="preserve">I</t>
    </r>
    <r>
      <rPr>
        <vertAlign val="subscript"/>
        <sz val="11"/>
        <color rgb="FF000000"/>
        <rFont val="Arial"/>
        <family val="2"/>
        <charset val="1"/>
      </rPr>
      <t xml:space="preserve">OCCmax</t>
    </r>
    <r>
      <rPr>
        <sz val="11"/>
        <color rgb="FF000000"/>
        <rFont val="Arial"/>
        <family val="2"/>
        <charset val="1"/>
      </rPr>
      <t xml:space="preserve"> =</t>
    </r>
  </si>
  <si>
    <t xml:space="preserve">Worst Case Estimate</t>
  </si>
  <si>
    <r>
      <rPr>
        <b val="true"/>
        <i val="true"/>
        <sz val="12"/>
        <color rgb="FFFFFFFF"/>
        <rFont val="Arial"/>
        <family val="2"/>
        <charset val="1"/>
      </rPr>
      <t xml:space="preserve">TRANSFORMER PRIMARY INDUCTANCE, L</t>
    </r>
    <r>
      <rPr>
        <b val="true"/>
        <i val="true"/>
        <vertAlign val="subscript"/>
        <sz val="12"/>
        <color rgb="FFFFFFFF"/>
        <rFont val="Arial"/>
        <family val="2"/>
        <charset val="1"/>
      </rPr>
      <t xml:space="preserve">P</t>
    </r>
  </si>
  <si>
    <r>
      <rPr>
        <sz val="12"/>
        <color rgb="FF000000"/>
        <rFont val="Arial"/>
        <family val="2"/>
        <charset val="1"/>
      </rPr>
      <t xml:space="preserve">Calculated L</t>
    </r>
    <r>
      <rPr>
        <vertAlign val="subscript"/>
        <sz val="12"/>
        <color rgb="FF000000"/>
        <rFont val="Arial"/>
        <family val="2"/>
        <charset val="1"/>
      </rPr>
      <t xml:space="preserve">P</t>
    </r>
    <r>
      <rPr>
        <sz val="12"/>
        <color rgb="FF000000"/>
        <rFont val="Arial"/>
        <family val="2"/>
        <charset val="1"/>
      </rPr>
      <t xml:space="preserve"> to meet f</t>
    </r>
    <r>
      <rPr>
        <vertAlign val="subscript"/>
        <sz val="12"/>
        <color rgb="FF000000"/>
        <rFont val="Arial"/>
        <family val="2"/>
        <charset val="1"/>
      </rPr>
      <t xml:space="preserve">max_target</t>
    </r>
    <r>
      <rPr>
        <sz val="12"/>
        <color rgb="FF000000"/>
        <rFont val="Arial"/>
        <family val="2"/>
        <charset val="1"/>
      </rPr>
      <t xml:space="preserve"> with chosen R</t>
    </r>
    <r>
      <rPr>
        <vertAlign val="subscript"/>
        <sz val="12"/>
        <color rgb="FF000000"/>
        <rFont val="Arial"/>
        <family val="2"/>
        <charset val="1"/>
      </rPr>
      <t xml:space="preserve">CS</t>
    </r>
  </si>
  <si>
    <r>
      <rPr>
        <sz val="12"/>
        <color rgb="FF000000"/>
        <rFont val="Arial"/>
        <family val="2"/>
        <charset val="1"/>
      </rPr>
      <t xml:space="preserve">L</t>
    </r>
    <r>
      <rPr>
        <vertAlign val="subscript"/>
        <sz val="12"/>
        <color rgb="FF000000"/>
        <rFont val="Arial"/>
        <family val="2"/>
        <charset val="1"/>
      </rPr>
      <t xml:space="preserve">Pcalc</t>
    </r>
    <r>
      <rPr>
        <sz val="12"/>
        <color rgb="FF000000"/>
        <rFont val="Arial"/>
        <family val="2"/>
        <charset val="1"/>
      </rPr>
      <t xml:space="preserve"> =</t>
    </r>
  </si>
  <si>
    <r>
      <rPr>
        <b val="true"/>
        <sz val="11"/>
        <color rgb="FF000000"/>
        <rFont val="Arial"/>
        <family val="2"/>
        <charset val="1"/>
      </rPr>
      <t xml:space="preserve">Recommended</t>
    </r>
    <r>
      <rPr>
        <sz val="11"/>
        <color rgb="FF000000"/>
        <rFont val="Arial"/>
        <family val="2"/>
        <charset val="1"/>
      </rPr>
      <t xml:space="preserve"> Primary Inductance to meet t</t>
    </r>
    <r>
      <rPr>
        <vertAlign val="subscript"/>
        <sz val="11"/>
        <color rgb="FF000000"/>
        <rFont val="Arial"/>
        <family val="2"/>
        <charset val="1"/>
      </rPr>
      <t xml:space="preserve">CSLEB</t>
    </r>
    <r>
      <rPr>
        <sz val="11"/>
        <color rgb="FF000000"/>
        <rFont val="Arial"/>
        <family val="2"/>
        <charset val="1"/>
      </rPr>
      <t xml:space="preserve"> with chosen R</t>
    </r>
    <r>
      <rPr>
        <vertAlign val="subscript"/>
        <sz val="11"/>
        <color rgb="FF000000"/>
        <rFont val="Arial"/>
        <family val="2"/>
        <charset val="1"/>
      </rPr>
      <t xml:space="preserve">CS</t>
    </r>
  </si>
  <si>
    <r>
      <rPr>
        <sz val="11"/>
        <color rgb="FF000000"/>
        <rFont val="Arial"/>
        <family val="2"/>
        <charset val="1"/>
      </rPr>
      <t xml:space="preserve">L</t>
    </r>
    <r>
      <rPr>
        <vertAlign val="subscript"/>
        <sz val="11"/>
        <color rgb="FF000000"/>
        <rFont val="Arial"/>
        <family val="2"/>
        <charset val="1"/>
      </rPr>
      <t xml:space="preserve">Precommended</t>
    </r>
    <r>
      <rPr>
        <sz val="11"/>
        <color rgb="FF000000"/>
        <rFont val="Arial"/>
        <family val="2"/>
        <charset val="1"/>
      </rPr>
      <t xml:space="preserve"> =</t>
    </r>
  </si>
  <si>
    <r>
      <rPr>
        <sz val="11"/>
        <color rgb="FF000000"/>
        <rFont val="Arial"/>
        <family val="2"/>
        <charset val="1"/>
      </rPr>
      <t xml:space="preserve">Ideal L</t>
    </r>
    <r>
      <rPr>
        <vertAlign val="subscript"/>
        <sz val="11"/>
        <color rgb="FF000000"/>
        <rFont val="Arial"/>
        <family val="2"/>
        <charset val="1"/>
      </rPr>
      <t xml:space="preserve">P</t>
    </r>
  </si>
  <si>
    <r>
      <rPr>
        <b val="true"/>
        <sz val="11"/>
        <color rgb="FF000000"/>
        <rFont val="Arial"/>
        <family val="2"/>
        <charset val="1"/>
      </rPr>
      <t xml:space="preserve">Actual</t>
    </r>
    <r>
      <rPr>
        <sz val="11"/>
        <color rgb="FF000000"/>
        <rFont val="Arial"/>
        <family val="2"/>
        <charset val="1"/>
      </rPr>
      <t xml:space="preserve"> Primary Inductance</t>
    </r>
  </si>
  <si>
    <r>
      <rPr>
        <sz val="11"/>
        <color rgb="FF000000"/>
        <rFont val="Arial"/>
        <family val="2"/>
        <charset val="1"/>
      </rPr>
      <t xml:space="preserve">L</t>
    </r>
    <r>
      <rPr>
        <vertAlign val="subscript"/>
        <sz val="11"/>
        <color rgb="FF000000"/>
        <rFont val="Arial"/>
        <family val="2"/>
        <charset val="1"/>
      </rPr>
      <t xml:space="preserve">Pactual</t>
    </r>
    <r>
      <rPr>
        <sz val="11"/>
        <color rgb="FF000000"/>
        <rFont val="Arial"/>
        <family val="2"/>
        <charset val="1"/>
      </rPr>
      <t xml:space="preserve"> =</t>
    </r>
  </si>
  <si>
    <t xml:space="preserve">Primary Inductance Used in Calculations</t>
  </si>
  <si>
    <r>
      <rPr>
        <sz val="11"/>
        <color rgb="FF000000"/>
        <rFont val="Arial"/>
        <family val="2"/>
        <charset val="1"/>
      </rPr>
      <t xml:space="preserve">L</t>
    </r>
    <r>
      <rPr>
        <vertAlign val="subscript"/>
        <sz val="11"/>
        <color rgb="FF000000"/>
        <rFont val="Arial"/>
        <family val="2"/>
        <charset val="1"/>
      </rPr>
      <t xml:space="preserve">P</t>
    </r>
    <r>
      <rPr>
        <sz val="11"/>
        <color rgb="FF000000"/>
        <rFont val="Arial"/>
        <family val="2"/>
        <charset val="1"/>
      </rPr>
      <t xml:space="preserve"> =</t>
    </r>
  </si>
  <si>
    <t xml:space="preserve">Actual Maximum Nominal Switching Frequency</t>
  </si>
  <si>
    <r>
      <rPr>
        <b val="true"/>
        <sz val="11"/>
        <color rgb="FF000000"/>
        <rFont val="Arial"/>
        <family val="2"/>
        <charset val="1"/>
      </rPr>
      <t xml:space="preserve">f</t>
    </r>
    <r>
      <rPr>
        <b val="true"/>
        <vertAlign val="subscript"/>
        <sz val="11"/>
        <color rgb="FF000000"/>
        <rFont val="Arial"/>
        <family val="2"/>
        <charset val="1"/>
      </rPr>
      <t xml:space="preserve">max</t>
    </r>
    <r>
      <rPr>
        <b val="true"/>
        <sz val="11"/>
        <color rgb="FF000000"/>
        <rFont val="Arial"/>
        <family val="2"/>
        <charset val="1"/>
      </rPr>
      <t xml:space="preserve"> =</t>
    </r>
  </si>
  <si>
    <t xml:space="preserve">Actual Switching Period</t>
  </si>
  <si>
    <r>
      <rPr>
        <sz val="11"/>
        <color rgb="FF000000"/>
        <rFont val="Arial"/>
        <family val="2"/>
        <charset val="1"/>
      </rPr>
      <t xml:space="preserve">t</t>
    </r>
    <r>
      <rPr>
        <vertAlign val="subscript"/>
        <sz val="11"/>
        <color rgb="FF000000"/>
        <rFont val="Arial"/>
        <family val="2"/>
        <charset val="1"/>
      </rPr>
      <t xml:space="preserve">SWactual</t>
    </r>
    <r>
      <rPr>
        <sz val="11"/>
        <color rgb="FF000000"/>
        <rFont val="Arial"/>
        <family val="2"/>
        <charset val="1"/>
      </rPr>
      <t xml:space="preserve"> =</t>
    </r>
  </si>
  <si>
    <t xml:space="preserve">Actual Maximum On-Time</t>
  </si>
  <si>
    <r>
      <rPr>
        <sz val="11"/>
        <color rgb="FF000000"/>
        <rFont val="Arial"/>
        <family val="2"/>
        <charset val="1"/>
      </rPr>
      <t xml:space="preserve">t</t>
    </r>
    <r>
      <rPr>
        <vertAlign val="subscript"/>
        <sz val="11"/>
        <color rgb="FF000000"/>
        <rFont val="Arial"/>
        <family val="2"/>
        <charset val="1"/>
      </rPr>
      <t xml:space="preserve">ONmax</t>
    </r>
    <r>
      <rPr>
        <sz val="11"/>
        <color rgb="FF000000"/>
        <rFont val="Arial"/>
        <family val="2"/>
        <charset val="1"/>
      </rPr>
      <t xml:space="preserve"> =</t>
    </r>
  </si>
  <si>
    <t xml:space="preserve">Maximum Duty Cycle</t>
  </si>
  <si>
    <r>
      <rPr>
        <sz val="11"/>
        <color rgb="FF000000"/>
        <rFont val="Arial"/>
        <family val="2"/>
        <charset val="1"/>
      </rPr>
      <t xml:space="preserve">D</t>
    </r>
    <r>
      <rPr>
        <vertAlign val="subscript"/>
        <sz val="11"/>
        <color rgb="FF000000"/>
        <rFont val="Arial"/>
        <family val="2"/>
        <charset val="1"/>
      </rPr>
      <t xml:space="preserve">MAX</t>
    </r>
    <r>
      <rPr>
        <sz val="11"/>
        <color rgb="FF000000"/>
        <rFont val="Arial"/>
        <family val="2"/>
        <charset val="1"/>
      </rPr>
      <t xml:space="preserve"> =</t>
    </r>
  </si>
  <si>
    <t xml:space="preserve">Demagnetization Time</t>
  </si>
  <si>
    <r>
      <rPr>
        <sz val="11"/>
        <color rgb="FF000000"/>
        <rFont val="Arial"/>
        <family val="2"/>
        <charset val="1"/>
      </rPr>
      <t xml:space="preserve">t</t>
    </r>
    <r>
      <rPr>
        <vertAlign val="subscript"/>
        <sz val="11"/>
        <color rgb="FF000000"/>
        <rFont val="Arial"/>
        <family val="2"/>
        <charset val="1"/>
      </rPr>
      <t xml:space="preserve">DEMAG</t>
    </r>
    <r>
      <rPr>
        <sz val="11"/>
        <color rgb="FF000000"/>
        <rFont val="Arial"/>
        <family val="2"/>
        <charset val="1"/>
      </rPr>
      <t xml:space="preserve"> =</t>
    </r>
  </si>
  <si>
    <t xml:space="preserve">Primary RMS Current</t>
  </si>
  <si>
    <r>
      <rPr>
        <sz val="11"/>
        <color rgb="FF000000"/>
        <rFont val="Arial"/>
        <family val="2"/>
        <charset val="1"/>
      </rPr>
      <t xml:space="preserve">I</t>
    </r>
    <r>
      <rPr>
        <vertAlign val="subscript"/>
        <sz val="11"/>
        <color rgb="FF000000"/>
        <rFont val="Arial"/>
        <family val="2"/>
        <charset val="1"/>
      </rPr>
      <t xml:space="preserve">PRI_RMS</t>
    </r>
    <r>
      <rPr>
        <sz val="11"/>
        <color rgb="FF000000"/>
        <rFont val="Arial"/>
        <family val="2"/>
        <charset val="1"/>
      </rPr>
      <t xml:space="preserve"> =</t>
    </r>
  </si>
  <si>
    <t xml:space="preserve">Secondary Peak Current</t>
  </si>
  <si>
    <r>
      <rPr>
        <sz val="11"/>
        <color rgb="FF000000"/>
        <rFont val="Arial"/>
        <family val="2"/>
        <charset val="1"/>
      </rPr>
      <t xml:space="preserve">I</t>
    </r>
    <r>
      <rPr>
        <vertAlign val="subscript"/>
        <sz val="11"/>
        <color rgb="FF000000"/>
        <rFont val="Arial"/>
        <family val="2"/>
        <charset val="1"/>
      </rPr>
      <t xml:space="preserve">SPmax</t>
    </r>
    <r>
      <rPr>
        <sz val="11"/>
        <color rgb="FF000000"/>
        <rFont val="Arial"/>
        <family val="2"/>
        <charset val="1"/>
      </rPr>
      <t xml:space="preserve"> =</t>
    </r>
  </si>
  <si>
    <t xml:space="preserve">Secondary RMS Current</t>
  </si>
  <si>
    <r>
      <rPr>
        <sz val="11"/>
        <color rgb="FF000000"/>
        <rFont val="Arial"/>
        <family val="2"/>
        <charset val="1"/>
      </rPr>
      <t xml:space="preserve">I</t>
    </r>
    <r>
      <rPr>
        <vertAlign val="subscript"/>
        <sz val="11"/>
        <color rgb="FF000000"/>
        <rFont val="Arial"/>
        <family val="2"/>
        <charset val="1"/>
      </rPr>
      <t xml:space="preserve">SEC_RMS</t>
    </r>
    <r>
      <rPr>
        <sz val="11"/>
        <color rgb="FF000000"/>
        <rFont val="Arial"/>
        <family val="2"/>
        <charset val="1"/>
      </rPr>
      <t xml:space="preserve"> =</t>
    </r>
  </si>
  <si>
    <t xml:space="preserve">VDD Under Voltage Lock Out (UVLO) Voltage, Maximum</t>
  </si>
  <si>
    <r>
      <rPr>
        <sz val="11"/>
        <color rgb="FF000000"/>
        <rFont val="Arial"/>
        <family val="2"/>
        <charset val="1"/>
      </rPr>
      <t xml:space="preserve">VDD</t>
    </r>
    <r>
      <rPr>
        <vertAlign val="subscript"/>
        <sz val="11"/>
        <color rgb="FF000000"/>
        <rFont val="Arial"/>
        <family val="2"/>
        <charset val="1"/>
      </rPr>
      <t xml:space="preserve">OFF_max</t>
    </r>
    <r>
      <rPr>
        <sz val="11"/>
        <color rgb="FF000000"/>
        <rFont val="Arial"/>
        <family val="2"/>
        <charset val="1"/>
      </rPr>
      <t xml:space="preserve"> =</t>
    </r>
  </si>
  <si>
    <t xml:space="preserve">VDD Under Voltage Lock Out (UVLO) Voltage, Minimum</t>
  </si>
  <si>
    <r>
      <rPr>
        <sz val="11"/>
        <color rgb="FF000000"/>
        <rFont val="Arial"/>
        <family val="2"/>
        <charset val="1"/>
      </rPr>
      <t xml:space="preserve">VDD</t>
    </r>
    <r>
      <rPr>
        <vertAlign val="subscript"/>
        <sz val="11"/>
        <color rgb="FF000000"/>
        <rFont val="Arial"/>
        <family val="2"/>
        <charset val="1"/>
      </rPr>
      <t xml:space="preserve">OFF_min</t>
    </r>
    <r>
      <rPr>
        <sz val="11"/>
        <color rgb="FF000000"/>
        <rFont val="Arial"/>
        <family val="2"/>
        <charset val="1"/>
      </rPr>
      <t xml:space="preserve"> =</t>
    </r>
  </si>
  <si>
    <t xml:space="preserve">Recommended Auxiliary to Secondary Turns Ratio</t>
  </si>
  <si>
    <r>
      <rPr>
        <sz val="11"/>
        <color rgb="FF000000"/>
        <rFont val="Arial"/>
        <family val="2"/>
        <charset val="1"/>
      </rPr>
      <t xml:space="preserve">N</t>
    </r>
    <r>
      <rPr>
        <vertAlign val="subscript"/>
        <sz val="11"/>
        <color rgb="FF000000"/>
        <rFont val="Arial"/>
        <family val="2"/>
        <charset val="1"/>
      </rPr>
      <t xml:space="preserve">ASrecommended </t>
    </r>
    <r>
      <rPr>
        <sz val="11"/>
        <color rgb="FF000000"/>
        <rFont val="Arial"/>
        <family val="2"/>
        <charset val="1"/>
      </rPr>
      <t xml:space="preserve">=</t>
    </r>
  </si>
  <si>
    <r>
      <rPr>
        <b val="true"/>
        <sz val="11"/>
        <color rgb="FF000000"/>
        <rFont val="Arial"/>
        <family val="2"/>
        <charset val="1"/>
      </rPr>
      <t xml:space="preserve">Recommended </t>
    </r>
    <r>
      <rPr>
        <sz val="11"/>
        <color rgb="FF000000"/>
        <rFont val="Arial"/>
        <family val="2"/>
        <charset val="1"/>
      </rPr>
      <t xml:space="preserve">Primary to Auxilliary Turns Ratio</t>
    </r>
  </si>
  <si>
    <r>
      <rPr>
        <sz val="11"/>
        <color rgb="FF000000"/>
        <rFont val="Arial"/>
        <family val="2"/>
        <charset val="1"/>
      </rPr>
      <t xml:space="preserve">N</t>
    </r>
    <r>
      <rPr>
        <vertAlign val="subscript"/>
        <sz val="11"/>
        <color rgb="FF000000"/>
        <rFont val="Arial"/>
        <family val="2"/>
        <charset val="1"/>
      </rPr>
      <t xml:space="preserve">PArecommended</t>
    </r>
    <r>
      <rPr>
        <sz val="11"/>
        <color rgb="FF000000"/>
        <rFont val="Arial"/>
        <family val="2"/>
        <charset val="1"/>
      </rPr>
      <t xml:space="preserve"> =</t>
    </r>
  </si>
  <si>
    <r>
      <rPr>
        <b val="true"/>
        <sz val="11"/>
        <color rgb="FF000000"/>
        <rFont val="Arial"/>
        <family val="2"/>
        <charset val="1"/>
      </rPr>
      <t xml:space="preserve">Actual</t>
    </r>
    <r>
      <rPr>
        <sz val="11"/>
        <color rgb="FF000000"/>
        <rFont val="Arial"/>
        <family val="2"/>
        <charset val="1"/>
      </rPr>
      <t xml:space="preserve"> Primary to Auxiliary Turns Ratio</t>
    </r>
  </si>
  <si>
    <r>
      <rPr>
        <sz val="11"/>
        <color rgb="FF000000"/>
        <rFont val="Arial"/>
        <family val="2"/>
        <charset val="1"/>
      </rPr>
      <t xml:space="preserve">N</t>
    </r>
    <r>
      <rPr>
        <vertAlign val="subscript"/>
        <sz val="11"/>
        <color rgb="FF000000"/>
        <rFont val="Arial"/>
        <family val="2"/>
        <charset val="1"/>
      </rPr>
      <t xml:space="preserve">PAactual </t>
    </r>
    <r>
      <rPr>
        <sz val="11"/>
        <color rgb="FF000000"/>
        <rFont val="Arial"/>
        <family val="2"/>
        <charset val="1"/>
      </rPr>
      <t xml:space="preserve">=</t>
    </r>
  </si>
  <si>
    <t xml:space="preserve">Primary to Auxiliary Turns Ratio Used in Calculations</t>
  </si>
  <si>
    <r>
      <rPr>
        <sz val="11"/>
        <color rgb="FF000000"/>
        <rFont val="Arial"/>
        <family val="2"/>
        <charset val="1"/>
      </rPr>
      <t xml:space="preserve">N</t>
    </r>
    <r>
      <rPr>
        <vertAlign val="subscript"/>
        <sz val="11"/>
        <color rgb="FF000000"/>
        <rFont val="Arial"/>
        <family val="2"/>
        <charset val="1"/>
      </rPr>
      <t xml:space="preserve">PA</t>
    </r>
    <r>
      <rPr>
        <sz val="11"/>
        <color rgb="FF000000"/>
        <rFont val="Arial"/>
        <family val="2"/>
        <charset val="1"/>
      </rPr>
      <t xml:space="preserve"> =</t>
    </r>
  </si>
  <si>
    <t xml:space="preserve">Nominal VDD Voltage</t>
  </si>
  <si>
    <t xml:space="preserve">VDD =</t>
  </si>
  <si>
    <t xml:space="preserve">Actual Auxiliary to Secondary Turns Ratio</t>
  </si>
  <si>
    <r>
      <rPr>
        <sz val="11"/>
        <color rgb="FF000000"/>
        <rFont val="Arial"/>
        <family val="2"/>
        <charset val="1"/>
      </rPr>
      <t xml:space="preserve">N</t>
    </r>
    <r>
      <rPr>
        <vertAlign val="subscript"/>
        <sz val="11"/>
        <color rgb="FF000000"/>
        <rFont val="Arial"/>
        <family val="2"/>
        <charset val="1"/>
      </rPr>
      <t xml:space="preserve">AS</t>
    </r>
    <r>
      <rPr>
        <sz val="11"/>
        <color rgb="FF000000"/>
        <rFont val="Arial"/>
        <family val="2"/>
        <charset val="1"/>
      </rPr>
      <t xml:space="preserve"> =</t>
    </r>
  </si>
  <si>
    <r>
      <rPr>
        <sz val="11"/>
        <color rgb="FF000000"/>
        <rFont val="Arial"/>
        <family val="2"/>
        <charset val="1"/>
      </rPr>
      <t xml:space="preserve">Minimum On-Time, t</t>
    </r>
    <r>
      <rPr>
        <vertAlign val="subscript"/>
        <sz val="11"/>
        <color rgb="FF000000"/>
        <rFont val="Arial"/>
        <family val="2"/>
        <charset val="1"/>
      </rPr>
      <t xml:space="preserve">CSLEB</t>
    </r>
  </si>
  <si>
    <r>
      <rPr>
        <sz val="11"/>
        <color rgb="FF000000"/>
        <rFont val="Arial"/>
        <family val="2"/>
        <charset val="1"/>
      </rPr>
      <t xml:space="preserve">t</t>
    </r>
    <r>
      <rPr>
        <vertAlign val="subscript"/>
        <sz val="11"/>
        <color rgb="FF000000"/>
        <rFont val="Arial"/>
        <family val="2"/>
        <charset val="1"/>
      </rPr>
      <t xml:space="preserve">ONmin(limit) </t>
    </r>
    <r>
      <rPr>
        <sz val="11"/>
        <color rgb="FF000000"/>
        <rFont val="Arial"/>
        <family val="2"/>
        <charset val="1"/>
      </rPr>
      <t xml:space="preserve">=</t>
    </r>
  </si>
  <si>
    <t xml:space="preserve">Actual Minimum On-Time</t>
  </si>
  <si>
    <r>
      <rPr>
        <sz val="11"/>
        <color rgb="FF000000"/>
        <rFont val="Arial"/>
        <family val="2"/>
        <charset val="1"/>
      </rPr>
      <t xml:space="preserve">t</t>
    </r>
    <r>
      <rPr>
        <vertAlign val="subscript"/>
        <sz val="11"/>
        <color rgb="FF000000"/>
        <rFont val="Arial"/>
        <family val="2"/>
        <charset val="1"/>
      </rPr>
      <t xml:space="preserve">ONmin(actual) </t>
    </r>
    <r>
      <rPr>
        <sz val="11"/>
        <color rgb="FF000000"/>
        <rFont val="Arial"/>
        <family val="2"/>
        <charset val="1"/>
      </rPr>
      <t xml:space="preserve">=</t>
    </r>
  </si>
  <si>
    <t xml:space="preserve">Minimum Demagnetizing Time</t>
  </si>
  <si>
    <r>
      <rPr>
        <sz val="11"/>
        <color rgb="FF000000"/>
        <rFont val="Arial"/>
        <family val="2"/>
        <charset val="1"/>
      </rPr>
      <t xml:space="preserve">t</t>
    </r>
    <r>
      <rPr>
        <vertAlign val="subscript"/>
        <sz val="11"/>
        <color rgb="FF000000"/>
        <rFont val="Arial"/>
        <family val="2"/>
        <charset val="1"/>
      </rPr>
      <t xml:space="preserve">DEMAGmin</t>
    </r>
    <r>
      <rPr>
        <sz val="11"/>
        <color rgb="FF000000"/>
        <rFont val="Arial"/>
        <family val="2"/>
        <charset val="1"/>
      </rPr>
      <t xml:space="preserve"> =</t>
    </r>
  </si>
  <si>
    <t xml:space="preserve">Minimum Output Voltage During Constant Current Mode</t>
  </si>
  <si>
    <r>
      <rPr>
        <b val="true"/>
        <sz val="11"/>
        <color rgb="FF000000"/>
        <rFont val="Arial"/>
        <family val="2"/>
        <charset val="1"/>
      </rPr>
      <t xml:space="preserve">V</t>
    </r>
    <r>
      <rPr>
        <b val="true"/>
        <vertAlign val="subscript"/>
        <sz val="11"/>
        <color rgb="FF000000"/>
        <rFont val="Arial"/>
        <family val="2"/>
        <charset val="1"/>
      </rPr>
      <t xml:space="preserve">OUT_CCmin</t>
    </r>
    <r>
      <rPr>
        <b val="true"/>
        <sz val="11"/>
        <color rgb="FF000000"/>
        <rFont val="Arial"/>
        <family val="2"/>
        <charset val="1"/>
      </rPr>
      <t xml:space="preserve"> =</t>
    </r>
  </si>
  <si>
    <t xml:space="preserve">MOSFET, Q</t>
  </si>
  <si>
    <r>
      <rPr>
        <sz val="12"/>
        <rFont val="Arial"/>
        <family val="2"/>
        <charset val="1"/>
      </rPr>
      <t xml:space="preserve">V</t>
    </r>
    <r>
      <rPr>
        <vertAlign val="subscript"/>
        <sz val="12"/>
        <rFont val="Arial"/>
        <family val="2"/>
        <charset val="1"/>
      </rPr>
      <t xml:space="preserve">DSmin_rating</t>
    </r>
    <r>
      <rPr>
        <sz val="12"/>
        <rFont val="Arial"/>
        <family val="2"/>
        <charset val="1"/>
      </rPr>
      <t xml:space="preserve"> =</t>
    </r>
  </si>
  <si>
    <t xml:space="preserve">MOSFET Rated Drain to Source Voltage</t>
  </si>
  <si>
    <r>
      <rPr>
        <sz val="11"/>
        <color rgb="FF000000"/>
        <rFont val="Arial"/>
        <family val="2"/>
        <charset val="1"/>
      </rPr>
      <t xml:space="preserve">V</t>
    </r>
    <r>
      <rPr>
        <vertAlign val="subscript"/>
        <sz val="11"/>
        <color rgb="FF000000"/>
        <rFont val="Arial"/>
        <family val="2"/>
        <charset val="1"/>
      </rPr>
      <t xml:space="preserve">DS</t>
    </r>
    <r>
      <rPr>
        <sz val="11"/>
        <color rgb="FF000000"/>
        <rFont val="Arial"/>
        <family val="2"/>
        <charset val="1"/>
      </rPr>
      <t xml:space="preserve"> =</t>
    </r>
  </si>
  <si>
    <t xml:space="preserve">Output Capacitance of Selected MOSFET</t>
  </si>
  <si>
    <r>
      <rPr>
        <sz val="11"/>
        <color rgb="FF000000"/>
        <rFont val="Arial"/>
        <family val="2"/>
        <charset val="1"/>
      </rPr>
      <t xml:space="preserve">C</t>
    </r>
    <r>
      <rPr>
        <vertAlign val="subscript"/>
        <sz val="11"/>
        <color rgb="FF000000"/>
        <rFont val="Arial"/>
        <family val="2"/>
        <charset val="1"/>
      </rPr>
      <t xml:space="preserve">OSS</t>
    </r>
    <r>
      <rPr>
        <sz val="11"/>
        <color rgb="FF000000"/>
        <rFont val="Arial"/>
        <family val="2"/>
        <charset val="1"/>
      </rPr>
      <t xml:space="preserve"> =</t>
    </r>
  </si>
  <si>
    <t xml:space="preserve">Drain to Source On-Resistance of Selected MOSFET</t>
  </si>
  <si>
    <r>
      <rPr>
        <sz val="11"/>
        <color rgb="FF000000"/>
        <rFont val="Arial"/>
        <family val="2"/>
        <charset val="1"/>
      </rPr>
      <t xml:space="preserve">R</t>
    </r>
    <r>
      <rPr>
        <vertAlign val="subscript"/>
        <sz val="11"/>
        <color rgb="FF000000"/>
        <rFont val="Arial"/>
        <family val="2"/>
        <charset val="1"/>
      </rPr>
      <t xml:space="preserve">DSon</t>
    </r>
    <r>
      <rPr>
        <sz val="11"/>
        <color rgb="FF000000"/>
        <rFont val="Arial"/>
        <family val="2"/>
        <charset val="1"/>
      </rPr>
      <t xml:space="preserve"> =</t>
    </r>
  </si>
  <si>
    <t xml:space="preserve">MOSFET Fall Time</t>
  </si>
  <si>
    <r>
      <rPr>
        <sz val="11"/>
        <color rgb="FF000000"/>
        <rFont val="Arial"/>
        <family val="2"/>
        <charset val="1"/>
      </rPr>
      <t xml:space="preserve">t</t>
    </r>
    <r>
      <rPr>
        <vertAlign val="subscript"/>
        <sz val="11"/>
        <color rgb="FF000000"/>
        <rFont val="Arial"/>
        <family val="2"/>
        <charset val="1"/>
      </rPr>
      <t xml:space="preserve">f</t>
    </r>
    <r>
      <rPr>
        <sz val="11"/>
        <color rgb="FF000000"/>
        <rFont val="Arial"/>
        <family val="2"/>
        <charset val="1"/>
      </rPr>
      <t xml:space="preserve"> =</t>
    </r>
  </si>
  <si>
    <t xml:space="preserve">MOSFET Turn Off Delay Time</t>
  </si>
  <si>
    <r>
      <rPr>
        <sz val="11"/>
        <color rgb="FF000000"/>
        <rFont val="Arial"/>
        <family val="2"/>
        <charset val="1"/>
      </rPr>
      <t xml:space="preserve">t</t>
    </r>
    <r>
      <rPr>
        <vertAlign val="subscript"/>
        <sz val="11"/>
        <color rgb="FF000000"/>
        <rFont val="Arial"/>
        <family val="2"/>
        <charset val="1"/>
      </rPr>
      <t xml:space="preserve">Doff</t>
    </r>
    <r>
      <rPr>
        <sz val="11"/>
        <color rgb="FF000000"/>
        <rFont val="Arial"/>
        <family val="2"/>
        <charset val="1"/>
      </rPr>
      <t xml:space="preserve"> =</t>
    </r>
  </si>
  <si>
    <t xml:space="preserve">MOSFET Total Gate Charge</t>
  </si>
  <si>
    <r>
      <rPr>
        <sz val="11"/>
        <color rgb="FF000000"/>
        <rFont val="Arial"/>
        <family val="2"/>
        <charset val="1"/>
      </rPr>
      <t xml:space="preserve">Q</t>
    </r>
    <r>
      <rPr>
        <vertAlign val="subscript"/>
        <sz val="11"/>
        <color rgb="FF000000"/>
        <rFont val="Arial"/>
        <family val="2"/>
        <charset val="1"/>
      </rPr>
      <t xml:space="preserve">g</t>
    </r>
    <r>
      <rPr>
        <sz val="11"/>
        <color rgb="FF000000"/>
        <rFont val="Arial"/>
        <family val="2"/>
        <charset val="1"/>
      </rPr>
      <t xml:space="preserve"> =</t>
    </r>
  </si>
  <si>
    <t xml:space="preserve">Actual Resonant Frequency During DCM Dead Time</t>
  </si>
  <si>
    <r>
      <rPr>
        <sz val="11"/>
        <color rgb="FF000000"/>
        <rFont val="Arial"/>
        <family val="2"/>
        <charset val="1"/>
      </rPr>
      <t xml:space="preserve">f</t>
    </r>
    <r>
      <rPr>
        <vertAlign val="subscript"/>
        <sz val="11"/>
        <color rgb="FF000000"/>
        <rFont val="Arial"/>
        <family val="2"/>
        <charset val="1"/>
      </rPr>
      <t xml:space="preserve">RES_actual</t>
    </r>
    <r>
      <rPr>
        <sz val="11"/>
        <color rgb="FF000000"/>
        <rFont val="Arial"/>
        <family val="2"/>
        <charset val="1"/>
      </rPr>
      <t xml:space="preserve"> =</t>
    </r>
  </si>
  <si>
    <t xml:space="preserve">Actual Estimated Time to First Resonant Valley</t>
  </si>
  <si>
    <r>
      <rPr>
        <sz val="11"/>
        <color rgb="FF000000"/>
        <rFont val="Arial"/>
        <family val="2"/>
        <charset val="1"/>
      </rPr>
      <t xml:space="preserve">t</t>
    </r>
    <r>
      <rPr>
        <vertAlign val="subscript"/>
        <sz val="11"/>
        <color rgb="FF000000"/>
        <rFont val="Arial"/>
        <family val="2"/>
        <charset val="1"/>
      </rPr>
      <t xml:space="preserve">RES_actual</t>
    </r>
    <r>
      <rPr>
        <sz val="11"/>
        <color rgb="FF000000"/>
        <rFont val="Arial"/>
        <family val="2"/>
        <charset val="1"/>
      </rPr>
      <t xml:space="preserve"> =</t>
    </r>
  </si>
  <si>
    <r>
      <rPr>
        <sz val="11"/>
        <rFont val="Calibri"/>
        <family val="2"/>
        <charset val="1"/>
      </rPr>
      <t xml:space="preserve">µ</t>
    </r>
    <r>
      <rPr>
        <sz val="11"/>
        <rFont val="Arial"/>
        <family val="2"/>
        <charset val="1"/>
      </rPr>
      <t xml:space="preserve">s</t>
    </r>
  </si>
  <si>
    <t xml:space="preserve">Valley Switching Achieved?</t>
  </si>
  <si>
    <t xml:space="preserve">YES or NO</t>
  </si>
  <si>
    <r>
      <rPr>
        <sz val="11"/>
        <color rgb="FF000000"/>
        <rFont val="Arial"/>
        <family val="2"/>
        <charset val="1"/>
      </rPr>
      <t xml:space="preserve">MOSFET V</t>
    </r>
    <r>
      <rPr>
        <vertAlign val="subscript"/>
        <sz val="11"/>
        <color rgb="FF000000"/>
        <rFont val="Arial"/>
        <family val="2"/>
        <charset val="1"/>
      </rPr>
      <t xml:space="preserve">DS</t>
    </r>
    <r>
      <rPr>
        <sz val="11"/>
        <color rgb="FF000000"/>
        <rFont val="Arial"/>
        <family val="2"/>
        <charset val="1"/>
      </rPr>
      <t xml:space="preserve"> Derating</t>
    </r>
  </si>
  <si>
    <r>
      <rPr>
        <sz val="11"/>
        <color rgb="FF000000"/>
        <rFont val="Arial"/>
        <family val="2"/>
        <charset val="1"/>
      </rPr>
      <t xml:space="preserve">V</t>
    </r>
    <r>
      <rPr>
        <vertAlign val="subscript"/>
        <sz val="11"/>
        <color rgb="FF000000"/>
        <rFont val="Arial"/>
        <family val="2"/>
        <charset val="1"/>
      </rPr>
      <t xml:space="preserve">DSderated</t>
    </r>
    <r>
      <rPr>
        <sz val="11"/>
        <color rgb="FF000000"/>
        <rFont val="Arial"/>
        <family val="2"/>
        <charset val="1"/>
      </rPr>
      <t xml:space="preserve"> =</t>
    </r>
  </si>
  <si>
    <t xml:space="preserve">MOSFET Continuous Current Rating</t>
  </si>
  <si>
    <r>
      <rPr>
        <sz val="11"/>
        <color rgb="FF000000"/>
        <rFont val="Arial"/>
        <family val="2"/>
        <charset val="1"/>
      </rPr>
      <t xml:space="preserve">I</t>
    </r>
    <r>
      <rPr>
        <vertAlign val="subscript"/>
        <sz val="11"/>
        <color rgb="FF000000"/>
        <rFont val="Arial"/>
        <family val="2"/>
        <charset val="1"/>
      </rPr>
      <t xml:space="preserve">DRAIN</t>
    </r>
    <r>
      <rPr>
        <sz val="11"/>
        <color rgb="FF000000"/>
        <rFont val="Arial"/>
        <family val="2"/>
        <charset val="1"/>
      </rPr>
      <t xml:space="preserve"> =</t>
    </r>
  </si>
  <si>
    <t xml:space="preserve">MOSFET Pulsed Current Rating</t>
  </si>
  <si>
    <r>
      <rPr>
        <sz val="11"/>
        <color rgb="FF000000"/>
        <rFont val="Arial"/>
        <family val="2"/>
        <charset val="1"/>
      </rPr>
      <t xml:space="preserve">I</t>
    </r>
    <r>
      <rPr>
        <vertAlign val="subscript"/>
        <sz val="11"/>
        <color rgb="FF000000"/>
        <rFont val="Arial"/>
        <family val="2"/>
        <charset val="1"/>
      </rPr>
      <t xml:space="preserve">PULSED</t>
    </r>
    <r>
      <rPr>
        <sz val="11"/>
        <color rgb="FF000000"/>
        <rFont val="Arial"/>
        <family val="2"/>
        <charset val="1"/>
      </rPr>
      <t xml:space="preserve"> =</t>
    </r>
  </si>
  <si>
    <t xml:space="preserve">Estimated MOSFET Conduction Losses</t>
  </si>
  <si>
    <r>
      <rPr>
        <sz val="11"/>
        <color rgb="FF000000"/>
        <rFont val="Arial"/>
        <family val="2"/>
        <charset val="1"/>
      </rPr>
      <t xml:space="preserve">P</t>
    </r>
    <r>
      <rPr>
        <vertAlign val="subscript"/>
        <sz val="11"/>
        <color rgb="FF000000"/>
        <rFont val="Arial"/>
        <family val="2"/>
        <charset val="1"/>
      </rPr>
      <t xml:space="preserve">FETconduction</t>
    </r>
    <r>
      <rPr>
        <sz val="11"/>
        <color rgb="FF000000"/>
        <rFont val="Arial"/>
        <family val="2"/>
        <charset val="1"/>
      </rPr>
      <t xml:space="preserve"> =</t>
    </r>
  </si>
  <si>
    <t xml:space="preserve">Estimated MOSFET Switching Losses</t>
  </si>
  <si>
    <r>
      <rPr>
        <sz val="11"/>
        <color rgb="FF000000"/>
        <rFont val="Arial"/>
        <family val="2"/>
        <charset val="1"/>
      </rPr>
      <t xml:space="preserve">P</t>
    </r>
    <r>
      <rPr>
        <vertAlign val="subscript"/>
        <sz val="11"/>
        <color rgb="FF000000"/>
        <rFont val="Arial"/>
        <family val="2"/>
        <charset val="1"/>
      </rPr>
      <t xml:space="preserve">FETswitching</t>
    </r>
    <r>
      <rPr>
        <sz val="11"/>
        <color rgb="FF000000"/>
        <rFont val="Arial"/>
        <family val="2"/>
        <charset val="1"/>
      </rPr>
      <t xml:space="preserve"> =</t>
    </r>
  </si>
  <si>
    <t xml:space="preserve">Total Estimated MOSFET Power Loss </t>
  </si>
  <si>
    <r>
      <rPr>
        <sz val="11"/>
        <color rgb="FF000000"/>
        <rFont val="Arial"/>
        <family val="2"/>
        <charset val="1"/>
      </rPr>
      <t xml:space="preserve">P</t>
    </r>
    <r>
      <rPr>
        <vertAlign val="subscript"/>
        <sz val="11"/>
        <color rgb="FF000000"/>
        <rFont val="Arial"/>
        <family val="2"/>
        <charset val="1"/>
      </rPr>
      <t xml:space="preserve">FET</t>
    </r>
    <r>
      <rPr>
        <sz val="11"/>
        <color rgb="FF000000"/>
        <rFont val="Arial"/>
        <family val="2"/>
        <charset val="1"/>
      </rPr>
      <t xml:space="preserve"> =</t>
    </r>
  </si>
  <si>
    <t xml:space="preserve">Recommended Clamping Voltage on Drain</t>
  </si>
  <si>
    <r>
      <rPr>
        <sz val="11"/>
        <color rgb="FF000000"/>
        <rFont val="Arial"/>
        <family val="2"/>
        <charset val="1"/>
      </rPr>
      <t xml:space="preserve">V</t>
    </r>
    <r>
      <rPr>
        <vertAlign val="subscript"/>
        <sz val="11"/>
        <color rgb="FF000000"/>
        <rFont val="Arial"/>
        <family val="2"/>
        <charset val="1"/>
      </rPr>
      <t xml:space="preserve">DRAINclamp</t>
    </r>
    <r>
      <rPr>
        <sz val="11"/>
        <color rgb="FF000000"/>
        <rFont val="Arial"/>
        <family val="2"/>
        <charset val="1"/>
      </rPr>
      <t xml:space="preserve"> =</t>
    </r>
  </si>
  <si>
    <r>
      <rPr>
        <b val="true"/>
        <i val="true"/>
        <sz val="12"/>
        <color rgb="FFFFFFFF"/>
        <rFont val="Arial"/>
        <family val="2"/>
        <charset val="1"/>
      </rPr>
      <t xml:space="preserve">OUTPUT DIODE, D</t>
    </r>
    <r>
      <rPr>
        <b val="true"/>
        <i val="true"/>
        <vertAlign val="subscript"/>
        <sz val="12"/>
        <color rgb="FFFFFFFF"/>
        <rFont val="Arial"/>
        <family val="2"/>
        <charset val="1"/>
      </rPr>
      <t xml:space="preserve">OUT</t>
    </r>
  </si>
  <si>
    <r>
      <rPr>
        <sz val="11"/>
        <color rgb="FF000000"/>
        <rFont val="Arial"/>
        <family val="2"/>
        <charset val="1"/>
      </rPr>
      <t xml:space="preserve">V</t>
    </r>
    <r>
      <rPr>
        <vertAlign val="subscript"/>
        <sz val="11"/>
        <color rgb="FF000000"/>
        <rFont val="Arial"/>
        <family val="2"/>
        <charset val="1"/>
      </rPr>
      <t xml:space="preserve">F</t>
    </r>
    <r>
      <rPr>
        <sz val="11"/>
        <color rgb="FF000000"/>
        <rFont val="Arial"/>
        <family val="2"/>
        <charset val="1"/>
      </rPr>
      <t xml:space="preserve"> =</t>
    </r>
  </si>
  <si>
    <t xml:space="preserve">Minimum Required Blocking Voltage Rating</t>
  </si>
  <si>
    <r>
      <rPr>
        <sz val="11"/>
        <color rgb="FF000000"/>
        <rFont val="Arial"/>
        <family val="2"/>
        <charset val="1"/>
      </rPr>
      <t xml:space="preserve">V</t>
    </r>
    <r>
      <rPr>
        <vertAlign val="subscript"/>
        <sz val="11"/>
        <color rgb="FF000000"/>
        <rFont val="Arial"/>
        <family val="2"/>
        <charset val="1"/>
      </rPr>
      <t xml:space="preserve">DOUT_blocking</t>
    </r>
    <r>
      <rPr>
        <sz val="11"/>
        <color rgb="FF000000"/>
        <rFont val="Arial"/>
        <family val="2"/>
        <charset val="1"/>
      </rPr>
      <t xml:space="preserve"> =</t>
    </r>
  </si>
  <si>
    <t xml:space="preserve">Required Minimum Average Rectified Output Current</t>
  </si>
  <si>
    <r>
      <rPr>
        <sz val="11"/>
        <color rgb="FF000000"/>
        <rFont val="Arial"/>
        <family val="2"/>
        <charset val="1"/>
      </rPr>
      <t xml:space="preserve">I</t>
    </r>
    <r>
      <rPr>
        <vertAlign val="subscript"/>
        <sz val="11"/>
        <color rgb="FF000000"/>
        <rFont val="Arial"/>
        <family val="2"/>
        <charset val="1"/>
      </rPr>
      <t xml:space="preserve">Dout</t>
    </r>
    <r>
      <rPr>
        <sz val="11"/>
        <color rgb="FF000000"/>
        <rFont val="Arial"/>
        <family val="2"/>
        <charset val="1"/>
      </rPr>
      <t xml:space="preserve"> =</t>
    </r>
  </si>
  <si>
    <r>
      <rPr>
        <sz val="11"/>
        <color rgb="FF000000"/>
        <rFont val="Arial"/>
        <family val="2"/>
        <charset val="1"/>
      </rPr>
      <t xml:space="preserve">Power Dissipation of D</t>
    </r>
    <r>
      <rPr>
        <vertAlign val="subscript"/>
        <sz val="11"/>
        <color rgb="FF000000"/>
        <rFont val="Arial"/>
        <family val="2"/>
        <charset val="1"/>
      </rPr>
      <t xml:space="preserve">OUT</t>
    </r>
  </si>
  <si>
    <r>
      <rPr>
        <sz val="11"/>
        <color rgb="FF000000"/>
        <rFont val="Arial"/>
        <family val="2"/>
        <charset val="1"/>
      </rPr>
      <t xml:space="preserve">P</t>
    </r>
    <r>
      <rPr>
        <vertAlign val="subscript"/>
        <sz val="11"/>
        <color rgb="FF000000"/>
        <rFont val="Arial"/>
        <family val="2"/>
        <charset val="1"/>
      </rPr>
      <t xml:space="preserve">Dout</t>
    </r>
    <r>
      <rPr>
        <sz val="11"/>
        <color rgb="FF000000"/>
        <rFont val="Arial"/>
        <family val="2"/>
        <charset val="1"/>
      </rPr>
      <t xml:space="preserve"> =</t>
    </r>
  </si>
  <si>
    <r>
      <rPr>
        <b val="true"/>
        <i val="true"/>
        <sz val="12"/>
        <color rgb="FFFFFFFF"/>
        <rFont val="Arial"/>
        <family val="2"/>
        <charset val="1"/>
      </rPr>
      <t xml:space="preserve">AUXILIARY WINDING DIODE, D</t>
    </r>
    <r>
      <rPr>
        <b val="true"/>
        <i val="true"/>
        <vertAlign val="subscript"/>
        <sz val="12"/>
        <color rgb="FFFFFFFF"/>
        <rFont val="Arial"/>
        <family val="2"/>
        <charset val="1"/>
      </rPr>
      <t xml:space="preserve">AUX</t>
    </r>
    <r>
      <rPr>
        <b val="true"/>
        <i val="true"/>
        <sz val="12"/>
        <color rgb="FFFFFFFF"/>
        <rFont val="Arial"/>
        <family val="2"/>
        <charset val="1"/>
      </rPr>
      <t xml:space="preserve"> </t>
    </r>
  </si>
  <si>
    <t xml:space="preserve">Auxiliary Rectifier Forward Voltage Drop</t>
  </si>
  <si>
    <r>
      <rPr>
        <sz val="11"/>
        <color rgb="FF000000"/>
        <rFont val="Arial"/>
        <family val="2"/>
        <charset val="1"/>
      </rPr>
      <t xml:space="preserve"> V</t>
    </r>
    <r>
      <rPr>
        <vertAlign val="subscript"/>
        <sz val="11"/>
        <color rgb="FF000000"/>
        <rFont val="Arial"/>
        <family val="2"/>
        <charset val="1"/>
      </rPr>
      <t xml:space="preserve">FA</t>
    </r>
    <r>
      <rPr>
        <sz val="11"/>
        <color rgb="FF000000"/>
        <rFont val="Arial"/>
        <family val="2"/>
        <charset val="1"/>
      </rPr>
      <t xml:space="preserve"> =</t>
    </r>
  </si>
  <si>
    <r>
      <rPr>
        <sz val="11"/>
        <color rgb="FF000000"/>
        <rFont val="Arial"/>
        <family val="2"/>
        <charset val="1"/>
      </rPr>
      <t xml:space="preserve">V</t>
    </r>
    <r>
      <rPr>
        <vertAlign val="subscript"/>
        <sz val="11"/>
        <color rgb="FF000000"/>
        <rFont val="Arial"/>
        <family val="2"/>
        <charset val="1"/>
      </rPr>
      <t xml:space="preserve">DBIAS_blocking</t>
    </r>
    <r>
      <rPr>
        <sz val="11"/>
        <color rgb="FF000000"/>
        <rFont val="Arial"/>
        <family val="2"/>
        <charset val="1"/>
      </rPr>
      <t xml:space="preserve"> =</t>
    </r>
  </si>
  <si>
    <r>
      <rPr>
        <b val="true"/>
        <i val="true"/>
        <sz val="12"/>
        <color rgb="FFFFFFFF"/>
        <rFont val="Arial"/>
        <family val="2"/>
        <charset val="1"/>
      </rPr>
      <t xml:space="preserve">OUTPUT INDUCTOR, L</t>
    </r>
    <r>
      <rPr>
        <b val="true"/>
        <i val="true"/>
        <vertAlign val="subscript"/>
        <sz val="12"/>
        <color rgb="FFFFFFFF"/>
        <rFont val="Arial"/>
        <family val="2"/>
        <charset val="1"/>
      </rPr>
      <t xml:space="preserve">OUT</t>
    </r>
  </si>
  <si>
    <t xml:space="preserve">DCR of Output Inductor</t>
  </si>
  <si>
    <r>
      <rPr>
        <sz val="11"/>
        <color rgb="FF000000"/>
        <rFont val="Arial"/>
        <family val="2"/>
        <charset val="1"/>
      </rPr>
      <t xml:space="preserve"> DCR</t>
    </r>
    <r>
      <rPr>
        <vertAlign val="subscript"/>
        <sz val="11"/>
        <color rgb="FF000000"/>
        <rFont val="Arial"/>
        <family val="2"/>
        <charset val="1"/>
      </rPr>
      <t xml:space="preserve">Lout</t>
    </r>
    <r>
      <rPr>
        <sz val="11"/>
        <color rgb="FF000000"/>
        <rFont val="Arial"/>
        <family val="2"/>
        <charset val="1"/>
      </rPr>
      <t xml:space="preserve"> =</t>
    </r>
  </si>
  <si>
    <r>
      <rPr>
        <b val="true"/>
        <i val="true"/>
        <sz val="12"/>
        <color rgb="FFFFFFFF"/>
        <rFont val="Arial"/>
        <family val="2"/>
        <charset val="1"/>
      </rPr>
      <t xml:space="preserve">OUTPUT CAPACITOR, C</t>
    </r>
    <r>
      <rPr>
        <b val="true"/>
        <i val="true"/>
        <vertAlign val="subscript"/>
        <sz val="12"/>
        <color rgb="FFFFFFFF"/>
        <rFont val="Arial"/>
        <family val="2"/>
        <charset val="1"/>
      </rPr>
      <t xml:space="preserve">OUT</t>
    </r>
  </si>
  <si>
    <r>
      <rPr>
        <sz val="11"/>
        <rFont val="Arial"/>
        <family val="2"/>
        <charset val="1"/>
      </rPr>
      <t xml:space="preserve">Minimum Required C</t>
    </r>
    <r>
      <rPr>
        <vertAlign val="subscript"/>
        <sz val="11"/>
        <rFont val="Arial"/>
        <family val="2"/>
        <charset val="1"/>
      </rPr>
      <t xml:space="preserve">OUT</t>
    </r>
    <r>
      <rPr>
        <sz val="11"/>
        <rFont val="Arial"/>
        <family val="2"/>
        <charset val="1"/>
      </rPr>
      <t xml:space="preserve"> Without Opto-Coupled FeedBack</t>
    </r>
  </si>
  <si>
    <r>
      <rPr>
        <sz val="11"/>
        <rFont val="Arial"/>
        <family val="2"/>
        <charset val="1"/>
      </rPr>
      <t xml:space="preserve">C</t>
    </r>
    <r>
      <rPr>
        <vertAlign val="subscript"/>
        <sz val="11"/>
        <rFont val="Arial"/>
        <family val="2"/>
        <charset val="1"/>
      </rPr>
      <t xml:space="preserve">OUT_no_opto</t>
    </r>
    <r>
      <rPr>
        <sz val="11"/>
        <rFont val="Arial"/>
        <family val="2"/>
        <charset val="1"/>
      </rPr>
      <t xml:space="preserve"> =</t>
    </r>
  </si>
  <si>
    <t xml:space="preserve">The importance of using opto feedback should be noted here!</t>
  </si>
  <si>
    <r>
      <rPr>
        <b val="true"/>
        <sz val="11"/>
        <rFont val="Arial"/>
        <family val="2"/>
        <charset val="1"/>
      </rPr>
      <t xml:space="preserve">Recommended</t>
    </r>
    <r>
      <rPr>
        <sz val="11"/>
        <rFont val="Arial"/>
        <family val="2"/>
        <charset val="1"/>
      </rPr>
      <t xml:space="preserve"> Minimum Required Output Capacitor With Opto-Coupled FeedBack</t>
    </r>
  </si>
  <si>
    <r>
      <rPr>
        <sz val="11"/>
        <rFont val="Arial"/>
        <family val="2"/>
        <charset val="1"/>
      </rPr>
      <t xml:space="preserve">C</t>
    </r>
    <r>
      <rPr>
        <vertAlign val="subscript"/>
        <sz val="11"/>
        <rFont val="Arial"/>
        <family val="2"/>
        <charset val="1"/>
      </rPr>
      <t xml:space="preserve">OUTrecommended</t>
    </r>
    <r>
      <rPr>
        <sz val="11"/>
        <rFont val="Arial"/>
        <family val="2"/>
        <charset val="1"/>
      </rPr>
      <t xml:space="preserve">=</t>
    </r>
  </si>
  <si>
    <r>
      <rPr>
        <b val="true"/>
        <sz val="11"/>
        <rFont val="Arial"/>
        <family val="2"/>
        <charset val="1"/>
      </rPr>
      <t xml:space="preserve">Actual</t>
    </r>
    <r>
      <rPr>
        <sz val="11"/>
        <rFont val="Arial"/>
        <family val="2"/>
        <charset val="1"/>
      </rPr>
      <t xml:space="preserve"> Output Capacitance Used</t>
    </r>
  </si>
  <si>
    <r>
      <rPr>
        <sz val="11"/>
        <rFont val="Arial"/>
        <family val="2"/>
        <charset val="1"/>
      </rPr>
      <t xml:space="preserve">C</t>
    </r>
    <r>
      <rPr>
        <vertAlign val="subscript"/>
        <sz val="11"/>
        <rFont val="Arial"/>
        <family val="2"/>
        <charset val="1"/>
      </rPr>
      <t xml:space="preserve">OUTactual</t>
    </r>
    <r>
      <rPr>
        <sz val="11"/>
        <rFont val="Arial"/>
        <family val="2"/>
        <charset val="1"/>
      </rPr>
      <t xml:space="preserve"> =</t>
    </r>
  </si>
  <si>
    <r>
      <rPr>
        <sz val="11"/>
        <rFont val="Calibri"/>
        <family val="2"/>
        <charset val="1"/>
      </rPr>
      <t xml:space="preserve">µ</t>
    </r>
    <r>
      <rPr>
        <sz val="11"/>
        <rFont val="Arial"/>
        <family val="2"/>
        <charset val="1"/>
      </rPr>
      <t xml:space="preserve">F</t>
    </r>
  </si>
  <si>
    <r>
      <rPr>
        <sz val="11"/>
        <rFont val="Arial"/>
        <family val="2"/>
        <charset val="1"/>
      </rPr>
      <t xml:space="preserve">C</t>
    </r>
    <r>
      <rPr>
        <vertAlign val="subscript"/>
        <sz val="11"/>
        <rFont val="Arial"/>
        <family val="2"/>
        <charset val="1"/>
      </rPr>
      <t xml:space="preserve">OUT</t>
    </r>
    <r>
      <rPr>
        <sz val="11"/>
        <rFont val="Arial"/>
        <family val="2"/>
        <charset val="1"/>
      </rPr>
      <t xml:space="preserve"> Used in Calculations</t>
    </r>
  </si>
  <si>
    <r>
      <rPr>
        <sz val="11"/>
        <rFont val="Arial"/>
        <family val="2"/>
        <charset val="1"/>
      </rPr>
      <t xml:space="preserve">C</t>
    </r>
    <r>
      <rPr>
        <vertAlign val="subscript"/>
        <sz val="11"/>
        <rFont val="Arial"/>
        <family val="2"/>
        <charset val="1"/>
      </rPr>
      <t xml:space="preserve">OUT</t>
    </r>
    <r>
      <rPr>
        <sz val="11"/>
        <rFont val="Arial"/>
        <family val="2"/>
        <charset val="1"/>
      </rPr>
      <t xml:space="preserve"> =</t>
    </r>
  </si>
  <si>
    <t xml:space="preserve">Required Minimum Ripple Current Rating</t>
  </si>
  <si>
    <r>
      <rPr>
        <sz val="11"/>
        <rFont val="Arial"/>
        <family val="2"/>
        <charset val="1"/>
      </rPr>
      <t xml:space="preserve">I</t>
    </r>
    <r>
      <rPr>
        <vertAlign val="subscript"/>
        <sz val="11"/>
        <rFont val="Arial"/>
        <family val="2"/>
        <charset val="1"/>
      </rPr>
      <t xml:space="preserve">COUTrms</t>
    </r>
    <r>
      <rPr>
        <sz val="11"/>
        <rFont val="Arial"/>
        <family val="2"/>
        <charset val="1"/>
      </rPr>
      <t xml:space="preserve"> =</t>
    </r>
  </si>
  <si>
    <r>
      <rPr>
        <b val="true"/>
        <sz val="11"/>
        <rFont val="Arial"/>
        <family val="2"/>
        <charset val="1"/>
      </rPr>
      <t xml:space="preserve">Recommended</t>
    </r>
    <r>
      <rPr>
        <sz val="11"/>
        <rFont val="Arial"/>
        <family val="2"/>
        <charset val="1"/>
      </rPr>
      <t xml:space="preserve"> Maximum ESR</t>
    </r>
  </si>
  <si>
    <r>
      <rPr>
        <sz val="11"/>
        <rFont val="Arial"/>
        <family val="2"/>
        <charset val="1"/>
      </rPr>
      <t xml:space="preserve">ESR</t>
    </r>
    <r>
      <rPr>
        <vertAlign val="subscript"/>
        <sz val="11"/>
        <rFont val="Arial"/>
        <family val="2"/>
        <charset val="1"/>
      </rPr>
      <t xml:space="preserve">Coutrecommended</t>
    </r>
    <r>
      <rPr>
        <sz val="11"/>
        <rFont val="Arial"/>
        <family val="2"/>
        <charset val="1"/>
      </rPr>
      <t xml:space="preserve"> =</t>
    </r>
  </si>
  <si>
    <r>
      <rPr>
        <b val="true"/>
        <sz val="11"/>
        <rFont val="Arial"/>
        <family val="2"/>
        <charset val="1"/>
      </rPr>
      <t xml:space="preserve">Actual</t>
    </r>
    <r>
      <rPr>
        <sz val="11"/>
        <rFont val="Arial"/>
        <family val="2"/>
        <charset val="1"/>
      </rPr>
      <t xml:space="preserve"> ESR of C</t>
    </r>
    <r>
      <rPr>
        <vertAlign val="subscript"/>
        <sz val="11"/>
        <rFont val="Arial"/>
        <family val="2"/>
        <charset val="1"/>
      </rPr>
      <t xml:space="preserve">OUT</t>
    </r>
    <r>
      <rPr>
        <sz val="11"/>
        <rFont val="Arial"/>
        <family val="2"/>
        <charset val="1"/>
      </rPr>
      <t xml:space="preserve"> Used</t>
    </r>
  </si>
  <si>
    <r>
      <rPr>
        <sz val="11"/>
        <rFont val="Arial"/>
        <family val="2"/>
        <charset val="1"/>
      </rPr>
      <t xml:space="preserve">ESR</t>
    </r>
    <r>
      <rPr>
        <vertAlign val="subscript"/>
        <sz val="11"/>
        <rFont val="Arial"/>
        <family val="2"/>
        <charset val="1"/>
      </rPr>
      <t xml:space="preserve">Coutactual</t>
    </r>
    <r>
      <rPr>
        <sz val="11"/>
        <rFont val="Arial"/>
        <family val="2"/>
        <charset val="1"/>
      </rPr>
      <t xml:space="preserve"> =</t>
    </r>
  </si>
  <si>
    <t xml:space="preserve">ESR Used in Calculations</t>
  </si>
  <si>
    <r>
      <rPr>
        <sz val="11"/>
        <rFont val="Arial"/>
        <family val="2"/>
        <charset val="1"/>
      </rPr>
      <t xml:space="preserve">ESR</t>
    </r>
    <r>
      <rPr>
        <vertAlign val="subscript"/>
        <sz val="11"/>
        <rFont val="Arial"/>
        <family val="2"/>
        <charset val="1"/>
      </rPr>
      <t xml:space="preserve">Cout</t>
    </r>
    <r>
      <rPr>
        <sz val="11"/>
        <rFont val="Arial"/>
        <family val="2"/>
        <charset val="1"/>
      </rPr>
      <t xml:space="preserve"> =</t>
    </r>
  </si>
  <si>
    <t xml:space="preserve">Resultant Output Voltage Peak to Peak Ripple</t>
  </si>
  <si>
    <r>
      <rPr>
        <b val="true"/>
        <sz val="11"/>
        <rFont val="Arial"/>
        <family val="2"/>
        <charset val="1"/>
      </rPr>
      <t xml:space="preserve">V</t>
    </r>
    <r>
      <rPr>
        <b val="true"/>
        <vertAlign val="subscript"/>
        <sz val="11"/>
        <rFont val="Arial"/>
        <family val="2"/>
        <charset val="1"/>
      </rPr>
      <t xml:space="preserve">OUTripple</t>
    </r>
    <r>
      <rPr>
        <b val="true"/>
        <sz val="11"/>
        <rFont val="Arial"/>
        <family val="2"/>
        <charset val="1"/>
      </rPr>
      <t xml:space="preserve"> =</t>
    </r>
  </si>
  <si>
    <r>
      <rPr>
        <b val="true"/>
        <i val="true"/>
        <sz val="12"/>
        <color rgb="FFFFFFFF"/>
        <rFont val="Arial"/>
        <family val="2"/>
        <charset val="1"/>
      </rPr>
      <t xml:space="preserve">VOLTAGE SENSE DIVIDER, R</t>
    </r>
    <r>
      <rPr>
        <b val="true"/>
        <i val="true"/>
        <vertAlign val="subscript"/>
        <sz val="12"/>
        <color rgb="FFFFFFFF"/>
        <rFont val="Arial"/>
        <family val="2"/>
        <charset val="1"/>
      </rPr>
      <t xml:space="preserve">VS1</t>
    </r>
    <r>
      <rPr>
        <b val="true"/>
        <i val="true"/>
        <sz val="12"/>
        <color rgb="FFFFFFFF"/>
        <rFont val="Arial"/>
        <family val="2"/>
        <charset val="1"/>
      </rPr>
      <t xml:space="preserve">, R</t>
    </r>
    <r>
      <rPr>
        <b val="true"/>
        <i val="true"/>
        <vertAlign val="subscript"/>
        <sz val="12"/>
        <color rgb="FFFFFFFF"/>
        <rFont val="Arial"/>
        <family val="2"/>
        <charset val="1"/>
      </rPr>
      <t xml:space="preserve">VS2</t>
    </r>
  </si>
  <si>
    <t xml:space="preserve">VS Line Sense Run Current, Minimum</t>
  </si>
  <si>
    <r>
      <rPr>
        <sz val="11"/>
        <color rgb="FF000000"/>
        <rFont val="Arial"/>
        <family val="2"/>
        <charset val="1"/>
      </rPr>
      <t xml:space="preserve">I</t>
    </r>
    <r>
      <rPr>
        <vertAlign val="subscript"/>
        <sz val="11"/>
        <color rgb="FF000000"/>
        <rFont val="Arial"/>
        <family val="2"/>
        <charset val="1"/>
      </rPr>
      <t xml:space="preserve">VSLrun_min</t>
    </r>
    <r>
      <rPr>
        <sz val="11"/>
        <color rgb="FF000000"/>
        <rFont val="Arial"/>
        <family val="2"/>
        <charset val="1"/>
      </rPr>
      <t xml:space="preserve"> =</t>
    </r>
  </si>
  <si>
    <r>
      <rPr>
        <sz val="11"/>
        <color rgb="FF000000"/>
        <rFont val="Calibri"/>
        <family val="2"/>
        <charset val="1"/>
      </rPr>
      <t xml:space="preserve">µ</t>
    </r>
    <r>
      <rPr>
        <sz val="11"/>
        <color rgb="FF000000"/>
        <rFont val="Arial"/>
        <family val="2"/>
        <charset val="1"/>
      </rPr>
      <t xml:space="preserve">A</t>
    </r>
  </si>
  <si>
    <t xml:space="preserve">VS Line Sense Run Current, Nominal</t>
  </si>
  <si>
    <r>
      <rPr>
        <sz val="11"/>
        <color rgb="FF000000"/>
        <rFont val="Arial"/>
        <family val="2"/>
        <charset val="1"/>
      </rPr>
      <t xml:space="preserve">I</t>
    </r>
    <r>
      <rPr>
        <vertAlign val="subscript"/>
        <sz val="11"/>
        <color rgb="FF000000"/>
        <rFont val="Arial"/>
        <family val="2"/>
        <charset val="1"/>
      </rPr>
      <t xml:space="preserve">VSLrun_nom</t>
    </r>
    <r>
      <rPr>
        <sz val="11"/>
        <color rgb="FF000000"/>
        <rFont val="Arial"/>
        <family val="2"/>
        <charset val="1"/>
      </rPr>
      <t xml:space="preserve"> =</t>
    </r>
  </si>
  <si>
    <t xml:space="preserve">VS Line Sense Run Current, Maximum</t>
  </si>
  <si>
    <r>
      <rPr>
        <sz val="11"/>
        <color rgb="FF000000"/>
        <rFont val="Arial"/>
        <family val="2"/>
        <charset val="1"/>
      </rPr>
      <t xml:space="preserve">I</t>
    </r>
    <r>
      <rPr>
        <vertAlign val="subscript"/>
        <sz val="11"/>
        <color rgb="FF000000"/>
        <rFont val="Arial"/>
        <family val="2"/>
        <charset val="1"/>
      </rPr>
      <t xml:space="preserve">VSLrun_max</t>
    </r>
    <r>
      <rPr>
        <sz val="11"/>
        <color rgb="FF000000"/>
        <rFont val="Arial"/>
        <family val="2"/>
        <charset val="1"/>
      </rPr>
      <t xml:space="preserve"> =</t>
    </r>
  </si>
  <si>
    <t xml:space="preserve">VS Line Sense Stop Current, Minimum</t>
  </si>
  <si>
    <r>
      <rPr>
        <sz val="11"/>
        <color rgb="FF000000"/>
        <rFont val="Arial"/>
        <family val="2"/>
        <charset val="1"/>
      </rPr>
      <t xml:space="preserve">I</t>
    </r>
    <r>
      <rPr>
        <vertAlign val="subscript"/>
        <sz val="11"/>
        <color rgb="FF000000"/>
        <rFont val="Arial"/>
        <family val="2"/>
        <charset val="1"/>
      </rPr>
      <t xml:space="preserve">VSLstop_min</t>
    </r>
    <r>
      <rPr>
        <sz val="11"/>
        <color rgb="FF000000"/>
        <rFont val="Arial"/>
        <family val="2"/>
        <charset val="1"/>
      </rPr>
      <t xml:space="preserve"> =</t>
    </r>
  </si>
  <si>
    <t xml:space="preserve">VS Line Sense Stop Current, Nominal</t>
  </si>
  <si>
    <r>
      <rPr>
        <sz val="11"/>
        <color rgb="FF000000"/>
        <rFont val="Arial"/>
        <family val="2"/>
        <charset val="1"/>
      </rPr>
      <t xml:space="preserve">I</t>
    </r>
    <r>
      <rPr>
        <vertAlign val="subscript"/>
        <sz val="11"/>
        <color rgb="FF000000"/>
        <rFont val="Arial"/>
        <family val="2"/>
        <charset val="1"/>
      </rPr>
      <t xml:space="preserve">VSLstop_nom</t>
    </r>
    <r>
      <rPr>
        <sz val="11"/>
        <color rgb="FF000000"/>
        <rFont val="Arial"/>
        <family val="2"/>
        <charset val="1"/>
      </rPr>
      <t xml:space="preserve"> =</t>
    </r>
  </si>
  <si>
    <t xml:space="preserve">VS Line Sense Stop Current, Maximum</t>
  </si>
  <si>
    <r>
      <rPr>
        <sz val="11"/>
        <color rgb="FF000000"/>
        <rFont val="Arial"/>
        <family val="2"/>
        <charset val="1"/>
      </rPr>
      <t xml:space="preserve">I</t>
    </r>
    <r>
      <rPr>
        <vertAlign val="subscript"/>
        <sz val="11"/>
        <color rgb="FF000000"/>
        <rFont val="Arial"/>
        <family val="2"/>
        <charset val="1"/>
      </rPr>
      <t xml:space="preserve">VSLstop_max</t>
    </r>
    <r>
      <rPr>
        <sz val="11"/>
        <color rgb="FF000000"/>
        <rFont val="Arial"/>
        <family val="2"/>
        <charset val="1"/>
      </rPr>
      <t xml:space="preserve"> =</t>
    </r>
  </si>
  <si>
    <r>
      <rPr>
        <b val="true"/>
        <sz val="11"/>
        <color rgb="FF000000"/>
        <rFont val="Arial"/>
        <family val="2"/>
        <charset val="1"/>
      </rPr>
      <t xml:space="preserve">Recommended</t>
    </r>
    <r>
      <rPr>
        <sz val="11"/>
        <color rgb="FF000000"/>
        <rFont val="Arial"/>
        <family val="2"/>
        <charset val="1"/>
      </rPr>
      <t xml:space="preserve"> Resistor Value for Minimum Start Up Line Voltage</t>
    </r>
  </si>
  <si>
    <r>
      <rPr>
        <sz val="11"/>
        <color rgb="FF000000"/>
        <rFont val="Arial"/>
        <family val="2"/>
        <charset val="1"/>
      </rPr>
      <t xml:space="preserve">R</t>
    </r>
    <r>
      <rPr>
        <vertAlign val="subscript"/>
        <sz val="11"/>
        <color rgb="FF000000"/>
        <rFont val="Arial"/>
        <family val="2"/>
        <charset val="1"/>
      </rPr>
      <t xml:space="preserve">VS1recommended</t>
    </r>
    <r>
      <rPr>
        <sz val="11"/>
        <color rgb="FF000000"/>
        <rFont val="Arial"/>
        <family val="2"/>
        <charset val="1"/>
      </rPr>
      <t xml:space="preserve"> =</t>
    </r>
  </si>
  <si>
    <r>
      <rPr>
        <b val="true"/>
        <sz val="11"/>
        <color rgb="FF000000"/>
        <rFont val="Arial"/>
        <family val="2"/>
        <charset val="1"/>
      </rPr>
      <t xml:space="preserve">Actual</t>
    </r>
    <r>
      <rPr>
        <sz val="11"/>
        <color rgb="FF000000"/>
        <rFont val="Arial"/>
        <family val="2"/>
        <charset val="1"/>
      </rPr>
      <t xml:space="preserve"> Resistor Value Used for Minimum Start Up Line Voltage</t>
    </r>
  </si>
  <si>
    <r>
      <rPr>
        <sz val="11"/>
        <color rgb="FF000000"/>
        <rFont val="Arial"/>
        <family val="2"/>
        <charset val="1"/>
      </rPr>
      <t xml:space="preserve">R</t>
    </r>
    <r>
      <rPr>
        <vertAlign val="subscript"/>
        <sz val="11"/>
        <color rgb="FF000000"/>
        <rFont val="Arial"/>
        <family val="2"/>
        <charset val="1"/>
      </rPr>
      <t xml:space="preserve">VS1actual</t>
    </r>
    <r>
      <rPr>
        <sz val="11"/>
        <color rgb="FF000000"/>
        <rFont val="Arial"/>
        <family val="2"/>
        <charset val="1"/>
      </rPr>
      <t xml:space="preserve"> =</t>
    </r>
  </si>
  <si>
    <r>
      <rPr>
        <sz val="11"/>
        <color rgb="FF000000"/>
        <rFont val="Arial"/>
        <family val="2"/>
        <charset val="1"/>
      </rPr>
      <t xml:space="preserve">R</t>
    </r>
    <r>
      <rPr>
        <vertAlign val="subscript"/>
        <sz val="11"/>
        <color rgb="FF000000"/>
        <rFont val="Arial"/>
        <family val="2"/>
        <charset val="1"/>
      </rPr>
      <t xml:space="preserve">VS1</t>
    </r>
    <r>
      <rPr>
        <sz val="11"/>
        <color rgb="FF000000"/>
        <rFont val="Arial"/>
        <family val="2"/>
        <charset val="1"/>
      </rPr>
      <t xml:space="preserve"> Value Used in Calculations</t>
    </r>
  </si>
  <si>
    <r>
      <rPr>
        <sz val="11"/>
        <color rgb="FF000000"/>
        <rFont val="Arial"/>
        <family val="2"/>
        <charset val="1"/>
      </rPr>
      <t xml:space="preserve">R</t>
    </r>
    <r>
      <rPr>
        <vertAlign val="subscript"/>
        <sz val="11"/>
        <color rgb="FF000000"/>
        <rFont val="Arial"/>
        <family val="2"/>
        <charset val="1"/>
      </rPr>
      <t xml:space="preserve">VS1</t>
    </r>
    <r>
      <rPr>
        <sz val="11"/>
        <color rgb="FF000000"/>
        <rFont val="Arial"/>
        <family val="2"/>
        <charset val="1"/>
      </rPr>
      <t xml:space="preserve"> =</t>
    </r>
  </si>
  <si>
    <t xml:space="preserve">Resultant Turn On Voltage, Minimum </t>
  </si>
  <si>
    <r>
      <rPr>
        <sz val="11"/>
        <color rgb="FF000000"/>
        <rFont val="Arial"/>
        <family val="2"/>
        <charset val="1"/>
      </rPr>
      <t xml:space="preserve">V</t>
    </r>
    <r>
      <rPr>
        <vertAlign val="subscript"/>
        <sz val="11"/>
        <color rgb="FF000000"/>
        <rFont val="Arial"/>
        <family val="2"/>
        <charset val="1"/>
      </rPr>
      <t xml:space="preserve">TURNONmin</t>
    </r>
    <r>
      <rPr>
        <sz val="11"/>
        <color rgb="FF000000"/>
        <rFont val="Arial"/>
        <family val="2"/>
        <charset val="1"/>
      </rPr>
      <t xml:space="preserve"> =</t>
    </r>
  </si>
  <si>
    <t xml:space="preserve">Resultant Turn On Voltage, Nominal </t>
  </si>
  <si>
    <r>
      <rPr>
        <b val="true"/>
        <sz val="11"/>
        <color rgb="FF000000"/>
        <rFont val="Arial"/>
        <family val="2"/>
        <charset val="1"/>
      </rPr>
      <t xml:space="preserve">V</t>
    </r>
    <r>
      <rPr>
        <b val="true"/>
        <vertAlign val="subscript"/>
        <sz val="11"/>
        <color rgb="FF000000"/>
        <rFont val="Arial"/>
        <family val="2"/>
        <charset val="1"/>
      </rPr>
      <t xml:space="preserve">TURNONnom</t>
    </r>
    <r>
      <rPr>
        <b val="true"/>
        <sz val="11"/>
        <color rgb="FF000000"/>
        <rFont val="Arial"/>
        <family val="2"/>
        <charset val="1"/>
      </rPr>
      <t xml:space="preserve"> =</t>
    </r>
  </si>
  <si>
    <t xml:space="preserve">Resultant Turn On Voltage, Maximum </t>
  </si>
  <si>
    <r>
      <rPr>
        <sz val="11"/>
        <color rgb="FF000000"/>
        <rFont val="Arial"/>
        <family val="2"/>
        <charset val="1"/>
      </rPr>
      <t xml:space="preserve">V</t>
    </r>
    <r>
      <rPr>
        <vertAlign val="subscript"/>
        <sz val="11"/>
        <color rgb="FF000000"/>
        <rFont val="Arial"/>
        <family val="2"/>
        <charset val="1"/>
      </rPr>
      <t xml:space="preserve">TURNONmax</t>
    </r>
    <r>
      <rPr>
        <sz val="11"/>
        <color rgb="FF000000"/>
        <rFont val="Arial"/>
        <family val="2"/>
        <charset val="1"/>
      </rPr>
      <t xml:space="preserve"> =</t>
    </r>
  </si>
  <si>
    <t xml:space="preserve">Resultant Input Brown Out Voltage, Minimum</t>
  </si>
  <si>
    <r>
      <rPr>
        <sz val="11"/>
        <color rgb="FF000000"/>
        <rFont val="Arial"/>
        <family val="2"/>
        <charset val="1"/>
      </rPr>
      <t xml:space="preserve">V</t>
    </r>
    <r>
      <rPr>
        <vertAlign val="subscript"/>
        <sz val="11"/>
        <color rgb="FF000000"/>
        <rFont val="Arial"/>
        <family val="2"/>
        <charset val="1"/>
      </rPr>
      <t xml:space="preserve">BROWNOUTmin</t>
    </r>
    <r>
      <rPr>
        <sz val="11"/>
        <color rgb="FF000000"/>
        <rFont val="Arial"/>
        <family val="2"/>
        <charset val="1"/>
      </rPr>
      <t xml:space="preserve"> =</t>
    </r>
  </si>
  <si>
    <t xml:space="preserve">Resultant Input Brown Out Voltage, Nominal</t>
  </si>
  <si>
    <r>
      <rPr>
        <b val="true"/>
        <sz val="11"/>
        <color rgb="FF000000"/>
        <rFont val="Arial"/>
        <family val="2"/>
        <charset val="1"/>
      </rPr>
      <t xml:space="preserve">V</t>
    </r>
    <r>
      <rPr>
        <b val="true"/>
        <vertAlign val="subscript"/>
        <sz val="11"/>
        <color rgb="FF000000"/>
        <rFont val="Arial"/>
        <family val="2"/>
        <charset val="1"/>
      </rPr>
      <t xml:space="preserve">BROWNOUTnom</t>
    </r>
    <r>
      <rPr>
        <b val="true"/>
        <sz val="11"/>
        <color rgb="FF000000"/>
        <rFont val="Arial"/>
        <family val="2"/>
        <charset val="1"/>
      </rPr>
      <t xml:space="preserve"> =</t>
    </r>
  </si>
  <si>
    <t xml:space="preserve">Resultant Input Brown Out Voltage, Maximum</t>
  </si>
  <si>
    <r>
      <rPr>
        <sz val="11"/>
        <color rgb="FF000000"/>
        <rFont val="Arial"/>
        <family val="2"/>
        <charset val="1"/>
      </rPr>
      <t xml:space="preserve">V</t>
    </r>
    <r>
      <rPr>
        <vertAlign val="subscript"/>
        <sz val="11"/>
        <color rgb="FF000000"/>
        <rFont val="Arial"/>
        <family val="2"/>
        <charset val="1"/>
      </rPr>
      <t xml:space="preserve">BROWNOUTmax</t>
    </r>
    <r>
      <rPr>
        <sz val="11"/>
        <color rgb="FF000000"/>
        <rFont val="Arial"/>
        <family val="2"/>
        <charset val="1"/>
      </rPr>
      <t xml:space="preserve"> =</t>
    </r>
  </si>
  <si>
    <t xml:space="preserve">Internal VS Over Voltage Threshold, Minimum</t>
  </si>
  <si>
    <r>
      <rPr>
        <sz val="11"/>
        <color rgb="FF000000"/>
        <rFont val="Arial"/>
        <family val="2"/>
        <charset val="1"/>
      </rPr>
      <t xml:space="preserve">V</t>
    </r>
    <r>
      <rPr>
        <vertAlign val="subscript"/>
        <sz val="11"/>
        <color rgb="FF000000"/>
        <rFont val="Arial"/>
        <family val="2"/>
        <charset val="1"/>
      </rPr>
      <t xml:space="preserve">OVPmin</t>
    </r>
    <r>
      <rPr>
        <sz val="11"/>
        <color rgb="FF000000"/>
        <rFont val="Arial"/>
        <family val="2"/>
        <charset val="1"/>
      </rPr>
      <t xml:space="preserve"> =</t>
    </r>
  </si>
  <si>
    <t xml:space="preserve">Internal VS Over Voltage Threshold, Nominal</t>
  </si>
  <si>
    <r>
      <rPr>
        <sz val="11"/>
        <color rgb="FF000000"/>
        <rFont val="Arial"/>
        <family val="2"/>
        <charset val="1"/>
      </rPr>
      <t xml:space="preserve">V</t>
    </r>
    <r>
      <rPr>
        <vertAlign val="subscript"/>
        <sz val="11"/>
        <color rgb="FF000000"/>
        <rFont val="Arial"/>
        <family val="2"/>
        <charset val="1"/>
      </rPr>
      <t xml:space="preserve">OVPnom</t>
    </r>
    <r>
      <rPr>
        <sz val="11"/>
        <color rgb="FF000000"/>
        <rFont val="Arial"/>
        <family val="2"/>
        <charset val="1"/>
      </rPr>
      <t xml:space="preserve"> =</t>
    </r>
  </si>
  <si>
    <t xml:space="preserve">Internal VS Over Voltage Threshold, Maximum</t>
  </si>
  <si>
    <r>
      <rPr>
        <sz val="11"/>
        <color rgb="FF000000"/>
        <rFont val="Arial"/>
        <family val="2"/>
        <charset val="1"/>
      </rPr>
      <t xml:space="preserve">V</t>
    </r>
    <r>
      <rPr>
        <vertAlign val="subscript"/>
        <sz val="11"/>
        <color rgb="FF000000"/>
        <rFont val="Arial"/>
        <family val="2"/>
        <charset val="1"/>
      </rPr>
      <t xml:space="preserve">OVPmax</t>
    </r>
    <r>
      <rPr>
        <sz val="11"/>
        <color rgb="FF000000"/>
        <rFont val="Arial"/>
        <family val="2"/>
        <charset val="1"/>
      </rPr>
      <t xml:space="preserve"> =</t>
    </r>
  </si>
  <si>
    <r>
      <rPr>
        <b val="true"/>
        <sz val="11"/>
        <color rgb="FF000000"/>
        <rFont val="Arial"/>
        <family val="2"/>
        <charset val="1"/>
      </rPr>
      <t xml:space="preserve">Recommended</t>
    </r>
    <r>
      <rPr>
        <sz val="11"/>
        <color rgb="FF000000"/>
        <rFont val="Arial"/>
        <family val="2"/>
        <charset val="1"/>
      </rPr>
      <t xml:space="preserve"> Resistor Value for Desired Output Over Voltage Limit</t>
    </r>
  </si>
  <si>
    <r>
      <rPr>
        <sz val="11"/>
        <color rgb="FF000000"/>
        <rFont val="Arial"/>
        <family val="2"/>
        <charset val="1"/>
      </rPr>
      <t xml:space="preserve">R</t>
    </r>
    <r>
      <rPr>
        <vertAlign val="subscript"/>
        <sz val="11"/>
        <color rgb="FF000000"/>
        <rFont val="Arial"/>
        <family val="2"/>
        <charset val="1"/>
      </rPr>
      <t xml:space="preserve">VS2recommended</t>
    </r>
    <r>
      <rPr>
        <sz val="11"/>
        <color rgb="FF000000"/>
        <rFont val="Arial"/>
        <family val="2"/>
        <charset val="1"/>
      </rPr>
      <t xml:space="preserve"> =</t>
    </r>
  </si>
  <si>
    <r>
      <rPr>
        <b val="true"/>
        <sz val="11"/>
        <color rgb="FF000000"/>
        <rFont val="Arial"/>
        <family val="2"/>
        <charset val="1"/>
      </rPr>
      <t xml:space="preserve">Actual </t>
    </r>
    <r>
      <rPr>
        <sz val="11"/>
        <color rgb="FF000000"/>
        <rFont val="Arial"/>
        <family val="2"/>
        <charset val="1"/>
      </rPr>
      <t xml:space="preserve">Resistor Value Used for Desired Output Over Voltage Limit</t>
    </r>
  </si>
  <si>
    <r>
      <rPr>
        <sz val="11"/>
        <color rgb="FF000000"/>
        <rFont val="Arial"/>
        <family val="2"/>
        <charset val="1"/>
      </rPr>
      <t xml:space="preserve">R</t>
    </r>
    <r>
      <rPr>
        <vertAlign val="subscript"/>
        <sz val="11"/>
        <color rgb="FF000000"/>
        <rFont val="Arial"/>
        <family val="2"/>
        <charset val="1"/>
      </rPr>
      <t xml:space="preserve">VS2actual</t>
    </r>
    <r>
      <rPr>
        <sz val="11"/>
        <color rgb="FF000000"/>
        <rFont val="Arial"/>
        <family val="2"/>
        <charset val="1"/>
      </rPr>
      <t xml:space="preserve"> =</t>
    </r>
  </si>
  <si>
    <r>
      <rPr>
        <sz val="11"/>
        <color rgb="FF000000"/>
        <rFont val="Arial"/>
        <family val="2"/>
        <charset val="1"/>
      </rPr>
      <t xml:space="preserve">R</t>
    </r>
    <r>
      <rPr>
        <vertAlign val="subscript"/>
        <sz val="11"/>
        <color rgb="FF000000"/>
        <rFont val="Arial"/>
        <family val="2"/>
        <charset val="1"/>
      </rPr>
      <t xml:space="preserve">VS2</t>
    </r>
    <r>
      <rPr>
        <sz val="11"/>
        <color rgb="FF000000"/>
        <rFont val="Arial"/>
        <family val="2"/>
        <charset val="1"/>
      </rPr>
      <t xml:space="preserve"> Used in Calculations</t>
    </r>
  </si>
  <si>
    <r>
      <rPr>
        <sz val="11"/>
        <color rgb="FF000000"/>
        <rFont val="Arial"/>
        <family val="2"/>
        <charset val="1"/>
      </rPr>
      <t xml:space="preserve">R</t>
    </r>
    <r>
      <rPr>
        <vertAlign val="subscript"/>
        <sz val="11"/>
        <color rgb="FF000000"/>
        <rFont val="Arial"/>
        <family val="2"/>
        <charset val="1"/>
      </rPr>
      <t xml:space="preserve">VS2</t>
    </r>
    <r>
      <rPr>
        <sz val="11"/>
        <color rgb="FF000000"/>
        <rFont val="Arial"/>
        <family val="2"/>
        <charset val="1"/>
      </rPr>
      <t xml:space="preserve"> =</t>
    </r>
  </si>
  <si>
    <t xml:space="preserve">Resultant Output Over Voltage Threshold, Minimum</t>
  </si>
  <si>
    <r>
      <rPr>
        <sz val="11"/>
        <color rgb="FF000000"/>
        <rFont val="Arial"/>
        <family val="2"/>
        <charset val="1"/>
      </rPr>
      <t xml:space="preserve">V</t>
    </r>
    <r>
      <rPr>
        <vertAlign val="subscript"/>
        <sz val="11"/>
        <color rgb="FF000000"/>
        <rFont val="Arial"/>
        <family val="2"/>
        <charset val="1"/>
      </rPr>
      <t xml:space="preserve">OUT_OVPmin</t>
    </r>
    <r>
      <rPr>
        <sz val="11"/>
        <color rgb="FF000000"/>
        <rFont val="Arial"/>
        <family val="2"/>
        <charset val="1"/>
      </rPr>
      <t xml:space="preserve"> =</t>
    </r>
  </si>
  <si>
    <t xml:space="preserve">Resultant Output Over Voltage Threshold, Nominal</t>
  </si>
  <si>
    <r>
      <rPr>
        <b val="true"/>
        <sz val="11"/>
        <color rgb="FF000000"/>
        <rFont val="Arial"/>
        <family val="2"/>
        <charset val="1"/>
      </rPr>
      <t xml:space="preserve">V</t>
    </r>
    <r>
      <rPr>
        <b val="true"/>
        <vertAlign val="subscript"/>
        <sz val="11"/>
        <color rgb="FF000000"/>
        <rFont val="Arial"/>
        <family val="2"/>
        <charset val="1"/>
      </rPr>
      <t xml:space="preserve">OUT_OVPnom</t>
    </r>
    <r>
      <rPr>
        <b val="true"/>
        <sz val="11"/>
        <color rgb="FF000000"/>
        <rFont val="Arial"/>
        <family val="2"/>
        <charset val="1"/>
      </rPr>
      <t xml:space="preserve"> =</t>
    </r>
  </si>
  <si>
    <t xml:space="preserve">Actual Output Over Voltage </t>
  </si>
  <si>
    <t xml:space="preserve">Resultant Output Over Voltage Threshold, Maximum</t>
  </si>
  <si>
    <r>
      <rPr>
        <sz val="11"/>
        <color rgb="FF000000"/>
        <rFont val="Arial"/>
        <family val="2"/>
        <charset val="1"/>
      </rPr>
      <t xml:space="preserve">V</t>
    </r>
    <r>
      <rPr>
        <vertAlign val="subscript"/>
        <sz val="11"/>
        <color rgb="FF000000"/>
        <rFont val="Arial"/>
        <family val="2"/>
        <charset val="1"/>
      </rPr>
      <t xml:space="preserve">OUT_OVPmax</t>
    </r>
    <r>
      <rPr>
        <sz val="11"/>
        <color rgb="FF000000"/>
        <rFont val="Arial"/>
        <family val="2"/>
        <charset val="1"/>
      </rPr>
      <t xml:space="preserve"> =</t>
    </r>
  </si>
  <si>
    <r>
      <rPr>
        <b val="true"/>
        <i val="true"/>
        <sz val="12"/>
        <color rgb="FFFFFFFF"/>
        <rFont val="Arial"/>
        <family val="2"/>
        <charset val="1"/>
      </rPr>
      <t xml:space="preserve">LINE COMPENSATION, R</t>
    </r>
    <r>
      <rPr>
        <b val="true"/>
        <i val="true"/>
        <vertAlign val="subscript"/>
        <sz val="12"/>
        <color rgb="FFFFFFFF"/>
        <rFont val="Arial"/>
        <family val="2"/>
        <charset val="1"/>
      </rPr>
      <t xml:space="preserve">LC</t>
    </r>
  </si>
  <si>
    <t xml:space="preserve">Line Compensation Current Ratio, Nominal</t>
  </si>
  <si>
    <r>
      <rPr>
        <sz val="11"/>
        <color rgb="FF000000"/>
        <rFont val="Arial"/>
        <family val="2"/>
        <charset val="1"/>
      </rPr>
      <t xml:space="preserve">K</t>
    </r>
    <r>
      <rPr>
        <vertAlign val="subscript"/>
        <sz val="11"/>
        <color rgb="FF000000"/>
        <rFont val="Arial"/>
        <family val="2"/>
        <charset val="1"/>
      </rPr>
      <t xml:space="preserve">LCnom</t>
    </r>
    <r>
      <rPr>
        <sz val="11"/>
        <color rgb="FF000000"/>
        <rFont val="Arial"/>
        <family val="2"/>
        <charset val="1"/>
      </rPr>
      <t xml:space="preserve"> =</t>
    </r>
  </si>
  <si>
    <t xml:space="preserve">A/A</t>
  </si>
  <si>
    <t xml:space="preserve">Total Estimated Current Sense Delay</t>
  </si>
  <si>
    <r>
      <rPr>
        <sz val="11"/>
        <color rgb="FF000000"/>
        <rFont val="Arial"/>
        <family val="2"/>
        <charset val="1"/>
      </rPr>
      <t xml:space="preserve">t</t>
    </r>
    <r>
      <rPr>
        <vertAlign val="subscript"/>
        <sz val="11"/>
        <color rgb="FF000000"/>
        <rFont val="Arial"/>
        <family val="2"/>
        <charset val="1"/>
      </rPr>
      <t xml:space="preserve">DELAY</t>
    </r>
    <r>
      <rPr>
        <sz val="11"/>
        <color rgb="FF000000"/>
        <rFont val="Arial"/>
        <family val="2"/>
        <charset val="1"/>
      </rPr>
      <t xml:space="preserve"> =</t>
    </r>
  </si>
  <si>
    <r>
      <rPr>
        <b val="true"/>
        <sz val="11"/>
        <rFont val="Arial"/>
        <family val="2"/>
        <charset val="1"/>
      </rPr>
      <t xml:space="preserve">Recommended</t>
    </r>
    <r>
      <rPr>
        <sz val="11"/>
        <rFont val="Arial"/>
        <family val="2"/>
        <charset val="1"/>
      </rPr>
      <t xml:space="preserve"> Resistor Value for Line Compensation</t>
    </r>
  </si>
  <si>
    <r>
      <rPr>
        <sz val="11"/>
        <color rgb="FF000000"/>
        <rFont val="Arial"/>
        <family val="2"/>
        <charset val="1"/>
      </rPr>
      <t xml:space="preserve">R</t>
    </r>
    <r>
      <rPr>
        <vertAlign val="subscript"/>
        <sz val="11"/>
        <color rgb="FF000000"/>
        <rFont val="Arial"/>
        <family val="2"/>
        <charset val="1"/>
      </rPr>
      <t xml:space="preserve">LCrecommended</t>
    </r>
    <r>
      <rPr>
        <sz val="11"/>
        <color rgb="FF000000"/>
        <rFont val="Arial"/>
        <family val="2"/>
        <charset val="1"/>
      </rPr>
      <t xml:space="preserve"> =</t>
    </r>
  </si>
  <si>
    <r>
      <rPr>
        <b val="true"/>
        <sz val="11"/>
        <rFont val="Arial"/>
        <family val="2"/>
        <charset val="1"/>
      </rPr>
      <t xml:space="preserve">Actual</t>
    </r>
    <r>
      <rPr>
        <sz val="11"/>
        <rFont val="Arial"/>
        <family val="2"/>
        <charset val="1"/>
      </rPr>
      <t xml:space="preserve"> Resistor Value Used for Line Compensation</t>
    </r>
  </si>
  <si>
    <r>
      <rPr>
        <sz val="11"/>
        <color rgb="FF000000"/>
        <rFont val="Arial"/>
        <family val="2"/>
        <charset val="1"/>
      </rPr>
      <t xml:space="preserve">R</t>
    </r>
    <r>
      <rPr>
        <vertAlign val="subscript"/>
        <sz val="11"/>
        <color rgb="FF000000"/>
        <rFont val="Arial"/>
        <family val="2"/>
        <charset val="1"/>
      </rPr>
      <t xml:space="preserve">LCactual</t>
    </r>
    <r>
      <rPr>
        <sz val="11"/>
        <color rgb="FF000000"/>
        <rFont val="Arial"/>
        <family val="2"/>
        <charset val="1"/>
      </rPr>
      <t xml:space="preserve"> =</t>
    </r>
  </si>
  <si>
    <r>
      <rPr>
        <sz val="11"/>
        <rFont val="Arial"/>
        <family val="2"/>
        <charset val="1"/>
      </rPr>
      <t xml:space="preserve">R</t>
    </r>
    <r>
      <rPr>
        <vertAlign val="subscript"/>
        <sz val="11"/>
        <rFont val="Arial"/>
        <family val="2"/>
        <charset val="1"/>
      </rPr>
      <t xml:space="preserve">LC</t>
    </r>
    <r>
      <rPr>
        <sz val="11"/>
        <rFont val="Arial"/>
        <family val="2"/>
        <charset val="1"/>
      </rPr>
      <t xml:space="preserve"> Used in Calculations</t>
    </r>
  </si>
  <si>
    <r>
      <rPr>
        <sz val="11"/>
        <color rgb="FF000000"/>
        <rFont val="Arial"/>
        <family val="2"/>
        <charset val="1"/>
      </rPr>
      <t xml:space="preserve">R</t>
    </r>
    <r>
      <rPr>
        <vertAlign val="subscript"/>
        <sz val="11"/>
        <color rgb="FF000000"/>
        <rFont val="Arial"/>
        <family val="2"/>
        <charset val="1"/>
      </rPr>
      <t xml:space="preserve">LC</t>
    </r>
    <r>
      <rPr>
        <sz val="11"/>
        <color rgb="FF000000"/>
        <rFont val="Arial"/>
        <family val="2"/>
        <charset val="1"/>
      </rPr>
      <t xml:space="preserve"> =</t>
    </r>
  </si>
  <si>
    <r>
      <rPr>
        <b val="true"/>
        <sz val="11"/>
        <rFont val="Arial"/>
        <family val="2"/>
        <charset val="1"/>
      </rPr>
      <t xml:space="preserve">Result of R</t>
    </r>
    <r>
      <rPr>
        <b val="true"/>
        <vertAlign val="subscript"/>
        <sz val="11"/>
        <rFont val="Arial"/>
        <family val="2"/>
        <charset val="1"/>
      </rPr>
      <t xml:space="preserve">LC</t>
    </r>
    <r>
      <rPr>
        <b val="true"/>
        <sz val="11"/>
        <rFont val="Arial"/>
        <family val="2"/>
        <charset val="1"/>
      </rPr>
      <t xml:space="preserve"> selection</t>
    </r>
  </si>
  <si>
    <r>
      <rPr>
        <b val="true"/>
        <i val="true"/>
        <sz val="12"/>
        <color rgb="FFFFFFFF"/>
        <rFont val="Arial"/>
        <family val="2"/>
        <charset val="1"/>
      </rPr>
      <t xml:space="preserve">VDD CAPACITOR, C</t>
    </r>
    <r>
      <rPr>
        <b val="true"/>
        <i val="true"/>
        <vertAlign val="subscript"/>
        <sz val="12"/>
        <color rgb="FFFFFFFF"/>
        <rFont val="Arial"/>
        <family val="2"/>
        <charset val="1"/>
      </rPr>
      <t xml:space="preserve">VDD</t>
    </r>
  </si>
  <si>
    <t xml:space="preserve">Device Supply Current During Run Mode, Maximum</t>
  </si>
  <si>
    <r>
      <rPr>
        <sz val="11"/>
        <color rgb="FF000000"/>
        <rFont val="Arial"/>
        <family val="2"/>
        <charset val="1"/>
      </rPr>
      <t xml:space="preserve">I</t>
    </r>
    <r>
      <rPr>
        <vertAlign val="subscript"/>
        <sz val="11"/>
        <color rgb="FF000000"/>
        <rFont val="Arial"/>
        <family val="2"/>
        <charset val="1"/>
      </rPr>
      <t xml:space="preserve">RUNmax</t>
    </r>
    <r>
      <rPr>
        <sz val="11"/>
        <color rgb="FF000000"/>
        <rFont val="Arial"/>
        <family val="2"/>
        <charset val="1"/>
      </rPr>
      <t xml:space="preserve"> =</t>
    </r>
  </si>
  <si>
    <r>
      <rPr>
        <sz val="11"/>
        <color rgb="FF000000"/>
        <rFont val="Arial"/>
        <family val="2"/>
        <charset val="1"/>
      </rPr>
      <t xml:space="preserve">VDD</t>
    </r>
    <r>
      <rPr>
        <vertAlign val="subscript"/>
        <sz val="11"/>
        <color rgb="FF000000"/>
        <rFont val="Arial"/>
        <family val="2"/>
        <charset val="1"/>
      </rPr>
      <t xml:space="preserve">ON</t>
    </r>
    <r>
      <rPr>
        <sz val="11"/>
        <color rgb="FF000000"/>
        <rFont val="Arial"/>
        <family val="2"/>
        <charset val="1"/>
      </rPr>
      <t xml:space="preserve"> Voltage, Maximum</t>
    </r>
  </si>
  <si>
    <r>
      <rPr>
        <sz val="11"/>
        <color rgb="FF000000"/>
        <rFont val="Arial"/>
        <family val="2"/>
        <charset val="1"/>
      </rPr>
      <t xml:space="preserve">VDD</t>
    </r>
    <r>
      <rPr>
        <vertAlign val="subscript"/>
        <sz val="11"/>
        <color rgb="FF000000"/>
        <rFont val="Arial"/>
        <family val="2"/>
        <charset val="1"/>
      </rPr>
      <t xml:space="preserve">ONmax</t>
    </r>
    <r>
      <rPr>
        <sz val="11"/>
        <color rgb="FF000000"/>
        <rFont val="Arial"/>
        <family val="2"/>
        <charset val="1"/>
      </rPr>
      <t xml:space="preserve"> =</t>
    </r>
  </si>
  <si>
    <r>
      <rPr>
        <sz val="11"/>
        <color rgb="FF000000"/>
        <rFont val="Arial"/>
        <family val="2"/>
        <charset val="1"/>
      </rPr>
      <t xml:space="preserve">VDD</t>
    </r>
    <r>
      <rPr>
        <vertAlign val="subscript"/>
        <sz val="11"/>
        <color rgb="FF000000"/>
        <rFont val="Arial"/>
        <family val="2"/>
        <charset val="1"/>
      </rPr>
      <t xml:space="preserve">OFF</t>
    </r>
    <r>
      <rPr>
        <sz val="11"/>
        <color rgb="FF000000"/>
        <rFont val="Arial"/>
        <family val="2"/>
        <charset val="1"/>
      </rPr>
      <t xml:space="preserve"> Voltage, Maximum</t>
    </r>
  </si>
  <si>
    <r>
      <rPr>
        <sz val="11"/>
        <color rgb="FF000000"/>
        <rFont val="Arial"/>
        <family val="2"/>
        <charset val="1"/>
      </rPr>
      <t xml:space="preserve">VDD</t>
    </r>
    <r>
      <rPr>
        <vertAlign val="subscript"/>
        <sz val="11"/>
        <color rgb="FF000000"/>
        <rFont val="Arial"/>
        <family val="2"/>
        <charset val="1"/>
      </rPr>
      <t xml:space="preserve">OFFmax</t>
    </r>
    <r>
      <rPr>
        <sz val="11"/>
        <color rgb="FF000000"/>
        <rFont val="Arial"/>
        <family val="2"/>
        <charset val="1"/>
      </rPr>
      <t xml:space="preserve"> =</t>
    </r>
  </si>
  <si>
    <t xml:space="preserve">Estimated Minimum Switching Frequency at No-Load</t>
  </si>
  <si>
    <r>
      <rPr>
        <sz val="11"/>
        <color rgb="FF000000"/>
        <rFont val="Arial"/>
        <family val="2"/>
        <charset val="1"/>
      </rPr>
      <t xml:space="preserve">f</t>
    </r>
    <r>
      <rPr>
        <vertAlign val="subscript"/>
        <sz val="11"/>
        <color rgb="FF000000"/>
        <rFont val="Arial"/>
        <family val="2"/>
        <charset val="1"/>
      </rPr>
      <t xml:space="preserve">SWmin</t>
    </r>
    <r>
      <rPr>
        <sz val="11"/>
        <color rgb="FF000000"/>
        <rFont val="Arial"/>
        <family val="2"/>
        <charset val="1"/>
      </rPr>
      <t xml:space="preserve"> =</t>
    </r>
  </si>
  <si>
    <t xml:space="preserve">Estimated Over Voltage Charge Duration</t>
  </si>
  <si>
    <r>
      <rPr>
        <sz val="11"/>
        <color rgb="FF000000"/>
        <rFont val="Arial"/>
        <family val="2"/>
        <charset val="1"/>
      </rPr>
      <t xml:space="preserve">t</t>
    </r>
    <r>
      <rPr>
        <vertAlign val="subscript"/>
        <sz val="11"/>
        <color rgb="FF000000"/>
        <rFont val="Arial"/>
        <family val="2"/>
        <charset val="1"/>
      </rPr>
      <t xml:space="preserve">OV</t>
    </r>
    <r>
      <rPr>
        <sz val="11"/>
        <color rgb="FF000000"/>
        <rFont val="Arial"/>
        <family val="2"/>
        <charset val="1"/>
      </rPr>
      <t xml:space="preserve"> =</t>
    </r>
  </si>
  <si>
    <t xml:space="preserve">Minimum VDD Capacitor for Start UP</t>
  </si>
  <si>
    <r>
      <rPr>
        <sz val="11"/>
        <color rgb="FF000000"/>
        <rFont val="Arial"/>
        <family val="2"/>
        <charset val="1"/>
      </rPr>
      <t xml:space="preserve">C</t>
    </r>
    <r>
      <rPr>
        <vertAlign val="subscript"/>
        <sz val="11"/>
        <color rgb="FF000000"/>
        <rFont val="Arial"/>
        <family val="2"/>
        <charset val="1"/>
      </rPr>
      <t xml:space="preserve">VDD1</t>
    </r>
    <r>
      <rPr>
        <sz val="11"/>
        <color rgb="FF000000"/>
        <rFont val="Arial"/>
        <family val="2"/>
        <charset val="1"/>
      </rPr>
      <t xml:space="preserve"> =</t>
    </r>
  </si>
  <si>
    <t xml:space="preserve">Minimum VDD Capacitor for Load Transient</t>
  </si>
  <si>
    <r>
      <rPr>
        <sz val="11"/>
        <color rgb="FF000000"/>
        <rFont val="Arial"/>
        <family val="2"/>
        <charset val="1"/>
      </rPr>
      <t xml:space="preserve">C</t>
    </r>
    <r>
      <rPr>
        <vertAlign val="subscript"/>
        <sz val="11"/>
        <color rgb="FF000000"/>
        <rFont val="Arial"/>
        <family val="2"/>
        <charset val="1"/>
      </rPr>
      <t xml:space="preserve">VDD2</t>
    </r>
    <r>
      <rPr>
        <sz val="11"/>
        <color rgb="FF000000"/>
        <rFont val="Arial"/>
        <family val="2"/>
        <charset val="1"/>
      </rPr>
      <t xml:space="preserve"> =</t>
    </r>
  </si>
  <si>
    <t xml:space="preserve">Minimum VDD Capacitor for Target Ripple on VDD</t>
  </si>
  <si>
    <r>
      <rPr>
        <sz val="11"/>
        <color rgb="FF000000"/>
        <rFont val="Arial"/>
        <family val="2"/>
        <charset val="1"/>
      </rPr>
      <t xml:space="preserve">C</t>
    </r>
    <r>
      <rPr>
        <vertAlign val="subscript"/>
        <sz val="11"/>
        <color rgb="FF000000"/>
        <rFont val="Arial"/>
        <family val="2"/>
        <charset val="1"/>
      </rPr>
      <t xml:space="preserve">VDD3</t>
    </r>
    <r>
      <rPr>
        <sz val="11"/>
        <color rgb="FF000000"/>
        <rFont val="Arial"/>
        <family val="2"/>
        <charset val="1"/>
      </rPr>
      <t xml:space="preserve"> =</t>
    </r>
  </si>
  <si>
    <r>
      <rPr>
        <b val="true"/>
        <sz val="11"/>
        <color rgb="FF000000"/>
        <rFont val="Arial"/>
        <family val="2"/>
        <charset val="1"/>
      </rPr>
      <t xml:space="preserve">Recommended </t>
    </r>
    <r>
      <rPr>
        <sz val="11"/>
        <color rgb="FF000000"/>
        <rFont val="Arial"/>
        <family val="2"/>
        <charset val="1"/>
      </rPr>
      <t xml:space="preserve">Capacitor on VDD</t>
    </r>
  </si>
  <si>
    <r>
      <rPr>
        <sz val="11"/>
        <color rgb="FF000000"/>
        <rFont val="Arial"/>
        <family val="2"/>
        <charset val="1"/>
      </rPr>
      <t xml:space="preserve">C</t>
    </r>
    <r>
      <rPr>
        <vertAlign val="subscript"/>
        <sz val="11"/>
        <color rgb="FF000000"/>
        <rFont val="Arial"/>
        <family val="2"/>
        <charset val="1"/>
      </rPr>
      <t xml:space="preserve">VDDrecommended</t>
    </r>
    <r>
      <rPr>
        <sz val="11"/>
        <color rgb="FF000000"/>
        <rFont val="Arial"/>
        <family val="2"/>
        <charset val="1"/>
      </rPr>
      <t xml:space="preserve"> =</t>
    </r>
  </si>
  <si>
    <t xml:space="preserve">OPTO-COUPLED FEEDBACK</t>
  </si>
  <si>
    <t xml:space="preserve">Reference Voltage of TL431 Shunt Regulator</t>
  </si>
  <si>
    <r>
      <rPr>
        <sz val="11"/>
        <color rgb="FF000000"/>
        <rFont val="Arial"/>
        <family val="2"/>
        <charset val="1"/>
      </rPr>
      <t xml:space="preserve">VREF</t>
    </r>
    <r>
      <rPr>
        <vertAlign val="subscript"/>
        <sz val="11"/>
        <color rgb="FF000000"/>
        <rFont val="Arial"/>
        <family val="2"/>
        <charset val="1"/>
      </rPr>
      <t xml:space="preserve">431</t>
    </r>
    <r>
      <rPr>
        <sz val="11"/>
        <color rgb="FF000000"/>
        <rFont val="Arial"/>
        <family val="2"/>
        <charset val="1"/>
      </rPr>
      <t xml:space="preserve"> =</t>
    </r>
  </si>
  <si>
    <t xml:space="preserve">Shunt Regulator Reference Input Current, Maximum</t>
  </si>
  <si>
    <r>
      <rPr>
        <sz val="11"/>
        <color rgb="FF000000"/>
        <rFont val="Arial"/>
        <family val="2"/>
        <charset val="1"/>
      </rPr>
      <t xml:space="preserve">I</t>
    </r>
    <r>
      <rPr>
        <vertAlign val="subscript"/>
        <sz val="11"/>
        <color rgb="FF000000"/>
        <rFont val="Arial"/>
        <family val="2"/>
        <charset val="1"/>
      </rPr>
      <t xml:space="preserve">REF431</t>
    </r>
    <r>
      <rPr>
        <sz val="11"/>
        <color rgb="FF000000"/>
        <rFont val="Arial"/>
        <family val="2"/>
        <charset val="1"/>
      </rPr>
      <t xml:space="preserve"> =</t>
    </r>
  </si>
  <si>
    <r>
      <rPr>
        <b val="true"/>
        <sz val="11"/>
        <rFont val="Arial"/>
        <family val="2"/>
        <charset val="1"/>
      </rPr>
      <t xml:space="preserve">Recommended</t>
    </r>
    <r>
      <rPr>
        <sz val="11"/>
        <rFont val="Arial"/>
        <family val="2"/>
        <charset val="1"/>
      </rPr>
      <t xml:space="preserve"> Bottom Resistor Value for Output Voltage Set Point</t>
    </r>
  </si>
  <si>
    <r>
      <rPr>
        <sz val="11"/>
        <color rgb="FF000000"/>
        <rFont val="Arial"/>
        <family val="2"/>
        <charset val="1"/>
      </rPr>
      <t xml:space="preserve">R</t>
    </r>
    <r>
      <rPr>
        <vertAlign val="subscript"/>
        <sz val="11"/>
        <color rgb="FF000000"/>
        <rFont val="Arial"/>
        <family val="2"/>
        <charset val="1"/>
      </rPr>
      <t xml:space="preserve">FB2recommended</t>
    </r>
    <r>
      <rPr>
        <sz val="11"/>
        <color rgb="FF000000"/>
        <rFont val="Arial"/>
        <family val="2"/>
        <charset val="1"/>
      </rPr>
      <t xml:space="preserve"> =</t>
    </r>
  </si>
  <si>
    <r>
      <rPr>
        <b val="true"/>
        <sz val="11"/>
        <rFont val="Arial"/>
        <family val="2"/>
        <charset val="1"/>
      </rPr>
      <t xml:space="preserve">Actual</t>
    </r>
    <r>
      <rPr>
        <sz val="11"/>
        <rFont val="Arial"/>
        <family val="2"/>
        <charset val="1"/>
      </rPr>
      <t xml:space="preserve"> Bottom Resistor Value Used for Output Voltage Set Point</t>
    </r>
  </si>
  <si>
    <r>
      <rPr>
        <sz val="11"/>
        <color rgb="FF000000"/>
        <rFont val="Arial"/>
        <family val="2"/>
        <charset val="1"/>
      </rPr>
      <t xml:space="preserve">R</t>
    </r>
    <r>
      <rPr>
        <vertAlign val="subscript"/>
        <sz val="11"/>
        <color rgb="FF000000"/>
        <rFont val="Arial"/>
        <family val="2"/>
        <charset val="1"/>
      </rPr>
      <t xml:space="preserve">FB2actual</t>
    </r>
    <r>
      <rPr>
        <sz val="11"/>
        <color rgb="FF000000"/>
        <rFont val="Arial"/>
        <family val="2"/>
        <charset val="1"/>
      </rPr>
      <t xml:space="preserve"> =</t>
    </r>
  </si>
  <si>
    <r>
      <rPr>
        <sz val="11"/>
        <rFont val="Arial"/>
        <family val="2"/>
        <charset val="1"/>
      </rPr>
      <t xml:space="preserve">R</t>
    </r>
    <r>
      <rPr>
        <vertAlign val="subscript"/>
        <sz val="11"/>
        <rFont val="Arial"/>
        <family val="2"/>
        <charset val="1"/>
      </rPr>
      <t xml:space="preserve">FB2</t>
    </r>
    <r>
      <rPr>
        <sz val="11"/>
        <rFont val="Arial"/>
        <family val="2"/>
        <charset val="1"/>
      </rPr>
      <t xml:space="preserve"> Used in Calculations</t>
    </r>
  </si>
  <si>
    <r>
      <rPr>
        <sz val="11"/>
        <color rgb="FF000000"/>
        <rFont val="Arial"/>
        <family val="2"/>
        <charset val="1"/>
      </rPr>
      <t xml:space="preserve">R</t>
    </r>
    <r>
      <rPr>
        <vertAlign val="subscript"/>
        <sz val="11"/>
        <color rgb="FF000000"/>
        <rFont val="Arial"/>
        <family val="2"/>
        <charset val="1"/>
      </rPr>
      <t xml:space="preserve">FB2</t>
    </r>
    <r>
      <rPr>
        <sz val="11"/>
        <color rgb="FF000000"/>
        <rFont val="Arial"/>
        <family val="2"/>
        <charset val="1"/>
      </rPr>
      <t xml:space="preserve"> =</t>
    </r>
  </si>
  <si>
    <r>
      <rPr>
        <b val="true"/>
        <sz val="11"/>
        <rFont val="Arial"/>
        <family val="2"/>
        <charset val="1"/>
      </rPr>
      <t xml:space="preserve">Recommended</t>
    </r>
    <r>
      <rPr>
        <sz val="11"/>
        <rFont val="Arial"/>
        <family val="2"/>
        <charset val="1"/>
      </rPr>
      <t xml:space="preserve"> Top Resistor Value for Output Voltage Set Point</t>
    </r>
  </si>
  <si>
    <r>
      <rPr>
        <sz val="11"/>
        <color rgb="FF000000"/>
        <rFont val="Arial"/>
        <family val="2"/>
        <charset val="1"/>
      </rPr>
      <t xml:space="preserve">R</t>
    </r>
    <r>
      <rPr>
        <vertAlign val="subscript"/>
        <sz val="11"/>
        <color rgb="FF000000"/>
        <rFont val="Arial"/>
        <family val="2"/>
        <charset val="1"/>
      </rPr>
      <t xml:space="preserve">FB1recommended</t>
    </r>
    <r>
      <rPr>
        <sz val="11"/>
        <color rgb="FF000000"/>
        <rFont val="Arial"/>
        <family val="2"/>
        <charset val="1"/>
      </rPr>
      <t xml:space="preserve"> =</t>
    </r>
  </si>
  <si>
    <r>
      <rPr>
        <b val="true"/>
        <sz val="11"/>
        <rFont val="Arial"/>
        <family val="2"/>
        <charset val="1"/>
      </rPr>
      <t xml:space="preserve">Actual</t>
    </r>
    <r>
      <rPr>
        <sz val="11"/>
        <rFont val="Arial"/>
        <family val="2"/>
        <charset val="1"/>
      </rPr>
      <t xml:space="preserve"> Top Resistor Value Used for Output Voltage Set Point</t>
    </r>
  </si>
  <si>
    <r>
      <rPr>
        <sz val="11"/>
        <color rgb="FF000000"/>
        <rFont val="Arial"/>
        <family val="2"/>
        <charset val="1"/>
      </rPr>
      <t xml:space="preserve">R</t>
    </r>
    <r>
      <rPr>
        <vertAlign val="subscript"/>
        <sz val="11"/>
        <color rgb="FF000000"/>
        <rFont val="Arial"/>
        <family val="2"/>
        <charset val="1"/>
      </rPr>
      <t xml:space="preserve">FB1actual</t>
    </r>
    <r>
      <rPr>
        <sz val="11"/>
        <color rgb="FF000000"/>
        <rFont val="Arial"/>
        <family val="2"/>
        <charset val="1"/>
      </rPr>
      <t xml:space="preserve"> =</t>
    </r>
  </si>
  <si>
    <r>
      <rPr>
        <sz val="11"/>
        <rFont val="Arial"/>
        <family val="2"/>
        <charset val="1"/>
      </rPr>
      <t xml:space="preserve">R</t>
    </r>
    <r>
      <rPr>
        <vertAlign val="subscript"/>
        <sz val="11"/>
        <rFont val="Arial"/>
        <family val="2"/>
        <charset val="1"/>
      </rPr>
      <t xml:space="preserve">FB1</t>
    </r>
    <r>
      <rPr>
        <sz val="11"/>
        <rFont val="Arial"/>
        <family val="2"/>
        <charset val="1"/>
      </rPr>
      <t xml:space="preserve"> Used in Calculations</t>
    </r>
  </si>
  <si>
    <r>
      <rPr>
        <sz val="11"/>
        <color rgb="FF000000"/>
        <rFont val="Arial"/>
        <family val="2"/>
        <charset val="1"/>
      </rPr>
      <t xml:space="preserve">R</t>
    </r>
    <r>
      <rPr>
        <vertAlign val="subscript"/>
        <sz val="11"/>
        <color rgb="FF000000"/>
        <rFont val="Arial"/>
        <family val="2"/>
        <charset val="1"/>
      </rPr>
      <t xml:space="preserve">FB1</t>
    </r>
    <r>
      <rPr>
        <sz val="11"/>
        <color rgb="FF000000"/>
        <rFont val="Arial"/>
        <family val="2"/>
        <charset val="1"/>
      </rPr>
      <t xml:space="preserve"> =</t>
    </r>
  </si>
  <si>
    <t xml:space="preserve">Noise Injection Resistor For Loop Analysis</t>
  </si>
  <si>
    <r>
      <rPr>
        <sz val="11"/>
        <color rgb="FF000000"/>
        <rFont val="Arial"/>
        <family val="2"/>
        <charset val="1"/>
      </rPr>
      <t xml:space="preserve">R</t>
    </r>
    <r>
      <rPr>
        <vertAlign val="subscript"/>
        <sz val="11"/>
        <color rgb="FF000000"/>
        <rFont val="Arial"/>
        <family val="2"/>
        <charset val="1"/>
      </rPr>
      <t xml:space="preserve">INJ</t>
    </r>
    <r>
      <rPr>
        <sz val="11"/>
        <color rgb="FF000000"/>
        <rFont val="Arial"/>
        <family val="2"/>
        <charset val="1"/>
      </rPr>
      <t xml:space="preserve"> =</t>
    </r>
  </si>
  <si>
    <t xml:space="preserve">Ω</t>
  </si>
  <si>
    <t xml:space="preserve">May be changed by User here</t>
  </si>
  <si>
    <t xml:space="preserve">Resultant Nominal Constant Voltage Output Voltage</t>
  </si>
  <si>
    <r>
      <rPr>
        <b val="true"/>
        <sz val="11"/>
        <color rgb="FF000000"/>
        <rFont val="Arial"/>
        <family val="2"/>
        <charset val="1"/>
      </rPr>
      <t xml:space="preserve">V</t>
    </r>
    <r>
      <rPr>
        <b val="true"/>
        <vertAlign val="subscript"/>
        <sz val="11"/>
        <color rgb="FF000000"/>
        <rFont val="Arial"/>
        <family val="2"/>
        <charset val="1"/>
      </rPr>
      <t xml:space="preserve">OUT_CV</t>
    </r>
    <r>
      <rPr>
        <b val="true"/>
        <sz val="11"/>
        <color rgb="FF000000"/>
        <rFont val="Arial"/>
        <family val="2"/>
        <charset val="1"/>
      </rPr>
      <t xml:space="preserve"> =</t>
    </r>
  </si>
  <si>
    <t xml:space="preserve">Minimum Current Transfer  Ratio of Selected Opto-Coupler</t>
  </si>
  <si>
    <r>
      <rPr>
        <sz val="11"/>
        <color rgb="FF000000"/>
        <rFont val="Arial"/>
        <family val="2"/>
        <charset val="1"/>
      </rPr>
      <t xml:space="preserve">CTR</t>
    </r>
    <r>
      <rPr>
        <vertAlign val="subscript"/>
        <sz val="11"/>
        <color rgb="FF000000"/>
        <rFont val="Arial"/>
        <family val="2"/>
        <charset val="1"/>
      </rPr>
      <t xml:space="preserve">min</t>
    </r>
    <r>
      <rPr>
        <sz val="11"/>
        <color rgb="FF000000"/>
        <rFont val="Arial"/>
        <family val="2"/>
        <charset val="1"/>
      </rPr>
      <t xml:space="preserve"> =</t>
    </r>
  </si>
  <si>
    <t xml:space="preserve">Response Fall Time of Opto-Coupler</t>
  </si>
  <si>
    <r>
      <rPr>
        <sz val="11"/>
        <rFont val="Arial"/>
        <family val="2"/>
        <charset val="1"/>
      </rPr>
      <t xml:space="preserve">t</t>
    </r>
    <r>
      <rPr>
        <vertAlign val="subscript"/>
        <sz val="11"/>
        <rFont val="Arial"/>
        <family val="2"/>
        <charset val="1"/>
      </rPr>
      <t xml:space="preserve">f_opto</t>
    </r>
    <r>
      <rPr>
        <sz val="11"/>
        <rFont val="Arial"/>
        <family val="2"/>
        <charset val="1"/>
      </rPr>
      <t xml:space="preserve"> =</t>
    </r>
  </si>
  <si>
    <r>
      <rPr>
        <sz val="11"/>
        <color rgb="FF000000"/>
        <rFont val="Arial"/>
        <family val="2"/>
        <charset val="1"/>
      </rPr>
      <t xml:space="preserve">R</t>
    </r>
    <r>
      <rPr>
        <vertAlign val="subscript"/>
        <sz val="11"/>
        <color rgb="FF000000"/>
        <rFont val="Arial"/>
        <family val="2"/>
        <charset val="1"/>
      </rPr>
      <t xml:space="preserve">L</t>
    </r>
    <r>
      <rPr>
        <sz val="11"/>
        <color rgb="FF000000"/>
        <rFont val="Arial"/>
        <family val="2"/>
        <charset val="1"/>
      </rPr>
      <t xml:space="preserve"> of Specified Opto-Coupler Fall Time</t>
    </r>
  </si>
  <si>
    <r>
      <rPr>
        <sz val="11"/>
        <rFont val="Arial"/>
        <family val="2"/>
        <charset val="1"/>
      </rPr>
      <t xml:space="preserve">R</t>
    </r>
    <r>
      <rPr>
        <vertAlign val="subscript"/>
        <sz val="11"/>
        <rFont val="Arial"/>
        <family val="2"/>
        <charset val="1"/>
      </rPr>
      <t xml:space="preserve">L_opto</t>
    </r>
    <r>
      <rPr>
        <sz val="11"/>
        <rFont val="Arial"/>
        <family val="2"/>
        <charset val="1"/>
      </rPr>
      <t xml:space="preserve"> =</t>
    </r>
  </si>
  <si>
    <t xml:space="preserve">Cut-Off Frequency of Opto-Coupler</t>
  </si>
  <si>
    <r>
      <rPr>
        <sz val="11"/>
        <color rgb="FF000000"/>
        <rFont val="Arial"/>
        <family val="2"/>
        <charset val="1"/>
      </rPr>
      <t xml:space="preserve">f</t>
    </r>
    <r>
      <rPr>
        <vertAlign val="subscript"/>
        <sz val="11"/>
        <color rgb="FF000000"/>
        <rFont val="Arial"/>
        <family val="2"/>
        <charset val="1"/>
      </rPr>
      <t xml:space="preserve">c_opto</t>
    </r>
    <r>
      <rPr>
        <sz val="11"/>
        <color rgb="FF000000"/>
        <rFont val="Arial"/>
        <family val="2"/>
        <charset val="1"/>
      </rPr>
      <t xml:space="preserve"> =</t>
    </r>
  </si>
  <si>
    <t xml:space="preserve">Input Forward Voltage of Opto-Coupler</t>
  </si>
  <si>
    <r>
      <rPr>
        <sz val="11"/>
        <color rgb="FF000000"/>
        <rFont val="Arial"/>
        <family val="2"/>
        <charset val="1"/>
      </rPr>
      <t xml:space="preserve">V</t>
    </r>
    <r>
      <rPr>
        <vertAlign val="subscript"/>
        <sz val="11"/>
        <color rgb="FF000000"/>
        <rFont val="Arial"/>
        <family val="2"/>
        <charset val="1"/>
      </rPr>
      <t xml:space="preserve">F_opto</t>
    </r>
    <r>
      <rPr>
        <sz val="11"/>
        <color rgb="FF000000"/>
        <rFont val="Arial"/>
        <family val="2"/>
        <charset val="1"/>
      </rPr>
      <t xml:space="preserve"> =</t>
    </r>
  </si>
  <si>
    <t xml:space="preserve">Equivalent Opto-Coupler Output Capacitance</t>
  </si>
  <si>
    <r>
      <rPr>
        <sz val="11"/>
        <color rgb="FF000000"/>
        <rFont val="Arial"/>
        <family val="2"/>
        <charset val="1"/>
      </rPr>
      <t xml:space="preserve">C</t>
    </r>
    <r>
      <rPr>
        <vertAlign val="subscript"/>
        <sz val="11"/>
        <color rgb="FF000000"/>
        <rFont val="Arial"/>
        <family val="2"/>
        <charset val="1"/>
      </rPr>
      <t xml:space="preserve">OPTO</t>
    </r>
    <r>
      <rPr>
        <sz val="11"/>
        <color rgb="FF000000"/>
        <rFont val="Arial"/>
        <family val="2"/>
        <charset val="1"/>
      </rPr>
      <t xml:space="preserve"> =</t>
    </r>
  </si>
  <si>
    <t xml:space="preserve">nF</t>
  </si>
  <si>
    <t xml:space="preserve">Equivalent Internal UCC28740 Dynamic Reistance</t>
  </si>
  <si>
    <r>
      <rPr>
        <sz val="11"/>
        <color rgb="FF000000"/>
        <rFont val="Arial"/>
        <family val="2"/>
        <charset val="1"/>
      </rPr>
      <t xml:space="preserve">R</t>
    </r>
    <r>
      <rPr>
        <vertAlign val="subscript"/>
        <sz val="11"/>
        <color rgb="FF000000"/>
        <rFont val="Arial"/>
        <family val="2"/>
        <charset val="1"/>
      </rPr>
      <t xml:space="preserve">EQU</t>
    </r>
    <r>
      <rPr>
        <sz val="11"/>
        <color rgb="FF000000"/>
        <rFont val="Arial"/>
        <family val="2"/>
        <charset val="1"/>
      </rPr>
      <t xml:space="preserve"> =</t>
    </r>
  </si>
  <si>
    <r>
      <rPr>
        <b val="true"/>
        <sz val="11"/>
        <color rgb="FF000000"/>
        <rFont val="Arial"/>
        <family val="2"/>
        <charset val="1"/>
      </rPr>
      <t xml:space="preserve">Recommended</t>
    </r>
    <r>
      <rPr>
        <sz val="11"/>
        <color rgb="FF000000"/>
        <rFont val="Arial"/>
        <family val="2"/>
        <charset val="1"/>
      </rPr>
      <t xml:space="preserve"> Value for External Capacitor on Opto-Coupler</t>
    </r>
  </si>
  <si>
    <r>
      <rPr>
        <sz val="11"/>
        <color rgb="FF000000"/>
        <rFont val="Arial"/>
        <family val="2"/>
        <charset val="1"/>
      </rPr>
      <t xml:space="preserve">C</t>
    </r>
    <r>
      <rPr>
        <vertAlign val="subscript"/>
        <sz val="11"/>
        <color rgb="FF000000"/>
        <rFont val="Arial"/>
        <family val="2"/>
        <charset val="1"/>
      </rPr>
      <t xml:space="preserve">EXTrecommended</t>
    </r>
    <r>
      <rPr>
        <sz val="11"/>
        <color rgb="FF000000"/>
        <rFont val="Arial"/>
        <family val="2"/>
        <charset val="1"/>
      </rPr>
      <t xml:space="preserve"> =</t>
    </r>
  </si>
  <si>
    <r>
      <rPr>
        <b val="true"/>
        <sz val="11"/>
        <color rgb="FF000000"/>
        <rFont val="Arial"/>
        <family val="2"/>
        <charset val="1"/>
      </rPr>
      <t xml:space="preserve">Actual</t>
    </r>
    <r>
      <rPr>
        <sz val="11"/>
        <color rgb="FF000000"/>
        <rFont val="Arial"/>
        <family val="2"/>
        <charset val="1"/>
      </rPr>
      <t xml:space="preserve"> Value of External Capacitor on Opto-Coupler Used</t>
    </r>
  </si>
  <si>
    <r>
      <rPr>
        <sz val="11"/>
        <color rgb="FF000000"/>
        <rFont val="Arial"/>
        <family val="2"/>
        <charset val="1"/>
      </rPr>
      <t xml:space="preserve">C</t>
    </r>
    <r>
      <rPr>
        <vertAlign val="subscript"/>
        <sz val="11"/>
        <color rgb="FF000000"/>
        <rFont val="Arial"/>
        <family val="2"/>
        <charset val="1"/>
      </rPr>
      <t xml:space="preserve">EXTactual</t>
    </r>
    <r>
      <rPr>
        <sz val="11"/>
        <color rgb="FF000000"/>
        <rFont val="Arial"/>
        <family val="2"/>
        <charset val="1"/>
      </rPr>
      <t xml:space="preserve"> =</t>
    </r>
  </si>
  <si>
    <r>
      <rPr>
        <sz val="11"/>
        <color rgb="FF000000"/>
        <rFont val="Arial"/>
        <family val="2"/>
        <charset val="1"/>
      </rPr>
      <t xml:space="preserve">C</t>
    </r>
    <r>
      <rPr>
        <vertAlign val="subscript"/>
        <sz val="11"/>
        <color rgb="FF000000"/>
        <rFont val="Arial"/>
        <family val="2"/>
        <charset val="1"/>
      </rPr>
      <t xml:space="preserve">EXT</t>
    </r>
    <r>
      <rPr>
        <sz val="11"/>
        <color rgb="FF000000"/>
        <rFont val="Arial"/>
        <family val="2"/>
        <charset val="1"/>
      </rPr>
      <t xml:space="preserve"> Used in Calculations</t>
    </r>
  </si>
  <si>
    <r>
      <rPr>
        <sz val="11"/>
        <color rgb="FF000000"/>
        <rFont val="Arial"/>
        <family val="2"/>
        <charset val="1"/>
      </rPr>
      <t xml:space="preserve">C</t>
    </r>
    <r>
      <rPr>
        <vertAlign val="subscript"/>
        <sz val="11"/>
        <color rgb="FF000000"/>
        <rFont val="Arial"/>
        <family val="2"/>
        <charset val="1"/>
      </rPr>
      <t xml:space="preserve">EXT</t>
    </r>
    <r>
      <rPr>
        <sz val="11"/>
        <color rgb="FF000000"/>
        <rFont val="Arial"/>
        <family val="2"/>
        <charset val="1"/>
      </rPr>
      <t xml:space="preserve"> =</t>
    </r>
  </si>
  <si>
    <r>
      <rPr>
        <b val="true"/>
        <sz val="11"/>
        <color rgb="FF000000"/>
        <rFont val="Arial"/>
        <family val="2"/>
        <charset val="1"/>
      </rPr>
      <t xml:space="preserve">Recommended</t>
    </r>
    <r>
      <rPr>
        <sz val="11"/>
        <color rgb="FF000000"/>
        <rFont val="Arial"/>
        <family val="2"/>
        <charset val="1"/>
      </rPr>
      <t xml:space="preserve"> C</t>
    </r>
    <r>
      <rPr>
        <vertAlign val="subscript"/>
        <sz val="11"/>
        <color rgb="FF000000"/>
        <rFont val="Arial"/>
        <family val="2"/>
        <charset val="1"/>
      </rPr>
      <t xml:space="preserve">FB</t>
    </r>
  </si>
  <si>
    <r>
      <rPr>
        <sz val="11"/>
        <color rgb="FF000000"/>
        <rFont val="Arial"/>
        <family val="2"/>
        <charset val="1"/>
      </rPr>
      <t xml:space="preserve">C</t>
    </r>
    <r>
      <rPr>
        <vertAlign val="subscript"/>
        <sz val="11"/>
        <color rgb="FF000000"/>
        <rFont val="Arial"/>
        <family val="2"/>
        <charset val="1"/>
      </rPr>
      <t xml:space="preserve">FBrecommended</t>
    </r>
    <r>
      <rPr>
        <sz val="11"/>
        <color rgb="FF000000"/>
        <rFont val="Arial"/>
        <family val="2"/>
        <charset val="1"/>
      </rPr>
      <t xml:space="preserve"> =</t>
    </r>
  </si>
  <si>
    <r>
      <rPr>
        <b val="true"/>
        <sz val="11"/>
        <color rgb="FF000000"/>
        <rFont val="Arial"/>
        <family val="2"/>
        <charset val="1"/>
      </rPr>
      <t xml:space="preserve">Actual</t>
    </r>
    <r>
      <rPr>
        <sz val="11"/>
        <color rgb="FF000000"/>
        <rFont val="Arial"/>
        <family val="2"/>
        <charset val="1"/>
      </rPr>
      <t xml:space="preserve"> C</t>
    </r>
    <r>
      <rPr>
        <vertAlign val="subscript"/>
        <sz val="11"/>
        <color rgb="FF000000"/>
        <rFont val="Arial"/>
        <family val="2"/>
        <charset val="1"/>
      </rPr>
      <t xml:space="preserve">FB</t>
    </r>
    <r>
      <rPr>
        <sz val="11"/>
        <color rgb="FF000000"/>
        <rFont val="Arial"/>
        <family val="2"/>
        <charset val="1"/>
      </rPr>
      <t xml:space="preserve"> Used</t>
    </r>
  </si>
  <si>
    <r>
      <rPr>
        <sz val="11"/>
        <color rgb="FF000000"/>
        <rFont val="Arial"/>
        <family val="2"/>
        <charset val="1"/>
      </rPr>
      <t xml:space="preserve">C</t>
    </r>
    <r>
      <rPr>
        <vertAlign val="subscript"/>
        <sz val="11"/>
        <color rgb="FF000000"/>
        <rFont val="Arial"/>
        <family val="2"/>
        <charset val="1"/>
      </rPr>
      <t xml:space="preserve">FBactual</t>
    </r>
    <r>
      <rPr>
        <sz val="11"/>
        <color rgb="FF000000"/>
        <rFont val="Arial"/>
        <family val="2"/>
        <charset val="1"/>
      </rPr>
      <t xml:space="preserve"> =</t>
    </r>
  </si>
  <si>
    <r>
      <rPr>
        <sz val="11"/>
        <color rgb="FF000000"/>
        <rFont val="Arial"/>
        <family val="2"/>
        <charset val="1"/>
      </rPr>
      <t xml:space="preserve">C</t>
    </r>
    <r>
      <rPr>
        <vertAlign val="subscript"/>
        <sz val="11"/>
        <color rgb="FF000000"/>
        <rFont val="Arial"/>
        <family val="2"/>
        <charset val="1"/>
      </rPr>
      <t xml:space="preserve">FB</t>
    </r>
    <r>
      <rPr>
        <sz val="11"/>
        <color rgb="FF000000"/>
        <rFont val="Arial"/>
        <family val="2"/>
        <charset val="1"/>
      </rPr>
      <t xml:space="preserve"> Used in Calculations</t>
    </r>
  </si>
  <si>
    <r>
      <rPr>
        <sz val="11"/>
        <color rgb="FF000000"/>
        <rFont val="Arial"/>
        <family val="2"/>
        <charset val="1"/>
      </rPr>
      <t xml:space="preserve">C</t>
    </r>
    <r>
      <rPr>
        <vertAlign val="subscript"/>
        <sz val="11"/>
        <color rgb="FF000000"/>
        <rFont val="Arial"/>
        <family val="2"/>
        <charset val="1"/>
      </rPr>
      <t xml:space="preserve">FB</t>
    </r>
    <r>
      <rPr>
        <sz val="11"/>
        <color rgb="FF000000"/>
        <rFont val="Arial"/>
        <family val="2"/>
        <charset val="1"/>
      </rPr>
      <t xml:space="preserve"> =</t>
    </r>
  </si>
  <si>
    <r>
      <rPr>
        <b val="true"/>
        <sz val="11"/>
        <color rgb="FF000000"/>
        <rFont val="Arial"/>
        <family val="2"/>
        <charset val="1"/>
      </rPr>
      <t xml:space="preserve">Recommended</t>
    </r>
    <r>
      <rPr>
        <sz val="11"/>
        <color rgb="FF000000"/>
        <rFont val="Arial"/>
        <family val="2"/>
        <charset val="1"/>
      </rPr>
      <t xml:space="preserve"> Value For R</t>
    </r>
    <r>
      <rPr>
        <vertAlign val="subscript"/>
        <sz val="11"/>
        <color rgb="FF000000"/>
        <rFont val="Arial"/>
        <family val="2"/>
        <charset val="1"/>
      </rPr>
      <t xml:space="preserve">FB4</t>
    </r>
  </si>
  <si>
    <r>
      <rPr>
        <sz val="11"/>
        <color rgb="FF000000"/>
        <rFont val="Arial"/>
        <family val="2"/>
        <charset val="1"/>
      </rPr>
      <t xml:space="preserve">R</t>
    </r>
    <r>
      <rPr>
        <vertAlign val="subscript"/>
        <sz val="11"/>
        <color rgb="FF000000"/>
        <rFont val="Arial"/>
        <family val="2"/>
        <charset val="1"/>
      </rPr>
      <t xml:space="preserve">FB4recommended</t>
    </r>
    <r>
      <rPr>
        <sz val="11"/>
        <color rgb="FF000000"/>
        <rFont val="Arial"/>
        <family val="2"/>
        <charset val="1"/>
      </rPr>
      <t xml:space="preserve"> =</t>
    </r>
  </si>
  <si>
    <r>
      <rPr>
        <sz val="11"/>
        <color rgb="FF000000"/>
        <rFont val="Arial"/>
        <family val="2"/>
        <charset val="1"/>
      </rPr>
      <t xml:space="preserve">R</t>
    </r>
    <r>
      <rPr>
        <vertAlign val="subscript"/>
        <sz val="11"/>
        <color rgb="FF000000"/>
        <rFont val="Arial"/>
        <family val="2"/>
        <charset val="1"/>
      </rPr>
      <t xml:space="preserve">FB4actual</t>
    </r>
    <r>
      <rPr>
        <sz val="11"/>
        <color rgb="FF000000"/>
        <rFont val="Arial"/>
        <family val="2"/>
        <charset val="1"/>
      </rPr>
      <t xml:space="preserve"> =</t>
    </r>
  </si>
  <si>
    <r>
      <rPr>
        <sz val="11"/>
        <color rgb="FF000000"/>
        <rFont val="Arial"/>
        <family val="2"/>
        <charset val="1"/>
      </rPr>
      <t xml:space="preserve">R</t>
    </r>
    <r>
      <rPr>
        <vertAlign val="subscript"/>
        <sz val="11"/>
        <color rgb="FF000000"/>
        <rFont val="Arial"/>
        <family val="2"/>
        <charset val="1"/>
      </rPr>
      <t xml:space="preserve">FB4</t>
    </r>
    <r>
      <rPr>
        <sz val="11"/>
        <color rgb="FF000000"/>
        <rFont val="Arial"/>
        <family val="2"/>
        <charset val="1"/>
      </rPr>
      <t xml:space="preserve"> Used in Calculations</t>
    </r>
  </si>
  <si>
    <r>
      <rPr>
        <sz val="11"/>
        <color rgb="FF000000"/>
        <rFont val="Arial"/>
        <family val="2"/>
        <charset val="1"/>
      </rPr>
      <t xml:space="preserve">R</t>
    </r>
    <r>
      <rPr>
        <vertAlign val="subscript"/>
        <sz val="11"/>
        <color rgb="FF000000"/>
        <rFont val="Arial"/>
        <family val="2"/>
        <charset val="1"/>
      </rPr>
      <t xml:space="preserve">FB4</t>
    </r>
    <r>
      <rPr>
        <sz val="11"/>
        <color rgb="FF000000"/>
        <rFont val="Arial"/>
        <family val="2"/>
        <charset val="1"/>
      </rPr>
      <t xml:space="preserve"> =</t>
    </r>
  </si>
  <si>
    <t xml:space="preserve">Opto-Coupler Emitter Current to FB Pin Current Gain</t>
  </si>
  <si>
    <r>
      <rPr>
        <sz val="11"/>
        <color rgb="FF000000"/>
        <rFont val="Arial"/>
        <family val="2"/>
        <charset val="1"/>
      </rPr>
      <t xml:space="preserve">G</t>
    </r>
    <r>
      <rPr>
        <vertAlign val="subscript"/>
        <sz val="11"/>
        <color rgb="FF000000"/>
        <rFont val="Arial"/>
        <family val="2"/>
        <charset val="1"/>
      </rPr>
      <t xml:space="preserve">FB1</t>
    </r>
    <r>
      <rPr>
        <sz val="11"/>
        <color rgb="FF000000"/>
        <rFont val="Arial"/>
        <family val="2"/>
        <charset val="1"/>
      </rPr>
      <t xml:space="preserve"> =</t>
    </r>
  </si>
  <si>
    <t xml:space="preserve">FB Pin Current to Control Law Voltage Gain, Full Load</t>
  </si>
  <si>
    <r>
      <rPr>
        <sz val="11"/>
        <color rgb="FF000000"/>
        <rFont val="Arial"/>
        <family val="2"/>
        <charset val="1"/>
      </rPr>
      <t xml:space="preserve">G</t>
    </r>
    <r>
      <rPr>
        <vertAlign val="subscript"/>
        <sz val="11"/>
        <color rgb="FF000000"/>
        <rFont val="Arial"/>
        <family val="2"/>
        <charset val="1"/>
      </rPr>
      <t xml:space="preserve">FB2</t>
    </r>
    <r>
      <rPr>
        <sz val="11"/>
        <color rgb="FF000000"/>
        <rFont val="Arial"/>
        <family val="2"/>
        <charset val="1"/>
      </rPr>
      <t xml:space="preserve"> =</t>
    </r>
  </si>
  <si>
    <t xml:space="preserve">Control Law Voltage to Power Stage Modulation Gain, FM Mode</t>
  </si>
  <si>
    <r>
      <rPr>
        <sz val="11"/>
        <color rgb="FF000000"/>
        <rFont val="Arial"/>
        <family val="2"/>
        <charset val="1"/>
      </rPr>
      <t xml:space="preserve">K</t>
    </r>
    <r>
      <rPr>
        <vertAlign val="subscript"/>
        <sz val="11"/>
        <color rgb="FF000000"/>
        <rFont val="Arial"/>
        <family val="2"/>
        <charset val="1"/>
      </rPr>
      <t xml:space="preserve">FM4</t>
    </r>
    <r>
      <rPr>
        <sz val="11"/>
        <color rgb="FF000000"/>
        <rFont val="Arial"/>
        <family val="2"/>
        <charset val="1"/>
      </rPr>
      <t xml:space="preserve"> =</t>
    </r>
  </si>
  <si>
    <t xml:space="preserve">kHz/V</t>
  </si>
  <si>
    <t xml:space="preserve">Power Stage Modulation (FM) to Average Current Gain</t>
  </si>
  <si>
    <r>
      <rPr>
        <sz val="11"/>
        <color rgb="FF000000"/>
        <rFont val="Arial"/>
        <family val="2"/>
        <charset val="1"/>
      </rPr>
      <t xml:space="preserve">G</t>
    </r>
    <r>
      <rPr>
        <vertAlign val="subscript"/>
        <sz val="11"/>
        <color rgb="FF000000"/>
        <rFont val="Arial"/>
        <family val="2"/>
        <charset val="1"/>
      </rPr>
      <t xml:space="preserve">P4</t>
    </r>
    <r>
      <rPr>
        <sz val="11"/>
        <color rgb="FF000000"/>
        <rFont val="Arial"/>
        <family val="2"/>
        <charset val="1"/>
      </rPr>
      <t xml:space="preserve"> =</t>
    </r>
  </si>
  <si>
    <r>
      <rPr>
        <sz val="11"/>
        <color rgb="FF000000"/>
        <rFont val="Calibri"/>
        <family val="2"/>
        <charset val="1"/>
      </rPr>
      <t xml:space="preserve">µ</t>
    </r>
    <r>
      <rPr>
        <sz val="11"/>
        <color rgb="FF000000"/>
        <rFont val="Arial"/>
        <family val="2"/>
        <charset val="1"/>
      </rPr>
      <t xml:space="preserve">C</t>
    </r>
  </si>
  <si>
    <r>
      <rPr>
        <b val="true"/>
        <sz val="11"/>
        <color rgb="FF000000"/>
        <rFont val="Arial"/>
        <family val="2"/>
        <charset val="1"/>
      </rPr>
      <t xml:space="preserve">Recommeded</t>
    </r>
    <r>
      <rPr>
        <sz val="11"/>
        <color rgb="FF000000"/>
        <rFont val="Arial"/>
        <family val="2"/>
        <charset val="1"/>
      </rPr>
      <t xml:space="preserve"> Value for Shunt Regulator Bias Resistor</t>
    </r>
  </si>
  <si>
    <r>
      <rPr>
        <sz val="11"/>
        <color rgb="FF000000"/>
        <rFont val="Arial"/>
        <family val="2"/>
        <charset val="1"/>
      </rPr>
      <t xml:space="preserve">R</t>
    </r>
    <r>
      <rPr>
        <vertAlign val="subscript"/>
        <sz val="11"/>
        <color rgb="FF000000"/>
        <rFont val="Arial"/>
        <family val="2"/>
        <charset val="1"/>
      </rPr>
      <t xml:space="preserve">TLrecommended</t>
    </r>
    <r>
      <rPr>
        <sz val="11"/>
        <color rgb="FF000000"/>
        <rFont val="Arial"/>
        <family val="2"/>
        <charset val="1"/>
      </rPr>
      <t xml:space="preserve"> =</t>
    </r>
  </si>
  <si>
    <r>
      <rPr>
        <b val="true"/>
        <sz val="11"/>
        <color rgb="FF000000"/>
        <rFont val="Arial"/>
        <family val="2"/>
        <charset val="1"/>
      </rPr>
      <t xml:space="preserve">Actual </t>
    </r>
    <r>
      <rPr>
        <sz val="11"/>
        <color rgb="FF000000"/>
        <rFont val="Arial"/>
        <family val="2"/>
        <charset val="1"/>
      </rPr>
      <t xml:space="preserve">Value of Shunt Regulator Bias Resistor Used</t>
    </r>
  </si>
  <si>
    <r>
      <rPr>
        <sz val="11"/>
        <color rgb="FF000000"/>
        <rFont val="Arial"/>
        <family val="2"/>
        <charset val="1"/>
      </rPr>
      <t xml:space="preserve">R</t>
    </r>
    <r>
      <rPr>
        <vertAlign val="subscript"/>
        <sz val="11"/>
        <color rgb="FF000000"/>
        <rFont val="Arial"/>
        <family val="2"/>
        <charset val="1"/>
      </rPr>
      <t xml:space="preserve">TLactual</t>
    </r>
    <r>
      <rPr>
        <sz val="11"/>
        <color rgb="FF000000"/>
        <rFont val="Arial"/>
        <family val="2"/>
        <charset val="1"/>
      </rPr>
      <t xml:space="preserve"> =</t>
    </r>
  </si>
  <si>
    <r>
      <rPr>
        <sz val="11"/>
        <color rgb="FF000000"/>
        <rFont val="Arial"/>
        <family val="2"/>
        <charset val="1"/>
      </rPr>
      <t xml:space="preserve">R</t>
    </r>
    <r>
      <rPr>
        <vertAlign val="subscript"/>
        <sz val="11"/>
        <color rgb="FF000000"/>
        <rFont val="Arial"/>
        <family val="2"/>
        <charset val="1"/>
      </rPr>
      <t xml:space="preserve">TL</t>
    </r>
    <r>
      <rPr>
        <sz val="11"/>
        <color rgb="FF000000"/>
        <rFont val="Arial"/>
        <family val="2"/>
        <charset val="1"/>
      </rPr>
      <t xml:space="preserve"> Used in Calculations</t>
    </r>
  </si>
  <si>
    <r>
      <rPr>
        <sz val="11"/>
        <color rgb="FF000000"/>
        <rFont val="Arial"/>
        <family val="2"/>
        <charset val="1"/>
      </rPr>
      <t xml:space="preserve">R</t>
    </r>
    <r>
      <rPr>
        <vertAlign val="subscript"/>
        <sz val="11"/>
        <color rgb="FF000000"/>
        <rFont val="Arial"/>
        <family val="2"/>
        <charset val="1"/>
      </rPr>
      <t xml:space="preserve">TL</t>
    </r>
    <r>
      <rPr>
        <sz val="11"/>
        <color rgb="FF000000"/>
        <rFont val="Arial"/>
        <family val="2"/>
        <charset val="1"/>
      </rPr>
      <t xml:space="preserve"> =</t>
    </r>
  </si>
  <si>
    <r>
      <rPr>
        <b val="true"/>
        <sz val="11"/>
        <color rgb="FF000000"/>
        <rFont val="Arial"/>
        <family val="2"/>
        <charset val="1"/>
      </rPr>
      <t xml:space="preserve">Recommended</t>
    </r>
    <r>
      <rPr>
        <sz val="11"/>
        <color rgb="FF000000"/>
        <rFont val="Arial"/>
        <family val="2"/>
        <charset val="1"/>
      </rPr>
      <t xml:space="preserve"> Value for Compensation Capacitor</t>
    </r>
  </si>
  <si>
    <r>
      <rPr>
        <sz val="11"/>
        <color rgb="FF000000"/>
        <rFont val="Arial"/>
        <family val="2"/>
        <charset val="1"/>
      </rPr>
      <t xml:space="preserve">C</t>
    </r>
    <r>
      <rPr>
        <vertAlign val="subscript"/>
        <sz val="11"/>
        <color rgb="FF000000"/>
        <rFont val="Arial"/>
        <family val="2"/>
        <charset val="1"/>
      </rPr>
      <t xml:space="preserve">Zrecommended</t>
    </r>
    <r>
      <rPr>
        <sz val="11"/>
        <color rgb="FF000000"/>
        <rFont val="Arial"/>
        <family val="2"/>
        <charset val="1"/>
      </rPr>
      <t xml:space="preserve"> =</t>
    </r>
  </si>
  <si>
    <r>
      <rPr>
        <b val="true"/>
        <sz val="11"/>
        <color rgb="FF000000"/>
        <rFont val="Arial"/>
        <family val="2"/>
        <charset val="1"/>
      </rPr>
      <t xml:space="preserve">Actual </t>
    </r>
    <r>
      <rPr>
        <sz val="11"/>
        <color rgb="FF000000"/>
        <rFont val="Arial"/>
        <family val="2"/>
        <charset val="1"/>
      </rPr>
      <t xml:space="preserve">Value Used C</t>
    </r>
    <r>
      <rPr>
        <vertAlign val="subscript"/>
        <sz val="11"/>
        <color rgb="FF000000"/>
        <rFont val="Arial"/>
        <family val="2"/>
        <charset val="1"/>
      </rPr>
      <t xml:space="preserve">Z</t>
    </r>
  </si>
  <si>
    <r>
      <rPr>
        <sz val="11"/>
        <color rgb="FF000000"/>
        <rFont val="Arial"/>
        <family val="2"/>
        <charset val="1"/>
      </rPr>
      <t xml:space="preserve">C</t>
    </r>
    <r>
      <rPr>
        <vertAlign val="subscript"/>
        <sz val="11"/>
        <color rgb="FF000000"/>
        <rFont val="Arial"/>
        <family val="2"/>
        <charset val="1"/>
      </rPr>
      <t xml:space="preserve">Zactual =</t>
    </r>
  </si>
  <si>
    <r>
      <rPr>
        <sz val="11"/>
        <color rgb="FF000000"/>
        <rFont val="Arial"/>
        <family val="2"/>
        <charset val="1"/>
      </rPr>
      <t xml:space="preserve">C</t>
    </r>
    <r>
      <rPr>
        <vertAlign val="subscript"/>
        <sz val="11"/>
        <color rgb="FF000000"/>
        <rFont val="Arial"/>
        <family val="2"/>
        <charset val="1"/>
      </rPr>
      <t xml:space="preserve">Z</t>
    </r>
    <r>
      <rPr>
        <sz val="11"/>
        <color rgb="FF000000"/>
        <rFont val="Arial"/>
        <family val="2"/>
        <charset val="1"/>
      </rPr>
      <t xml:space="preserve"> Used in Calculations</t>
    </r>
  </si>
  <si>
    <r>
      <rPr>
        <sz val="11"/>
        <color rgb="FF000000"/>
        <rFont val="Arial"/>
        <family val="2"/>
        <charset val="1"/>
      </rPr>
      <t xml:space="preserve">C</t>
    </r>
    <r>
      <rPr>
        <vertAlign val="subscript"/>
        <sz val="11"/>
        <color rgb="FF000000"/>
        <rFont val="Arial"/>
        <family val="2"/>
        <charset val="1"/>
      </rPr>
      <t xml:space="preserve">Z</t>
    </r>
    <r>
      <rPr>
        <sz val="11"/>
        <color rgb="FF000000"/>
        <rFont val="Arial"/>
        <family val="2"/>
        <charset val="1"/>
      </rPr>
      <t xml:space="preserve"> = </t>
    </r>
  </si>
  <si>
    <t xml:space="preserve">Input voltage type:</t>
  </si>
  <si>
    <r>
      <rPr>
        <sz val="11"/>
        <color rgb="FF000000"/>
        <rFont val="Arial"/>
        <family val="2"/>
        <charset val="1"/>
      </rPr>
      <t xml:space="preserve">f</t>
    </r>
    <r>
      <rPr>
        <vertAlign val="subscript"/>
        <sz val="11"/>
        <color rgb="FF000000"/>
        <rFont val="Arial"/>
        <family val="2"/>
        <charset val="1"/>
      </rPr>
      <t xml:space="preserve">SWmax</t>
    </r>
  </si>
  <si>
    <t xml:space="preserve">DC</t>
  </si>
  <si>
    <r>
      <rPr>
        <sz val="11"/>
        <color rgb="FF000000"/>
        <rFont val="Arial"/>
        <family val="2"/>
        <charset val="1"/>
      </rPr>
      <t xml:space="preserve">f</t>
    </r>
    <r>
      <rPr>
        <vertAlign val="subscript"/>
        <sz val="11"/>
        <color rgb="FF000000"/>
        <rFont val="Arial"/>
        <family val="2"/>
        <charset val="1"/>
      </rPr>
      <t xml:space="preserve">SWmin</t>
    </r>
  </si>
  <si>
    <t xml:space="preserve">mV factor</t>
  </si>
  <si>
    <t xml:space="preserve">uF factor</t>
  </si>
  <si>
    <t xml:space="preserve">kHz factor</t>
  </si>
  <si>
    <t xml:space="preserve">mΩ factor</t>
  </si>
  <si>
    <t xml:space="preserve">ms factor</t>
  </si>
  <si>
    <t xml:space="preserve">mA factor</t>
  </si>
  <si>
    <t xml:space="preserve">us factor</t>
  </si>
  <si>
    <t xml:space="preserve">uH factor</t>
  </si>
  <si>
    <t xml:space="preserve">ns factor</t>
  </si>
  <si>
    <t xml:space="preserve">mW factor</t>
  </si>
  <si>
    <t xml:space="preserve">pF factor</t>
  </si>
  <si>
    <t xml:space="preserve">MHz factor</t>
  </si>
  <si>
    <t xml:space="preserve">uA factor</t>
  </si>
  <si>
    <r>
      <rPr>
        <sz val="11"/>
        <color rgb="FF000000"/>
        <rFont val="Arial"/>
        <family val="2"/>
        <charset val="1"/>
      </rPr>
      <t xml:space="preserve">k</t>
    </r>
    <r>
      <rPr>
        <sz val="11"/>
        <color rgb="FF000000"/>
        <rFont val="Calibri"/>
        <family val="2"/>
        <charset val="1"/>
      </rPr>
      <t xml:space="preserve">Ω</t>
    </r>
    <r>
      <rPr>
        <sz val="11"/>
        <color rgb="FF000000"/>
        <rFont val="Arial"/>
        <family val="2"/>
        <charset val="1"/>
      </rPr>
      <t xml:space="preserve"> factor</t>
    </r>
  </si>
  <si>
    <t xml:space="preserve">nC factor</t>
  </si>
  <si>
    <t xml:space="preserve">nF factor</t>
  </si>
  <si>
    <t xml:space="preserve">uC factor</t>
  </si>
  <si>
    <r>
      <rPr>
        <sz val="11"/>
        <color rgb="FF000000"/>
        <rFont val="Arial"/>
        <family val="2"/>
        <charset val="1"/>
      </rPr>
      <t xml:space="preserve">C</t>
    </r>
    <r>
      <rPr>
        <vertAlign val="subscript"/>
        <sz val="11"/>
        <color rgb="FF000000"/>
        <rFont val="Arial"/>
        <family val="2"/>
        <charset val="1"/>
      </rPr>
      <t xml:space="preserve">IN</t>
    </r>
    <r>
      <rPr>
        <sz val="11"/>
        <color rgb="FF000000"/>
        <rFont val="Arial"/>
        <family val="2"/>
        <charset val="1"/>
      </rPr>
      <t xml:space="preserve"> Calculations:</t>
    </r>
  </si>
  <si>
    <r>
      <rPr>
        <sz val="11"/>
        <color rgb="FF000000"/>
        <rFont val="Arial"/>
        <family val="2"/>
        <charset val="1"/>
      </rPr>
      <t xml:space="preserve">C</t>
    </r>
    <r>
      <rPr>
        <vertAlign val="subscript"/>
        <sz val="11"/>
        <color rgb="FF000000"/>
        <rFont val="Arial"/>
        <family val="2"/>
        <charset val="1"/>
      </rPr>
      <t xml:space="preserve">VDD</t>
    </r>
    <r>
      <rPr>
        <sz val="11"/>
        <color rgb="FF000000"/>
        <rFont val="Arial"/>
        <family val="2"/>
        <charset val="1"/>
      </rPr>
      <t xml:space="preserve"> Calculations:</t>
    </r>
  </si>
  <si>
    <r>
      <rPr>
        <sz val="11"/>
        <color rgb="FF000000"/>
        <rFont val="Arial"/>
        <family val="2"/>
        <charset val="1"/>
      </rPr>
      <t xml:space="preserve">C</t>
    </r>
    <r>
      <rPr>
        <vertAlign val="subscript"/>
        <sz val="11"/>
        <color rgb="FF000000"/>
        <rFont val="Arial"/>
        <family val="2"/>
        <charset val="1"/>
      </rPr>
      <t xml:space="preserve">OUT</t>
    </r>
    <r>
      <rPr>
        <sz val="11"/>
        <color rgb="FF000000"/>
        <rFont val="Arial"/>
        <family val="2"/>
        <charset val="1"/>
      </rPr>
      <t xml:space="preserve"> Calculations:</t>
    </r>
  </si>
  <si>
    <t xml:space="preserve">Loop Compensation Calculations:</t>
  </si>
  <si>
    <t xml:space="preserve">Standard E48 Resistor Values</t>
  </si>
  <si>
    <t xml:space="preserve">Standard Capacitor Values</t>
  </si>
  <si>
    <r>
      <rPr>
        <sz val="11"/>
        <color rgb="FF000000"/>
        <rFont val="Arial"/>
        <family val="2"/>
        <charset val="1"/>
      </rPr>
      <t xml:space="preserve">C</t>
    </r>
    <r>
      <rPr>
        <vertAlign val="subscript"/>
        <sz val="11"/>
        <color rgb="FF000000"/>
        <rFont val="Arial"/>
        <family val="2"/>
        <charset val="1"/>
      </rPr>
      <t xml:space="preserve">IN</t>
    </r>
    <r>
      <rPr>
        <sz val="11"/>
        <color rgb="FF000000"/>
        <rFont val="Arial"/>
        <family val="2"/>
        <charset val="1"/>
      </rPr>
      <t xml:space="preserve"> Recommended:</t>
    </r>
  </si>
  <si>
    <t xml:space="preserve">for desired bulk valley voltage</t>
  </si>
  <si>
    <r>
      <rPr>
        <sz val="11"/>
        <color rgb="FF000000"/>
        <rFont val="Arial"/>
        <family val="2"/>
        <charset val="1"/>
      </rPr>
      <t xml:space="preserve">C</t>
    </r>
    <r>
      <rPr>
        <vertAlign val="subscript"/>
        <sz val="11"/>
        <color rgb="FF000000"/>
        <rFont val="Arial"/>
        <family val="2"/>
        <charset val="1"/>
      </rPr>
      <t xml:space="preserve">VDD1</t>
    </r>
    <r>
      <rPr>
        <sz val="11"/>
        <color rgb="FF000000"/>
        <rFont val="Arial"/>
        <family val="2"/>
        <charset val="1"/>
      </rPr>
      <t xml:space="preserve">:</t>
    </r>
  </si>
  <si>
    <r>
      <rPr>
        <sz val="11"/>
        <color rgb="FF000000"/>
        <rFont val="Arial"/>
        <family val="2"/>
        <charset val="1"/>
      </rPr>
      <t xml:space="preserve">C</t>
    </r>
    <r>
      <rPr>
        <vertAlign val="subscript"/>
        <sz val="11"/>
        <color rgb="FF000000"/>
        <rFont val="Arial"/>
        <family val="2"/>
        <charset val="1"/>
      </rPr>
      <t xml:space="preserve">OUT</t>
    </r>
    <r>
      <rPr>
        <sz val="11"/>
        <color rgb="FF000000"/>
        <rFont val="Arial"/>
        <family val="2"/>
        <charset val="1"/>
      </rPr>
      <t xml:space="preserve">:</t>
    </r>
  </si>
  <si>
    <r>
      <rPr>
        <sz val="11"/>
        <color rgb="FF000000"/>
        <rFont val="Arial"/>
        <family val="2"/>
        <charset val="1"/>
      </rPr>
      <t xml:space="preserve">C</t>
    </r>
    <r>
      <rPr>
        <vertAlign val="subscript"/>
        <sz val="11"/>
        <color rgb="FF000000"/>
        <rFont val="Arial"/>
        <family val="2"/>
        <charset val="1"/>
      </rPr>
      <t xml:space="preserve">FB</t>
    </r>
    <r>
      <rPr>
        <sz val="11"/>
        <color rgb="FF000000"/>
        <rFont val="Arial"/>
        <family val="2"/>
        <charset val="1"/>
      </rPr>
      <t xml:space="preserve">:</t>
    </r>
  </si>
  <si>
    <t xml:space="preserve">C values up to 10nF</t>
  </si>
  <si>
    <r>
      <rPr>
        <sz val="11"/>
        <color rgb="FF000000"/>
        <rFont val="Arial"/>
        <family val="2"/>
        <charset val="1"/>
      </rPr>
      <t xml:space="preserve">C</t>
    </r>
    <r>
      <rPr>
        <vertAlign val="subscript"/>
        <sz val="11"/>
        <color rgb="FF000000"/>
        <rFont val="Arial"/>
        <family val="2"/>
        <charset val="1"/>
      </rPr>
      <t xml:space="preserve">VDD2</t>
    </r>
    <r>
      <rPr>
        <sz val="11"/>
        <color rgb="FF000000"/>
        <rFont val="Arial"/>
        <family val="2"/>
        <charset val="1"/>
      </rPr>
      <t xml:space="preserve">:</t>
    </r>
  </si>
  <si>
    <t xml:space="preserve">Resultant Minimum Bulk Voltage Calculations:</t>
  </si>
  <si>
    <t xml:space="preserve">Initial Calculations:</t>
  </si>
  <si>
    <r>
      <rPr>
        <sz val="11"/>
        <color rgb="FF000000"/>
        <rFont val="Arial"/>
        <family val="2"/>
        <charset val="1"/>
      </rPr>
      <t xml:space="preserve">t</t>
    </r>
    <r>
      <rPr>
        <vertAlign val="subscript"/>
        <sz val="11"/>
        <color rgb="FF000000"/>
        <rFont val="Arial"/>
        <family val="2"/>
        <charset val="1"/>
      </rPr>
      <t xml:space="preserve">1</t>
    </r>
  </si>
  <si>
    <t xml:space="preserve">s</t>
  </si>
  <si>
    <r>
      <rPr>
        <sz val="11"/>
        <color rgb="FF000000"/>
        <rFont val="Arial"/>
        <family val="2"/>
        <charset val="1"/>
      </rPr>
      <t xml:space="preserve">t</t>
    </r>
    <r>
      <rPr>
        <vertAlign val="subscript"/>
        <sz val="11"/>
        <color rgb="FF000000"/>
        <rFont val="Arial"/>
        <family val="2"/>
        <charset val="1"/>
      </rPr>
      <t xml:space="preserve">2</t>
    </r>
  </si>
  <si>
    <r>
      <rPr>
        <sz val="11"/>
        <color rgb="FF000000"/>
        <rFont val="Arial"/>
        <family val="2"/>
        <charset val="1"/>
      </rPr>
      <t xml:space="preserve">C</t>
    </r>
    <r>
      <rPr>
        <vertAlign val="subscript"/>
        <sz val="11"/>
        <color rgb="FF000000"/>
        <rFont val="Arial"/>
        <family val="2"/>
        <charset val="1"/>
      </rPr>
      <t xml:space="preserve">VDD3</t>
    </r>
    <r>
      <rPr>
        <sz val="11"/>
        <color rgb="FF000000"/>
        <rFont val="Arial"/>
        <family val="2"/>
        <charset val="1"/>
      </rPr>
      <t xml:space="preserve">:</t>
    </r>
  </si>
  <si>
    <r>
      <rPr>
        <sz val="11"/>
        <color rgb="FF000000"/>
        <rFont val="Arial"/>
        <family val="2"/>
        <charset val="1"/>
      </rPr>
      <t xml:space="preserve">t</t>
    </r>
    <r>
      <rPr>
        <vertAlign val="subscript"/>
        <sz val="11"/>
        <color rgb="FF000000"/>
        <rFont val="Arial"/>
        <family val="2"/>
        <charset val="1"/>
      </rPr>
      <t xml:space="preserve">discharge</t>
    </r>
  </si>
  <si>
    <r>
      <rPr>
        <sz val="11"/>
        <color rgb="FF000000"/>
        <rFont val="Arial"/>
        <family val="2"/>
        <charset val="1"/>
      </rPr>
      <t xml:space="preserve">t</t>
    </r>
    <r>
      <rPr>
        <vertAlign val="subscript"/>
        <sz val="11"/>
        <color rgb="FF000000"/>
        <rFont val="Arial"/>
        <family val="2"/>
        <charset val="1"/>
      </rPr>
      <t xml:space="preserve">charge</t>
    </r>
  </si>
  <si>
    <r>
      <rPr>
        <sz val="11"/>
        <color rgb="FF000000"/>
        <rFont val="Arial"/>
        <family val="2"/>
        <charset val="1"/>
      </rPr>
      <t xml:space="preserve">V</t>
    </r>
    <r>
      <rPr>
        <vertAlign val="subscript"/>
        <sz val="11"/>
        <color rgb="FF000000"/>
        <rFont val="Arial"/>
        <family val="2"/>
        <charset val="1"/>
      </rPr>
      <t xml:space="preserve">BULKvalley_1</t>
    </r>
  </si>
  <si>
    <t xml:space="preserve">First Iteration:</t>
  </si>
  <si>
    <r>
      <rPr>
        <sz val="11"/>
        <color rgb="FF000000"/>
        <rFont val="Arial"/>
        <family val="2"/>
        <charset val="1"/>
      </rPr>
      <t xml:space="preserve">t</t>
    </r>
    <r>
      <rPr>
        <vertAlign val="subscript"/>
        <sz val="11"/>
        <color rgb="FF000000"/>
        <rFont val="Arial"/>
        <family val="2"/>
        <charset val="1"/>
      </rPr>
      <t xml:space="preserve">1_1</t>
    </r>
  </si>
  <si>
    <t xml:space="preserve">C values greater than 10nF</t>
  </si>
  <si>
    <r>
      <rPr>
        <sz val="11"/>
        <color rgb="FF000000"/>
        <rFont val="Arial"/>
        <family val="2"/>
        <charset val="1"/>
      </rPr>
      <t xml:space="preserve">t</t>
    </r>
    <r>
      <rPr>
        <vertAlign val="subscript"/>
        <sz val="11"/>
        <color rgb="FF000000"/>
        <rFont val="Arial"/>
        <family val="2"/>
        <charset val="1"/>
      </rPr>
      <t xml:space="preserve">2_1</t>
    </r>
  </si>
  <si>
    <r>
      <rPr>
        <sz val="11"/>
        <color rgb="FF000000"/>
        <rFont val="Arial"/>
        <family val="2"/>
        <charset val="1"/>
      </rPr>
      <t xml:space="preserve">t</t>
    </r>
    <r>
      <rPr>
        <vertAlign val="subscript"/>
        <sz val="11"/>
        <color rgb="FF000000"/>
        <rFont val="Arial"/>
        <family val="2"/>
        <charset val="1"/>
      </rPr>
      <t xml:space="preserve">discharge_1</t>
    </r>
  </si>
  <si>
    <r>
      <rPr>
        <sz val="11"/>
        <color rgb="FF000000"/>
        <rFont val="Arial"/>
        <family val="2"/>
        <charset val="1"/>
      </rPr>
      <t xml:space="preserve">t</t>
    </r>
    <r>
      <rPr>
        <vertAlign val="subscript"/>
        <sz val="11"/>
        <color rgb="FF000000"/>
        <rFont val="Arial"/>
        <family val="2"/>
        <charset val="1"/>
      </rPr>
      <t xml:space="preserve">charge_1</t>
    </r>
  </si>
  <si>
    <r>
      <rPr>
        <sz val="11"/>
        <color rgb="FF000000"/>
        <rFont val="Arial"/>
        <family val="2"/>
        <charset val="1"/>
      </rPr>
      <t xml:space="preserve">V</t>
    </r>
    <r>
      <rPr>
        <vertAlign val="subscript"/>
        <sz val="11"/>
        <color rgb="FF000000"/>
        <rFont val="Arial"/>
        <family val="2"/>
        <charset val="1"/>
      </rPr>
      <t xml:space="preserve">BULKvalley_2</t>
    </r>
  </si>
  <si>
    <t xml:space="preserve">Second Iteration:</t>
  </si>
  <si>
    <r>
      <rPr>
        <sz val="11"/>
        <color rgb="FF000000"/>
        <rFont val="Arial"/>
        <family val="2"/>
        <charset val="1"/>
      </rPr>
      <t xml:space="preserve">t</t>
    </r>
    <r>
      <rPr>
        <vertAlign val="subscript"/>
        <sz val="11"/>
        <color rgb="FF000000"/>
        <rFont val="Arial"/>
        <family val="2"/>
        <charset val="1"/>
      </rPr>
      <t xml:space="preserve">1_2</t>
    </r>
  </si>
  <si>
    <r>
      <rPr>
        <sz val="11"/>
        <color rgb="FF000000"/>
        <rFont val="Arial"/>
        <family val="2"/>
        <charset val="1"/>
      </rPr>
      <t xml:space="preserve">t</t>
    </r>
    <r>
      <rPr>
        <vertAlign val="subscript"/>
        <sz val="11"/>
        <color rgb="FF000000"/>
        <rFont val="Arial"/>
        <family val="2"/>
        <charset val="1"/>
      </rPr>
      <t xml:space="preserve">2_2</t>
    </r>
  </si>
  <si>
    <r>
      <rPr>
        <sz val="11"/>
        <color rgb="FF000000"/>
        <rFont val="Arial"/>
        <family val="2"/>
        <charset val="1"/>
      </rPr>
      <t xml:space="preserve">t</t>
    </r>
    <r>
      <rPr>
        <vertAlign val="subscript"/>
        <sz val="11"/>
        <color rgb="FF000000"/>
        <rFont val="Arial"/>
        <family val="2"/>
        <charset val="1"/>
      </rPr>
      <t xml:space="preserve">discharge_2</t>
    </r>
  </si>
  <si>
    <r>
      <rPr>
        <sz val="11"/>
        <color rgb="FF000000"/>
        <rFont val="Arial"/>
        <family val="2"/>
        <charset val="1"/>
      </rPr>
      <t xml:space="preserve">t</t>
    </r>
    <r>
      <rPr>
        <vertAlign val="subscript"/>
        <sz val="11"/>
        <color rgb="FF000000"/>
        <rFont val="Arial"/>
        <family val="2"/>
        <charset val="1"/>
      </rPr>
      <t xml:space="preserve">charge_2</t>
    </r>
  </si>
  <si>
    <r>
      <rPr>
        <sz val="11"/>
        <color rgb="FF000000"/>
        <rFont val="Arial"/>
        <family val="2"/>
        <charset val="1"/>
      </rPr>
      <t xml:space="preserve">V</t>
    </r>
    <r>
      <rPr>
        <vertAlign val="subscript"/>
        <sz val="11"/>
        <color rgb="FF000000"/>
        <rFont val="Arial"/>
        <family val="2"/>
        <charset val="1"/>
      </rPr>
      <t xml:space="preserve">BULKvalley_3</t>
    </r>
  </si>
  <si>
    <t xml:space="preserve">Third Iteration:</t>
  </si>
  <si>
    <r>
      <rPr>
        <sz val="11"/>
        <color rgb="FF000000"/>
        <rFont val="Arial"/>
        <family val="2"/>
        <charset val="1"/>
      </rPr>
      <t xml:space="preserve">t</t>
    </r>
    <r>
      <rPr>
        <vertAlign val="subscript"/>
        <sz val="11"/>
        <color rgb="FF000000"/>
        <rFont val="Arial"/>
        <family val="2"/>
        <charset val="1"/>
      </rPr>
      <t xml:space="preserve">1_3</t>
    </r>
  </si>
  <si>
    <r>
      <rPr>
        <sz val="11"/>
        <color rgb="FF000000"/>
        <rFont val="Arial"/>
        <family val="2"/>
        <charset val="1"/>
      </rPr>
      <t xml:space="preserve">t</t>
    </r>
    <r>
      <rPr>
        <vertAlign val="subscript"/>
        <sz val="11"/>
        <color rgb="FF000000"/>
        <rFont val="Arial"/>
        <family val="2"/>
        <charset val="1"/>
      </rPr>
      <t xml:space="preserve">2_3</t>
    </r>
  </si>
  <si>
    <r>
      <rPr>
        <sz val="11"/>
        <color rgb="FF000000"/>
        <rFont val="Arial"/>
        <family val="2"/>
        <charset val="1"/>
      </rPr>
      <t xml:space="preserve">t</t>
    </r>
    <r>
      <rPr>
        <vertAlign val="subscript"/>
        <sz val="11"/>
        <color rgb="FF000000"/>
        <rFont val="Arial"/>
        <family val="2"/>
        <charset val="1"/>
      </rPr>
      <t xml:space="preserve">discharge_3</t>
    </r>
  </si>
  <si>
    <r>
      <rPr>
        <sz val="11"/>
        <color rgb="FF000000"/>
        <rFont val="Arial"/>
        <family val="2"/>
        <charset val="1"/>
      </rPr>
      <t xml:space="preserve">t</t>
    </r>
    <r>
      <rPr>
        <vertAlign val="subscript"/>
        <sz val="11"/>
        <color rgb="FF000000"/>
        <rFont val="Arial"/>
        <family val="2"/>
        <charset val="1"/>
      </rPr>
      <t xml:space="preserve">charge_3</t>
    </r>
  </si>
  <si>
    <r>
      <rPr>
        <sz val="11"/>
        <color rgb="FF000000"/>
        <rFont val="Arial"/>
        <family val="2"/>
        <charset val="1"/>
      </rPr>
      <t xml:space="preserve">V</t>
    </r>
    <r>
      <rPr>
        <vertAlign val="subscript"/>
        <sz val="11"/>
        <color rgb="FF000000"/>
        <rFont val="Arial"/>
        <family val="2"/>
        <charset val="1"/>
      </rPr>
      <t xml:space="preserve">BULKvalley_4</t>
    </r>
  </si>
  <si>
    <r>
      <rPr>
        <sz val="11"/>
        <color rgb="FF000000"/>
        <rFont val="Arial"/>
        <family val="2"/>
        <charset val="1"/>
      </rPr>
      <t xml:space="preserve">R</t>
    </r>
    <r>
      <rPr>
        <vertAlign val="subscript"/>
        <sz val="11"/>
        <color rgb="FF000000"/>
        <rFont val="Arial"/>
        <family val="2"/>
        <charset val="1"/>
      </rPr>
      <t xml:space="preserve">VS1</t>
    </r>
    <r>
      <rPr>
        <sz val="11"/>
        <color rgb="FF000000"/>
        <rFont val="Arial"/>
        <family val="2"/>
        <charset val="1"/>
      </rPr>
      <t xml:space="preserve">:</t>
    </r>
  </si>
  <si>
    <r>
      <rPr>
        <sz val="11"/>
        <color rgb="FF000000"/>
        <rFont val="Arial"/>
        <family val="2"/>
        <charset val="1"/>
      </rPr>
      <t xml:space="preserve">R</t>
    </r>
    <r>
      <rPr>
        <vertAlign val="subscript"/>
        <sz val="11"/>
        <color rgb="FF000000"/>
        <rFont val="Arial"/>
        <family val="2"/>
        <charset val="1"/>
      </rPr>
      <t xml:space="preserve">VS2</t>
    </r>
    <r>
      <rPr>
        <sz val="11"/>
        <color rgb="FF000000"/>
        <rFont val="Arial"/>
        <family val="2"/>
        <charset val="1"/>
      </rPr>
      <t xml:space="preserve">:</t>
    </r>
  </si>
  <si>
    <r>
      <rPr>
        <sz val="11"/>
        <color rgb="FF000000"/>
        <rFont val="Arial"/>
        <family val="2"/>
        <charset val="1"/>
      </rPr>
      <t xml:space="preserve">R</t>
    </r>
    <r>
      <rPr>
        <vertAlign val="subscript"/>
        <sz val="11"/>
        <color rgb="FF000000"/>
        <rFont val="Arial"/>
        <family val="2"/>
        <charset val="1"/>
      </rPr>
      <t xml:space="preserve">LC</t>
    </r>
    <r>
      <rPr>
        <sz val="11"/>
        <color rgb="FF000000"/>
        <rFont val="Arial"/>
        <family val="2"/>
        <charset val="1"/>
      </rPr>
      <t xml:space="preserve">:</t>
    </r>
  </si>
  <si>
    <r>
      <rPr>
        <sz val="11"/>
        <color rgb="FF000000"/>
        <rFont val="Arial"/>
        <family val="2"/>
        <charset val="1"/>
      </rPr>
      <t xml:space="preserve">R</t>
    </r>
    <r>
      <rPr>
        <vertAlign val="subscript"/>
        <sz val="11"/>
        <color rgb="FF000000"/>
        <rFont val="Arial"/>
        <family val="2"/>
        <charset val="1"/>
      </rPr>
      <t xml:space="preserve">FB2</t>
    </r>
    <r>
      <rPr>
        <sz val="11"/>
        <color rgb="FF000000"/>
        <rFont val="Arial"/>
        <family val="2"/>
        <charset val="1"/>
      </rPr>
      <t xml:space="preserve">:</t>
    </r>
  </si>
  <si>
    <r>
      <rPr>
        <sz val="11"/>
        <color rgb="FF000000"/>
        <rFont val="Arial"/>
        <family val="2"/>
        <charset val="1"/>
      </rPr>
      <t xml:space="preserve">R</t>
    </r>
    <r>
      <rPr>
        <vertAlign val="subscript"/>
        <sz val="11"/>
        <color rgb="FF000000"/>
        <rFont val="Arial"/>
        <family val="2"/>
        <charset val="1"/>
      </rPr>
      <t xml:space="preserve">FB1</t>
    </r>
    <r>
      <rPr>
        <sz val="11"/>
        <color rgb="FF000000"/>
        <rFont val="Arial"/>
        <family val="2"/>
        <charset val="1"/>
      </rPr>
      <t xml:space="preserve">:</t>
    </r>
  </si>
  <si>
    <t xml:space="preserve">Bode Plot </t>
  </si>
  <si>
    <t xml:space="preserve">Opto-Coupler Diode Current to Emitter Current Gain</t>
  </si>
  <si>
    <t xml:space="preserve">Output Current to Output Voltage Gain</t>
  </si>
  <si>
    <t xml:space="preserve">Total Open Loop Gain</t>
  </si>
  <si>
    <t xml:space="preserve">Log Scale Converter</t>
  </si>
  <si>
    <t xml:space="preserve">frequency</t>
  </si>
  <si>
    <t xml:space="preserve">ω</t>
  </si>
  <si>
    <t xml:space="preserve">Gain</t>
  </si>
  <si>
    <t xml:space="preserve">rad</t>
  </si>
  <si>
    <t xml:space="preserve">dB</t>
  </si>
  <si>
    <t xml:space="preserve">degrees</t>
  </si>
  <si>
    <t xml:space="preserve">Frequency for Cz:</t>
  </si>
</sst>
</file>

<file path=xl/styles.xml><?xml version="1.0" encoding="utf-8"?>
<styleSheet xmlns="http://schemas.openxmlformats.org/spreadsheetml/2006/main">
  <numFmts count="7">
    <numFmt numFmtId="164" formatCode="General"/>
    <numFmt numFmtId="165" formatCode="General"/>
    <numFmt numFmtId="166" formatCode="0.00"/>
    <numFmt numFmtId="167" formatCode="0.000"/>
    <numFmt numFmtId="168" formatCode="# ?/10"/>
    <numFmt numFmtId="169" formatCode="0.0000"/>
    <numFmt numFmtId="170" formatCode="0E+00"/>
  </numFmts>
  <fonts count="46">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24"/>
      <color rgb="FFFFFFFF"/>
      <name val="Arial"/>
      <family val="2"/>
      <charset val="1"/>
    </font>
    <font>
      <b val="true"/>
      <sz val="10"/>
      <name val="Arial"/>
      <family val="2"/>
      <charset val="1"/>
    </font>
    <font>
      <b val="true"/>
      <sz val="9"/>
      <name val="Arial"/>
      <family val="2"/>
      <charset val="1"/>
    </font>
    <font>
      <b val="true"/>
      <sz val="12"/>
      <name val="Arial"/>
      <family val="2"/>
      <charset val="1"/>
    </font>
    <font>
      <b val="true"/>
      <sz val="16"/>
      <color rgb="FF000000"/>
      <name val="Arial"/>
      <family val="2"/>
      <charset val="1"/>
    </font>
    <font>
      <b val="true"/>
      <sz val="14"/>
      <color rgb="FFFF0000"/>
      <name val="Arial"/>
      <family val="2"/>
      <charset val="1"/>
    </font>
    <font>
      <b val="true"/>
      <sz val="14"/>
      <color rgb="FF000000"/>
      <name val="Arial"/>
      <family val="2"/>
      <charset val="1"/>
    </font>
    <font>
      <b val="true"/>
      <sz val="14"/>
      <color rgb="FF9BBB59"/>
      <name val="Arial"/>
      <family val="2"/>
      <charset val="1"/>
    </font>
    <font>
      <sz val="11"/>
      <name val="Arial"/>
      <family val="2"/>
      <charset val="1"/>
    </font>
    <font>
      <b val="true"/>
      <i val="true"/>
      <sz val="16"/>
      <color rgb="FFFFFFFF"/>
      <name val="Arial"/>
      <family val="2"/>
      <charset val="1"/>
    </font>
    <font>
      <b val="true"/>
      <sz val="12"/>
      <color rgb="FFFFFFFF"/>
      <name val="Arial"/>
      <family val="2"/>
      <charset val="1"/>
    </font>
    <font>
      <vertAlign val="subscript"/>
      <sz val="11"/>
      <color rgb="FF000000"/>
      <name val="Arial"/>
      <family val="2"/>
      <charset val="1"/>
    </font>
    <font>
      <b val="true"/>
      <i val="true"/>
      <sz val="11"/>
      <color rgb="FFFF0000"/>
      <name val="Arial"/>
      <family val="2"/>
      <charset val="1"/>
    </font>
    <font>
      <b val="true"/>
      <sz val="11"/>
      <color rgb="FFFF0000"/>
      <name val="Arial"/>
      <family val="2"/>
      <charset val="1"/>
    </font>
    <font>
      <b val="true"/>
      <sz val="11"/>
      <color rgb="FF000000"/>
      <name val="Arial"/>
      <family val="2"/>
      <charset val="1"/>
    </font>
    <font>
      <b val="true"/>
      <sz val="11"/>
      <color rgb="FFFFFFFF"/>
      <name val="Arial"/>
      <family val="2"/>
      <charset val="1"/>
    </font>
    <font>
      <b val="true"/>
      <vertAlign val="subscript"/>
      <sz val="11"/>
      <color rgb="FFFFFFFF"/>
      <name val="Arial"/>
      <family val="2"/>
      <charset val="1"/>
    </font>
    <font>
      <b val="true"/>
      <sz val="11"/>
      <name val="Arial"/>
      <family val="2"/>
      <charset val="1"/>
    </font>
    <font>
      <vertAlign val="subscript"/>
      <sz val="11"/>
      <name val="Arial"/>
      <family val="2"/>
      <charset val="1"/>
    </font>
    <font>
      <sz val="11"/>
      <name val="Calibri"/>
      <family val="2"/>
      <charset val="1"/>
    </font>
    <font>
      <sz val="12"/>
      <color rgb="FF000000"/>
      <name val="Arial"/>
      <family val="2"/>
      <charset val="1"/>
    </font>
    <font>
      <b val="true"/>
      <sz val="12"/>
      <color rgb="FFFF0000"/>
      <name val="Arial"/>
      <family val="2"/>
      <charset val="1"/>
    </font>
    <font>
      <b val="true"/>
      <vertAlign val="subscript"/>
      <sz val="12"/>
      <color rgb="FFFF0000"/>
      <name val="Arial"/>
      <family val="2"/>
      <charset val="1"/>
    </font>
    <font>
      <vertAlign val="subscript"/>
      <sz val="12"/>
      <color rgb="FF000000"/>
      <name val="Arial"/>
      <family val="2"/>
      <charset val="1"/>
    </font>
    <font>
      <sz val="12"/>
      <color rgb="FF000000"/>
      <name val="Calibri"/>
      <family val="2"/>
      <charset val="1"/>
    </font>
    <font>
      <sz val="10"/>
      <color rgb="FF000000"/>
      <name val="Arial"/>
      <family val="2"/>
      <charset val="1"/>
    </font>
    <font>
      <b val="true"/>
      <sz val="22"/>
      <color rgb="FFFFFFFF"/>
      <name val="Arial"/>
      <family val="2"/>
      <charset val="1"/>
    </font>
    <font>
      <b val="true"/>
      <sz val="14"/>
      <name val="Arial"/>
      <family val="2"/>
      <charset val="1"/>
    </font>
    <font>
      <b val="true"/>
      <sz val="14"/>
      <color rgb="FFFFFFFF"/>
      <name val="Arial"/>
      <family val="2"/>
      <charset val="1"/>
    </font>
    <font>
      <b val="true"/>
      <i val="true"/>
      <sz val="12"/>
      <color rgb="FFFFFFFF"/>
      <name val="Arial"/>
      <family val="2"/>
      <charset val="1"/>
    </font>
    <font>
      <b val="true"/>
      <i val="true"/>
      <vertAlign val="subscript"/>
      <sz val="11"/>
      <color rgb="FFFFFFFF"/>
      <name val="Arial"/>
      <family val="2"/>
      <charset val="1"/>
    </font>
    <font>
      <b val="true"/>
      <i val="true"/>
      <vertAlign val="subscript"/>
      <sz val="12"/>
      <color rgb="FFFFFFFF"/>
      <name val="Arial"/>
      <family val="2"/>
      <charset val="1"/>
    </font>
    <font>
      <b val="true"/>
      <vertAlign val="subscript"/>
      <sz val="11"/>
      <color rgb="FF000000"/>
      <name val="Arial"/>
      <family val="2"/>
      <charset val="1"/>
    </font>
    <font>
      <sz val="12"/>
      <name val="Arial"/>
      <family val="2"/>
      <charset val="1"/>
    </font>
    <font>
      <vertAlign val="subscript"/>
      <sz val="12"/>
      <name val="Arial"/>
      <family val="2"/>
      <charset val="1"/>
    </font>
    <font>
      <b val="true"/>
      <vertAlign val="subscript"/>
      <sz val="11"/>
      <name val="Arial"/>
      <family val="2"/>
      <charset val="1"/>
    </font>
    <font>
      <b val="true"/>
      <sz val="18"/>
      <color rgb="FF000000"/>
      <name val="Calibri"/>
      <family val="2"/>
    </font>
    <font>
      <sz val="10"/>
      <color rgb="FF000000"/>
      <name val="Calibri"/>
      <family val="2"/>
    </font>
    <font>
      <b val="true"/>
      <sz val="10"/>
      <color rgb="FF000000"/>
      <name val="Calibri"/>
      <family val="2"/>
    </font>
    <font>
      <b val="true"/>
      <sz val="10"/>
      <color rgb="FFFF0000"/>
      <name val="Arial"/>
      <family val="2"/>
      <charset val="1"/>
    </font>
    <font>
      <sz val="10"/>
      <name val="Arial"/>
      <family val="2"/>
      <charset val="1"/>
    </font>
  </fonts>
  <fills count="8">
    <fill>
      <patternFill patternType="none"/>
    </fill>
    <fill>
      <patternFill patternType="gray125"/>
    </fill>
    <fill>
      <patternFill patternType="solid">
        <fgColor rgb="FFFFFFFF"/>
        <bgColor rgb="FFF2F2F2"/>
      </patternFill>
    </fill>
    <fill>
      <patternFill patternType="solid">
        <fgColor rgb="FFFF0000"/>
        <bgColor rgb="FF993300"/>
      </patternFill>
    </fill>
    <fill>
      <patternFill patternType="solid">
        <fgColor rgb="FFCCFFCC"/>
        <bgColor rgb="FFDDFFDD"/>
      </patternFill>
    </fill>
    <fill>
      <patternFill patternType="solid">
        <fgColor rgb="FFFFFF00"/>
        <bgColor rgb="FFFFFF00"/>
      </patternFill>
    </fill>
    <fill>
      <patternFill patternType="solid">
        <fgColor rgb="FFF2F2F2"/>
        <bgColor rgb="FFFFFFFF"/>
      </patternFill>
    </fill>
    <fill>
      <patternFill patternType="solid">
        <fgColor rgb="FFDDFFDD"/>
        <bgColor rgb="FFCCFFCC"/>
      </patternFill>
    </fill>
  </fills>
  <borders count="5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style="medium"/>
      <top/>
      <bottom/>
      <diagonal/>
    </border>
    <border diagonalUp="false" diagonalDown="false">
      <left style="medium"/>
      <right style="medium"/>
      <top style="medium"/>
      <bottom style="medium"/>
      <diagonal/>
    </border>
    <border diagonalUp="false" diagonalDown="false">
      <left style="medium"/>
      <right style="thin"/>
      <top style="medium"/>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 diagonalUp="false" diagonalDown="false">
      <left style="medium"/>
      <right style="medium"/>
      <top style="medium"/>
      <bottom style="thin"/>
      <diagonal/>
    </border>
    <border diagonalUp="false" diagonalDown="false">
      <left/>
      <right style="medium"/>
      <top/>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style="thin"/>
      <diagonal/>
    </border>
    <border diagonalUp="false" diagonalDown="false">
      <left/>
      <right/>
      <top/>
      <bottom style="thin"/>
      <diagonal/>
    </border>
    <border diagonalUp="false" diagonalDown="false">
      <left style="medium"/>
      <right style="medium"/>
      <top/>
      <bottom style="thin"/>
      <diagonal/>
    </border>
    <border diagonalUp="false" diagonalDown="false">
      <left style="thin"/>
      <right/>
      <top/>
      <bottom style="thin"/>
      <diagonal/>
    </border>
    <border diagonalUp="false" diagonalDown="false">
      <left/>
      <right style="medium"/>
      <top style="thin"/>
      <bottom/>
      <diagonal/>
    </border>
    <border diagonalUp="false" diagonalDown="false">
      <left/>
      <right/>
      <top style="thin"/>
      <bottom style="mediu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thin"/>
      <right/>
      <top style="thin"/>
      <bottom/>
      <diagonal/>
    </border>
    <border diagonalUp="false" diagonalDown="false">
      <left style="medium"/>
      <right style="thin"/>
      <top style="medium"/>
      <bottom style="medium"/>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right/>
      <top style="thin"/>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top style="medium"/>
      <bottom style="medium"/>
      <diagonal/>
    </border>
    <border diagonalUp="false" diagonalDown="false">
      <left/>
      <right/>
      <top style="medium"/>
      <bottom/>
      <diagonal/>
    </border>
    <border diagonalUp="false" diagonalDown="false">
      <left style="thin"/>
      <right style="medium"/>
      <top style="medium"/>
      <bottom style="medium"/>
      <diagonal/>
    </border>
    <border diagonalUp="false" diagonalDown="false">
      <left/>
      <right style="thin"/>
      <top style="thin"/>
      <bottom style="medium"/>
      <diagonal/>
    </border>
    <border diagonalUp="false" diagonalDown="false">
      <left style="medium"/>
      <right style="thin"/>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right style="thin"/>
      <top style="thin"/>
      <bottom style="thin"/>
      <diagonal/>
    </border>
    <border diagonalUp="false" diagonalDown="false">
      <left/>
      <right/>
      <top/>
      <bottom style="medium"/>
      <diagonal/>
    </border>
    <border diagonalUp="false" diagonalDown="false">
      <left/>
      <right style="thin"/>
      <top style="thin"/>
      <bottom/>
      <diagonal/>
    </border>
    <border diagonalUp="false" diagonalDown="false">
      <left style="medium"/>
      <right style="thin"/>
      <top/>
      <bottom/>
      <diagonal/>
    </border>
    <border diagonalUp="false" diagonalDown="false">
      <left/>
      <right style="thin"/>
      <top/>
      <bottom/>
      <diagonal/>
    </border>
    <border diagonalUp="false" diagonalDown="false">
      <left style="thin"/>
      <right style="thin"/>
      <top/>
      <bottom/>
      <diagonal/>
    </border>
    <border diagonalUp="false" diagonalDown="false">
      <left/>
      <right/>
      <top style="thin"/>
      <botto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right" vertical="center" textRotation="0" wrapText="true" indent="0" shrinkToFit="false"/>
      <protection locked="true" hidden="false"/>
    </xf>
    <xf numFmtId="164" fontId="6" fillId="2" borderId="0" xfId="0" applyFont="true" applyBorder="fals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right"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left"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10" fillId="2" borderId="3" xfId="0" applyFont="true" applyBorder="true" applyAlignment="true" applyProtection="false">
      <alignment horizontal="center" vertical="center" textRotation="0" wrapText="false" indent="0" shrinkToFit="false"/>
      <protection locked="true" hidden="false"/>
    </xf>
    <xf numFmtId="164" fontId="11" fillId="2" borderId="2" xfId="0" applyFont="true" applyBorder="true" applyAlignment="true" applyProtection="false">
      <alignment horizontal="center" vertical="center" textRotation="0" wrapText="false" indent="0" shrinkToFit="false"/>
      <protection locked="true" hidden="false"/>
    </xf>
    <xf numFmtId="164" fontId="13" fillId="2" borderId="4" xfId="0" applyFont="true" applyBorder="true" applyAlignment="true" applyProtection="false">
      <alignment horizontal="center" vertical="center" textRotation="0" wrapText="true" indent="0" shrinkToFit="false"/>
      <protection locked="true" hidden="false"/>
    </xf>
    <xf numFmtId="164" fontId="14" fillId="3" borderId="4" xfId="0" applyFont="true" applyBorder="true" applyAlignment="true" applyProtection="false">
      <alignment horizontal="center" vertical="center" textRotation="0" wrapText="false" indent="0" shrinkToFit="false"/>
      <protection locked="true" hidden="false"/>
    </xf>
    <xf numFmtId="164" fontId="14" fillId="2" borderId="0" xfId="0" applyFont="true" applyBorder="true" applyAlignment="true" applyProtection="false">
      <alignment horizontal="center" vertical="center" textRotation="0" wrapText="false" indent="0" shrinkToFit="false"/>
      <protection locked="true" hidden="false"/>
    </xf>
    <xf numFmtId="164" fontId="15" fillId="3" borderId="1" xfId="0" applyFont="true" applyBorder="true" applyAlignment="true" applyProtection="false">
      <alignment horizontal="left" vertical="center" textRotation="0" wrapText="false" indent="0" shrinkToFit="false"/>
      <protection locked="true" hidden="false"/>
    </xf>
    <xf numFmtId="164" fontId="4" fillId="2" borderId="5" xfId="0" applyFont="true" applyBorder="true" applyAlignment="true" applyProtection="false">
      <alignment horizontal="general" vertical="center" textRotation="0" wrapText="false" indent="0" shrinkToFit="false"/>
      <protection locked="true" hidden="false"/>
    </xf>
    <xf numFmtId="164" fontId="4" fillId="4" borderId="6" xfId="0" applyFont="true" applyBorder="true" applyAlignment="true" applyProtection="true">
      <alignment horizontal="center" vertical="center" textRotation="0" wrapText="false" indent="0" shrinkToFit="false"/>
      <protection locked="false" hidden="false"/>
    </xf>
    <xf numFmtId="164" fontId="4" fillId="2" borderId="7" xfId="0" applyFont="true" applyBorder="true" applyAlignment="true" applyProtection="false">
      <alignment horizontal="center" vertical="center" textRotation="0" wrapText="false" indent="0" shrinkToFit="false"/>
      <protection locked="true" hidden="false"/>
    </xf>
    <xf numFmtId="164" fontId="4" fillId="2" borderId="8" xfId="0" applyFont="true" applyBorder="true" applyAlignment="true" applyProtection="false">
      <alignment horizontal="general" vertical="center" textRotation="0" wrapText="false" indent="0" shrinkToFit="false"/>
      <protection locked="true" hidden="false"/>
    </xf>
    <xf numFmtId="165" fontId="4" fillId="2" borderId="7" xfId="0" applyFont="true" applyBorder="true" applyAlignment="true" applyProtection="false">
      <alignment horizontal="left" vertical="center" textRotation="0" wrapText="false" indent="0" shrinkToFit="false"/>
      <protection locked="true" hidden="false"/>
    </xf>
    <xf numFmtId="165" fontId="4" fillId="2" borderId="9" xfId="0" applyFont="true" applyBorder="true" applyAlignment="true" applyProtection="false">
      <alignment horizontal="general" vertical="center" textRotation="0" wrapText="false" indent="0" shrinkToFit="false"/>
      <protection locked="true" hidden="false"/>
    </xf>
    <xf numFmtId="165" fontId="17" fillId="2" borderId="10" xfId="0" applyFont="true" applyBorder="true" applyAlignment="true" applyProtection="false">
      <alignment horizontal="left" vertical="center" textRotation="0" wrapText="false" indent="0" shrinkToFit="false"/>
      <protection locked="true" hidden="false"/>
    </xf>
    <xf numFmtId="164" fontId="4" fillId="4" borderId="9" xfId="0" applyFont="true" applyBorder="true" applyAlignment="true" applyProtection="true">
      <alignment horizontal="center" vertical="center" textRotation="0" wrapText="false" indent="0" shrinkToFit="false"/>
      <protection locked="false" hidden="false"/>
    </xf>
    <xf numFmtId="165" fontId="17" fillId="2" borderId="10" xfId="0" applyFont="true" applyBorder="true" applyAlignment="true" applyProtection="false">
      <alignment horizontal="left" vertical="center" textRotation="0" wrapText="true" indent="0" shrinkToFit="false"/>
      <protection locked="true" hidden="false"/>
    </xf>
    <xf numFmtId="164" fontId="4" fillId="2" borderId="10" xfId="0" applyFont="true" applyBorder="true" applyAlignment="true" applyProtection="false">
      <alignment horizontal="left" vertical="center" textRotation="0" wrapText="false" indent="0" shrinkToFit="false"/>
      <protection locked="true" hidden="false"/>
    </xf>
    <xf numFmtId="164" fontId="4" fillId="2" borderId="11" xfId="0" applyFont="true" applyBorder="true" applyAlignment="true" applyProtection="false">
      <alignment horizontal="general" vertical="center" textRotation="0" wrapText="false" indent="0" shrinkToFit="false"/>
      <protection locked="true" hidden="false"/>
    </xf>
    <xf numFmtId="164" fontId="4" fillId="4" borderId="12" xfId="0" applyFont="true" applyBorder="true" applyAlignment="true" applyProtection="true">
      <alignment horizontal="center" vertical="center" textRotation="0" wrapText="false" indent="0" shrinkToFit="false"/>
      <protection locked="false" hidden="false"/>
    </xf>
    <xf numFmtId="165" fontId="4" fillId="2" borderId="12" xfId="0" applyFont="true" applyBorder="true" applyAlignment="true" applyProtection="false">
      <alignment horizontal="general" vertical="center" textRotation="0" wrapText="false" indent="0" shrinkToFit="false"/>
      <protection locked="true" hidden="false"/>
    </xf>
    <xf numFmtId="165" fontId="17" fillId="2" borderId="13" xfId="0" applyFont="true" applyBorder="true" applyAlignment="true" applyProtection="false">
      <alignment horizontal="left" vertical="center" textRotation="0" wrapText="true" indent="0" shrinkToFit="false"/>
      <protection locked="true" hidden="false"/>
    </xf>
    <xf numFmtId="165" fontId="17" fillId="2" borderId="0" xfId="0" applyFont="true" applyBorder="true" applyAlignment="true" applyProtection="false">
      <alignment horizontal="center" vertical="center" textRotation="0" wrapText="false" indent="0" shrinkToFit="false"/>
      <protection locked="true" hidden="false"/>
    </xf>
    <xf numFmtId="164" fontId="15" fillId="3" borderId="14" xfId="0" applyFont="true" applyBorder="true" applyAlignment="true" applyProtection="false">
      <alignment horizontal="left" vertical="center" textRotation="0" wrapText="false" indent="0" shrinkToFit="false"/>
      <protection locked="true" hidden="false"/>
    </xf>
    <xf numFmtId="164" fontId="4" fillId="0" borderId="8" xfId="0" applyFont="true" applyBorder="true" applyAlignment="true" applyProtection="false">
      <alignment horizontal="general" vertical="center" textRotation="0" wrapText="true" indent="0" shrinkToFit="false"/>
      <protection locked="true" hidden="false"/>
    </xf>
    <xf numFmtId="164" fontId="4" fillId="2" borderId="9" xfId="0" applyFont="true" applyBorder="true" applyAlignment="true" applyProtection="false">
      <alignment horizontal="left" vertical="center" textRotation="0" wrapText="false" indent="0" shrinkToFit="false"/>
      <protection locked="true" hidden="false"/>
    </xf>
    <xf numFmtId="164" fontId="4" fillId="2" borderId="8" xfId="0" applyFont="true" applyBorder="true" applyAlignment="true" applyProtection="false">
      <alignment horizontal="general" vertical="center" textRotation="0" wrapText="true" indent="0" shrinkToFit="false"/>
      <protection locked="true" hidden="false"/>
    </xf>
    <xf numFmtId="165" fontId="17" fillId="2" borderId="15" xfId="0" applyFont="true" applyBorder="true" applyAlignment="true" applyProtection="false">
      <alignment horizontal="left" vertical="center" textRotation="0" wrapText="true" indent="0" shrinkToFit="false"/>
      <protection locked="true" hidden="false"/>
    </xf>
    <xf numFmtId="164" fontId="4" fillId="4" borderId="16" xfId="0" applyFont="true" applyBorder="true" applyAlignment="true" applyProtection="true">
      <alignment horizontal="center" vertical="center" textRotation="0" wrapText="false" indent="0" shrinkToFit="false"/>
      <protection locked="false" hidden="false"/>
    </xf>
    <xf numFmtId="164" fontId="4" fillId="2" borderId="17" xfId="0" applyFont="true" applyBorder="true" applyAlignment="true" applyProtection="false">
      <alignment horizontal="left" vertical="center" textRotation="0" wrapText="false" indent="0" shrinkToFit="false"/>
      <protection locked="true" hidden="false"/>
    </xf>
    <xf numFmtId="165" fontId="18" fillId="2" borderId="0" xfId="0" applyFont="true" applyBorder="true" applyAlignment="true" applyProtection="false">
      <alignment horizontal="center" vertical="center" textRotation="0" wrapText="false" indent="0" shrinkToFit="false"/>
      <protection locked="true" hidden="false"/>
    </xf>
    <xf numFmtId="164" fontId="15" fillId="3" borderId="4"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9" fillId="2" borderId="18" xfId="0" applyFont="true" applyBorder="true" applyAlignment="true" applyProtection="false">
      <alignment horizontal="general" vertical="center" textRotation="0" wrapText="false" indent="0" shrinkToFit="false"/>
      <protection locked="true" hidden="false"/>
    </xf>
    <xf numFmtId="164" fontId="19" fillId="2" borderId="19" xfId="0" applyFont="true" applyBorder="true" applyAlignment="true" applyProtection="false">
      <alignment horizontal="center" vertical="center" textRotation="0" wrapText="false" indent="0" shrinkToFit="false"/>
      <protection locked="true" hidden="false"/>
    </xf>
    <xf numFmtId="164" fontId="19" fillId="2" borderId="20" xfId="0" applyFont="true" applyBorder="true" applyAlignment="true" applyProtection="false">
      <alignment horizontal="center" vertical="center" textRotation="0" wrapText="false" indent="0" shrinkToFit="false"/>
      <protection locked="true" hidden="false"/>
    </xf>
    <xf numFmtId="164" fontId="20" fillId="3" borderId="14" xfId="0" applyFont="true" applyBorder="true" applyAlignment="true" applyProtection="false">
      <alignment horizontal="left" vertical="center" textRotation="0" wrapText="false" indent="0" shrinkToFit="false"/>
      <protection locked="true" hidden="false"/>
    </xf>
    <xf numFmtId="164" fontId="22" fillId="0" borderId="21" xfId="0" applyFont="true" applyBorder="true" applyAlignment="true" applyProtection="false">
      <alignment horizontal="left" vertical="center" textRotation="0" wrapText="false" indent="0" shrinkToFit="false"/>
      <protection locked="true" hidden="false"/>
    </xf>
    <xf numFmtId="164" fontId="13" fillId="4" borderId="6" xfId="0" applyFont="true" applyBorder="true" applyAlignment="true" applyProtection="true">
      <alignment horizontal="center" vertical="center" textRotation="0" wrapText="false" indent="0" shrinkToFit="false"/>
      <protection locked="false" hidden="false"/>
    </xf>
    <xf numFmtId="164" fontId="13" fillId="2" borderId="22" xfId="0" applyFont="true" applyBorder="true" applyAlignment="true" applyProtection="false">
      <alignment horizontal="left" vertical="center" textRotation="0" wrapText="false" indent="0" shrinkToFit="false"/>
      <protection locked="true" hidden="false"/>
    </xf>
    <xf numFmtId="164" fontId="13" fillId="2" borderId="10" xfId="0" applyFont="true" applyBorder="true" applyAlignment="true" applyProtection="false">
      <alignment horizontal="left" vertical="center" textRotation="0" wrapText="true" indent="0" shrinkToFit="false"/>
      <protection locked="true" hidden="false"/>
    </xf>
    <xf numFmtId="164" fontId="19" fillId="2" borderId="8" xfId="0" applyFont="true" applyBorder="true" applyAlignment="true" applyProtection="false">
      <alignment horizontal="general" vertical="center" textRotation="0" wrapText="false" indent="0" shrinkToFit="false"/>
      <protection locked="true" hidden="false"/>
    </xf>
    <xf numFmtId="166" fontId="4" fillId="2" borderId="6" xfId="0" applyFont="true" applyBorder="true" applyAlignment="true" applyProtection="false">
      <alignment horizontal="center" vertical="center" textRotation="0" wrapText="false" indent="0" shrinkToFit="false"/>
      <protection locked="true" hidden="false"/>
    </xf>
    <xf numFmtId="164" fontId="4" fillId="2" borderId="10" xfId="0" applyFont="true" applyBorder="true" applyAlignment="true" applyProtection="false">
      <alignment horizontal="left" vertical="center" textRotation="0" wrapText="true" indent="0" shrinkToFit="false"/>
      <protection locked="true" hidden="false"/>
    </xf>
    <xf numFmtId="164" fontId="19" fillId="2" borderId="11" xfId="0" applyFont="true" applyBorder="true" applyAlignment="true" applyProtection="false">
      <alignment horizontal="general" vertical="center" textRotation="0" wrapText="false" indent="0" shrinkToFit="false"/>
      <protection locked="true" hidden="false"/>
    </xf>
    <xf numFmtId="166" fontId="4" fillId="4" borderId="16" xfId="0" applyFont="true" applyBorder="true" applyAlignment="true" applyProtection="true">
      <alignment horizontal="center" vertical="center" textRotation="0" wrapText="false" indent="0" shrinkToFit="false"/>
      <protection locked="false" hidden="false"/>
    </xf>
    <xf numFmtId="164" fontId="4" fillId="2" borderId="13" xfId="0" applyFont="true" applyBorder="true" applyAlignment="true" applyProtection="false">
      <alignment horizontal="left" vertical="center" textRotation="0" wrapText="true" indent="0" shrinkToFit="false"/>
      <protection locked="true" hidden="false"/>
    </xf>
    <xf numFmtId="164" fontId="20" fillId="3" borderId="23" xfId="0" applyFont="true" applyBorder="true" applyAlignment="true" applyProtection="false">
      <alignment horizontal="left" vertical="center" textRotation="0" wrapText="false" indent="0" shrinkToFit="false"/>
      <protection locked="true" hidden="false"/>
    </xf>
    <xf numFmtId="164" fontId="19" fillId="2" borderId="8" xfId="0" applyFont="true" applyBorder="true" applyAlignment="true" applyProtection="false">
      <alignment horizontal="general" vertical="center" textRotation="0" wrapText="true" indent="0" shrinkToFit="false"/>
      <protection locked="true" hidden="false"/>
    </xf>
    <xf numFmtId="167" fontId="4" fillId="2" borderId="6" xfId="0" applyFont="true" applyBorder="true" applyAlignment="true" applyProtection="false">
      <alignment horizontal="center" vertical="center" textRotation="0" wrapText="true" indent="0" shrinkToFit="false"/>
      <protection locked="true" hidden="false"/>
    </xf>
    <xf numFmtId="164" fontId="20" fillId="0" borderId="24" xfId="0" applyFont="true" applyBorder="true" applyAlignment="true" applyProtection="false">
      <alignment horizontal="left" vertical="center" textRotation="0" wrapText="false" indent="0" shrinkToFit="false"/>
      <protection locked="true" hidden="false"/>
    </xf>
    <xf numFmtId="167" fontId="4" fillId="4" borderId="9" xfId="0" applyFont="true" applyBorder="true" applyAlignment="true" applyProtection="true">
      <alignment horizontal="center" vertical="center" textRotation="0" wrapText="false" indent="0" shrinkToFit="false"/>
      <protection locked="false" hidden="false"/>
    </xf>
    <xf numFmtId="164" fontId="4" fillId="2" borderId="9" xfId="0" applyFont="true" applyBorder="true" applyAlignment="true" applyProtection="false">
      <alignment horizontal="general" vertical="center" textRotation="0" wrapText="true" indent="0" shrinkToFit="false"/>
      <protection locked="true" hidden="false"/>
    </xf>
    <xf numFmtId="167" fontId="4" fillId="2" borderId="6" xfId="0" applyFont="true" applyBorder="true" applyAlignment="true" applyProtection="false">
      <alignment horizontal="center"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7" fontId="4" fillId="4" borderId="16" xfId="0" applyFont="true" applyBorder="true" applyAlignment="true" applyProtection="true">
      <alignment horizontal="center" vertical="center" textRotation="0" wrapText="false" indent="0" shrinkToFit="false"/>
      <protection locked="false" hidden="false"/>
    </xf>
    <xf numFmtId="164" fontId="4" fillId="2" borderId="13" xfId="0" applyFont="true" applyBorder="true" applyAlignment="true" applyProtection="false">
      <alignment horizontal="left" vertical="center"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25" xfId="0" applyFont="true" applyBorder="true" applyAlignment="true" applyProtection="false">
      <alignment horizontal="left" vertical="center" textRotation="0" wrapText="false" indent="0" shrinkToFit="false"/>
      <protection locked="true" hidden="false"/>
    </xf>
    <xf numFmtId="167" fontId="4" fillId="4" borderId="6" xfId="0" applyFont="true" applyBorder="true" applyAlignment="true" applyProtection="true">
      <alignment horizontal="center" vertical="center" textRotation="0" wrapText="false" indent="0" shrinkToFit="false"/>
      <protection locked="fals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2" borderId="7" xfId="0" applyFont="true" applyBorder="true" applyAlignment="true" applyProtection="false">
      <alignment horizontal="left" vertical="center" textRotation="0" wrapText="true" indent="0" shrinkToFit="false"/>
      <protection locked="true" hidden="false"/>
    </xf>
    <xf numFmtId="164" fontId="4" fillId="2" borderId="12" xfId="0" applyFont="true" applyBorder="true" applyAlignment="true" applyProtection="false">
      <alignment horizontal="general" vertical="center" textRotation="0" wrapText="true" indent="0" shrinkToFit="false"/>
      <protection locked="true" hidden="false"/>
    </xf>
    <xf numFmtId="165" fontId="17" fillId="2" borderId="13" xfId="0" applyFont="true" applyBorder="true" applyAlignment="true" applyProtection="false">
      <alignment horizontal="center" vertical="center" textRotation="0" wrapText="true" indent="0" shrinkToFit="false"/>
      <protection locked="true" hidden="false"/>
    </xf>
    <xf numFmtId="164" fontId="13" fillId="2" borderId="8" xfId="0" applyFont="true" applyBorder="true" applyAlignment="true" applyProtection="false">
      <alignment horizontal="left" vertical="center" textRotation="0" wrapText="false" indent="0" shrinkToFit="false"/>
      <protection locked="true" hidden="false"/>
    </xf>
    <xf numFmtId="164" fontId="13" fillId="2" borderId="9" xfId="0" applyFont="true" applyBorder="true" applyAlignment="true" applyProtection="false">
      <alignment horizontal="left" vertical="center" textRotation="0" wrapText="false" indent="0" shrinkToFit="false"/>
      <protection locked="true" hidden="false"/>
    </xf>
    <xf numFmtId="164" fontId="13" fillId="2" borderId="10" xfId="0" applyFont="true" applyBorder="true" applyAlignment="true" applyProtection="false">
      <alignment horizontal="left" vertical="center" textRotation="0" wrapText="fals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center" vertical="center" textRotation="0" wrapText="false" indent="0" shrinkToFit="false"/>
      <protection locked="true" hidden="false"/>
    </xf>
    <xf numFmtId="164" fontId="4" fillId="2" borderId="26" xfId="0" applyFont="true" applyBorder="true" applyAlignment="true" applyProtection="false">
      <alignment horizontal="general" vertical="center" textRotation="0" wrapText="false" indent="0" shrinkToFit="false"/>
      <protection locked="true" hidden="false"/>
    </xf>
    <xf numFmtId="164" fontId="4" fillId="2" borderId="13" xfId="0" applyFont="true" applyBorder="true" applyAlignment="true" applyProtection="false">
      <alignment horizontal="general" vertical="center" textRotation="0" wrapText="false" indent="0" shrinkToFit="false"/>
      <protection locked="true" hidden="false"/>
    </xf>
    <xf numFmtId="164" fontId="4" fillId="2" borderId="27" xfId="0" applyFont="true" applyBorder="true" applyAlignment="true" applyProtection="false">
      <alignment horizontal="general" vertical="center" textRotation="0" wrapText="false" indent="0" shrinkToFit="false"/>
      <protection locked="true" hidden="false"/>
    </xf>
    <xf numFmtId="164" fontId="4" fillId="4" borderId="28" xfId="0" applyFont="true" applyBorder="true" applyAlignment="true" applyProtection="true">
      <alignment horizontal="center" vertical="center" textRotation="0" wrapText="false" indent="0" shrinkToFit="false"/>
      <protection locked="false" hidden="false"/>
    </xf>
    <xf numFmtId="164" fontId="4" fillId="2" borderId="29" xfId="0" applyFont="true" applyBorder="true" applyAlignment="true" applyProtection="false">
      <alignment horizontal="left" vertical="center" textRotation="0" wrapText="false" indent="0" shrinkToFit="false"/>
      <protection locked="true" hidden="false"/>
    </xf>
    <xf numFmtId="164" fontId="19" fillId="2" borderId="27" xfId="0" applyFont="true" applyBorder="true" applyAlignment="true" applyProtection="false">
      <alignment horizontal="general" vertical="center" textRotation="0" wrapText="false" indent="0" shrinkToFit="false"/>
      <protection locked="true" hidden="false"/>
    </xf>
    <xf numFmtId="167" fontId="4" fillId="4" borderId="28" xfId="0" applyFont="true" applyBorder="true" applyAlignment="true" applyProtection="true">
      <alignment horizontal="center" vertical="center" textRotation="0" wrapText="false" indent="0" shrinkToFit="false"/>
      <protection locked="false" hidden="false"/>
    </xf>
    <xf numFmtId="164" fontId="4" fillId="2" borderId="30" xfId="0" applyFont="true" applyBorder="true" applyAlignment="true" applyProtection="false">
      <alignment horizontal="general" vertical="center" textRotation="0" wrapText="false" indent="0" shrinkToFit="false"/>
      <protection locked="true" hidden="false"/>
    </xf>
    <xf numFmtId="164" fontId="13" fillId="2" borderId="25" xfId="0" applyFont="true" applyBorder="true" applyAlignment="true" applyProtection="false">
      <alignment horizontal="left" vertical="center" textRotation="0" wrapText="false" indent="0" shrinkToFit="false"/>
      <protection locked="true" hidden="false"/>
    </xf>
    <xf numFmtId="164" fontId="20" fillId="3" borderId="6" xfId="0" applyFont="true" applyBorder="true" applyAlignment="true" applyProtection="false">
      <alignment horizontal="left" vertical="center" textRotation="0" wrapText="false" indent="0" shrinkToFit="false"/>
      <protection locked="true" hidden="false"/>
    </xf>
    <xf numFmtId="164" fontId="13" fillId="2" borderId="6" xfId="0" applyFont="true" applyBorder="true" applyAlignment="true" applyProtection="false">
      <alignment horizontal="general" vertical="center" textRotation="0" wrapText="false" indent="0" shrinkToFit="false"/>
      <protection locked="true" hidden="false"/>
    </xf>
    <xf numFmtId="164" fontId="13" fillId="2" borderId="6" xfId="0" applyFont="true" applyBorder="true" applyAlignment="true" applyProtection="false">
      <alignment horizontal="left" vertical="center" textRotation="0" wrapText="false" indent="0" shrinkToFit="false"/>
      <protection locked="true" hidden="false"/>
    </xf>
    <xf numFmtId="164" fontId="24" fillId="2" borderId="6" xfId="0" applyFont="true" applyBorder="true" applyAlignment="true" applyProtection="false">
      <alignment horizontal="left" vertical="center" textRotation="0" wrapText="false" indent="0" shrinkToFit="false"/>
      <protection locked="true" hidden="false"/>
    </xf>
    <xf numFmtId="164" fontId="19" fillId="2" borderId="6" xfId="0" applyFont="true" applyBorder="true" applyAlignment="true" applyProtection="false">
      <alignment horizontal="general" vertical="center" textRotation="0" wrapText="false" indent="0" shrinkToFit="false"/>
      <protection locked="true" hidden="false"/>
    </xf>
    <xf numFmtId="165" fontId="4" fillId="2" borderId="6" xfId="0" applyFont="true" applyBorder="true" applyAlignment="true" applyProtection="false">
      <alignment horizontal="center" vertical="center" textRotation="0" wrapText="fals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4" fillId="2" borderId="6" xfId="0" applyFont="true" applyBorder="true" applyAlignment="true" applyProtection="false">
      <alignment horizontal="left" vertical="center" textRotation="0" wrapText="false" indent="0" shrinkToFit="false"/>
      <protection locked="true" hidden="false"/>
    </xf>
    <xf numFmtId="164" fontId="4" fillId="2" borderId="6" xfId="0" applyFont="true" applyBorder="true" applyAlignment="true" applyProtection="false">
      <alignment horizontal="left" vertical="center" textRotation="0" wrapText="true" indent="0" shrinkToFit="false"/>
      <protection locked="true" hidden="false"/>
    </xf>
    <xf numFmtId="164" fontId="0" fillId="2" borderId="6" xfId="0" applyFont="true" applyBorder="true" applyAlignment="true" applyProtection="false">
      <alignment horizontal="general" vertical="center" textRotation="0" wrapText="false" indent="0" shrinkToFit="false"/>
      <protection locked="true" hidden="false"/>
    </xf>
    <xf numFmtId="164" fontId="19" fillId="2" borderId="6" xfId="0" applyFont="true" applyBorder="true" applyAlignment="true" applyProtection="false">
      <alignment horizontal="left" vertical="center" textRotation="0" wrapText="true" indent="0" shrinkToFit="false"/>
      <protection locked="true" hidden="false"/>
    </xf>
    <xf numFmtId="164" fontId="4" fillId="2" borderId="6" xfId="0" applyFont="true" applyBorder="true" applyAlignment="true" applyProtection="false">
      <alignment horizontal="center" vertical="center" textRotation="0" wrapText="false" indent="0" shrinkToFit="false"/>
      <protection locked="true" hidden="false"/>
    </xf>
    <xf numFmtId="164" fontId="0" fillId="2" borderId="6" xfId="0" applyFont="true" applyBorder="true" applyAlignment="true" applyProtection="false">
      <alignment horizontal="left" vertical="center" textRotation="0" wrapText="fals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9" fillId="5" borderId="14" xfId="0" applyFont="true" applyBorder="true" applyAlignment="true" applyProtection="false">
      <alignment horizontal="center" vertical="center" textRotation="0" wrapText="false" indent="0" shrinkToFit="false"/>
      <protection locked="true" hidden="false"/>
    </xf>
    <xf numFmtId="164" fontId="11" fillId="2" borderId="11" xfId="0" applyFont="true" applyBorder="true" applyAlignment="true" applyProtection="false">
      <alignment horizontal="general" vertical="center" textRotation="0" wrapText="false" indent="0" shrinkToFit="false"/>
      <protection locked="true" hidden="false"/>
    </xf>
    <xf numFmtId="164" fontId="11" fillId="2" borderId="17" xfId="0" applyFont="true" applyBorder="true" applyAlignment="true" applyProtection="false">
      <alignment horizontal="left" vertical="center" textRotation="0" wrapText="false" indent="0" shrinkToFit="false"/>
      <protection locked="true" hidden="false"/>
    </xf>
    <xf numFmtId="164" fontId="25" fillId="6" borderId="4" xfId="0" applyFont="true" applyBorder="true" applyAlignment="true" applyProtection="false">
      <alignment horizontal="center" vertical="center" textRotation="0" wrapText="false" indent="0" shrinkToFit="false"/>
      <protection locked="true" hidden="false"/>
    </xf>
    <xf numFmtId="164" fontId="26" fillId="2" borderId="31" xfId="0" applyFont="true" applyBorder="true" applyAlignment="true" applyProtection="false">
      <alignment horizontal="center" vertical="center" textRotation="0" wrapText="false" indent="0" shrinkToFit="false"/>
      <protection locked="true" hidden="false"/>
    </xf>
    <xf numFmtId="164" fontId="25" fillId="2" borderId="32" xfId="0" applyFont="true" applyBorder="true" applyAlignment="true" applyProtection="false">
      <alignment horizontal="general" vertical="center" textRotation="0" wrapText="false" indent="0" shrinkToFit="false"/>
      <protection locked="true" hidden="false"/>
    </xf>
    <xf numFmtId="165" fontId="25" fillId="2" borderId="33" xfId="0" applyFont="true" applyBorder="true" applyAlignment="true" applyProtection="false">
      <alignment horizontal="general" vertical="center" textRotation="0" wrapText="false" indent="0" shrinkToFit="false"/>
      <protection locked="true" hidden="false"/>
    </xf>
    <xf numFmtId="165" fontId="25" fillId="2" borderId="34" xfId="0" applyFont="true" applyBorder="true" applyAlignment="true" applyProtection="false">
      <alignment horizontal="left" vertical="center" textRotation="0" wrapText="false" indent="0" shrinkToFit="false"/>
      <protection locked="true" hidden="false"/>
    </xf>
    <xf numFmtId="164" fontId="25" fillId="2" borderId="9" xfId="0" applyFont="true" applyBorder="true" applyAlignment="true" applyProtection="false">
      <alignment horizontal="general" vertical="center" textRotation="0" wrapText="false" indent="0" shrinkToFit="false"/>
      <protection locked="true" hidden="false"/>
    </xf>
    <xf numFmtId="167" fontId="25" fillId="2" borderId="35" xfId="0" applyFont="true" applyBorder="true" applyAlignment="true" applyProtection="false">
      <alignment horizontal="general" vertical="center" textRotation="0" wrapText="false" indent="0" shrinkToFit="false"/>
      <protection locked="true" hidden="false"/>
    </xf>
    <xf numFmtId="165" fontId="25" fillId="2" borderId="10" xfId="0" applyFont="true" applyBorder="true" applyAlignment="true" applyProtection="false">
      <alignment horizontal="left" vertical="center" textRotation="0" wrapText="false" indent="0" shrinkToFit="false"/>
      <protection locked="true" hidden="false"/>
    </xf>
    <xf numFmtId="164" fontId="25" fillId="2" borderId="12" xfId="0" applyFont="true" applyBorder="true" applyAlignment="true" applyProtection="false">
      <alignment horizontal="general" vertical="center" textRotation="0" wrapText="false" indent="0" shrinkToFit="false"/>
      <protection locked="true" hidden="false"/>
    </xf>
    <xf numFmtId="167" fontId="25" fillId="2" borderId="26" xfId="0" applyFont="true" applyBorder="true" applyAlignment="true" applyProtection="false">
      <alignment horizontal="general" vertical="center" textRotation="0" wrapText="false" indent="0" shrinkToFit="false"/>
      <protection locked="true" hidden="false"/>
    </xf>
    <xf numFmtId="165" fontId="25" fillId="2" borderId="13" xfId="0" applyFont="true" applyBorder="true" applyAlignment="true" applyProtection="false">
      <alignment horizontal="left" vertical="center" textRotation="0" wrapText="false" indent="0" shrinkToFit="false"/>
      <protection locked="true" hidden="false"/>
    </xf>
    <xf numFmtId="164" fontId="25" fillId="2" borderId="32" xfId="0" applyFont="true" applyBorder="true" applyAlignment="true" applyProtection="false">
      <alignment horizontal="left" vertical="center" textRotation="0" wrapText="false" indent="0" shrinkToFit="false"/>
      <protection locked="true" hidden="false"/>
    </xf>
    <xf numFmtId="164" fontId="25" fillId="2" borderId="34" xfId="0" applyFont="true" applyBorder="true" applyAlignment="true" applyProtection="false">
      <alignment horizontal="left" vertical="center" textRotation="0" wrapText="false" indent="0" shrinkToFit="false"/>
      <protection locked="true" hidden="false"/>
    </xf>
    <xf numFmtId="165" fontId="25" fillId="2" borderId="35" xfId="0" applyFont="true" applyBorder="true" applyAlignment="true" applyProtection="false">
      <alignment horizontal="general" vertical="center" textRotation="0" wrapText="false" indent="0" shrinkToFit="false"/>
      <protection locked="true" hidden="false"/>
    </xf>
    <xf numFmtId="164" fontId="25" fillId="2" borderId="10" xfId="0" applyFont="true" applyBorder="true" applyAlignment="true" applyProtection="false">
      <alignment horizontal="general" vertical="center" textRotation="0" wrapText="false" indent="0" shrinkToFit="false"/>
      <protection locked="true" hidden="false"/>
    </xf>
    <xf numFmtId="164" fontId="25" fillId="2" borderId="10" xfId="0" applyFont="true" applyBorder="true" applyAlignment="true" applyProtection="false">
      <alignment horizontal="left" vertical="center" textRotation="0" wrapText="false" indent="0" shrinkToFit="false"/>
      <protection locked="true" hidden="false"/>
    </xf>
    <xf numFmtId="164" fontId="25" fillId="2" borderId="26" xfId="0" applyFont="true" applyBorder="true" applyAlignment="true" applyProtection="false">
      <alignment horizontal="general" vertical="center" textRotation="0" wrapText="false" indent="0" shrinkToFit="false"/>
      <protection locked="true" hidden="false"/>
    </xf>
    <xf numFmtId="165" fontId="25" fillId="2" borderId="35" xfId="0" applyFont="true" applyBorder="true" applyAlignment="true" applyProtection="false">
      <alignment horizontal="left" vertical="center" textRotation="0" wrapText="false" indent="0" shrinkToFit="false"/>
      <protection locked="true" hidden="false"/>
    </xf>
    <xf numFmtId="164" fontId="25" fillId="2" borderId="13" xfId="0" applyFont="true" applyBorder="true" applyAlignment="true" applyProtection="false">
      <alignment horizontal="general" vertical="center" textRotation="0" wrapText="false" indent="0" shrinkToFit="false"/>
      <protection locked="true" hidden="false"/>
    </xf>
    <xf numFmtId="164" fontId="25" fillId="2" borderId="36" xfId="0" applyFont="true" applyBorder="true" applyAlignment="true" applyProtection="false">
      <alignment horizontal="general" vertical="center" textRotation="0" wrapText="false" indent="0" shrinkToFit="false"/>
      <protection locked="true" hidden="false"/>
    </xf>
    <xf numFmtId="164" fontId="25" fillId="2" borderId="37" xfId="0" applyFont="true" applyBorder="true" applyAlignment="true" applyProtection="false">
      <alignment horizontal="general" vertical="center" textRotation="0" wrapText="false" indent="0" shrinkToFit="false"/>
      <protection locked="true" hidden="false"/>
    </xf>
    <xf numFmtId="164" fontId="25" fillId="2" borderId="38" xfId="0" applyFont="true" applyBorder="true" applyAlignment="true" applyProtection="false">
      <alignment horizontal="left" vertical="center" textRotation="0" wrapText="false" indent="0" shrinkToFit="false"/>
      <protection locked="true" hidden="false"/>
    </xf>
    <xf numFmtId="167" fontId="25" fillId="2" borderId="34" xfId="0" applyFont="true" applyBorder="true" applyAlignment="true" applyProtection="false">
      <alignment horizontal="left" vertical="center" textRotation="0" wrapText="false" indent="0" shrinkToFit="false"/>
      <protection locked="true" hidden="false"/>
    </xf>
    <xf numFmtId="164" fontId="25" fillId="2" borderId="34" xfId="0" applyFont="true" applyBorder="true" applyAlignment="true" applyProtection="false">
      <alignment horizontal="center" vertical="center" textRotation="0" wrapText="false" indent="0" shrinkToFit="false"/>
      <protection locked="true" hidden="false"/>
    </xf>
    <xf numFmtId="164" fontId="25" fillId="2" borderId="39" xfId="0" applyFont="true" applyBorder="true" applyAlignment="true" applyProtection="false">
      <alignment horizontal="general" vertical="center" textRotation="0" wrapText="false" indent="0" shrinkToFit="false"/>
      <protection locked="true" hidden="false"/>
    </xf>
    <xf numFmtId="165" fontId="25" fillId="2" borderId="19" xfId="0" applyFont="true" applyBorder="true" applyAlignment="true" applyProtection="false">
      <alignment horizontal="general" vertical="center" textRotation="0" wrapText="false" indent="0" shrinkToFit="false"/>
      <protection locked="true" hidden="false"/>
    </xf>
    <xf numFmtId="165" fontId="25" fillId="2" borderId="20" xfId="0" applyFont="true" applyBorder="true" applyAlignment="true" applyProtection="false">
      <alignment horizontal="left" vertical="center" textRotation="0" wrapText="false" indent="0" shrinkToFit="false"/>
      <protection locked="true" hidden="false"/>
    </xf>
    <xf numFmtId="167" fontId="25" fillId="2" borderId="33" xfId="0" applyFont="true" applyBorder="true" applyAlignment="true" applyProtection="false">
      <alignment horizontal="general" vertical="center" textRotation="0" wrapText="false" indent="0" shrinkToFit="false"/>
      <protection locked="true" hidden="false"/>
    </xf>
    <xf numFmtId="164" fontId="25" fillId="2" borderId="34" xfId="0" applyFont="true" applyBorder="true" applyAlignment="true" applyProtection="false">
      <alignment horizontal="general" vertical="center" textRotation="0" wrapText="false" indent="0" shrinkToFit="false"/>
      <protection locked="true" hidden="false"/>
    </xf>
    <xf numFmtId="164" fontId="25" fillId="2" borderId="13" xfId="0" applyFont="true" applyBorder="true" applyAlignment="true" applyProtection="false">
      <alignment horizontal="center" vertical="center" textRotation="0" wrapText="false" indent="0" shrinkToFit="false"/>
      <protection locked="true" hidden="false"/>
    </xf>
    <xf numFmtId="168" fontId="25" fillId="2" borderId="26" xfId="0" applyFont="true" applyBorder="true" applyAlignment="true" applyProtection="false">
      <alignment horizontal="general" vertical="center" textRotation="0" wrapText="false" indent="0" shrinkToFit="false"/>
      <protection locked="true" hidden="false"/>
    </xf>
    <xf numFmtId="165" fontId="25" fillId="2" borderId="40" xfId="0" applyFont="true" applyBorder="true" applyAlignment="true" applyProtection="false">
      <alignment horizontal="general" vertical="center" textRotation="0" wrapText="false" indent="0" shrinkToFit="false"/>
      <protection locked="true" hidden="false"/>
    </xf>
    <xf numFmtId="165" fontId="25" fillId="2" borderId="40" xfId="0" applyFont="true" applyBorder="true" applyAlignment="true" applyProtection="false">
      <alignment horizontal="left" vertical="center" textRotation="0" wrapText="false" indent="0" shrinkToFit="false"/>
      <protection locked="true" hidden="false"/>
    </xf>
    <xf numFmtId="164" fontId="26" fillId="2" borderId="18" xfId="0" applyFont="true" applyBorder="true" applyAlignment="true" applyProtection="false">
      <alignment horizontal="center" vertical="center" textRotation="0" wrapText="false" indent="0" shrinkToFit="false"/>
      <protection locked="true" hidden="false"/>
    </xf>
    <xf numFmtId="164" fontId="29" fillId="2" borderId="33" xfId="0" applyFont="true" applyBorder="true" applyAlignment="true" applyProtection="false">
      <alignment horizontal="general" vertical="center" textRotation="0" wrapText="false" indent="0" shrinkToFit="false"/>
      <protection locked="true" hidden="false"/>
    </xf>
    <xf numFmtId="164" fontId="25" fillId="2" borderId="33" xfId="0" applyFont="true" applyBorder="true" applyAlignment="true" applyProtection="false">
      <alignment horizontal="right" vertical="center" textRotation="0" wrapText="false" indent="0" shrinkToFit="false"/>
      <protection locked="true" hidden="false"/>
    </xf>
    <xf numFmtId="164" fontId="29" fillId="2" borderId="36" xfId="0" applyFont="true" applyBorder="true" applyAlignment="true" applyProtection="false">
      <alignment horizontal="general" vertical="center" textRotation="0" wrapText="false" indent="0" shrinkToFit="false"/>
      <protection locked="true" hidden="false"/>
    </xf>
    <xf numFmtId="164" fontId="30" fillId="2" borderId="41" xfId="0" applyFont="true" applyBorder="true" applyAlignment="true" applyProtection="false">
      <alignment horizontal="center" vertical="center" textRotation="0" wrapText="true" indent="0" shrinkToFit="false"/>
      <protection locked="true" hidden="false"/>
    </xf>
    <xf numFmtId="164" fontId="25" fillId="2" borderId="26" xfId="0" applyFont="true" applyBorder="true" applyAlignment="true" applyProtection="false">
      <alignment horizontal="right" vertical="center" textRotation="0" wrapText="false" indent="0" shrinkToFit="false"/>
      <protection locked="true" hidden="false"/>
    </xf>
    <xf numFmtId="164" fontId="25" fillId="2" borderId="42" xfId="0" applyFont="true" applyBorder="true" applyAlignment="true" applyProtection="false">
      <alignment horizontal="general" vertical="center" textRotation="0" wrapText="false" indent="0" shrinkToFit="false"/>
      <protection locked="true" hidden="false"/>
    </xf>
    <xf numFmtId="164" fontId="25" fillId="2" borderId="20" xfId="0" applyFont="true" applyBorder="true" applyAlignment="true" applyProtection="false">
      <alignment horizontal="general" vertical="center" textRotation="0" wrapText="false" indent="0" shrinkToFit="false"/>
      <protection locked="true" hidden="false"/>
    </xf>
    <xf numFmtId="164" fontId="25" fillId="2" borderId="0" xfId="0" applyFont="true" applyBorder="true" applyAlignment="true" applyProtection="false">
      <alignment horizontal="general" vertical="center" textRotation="0" wrapText="false" indent="0" shrinkToFit="false"/>
      <protection locked="true" hidden="false"/>
    </xf>
    <xf numFmtId="167" fontId="25" fillId="2" borderId="9" xfId="0" applyFont="true" applyBorder="true" applyAlignment="true" applyProtection="false">
      <alignment horizontal="general" vertical="center" textRotation="0" wrapText="false" indent="0" shrinkToFit="false"/>
      <protection locked="true" hidden="false"/>
    </xf>
    <xf numFmtId="164" fontId="31" fillId="3" borderId="0" xfId="0" applyFont="true" applyBorder="true" applyAlignment="true" applyProtection="false">
      <alignment horizontal="center" vertical="center" textRotation="0" wrapText="false" indent="0" shrinkToFit="false"/>
      <protection locked="true" hidden="false"/>
    </xf>
    <xf numFmtId="164" fontId="32" fillId="2" borderId="0" xfId="0" applyFont="true" applyBorder="true" applyAlignment="true" applyProtection="false">
      <alignment horizontal="center" vertical="center" textRotation="0" wrapText="true" indent="0" shrinkToFit="false"/>
      <protection locked="true" hidden="false"/>
    </xf>
    <xf numFmtId="164" fontId="33" fillId="3" borderId="14" xfId="0" applyFont="true" applyBorder="true" applyAlignment="true" applyProtection="false">
      <alignment horizontal="center" vertical="center" textRotation="0" wrapText="false" indent="0" shrinkToFit="false"/>
      <protection locked="true" hidden="false"/>
    </xf>
    <xf numFmtId="164" fontId="13" fillId="7" borderId="8" xfId="0" applyFont="true" applyBorder="true" applyAlignment="true" applyProtection="false">
      <alignment horizontal="general" vertical="center" textRotation="0" wrapText="false" indent="0" shrinkToFit="false"/>
      <protection locked="true" hidden="false"/>
    </xf>
    <xf numFmtId="164" fontId="13" fillId="7" borderId="6" xfId="0" applyFont="true" applyBorder="true" applyAlignment="true" applyProtection="false">
      <alignment horizontal="center" vertical="center" textRotation="0" wrapText="false" indent="0" shrinkToFit="false"/>
      <protection locked="true" hidden="false"/>
    </xf>
    <xf numFmtId="165" fontId="13" fillId="7" borderId="6" xfId="0" applyFont="true" applyBorder="true" applyAlignment="true" applyProtection="false">
      <alignment horizontal="center" vertical="center" textRotation="0" wrapText="false" indent="0" shrinkToFit="false"/>
      <protection locked="true" hidden="false"/>
    </xf>
    <xf numFmtId="164" fontId="19" fillId="4" borderId="7" xfId="0" applyFont="true" applyBorder="true" applyAlignment="true" applyProtection="false">
      <alignment horizontal="center" vertical="center" textRotation="0" wrapText="true" indent="0" shrinkToFit="false"/>
      <protection locked="true" hidden="false"/>
    </xf>
    <xf numFmtId="165" fontId="13" fillId="7" borderId="6" xfId="0" applyFont="true" applyBorder="true" applyAlignment="true" applyProtection="false">
      <alignment horizontal="general" vertical="center" textRotation="0" wrapText="false" indent="0" shrinkToFit="false"/>
      <protection locked="true" hidden="false"/>
    </xf>
    <xf numFmtId="164" fontId="4" fillId="2" borderId="43" xfId="0" applyFont="true" applyBorder="true" applyAlignment="true" applyProtection="false">
      <alignment horizontal="general" vertical="center" textRotation="0" wrapText="false" indent="0" shrinkToFit="false"/>
      <protection locked="true" hidden="false"/>
    </xf>
    <xf numFmtId="164" fontId="4" fillId="2" borderId="44" xfId="0" applyFont="true" applyBorder="true" applyAlignment="true" applyProtection="false">
      <alignment horizontal="center" vertical="center" textRotation="0" wrapText="false" indent="0" shrinkToFit="false"/>
      <protection locked="true" hidden="false"/>
    </xf>
    <xf numFmtId="167" fontId="4" fillId="2" borderId="45" xfId="0" applyFont="true" applyBorder="true" applyAlignment="true" applyProtection="false">
      <alignment horizontal="general" vertical="center" textRotation="0" wrapText="false" indent="0" shrinkToFit="false"/>
      <protection locked="true" hidden="false"/>
    </xf>
    <xf numFmtId="164" fontId="4" fillId="2" borderId="46" xfId="0" applyFont="true" applyBorder="true" applyAlignment="true" applyProtection="false">
      <alignment horizontal="left" vertical="center" textRotation="0" wrapText="false" indent="0" shrinkToFit="false"/>
      <protection locked="true" hidden="false"/>
    </xf>
    <xf numFmtId="164" fontId="4" fillId="2" borderId="47" xfId="0" applyFont="true" applyBorder="true" applyAlignment="true" applyProtection="false">
      <alignment horizontal="center" vertical="center" textRotation="0" wrapText="false" indent="0" shrinkToFit="false"/>
      <protection locked="true" hidden="false"/>
    </xf>
    <xf numFmtId="167" fontId="4" fillId="2" borderId="6" xfId="0" applyFont="true" applyBorder="true" applyAlignment="true" applyProtection="false">
      <alignment horizontal="general" vertical="center" textRotation="0" wrapText="false" indent="0" shrinkToFit="false"/>
      <protection locked="true" hidden="false"/>
    </xf>
    <xf numFmtId="164" fontId="4" fillId="2" borderId="7" xfId="0" applyFont="true" applyBorder="true" applyAlignment="true" applyProtection="false">
      <alignment horizontal="left" vertical="center" textRotation="0" wrapText="false" indent="0" shrinkToFit="false"/>
      <protection locked="true" hidden="false"/>
    </xf>
    <xf numFmtId="164" fontId="4" fillId="2" borderId="42" xfId="0" applyFont="true" applyBorder="true" applyAlignment="true" applyProtection="false">
      <alignment horizontal="center" vertical="center" textRotation="0" wrapText="false" indent="0" shrinkToFit="false"/>
      <protection locked="true" hidden="false"/>
    </xf>
    <xf numFmtId="167" fontId="4" fillId="2" borderId="16" xfId="0" applyFont="true" applyBorder="true" applyAlignment="true" applyProtection="false">
      <alignment horizontal="right" vertical="center" textRotation="0" wrapText="false" indent="0" shrinkToFit="false"/>
      <protection locked="true" hidden="false"/>
    </xf>
    <xf numFmtId="164" fontId="13" fillId="7" borderId="8" xfId="0" applyFont="true" applyBorder="true" applyAlignment="true" applyProtection="false">
      <alignment horizontal="left" vertical="center" textRotation="0" wrapText="true" indent="0" shrinkToFit="false"/>
      <protection locked="true" hidden="false"/>
    </xf>
    <xf numFmtId="164" fontId="13" fillId="7" borderId="6" xfId="0" applyFont="true" applyBorder="true" applyAlignment="true" applyProtection="false">
      <alignment horizontal="center" vertical="center" textRotation="0" wrapText="true" indent="0" shrinkToFit="false"/>
      <protection locked="true" hidden="false"/>
    </xf>
    <xf numFmtId="165" fontId="13" fillId="7" borderId="6" xfId="0" applyFont="true" applyBorder="true" applyAlignment="true" applyProtection="false">
      <alignment horizontal="right" vertical="center" textRotation="0" wrapText="false" indent="0" shrinkToFit="false"/>
      <protection locked="true" hidden="false"/>
    </xf>
    <xf numFmtId="164" fontId="13" fillId="7" borderId="6" xfId="0" applyFont="true" applyBorder="true" applyAlignment="true" applyProtection="false">
      <alignment horizontal="left" vertical="center" textRotation="0" wrapText="false" indent="0" shrinkToFit="false"/>
      <protection locked="true" hidden="false"/>
    </xf>
    <xf numFmtId="164" fontId="13" fillId="7" borderId="47" xfId="0" applyFont="true" applyBorder="true" applyAlignment="true" applyProtection="false">
      <alignment horizontal="left" vertical="center" textRotation="0" wrapText="true" indent="0" shrinkToFit="false"/>
      <protection locked="true" hidden="false"/>
    </xf>
    <xf numFmtId="164" fontId="13" fillId="7" borderId="44" xfId="0" applyFont="true" applyBorder="true" applyAlignment="true" applyProtection="false">
      <alignment horizontal="left" vertical="center" textRotation="0" wrapText="true" indent="0" shrinkToFit="false"/>
      <protection locked="true" hidden="false"/>
    </xf>
    <xf numFmtId="164" fontId="13" fillId="7" borderId="44" xfId="0" applyFont="true" applyBorder="true" applyAlignment="true" applyProtection="false">
      <alignment horizontal="center" vertical="center" textRotation="0" wrapText="false" indent="0" shrinkToFit="false"/>
      <protection locked="true" hidden="false"/>
    </xf>
    <xf numFmtId="165" fontId="13" fillId="7" borderId="45" xfId="0" applyFont="true" applyBorder="true" applyAlignment="true" applyProtection="false">
      <alignment horizontal="right" vertical="center" textRotation="0" wrapText="false" indent="0" shrinkToFit="false"/>
      <protection locked="true" hidden="false"/>
    </xf>
    <xf numFmtId="164" fontId="13" fillId="7" borderId="45" xfId="0" applyFont="true" applyBorder="true" applyAlignment="true" applyProtection="false">
      <alignment horizontal="left" vertical="center" textRotation="0" wrapText="false" indent="0" shrinkToFit="false"/>
      <protection locked="true" hidden="false"/>
    </xf>
    <xf numFmtId="167" fontId="4" fillId="2" borderId="16" xfId="0" applyFont="true" applyBorder="true" applyAlignment="true" applyProtection="false">
      <alignment horizontal="general" vertical="center" textRotation="0" wrapText="false" indent="0" shrinkToFit="false"/>
      <protection locked="true" hidden="false"/>
    </xf>
    <xf numFmtId="164" fontId="4" fillId="2" borderId="33" xfId="0" applyFont="true" applyBorder="true" applyAlignment="true" applyProtection="false">
      <alignment horizontal="center" vertical="center" textRotation="0" wrapText="false" indent="0" shrinkToFit="false"/>
      <protection locked="true" hidden="false"/>
    </xf>
    <xf numFmtId="164" fontId="33" fillId="3" borderId="28" xfId="0" applyFont="true" applyBorder="true" applyAlignment="true" applyProtection="false">
      <alignment horizontal="center" vertical="center" textRotation="0" wrapText="false" indent="0" shrinkToFit="false"/>
      <protection locked="true" hidden="false"/>
    </xf>
    <xf numFmtId="164" fontId="4" fillId="2" borderId="48" xfId="0" applyFont="true" applyBorder="true" applyAlignment="true" applyProtection="false">
      <alignment horizontal="center" vertical="center" textRotation="0" wrapText="false" indent="0" shrinkToFit="false"/>
      <protection locked="true" hidden="false"/>
    </xf>
    <xf numFmtId="164" fontId="34" fillId="3" borderId="14" xfId="0" applyFont="true" applyBorder="true" applyAlignment="true" applyProtection="false">
      <alignment horizontal="left" vertical="center" textRotation="0" wrapText="false" indent="0" shrinkToFit="false"/>
      <protection locked="true" hidden="false"/>
    </xf>
    <xf numFmtId="164" fontId="4" fillId="2" borderId="49" xfId="0" applyFont="true" applyBorder="true" applyAlignment="true" applyProtection="false">
      <alignment horizontal="center" vertical="center" textRotation="0" wrapText="false" indent="0" shrinkToFit="false"/>
      <protection locked="true" hidden="false"/>
    </xf>
    <xf numFmtId="166" fontId="4" fillId="2" borderId="28" xfId="0" applyFont="true" applyBorder="true" applyAlignment="true" applyProtection="false">
      <alignment horizontal="general" vertical="center" textRotation="0" wrapText="false" indent="0" shrinkToFit="false"/>
      <protection locked="true" hidden="false"/>
    </xf>
    <xf numFmtId="164" fontId="19" fillId="7" borderId="8" xfId="0" applyFont="true" applyBorder="true" applyAlignment="true" applyProtection="false">
      <alignment horizontal="general" vertical="center" textRotation="0" wrapText="false" indent="0" shrinkToFit="false"/>
      <protection locked="true" hidden="false"/>
    </xf>
    <xf numFmtId="164" fontId="4" fillId="7" borderId="47" xfId="0" applyFont="true" applyBorder="true" applyAlignment="true" applyProtection="false">
      <alignment horizontal="center" vertical="center" textRotation="0" wrapText="false" indent="0" shrinkToFit="false"/>
      <protection locked="true" hidden="false"/>
    </xf>
    <xf numFmtId="167" fontId="4" fillId="7" borderId="6" xfId="0" applyFont="true" applyBorder="true" applyAlignment="true" applyProtection="false">
      <alignment horizontal="general" vertical="center" textRotation="0" wrapText="false" indent="0" shrinkToFit="false"/>
      <protection locked="true" hidden="false"/>
    </xf>
    <xf numFmtId="164" fontId="4" fillId="7" borderId="9" xfId="0" applyFont="true" applyBorder="true" applyAlignment="true" applyProtection="false">
      <alignment horizontal="general" vertical="center" textRotation="0" wrapText="false" indent="0" shrinkToFit="false"/>
      <protection locked="true" hidden="false"/>
    </xf>
    <xf numFmtId="164" fontId="19" fillId="4" borderId="10" xfId="0" applyFont="true" applyBorder="true" applyAlignment="true" applyProtection="false">
      <alignment horizontal="general" vertical="center" textRotation="0" wrapText="true" indent="0" shrinkToFit="false"/>
      <protection locked="true" hidden="false"/>
    </xf>
    <xf numFmtId="165" fontId="4" fillId="2" borderId="16" xfId="0" applyFont="true" applyBorder="true" applyAlignment="true" applyProtection="false">
      <alignment horizontal="general" vertical="center" textRotation="0" wrapText="false" indent="0" shrinkToFit="false"/>
      <protection locked="true" hidden="false"/>
    </xf>
    <xf numFmtId="164" fontId="4" fillId="2" borderId="40" xfId="0" applyFont="true" applyBorder="true" applyAlignment="true" applyProtection="false">
      <alignment horizontal="center" vertical="center" textRotation="0" wrapText="false" indent="0" shrinkToFit="false"/>
      <protection locked="true" hidden="false"/>
    </xf>
    <xf numFmtId="164" fontId="13" fillId="2" borderId="50" xfId="0" applyFont="true" applyBorder="true" applyAlignment="true" applyProtection="false">
      <alignment horizontal="left" vertical="center" textRotation="0" wrapText="false" indent="0" shrinkToFit="false"/>
      <protection locked="true" hidden="false"/>
    </xf>
    <xf numFmtId="164" fontId="13" fillId="2" borderId="51" xfId="0" applyFont="true" applyBorder="true" applyAlignment="true" applyProtection="false">
      <alignment horizontal="center" vertical="center" textRotation="0" wrapText="false" indent="0" shrinkToFit="false"/>
      <protection locked="true" hidden="false"/>
    </xf>
    <xf numFmtId="165" fontId="13" fillId="2" borderId="52" xfId="0" applyFont="true" applyBorder="true" applyAlignment="true" applyProtection="false">
      <alignment horizontal="right" vertical="center" textRotation="0" wrapText="false" indent="0" shrinkToFit="false"/>
      <protection locked="true" hidden="false"/>
    </xf>
    <xf numFmtId="165" fontId="13" fillId="2" borderId="7" xfId="0" applyFont="true" applyBorder="true" applyAlignment="true" applyProtection="false">
      <alignment horizontal="left" vertical="center" textRotation="0" wrapText="false" indent="0" shrinkToFit="false"/>
      <protection locked="true" hidden="false"/>
    </xf>
    <xf numFmtId="164" fontId="4" fillId="2" borderId="16"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7" fontId="4"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left" vertical="center" textRotation="0" wrapText="false" indent="0" shrinkToFit="false"/>
      <protection locked="true" hidden="false"/>
    </xf>
    <xf numFmtId="167" fontId="4" fillId="2" borderId="6" xfId="0" applyFont="true" applyBorder="true" applyAlignment="true" applyProtection="false">
      <alignment horizontal="right" vertical="center" textRotation="0" wrapText="false" indent="0" shrinkToFit="false"/>
      <protection locked="true" hidden="false"/>
    </xf>
    <xf numFmtId="164" fontId="4" fillId="7" borderId="8" xfId="0" applyFont="true" applyBorder="true" applyAlignment="true" applyProtection="false">
      <alignment horizontal="general" vertical="center" textRotation="0" wrapText="false" indent="0" shrinkToFit="false"/>
      <protection locked="true" hidden="false"/>
    </xf>
    <xf numFmtId="164" fontId="4" fillId="7" borderId="6" xfId="0" applyFont="true" applyBorder="true" applyAlignment="true" applyProtection="false">
      <alignment horizontal="center" vertical="center" textRotation="0" wrapText="false" indent="0" shrinkToFit="false"/>
      <protection locked="true" hidden="false"/>
    </xf>
    <xf numFmtId="164" fontId="4" fillId="7" borderId="9" xfId="0" applyFont="true" applyBorder="true" applyAlignment="true" applyProtection="false">
      <alignment horizontal="left" vertical="center" textRotation="0" wrapText="false" indent="0" shrinkToFit="false"/>
      <protection locked="true" hidden="false"/>
    </xf>
    <xf numFmtId="164" fontId="34" fillId="3" borderId="1" xfId="0" applyFont="true" applyBorder="true" applyAlignment="true" applyProtection="false">
      <alignment horizontal="left" vertical="center" textRotation="0" wrapText="false" indent="0" shrinkToFit="false"/>
      <protection locked="true" hidden="false"/>
    </xf>
    <xf numFmtId="164" fontId="4" fillId="7" borderId="27" xfId="0" applyFont="true" applyBorder="true" applyAlignment="true" applyProtection="false">
      <alignment horizontal="general" vertical="center" textRotation="0" wrapText="false" indent="0" shrinkToFit="false"/>
      <protection locked="true" hidden="false"/>
    </xf>
    <xf numFmtId="164" fontId="4" fillId="7" borderId="49" xfId="0" applyFont="true" applyBorder="true" applyAlignment="true" applyProtection="false">
      <alignment horizontal="center" vertical="center" textRotation="0" wrapText="false" indent="0" shrinkToFit="false"/>
      <protection locked="true" hidden="false"/>
    </xf>
    <xf numFmtId="167" fontId="4" fillId="7" borderId="28" xfId="0" applyFont="true" applyBorder="true" applyAlignment="true" applyProtection="false">
      <alignment horizontal="general" vertical="center" textRotation="0" wrapText="false" indent="0" shrinkToFit="false"/>
      <protection locked="true" hidden="false"/>
    </xf>
    <xf numFmtId="164" fontId="19" fillId="4" borderId="25" xfId="0" applyFont="true" applyBorder="true" applyAlignment="true" applyProtection="false">
      <alignment horizontal="general" vertical="center" textRotation="0" wrapText="true" indent="0" shrinkToFit="false"/>
      <protection locked="true" hidden="false"/>
    </xf>
    <xf numFmtId="167" fontId="13" fillId="2" borderId="6" xfId="0" applyFont="true" applyBorder="true" applyAlignment="true" applyProtection="false">
      <alignment horizontal="general" vertical="center" textRotation="0" wrapText="false" indent="0" shrinkToFit="false"/>
      <protection locked="true" hidden="false"/>
    </xf>
    <xf numFmtId="164" fontId="18" fillId="2" borderId="10"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center" vertical="center" textRotation="0" wrapText="true" indent="0" shrinkToFit="false"/>
      <protection locked="true" hidden="false"/>
    </xf>
    <xf numFmtId="169" fontId="4" fillId="2" borderId="6" xfId="0" applyFont="true" applyBorder="true" applyAlignment="true" applyProtection="false">
      <alignment horizontal="general" vertical="center" textRotation="0" wrapText="false" indent="0" shrinkToFit="false"/>
      <protection locked="true" hidden="false"/>
    </xf>
    <xf numFmtId="164" fontId="4" fillId="2" borderId="29" xfId="0" applyFont="true" applyBorder="true" applyAlignment="true" applyProtection="false">
      <alignment horizontal="center" vertical="center" textRotation="0" wrapText="false" indent="0" shrinkToFit="false"/>
      <protection locked="true" hidden="false"/>
    </xf>
    <xf numFmtId="164" fontId="19" fillId="7" borderId="27" xfId="0" applyFont="true" applyBorder="true" applyAlignment="true" applyProtection="false">
      <alignment horizontal="general" vertical="center" textRotation="0" wrapText="false" indent="0" shrinkToFit="false"/>
      <protection locked="true" hidden="false"/>
    </xf>
    <xf numFmtId="167" fontId="4" fillId="7" borderId="30" xfId="0" applyFont="true" applyBorder="true" applyAlignment="true" applyProtection="false">
      <alignment horizontal="general" vertical="center" textRotation="0" wrapText="false" indent="0" shrinkToFit="false"/>
      <protection locked="true" hidden="false"/>
    </xf>
    <xf numFmtId="164" fontId="4" fillId="2" borderId="46" xfId="0" applyFont="true" applyBorder="true" applyAlignment="true" applyProtection="false">
      <alignment horizontal="center" vertical="center" textRotation="0" wrapText="false" indent="0" shrinkToFit="false"/>
      <protection locked="true" hidden="false"/>
    </xf>
    <xf numFmtId="164" fontId="13" fillId="2" borderId="6" xfId="0" applyFont="true" applyBorder="true" applyAlignment="true" applyProtection="false">
      <alignment horizontal="center" vertical="center" textRotation="0" wrapText="false" indent="0" shrinkToFit="false"/>
      <protection locked="true" hidden="false"/>
    </xf>
    <xf numFmtId="164" fontId="13" fillId="2" borderId="6" xfId="0" applyFont="true" applyBorder="true" applyAlignment="true" applyProtection="false">
      <alignment horizontal="right" vertical="center" textRotation="0" wrapText="false" indent="0" shrinkToFit="false"/>
      <protection locked="true" hidden="false"/>
    </xf>
    <xf numFmtId="164" fontId="13" fillId="2" borderId="24" xfId="0" applyFont="true" applyBorder="true" applyAlignment="true" applyProtection="false">
      <alignment horizontal="general" vertical="center" textRotation="0" wrapText="false" indent="0" shrinkToFit="false"/>
      <protection locked="true" hidden="false"/>
    </xf>
    <xf numFmtId="164" fontId="13" fillId="2" borderId="15" xfId="0" applyFont="true" applyBorder="true" applyAlignment="true" applyProtection="false">
      <alignment horizontal="general" vertical="center" textRotation="0" wrapText="false" indent="0" shrinkToFit="false"/>
      <protection locked="true" hidden="false"/>
    </xf>
    <xf numFmtId="164" fontId="13" fillId="2" borderId="9" xfId="0" applyFont="true" applyBorder="true" applyAlignment="true" applyProtection="false">
      <alignment horizontal="general" vertical="center" textRotation="0" wrapText="false" indent="0" shrinkToFit="false"/>
      <protection locked="true" hidden="false"/>
    </xf>
    <xf numFmtId="164" fontId="13" fillId="2" borderId="10" xfId="0" applyFont="true" applyBorder="true" applyAlignment="true" applyProtection="false">
      <alignment horizontal="general" vertical="center" textRotation="0" wrapText="false" indent="0" shrinkToFit="false"/>
      <protection locked="true" hidden="false"/>
    </xf>
    <xf numFmtId="167" fontId="13" fillId="2" borderId="6" xfId="0" applyFont="true" applyBorder="true" applyAlignment="true" applyProtection="false">
      <alignment horizontal="right" vertical="center" textRotation="0" wrapText="false" indent="0" shrinkToFit="false"/>
      <protection locked="true" hidden="false"/>
    </xf>
    <xf numFmtId="164" fontId="4" fillId="2" borderId="10" xfId="0" applyFont="true" applyBorder="true" applyAlignment="true" applyProtection="false">
      <alignment horizontal="general" vertical="center" textRotation="0" wrapText="false" indent="0" shrinkToFit="false"/>
      <protection locked="true" hidden="false"/>
    </xf>
    <xf numFmtId="164" fontId="19" fillId="2" borderId="6" xfId="0" applyFont="true" applyBorder="true" applyAlignment="true" applyProtection="false">
      <alignment horizontal="center" vertical="center" textRotation="0" wrapText="false" indent="0" shrinkToFit="false"/>
      <protection locked="true" hidden="false"/>
    </xf>
    <xf numFmtId="167" fontId="19" fillId="2" borderId="6" xfId="0" applyFont="true" applyBorder="true" applyAlignment="true" applyProtection="false">
      <alignment horizontal="general" vertical="center" textRotation="0" wrapText="false" indent="0" shrinkToFit="false"/>
      <protection locked="true" hidden="false"/>
    </xf>
    <xf numFmtId="164" fontId="19" fillId="2" borderId="7" xfId="0" applyFont="true" applyBorder="true" applyAlignment="true" applyProtection="false">
      <alignment horizontal="left" vertical="center" textRotation="0" wrapText="false" indent="0" shrinkToFit="false"/>
      <protection locked="true" hidden="false"/>
    </xf>
    <xf numFmtId="164" fontId="19" fillId="2" borderId="9" xfId="0" applyFont="true" applyBorder="true" applyAlignment="true" applyProtection="false">
      <alignment horizontal="left" vertical="center" textRotation="0" wrapText="false" indent="0" shrinkToFit="false"/>
      <protection locked="true" hidden="false"/>
    </xf>
    <xf numFmtId="164" fontId="19" fillId="2" borderId="10" xfId="0" applyFont="true" applyBorder="true" applyAlignment="true" applyProtection="false">
      <alignment horizontal="left" vertical="center" textRotation="0" wrapText="false" indent="0" shrinkToFit="false"/>
      <protection locked="true" hidden="false"/>
    </xf>
    <xf numFmtId="164" fontId="4" fillId="2" borderId="8" xfId="0" applyFont="true" applyBorder="true" applyAlignment="true" applyProtection="false">
      <alignment horizontal="left" vertical="center" textRotation="0" wrapText="false" indent="0" shrinkToFit="false"/>
      <protection locked="true" hidden="false"/>
    </xf>
    <xf numFmtId="164" fontId="25" fillId="0" borderId="6" xfId="0" applyFont="true" applyBorder="true" applyAlignment="true" applyProtection="false">
      <alignment horizontal="left" vertical="center" textRotation="0" wrapText="false" indent="0" shrinkToFit="false"/>
      <protection locked="true" hidden="false"/>
    </xf>
    <xf numFmtId="164" fontId="25" fillId="0" borderId="6" xfId="0" applyFont="true" applyBorder="true" applyAlignment="true" applyProtection="false">
      <alignment horizontal="center" vertical="center" textRotation="0" wrapText="false" indent="0" shrinkToFit="false"/>
      <protection locked="true" hidden="false"/>
    </xf>
    <xf numFmtId="164" fontId="19" fillId="2" borderId="9" xfId="0" applyFont="true" applyBorder="true" applyAlignment="true" applyProtection="false">
      <alignment horizontal="general" vertical="center" textRotation="0" wrapText="false" indent="0" shrinkToFit="false"/>
      <protection locked="true" hidden="false"/>
    </xf>
    <xf numFmtId="165" fontId="19" fillId="2" borderId="10" xfId="0" applyFont="true" applyBorder="true" applyAlignment="true" applyProtection="false">
      <alignment horizontal="general" vertical="center" textRotation="0" wrapText="false" indent="0" shrinkToFit="false"/>
      <protection locked="true" hidden="false"/>
    </xf>
    <xf numFmtId="165" fontId="19" fillId="2" borderId="10" xfId="0" applyFont="true" applyBorder="true" applyAlignment="true" applyProtection="false">
      <alignment horizontal="general" vertical="center" textRotation="0" wrapText="true" indent="0" shrinkToFit="false"/>
      <protection locked="true" hidden="false"/>
    </xf>
    <xf numFmtId="164" fontId="4" fillId="2" borderId="27" xfId="0" applyFont="true" applyBorder="true" applyAlignment="true" applyProtection="false">
      <alignment horizontal="general" vertical="center" textRotation="0" wrapText="true" indent="0" shrinkToFit="false"/>
      <protection locked="true" hidden="false"/>
    </xf>
    <xf numFmtId="164" fontId="4" fillId="2" borderId="28" xfId="0" applyFont="true" applyBorder="true" applyAlignment="true" applyProtection="false">
      <alignment horizontal="center" vertical="center" textRotation="0" wrapText="false" indent="0" shrinkToFit="false"/>
      <protection locked="true" hidden="false"/>
    </xf>
    <xf numFmtId="167" fontId="4" fillId="2" borderId="28" xfId="0" applyFont="true" applyBorder="true" applyAlignment="true" applyProtection="false">
      <alignment horizontal="general" vertical="center" textRotation="0" wrapText="false" indent="0" shrinkToFit="false"/>
      <protection locked="true" hidden="false"/>
    </xf>
    <xf numFmtId="164" fontId="4" fillId="2" borderId="53" xfId="0" applyFont="true" applyBorder="true" applyAlignment="true" applyProtection="false">
      <alignment horizontal="left" vertical="center" textRotation="0" wrapText="false" indent="0" shrinkToFit="false"/>
      <protection locked="true" hidden="false"/>
    </xf>
    <xf numFmtId="164" fontId="4" fillId="2" borderId="25" xfId="0" applyFont="true" applyBorder="true" applyAlignment="true" applyProtection="false">
      <alignment horizontal="center" vertical="center" textRotation="0" wrapText="false" indent="0" shrinkToFit="false"/>
      <protection locked="true" hidden="false"/>
    </xf>
    <xf numFmtId="164" fontId="4" fillId="2" borderId="35" xfId="0" applyFont="true" applyBorder="true" applyAlignment="true" applyProtection="false">
      <alignment horizontal="general" vertical="center" textRotation="0" wrapText="false" indent="0" shrinkToFit="false"/>
      <protection locked="true" hidden="false"/>
    </xf>
    <xf numFmtId="165" fontId="17" fillId="2" borderId="10" xfId="0" applyFont="true" applyBorder="true" applyAlignment="true" applyProtection="false">
      <alignment horizontal="general" vertical="center" textRotation="0" wrapText="false" indent="0" shrinkToFit="false"/>
      <protection locked="true" hidden="false"/>
    </xf>
    <xf numFmtId="164" fontId="19" fillId="2" borderId="54" xfId="0" applyFont="true" applyBorder="true" applyAlignment="true" applyProtection="false">
      <alignment horizontal="general" vertical="center" textRotation="0" wrapText="false" indent="0" shrinkToFit="false"/>
      <protection locked="true" hidden="false"/>
    </xf>
    <xf numFmtId="164" fontId="19" fillId="2" borderId="55" xfId="0" applyFont="true" applyBorder="true" applyAlignment="true" applyProtection="false">
      <alignment horizontal="center" vertical="center" textRotation="0" wrapText="false" indent="0" shrinkToFit="false"/>
      <protection locked="true" hidden="false"/>
    </xf>
    <xf numFmtId="167" fontId="19" fillId="2" borderId="55" xfId="0" applyFont="true" applyBorder="true" applyAlignment="true" applyProtection="false">
      <alignment horizontal="general" vertical="center" textRotation="0" wrapText="false" indent="0" shrinkToFit="false"/>
      <protection locked="true" hidden="false"/>
    </xf>
    <xf numFmtId="164" fontId="19" fillId="2" borderId="56" xfId="0" applyFont="true" applyBorder="true" applyAlignment="true" applyProtection="false">
      <alignment horizontal="left" vertical="center" textRotation="0" wrapText="false" indent="0" shrinkToFit="false"/>
      <protection locked="true" hidden="false"/>
    </xf>
    <xf numFmtId="164" fontId="38" fillId="2" borderId="45" xfId="0" applyFont="true" applyBorder="true" applyAlignment="true" applyProtection="false">
      <alignment horizontal="center" vertical="center" textRotation="0" wrapText="false" indent="0" shrinkToFit="false"/>
      <protection locked="true" hidden="false"/>
    </xf>
    <xf numFmtId="164" fontId="38" fillId="2" borderId="7" xfId="0" applyFont="true" applyBorder="true" applyAlignment="true" applyProtection="false">
      <alignment horizontal="left" vertical="center" textRotation="0" wrapText="false" indent="0" shrinkToFit="false"/>
      <protection locked="true" hidden="false"/>
    </xf>
    <xf numFmtId="164" fontId="4" fillId="7" borderId="6" xfId="0" applyFont="true" applyBorder="true" applyAlignment="true" applyProtection="false">
      <alignment horizontal="general" vertical="center" textRotation="0" wrapText="false" indent="0" shrinkToFit="false"/>
      <protection locked="true" hidden="false"/>
    </xf>
    <xf numFmtId="164" fontId="24" fillId="2" borderId="7" xfId="0" applyFont="true" applyBorder="true" applyAlignment="true" applyProtection="false">
      <alignment horizontal="left" vertical="center" textRotation="0" wrapText="false" indent="0" shrinkToFit="false"/>
      <protection locked="true" hidden="false"/>
    </xf>
    <xf numFmtId="167" fontId="18" fillId="2" borderId="6" xfId="0" applyFont="true" applyBorder="true" applyAlignment="true" applyProtection="false">
      <alignment horizontal="right" vertical="center" textRotation="0" wrapText="false" indent="0" shrinkToFit="false"/>
      <protection locked="true" hidden="false"/>
    </xf>
    <xf numFmtId="165" fontId="18" fillId="2" borderId="7" xfId="0" applyFont="true" applyBorder="tru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7" borderId="11" xfId="0" applyFont="true" applyBorder="true" applyAlignment="true" applyProtection="false">
      <alignment horizontal="general" vertical="center" textRotation="0" wrapText="false" indent="0" shrinkToFit="false"/>
      <protection locked="true" hidden="false"/>
    </xf>
    <xf numFmtId="164" fontId="4" fillId="7" borderId="16" xfId="0" applyFont="true" applyBorder="true" applyAlignment="true" applyProtection="false">
      <alignment horizontal="center" vertical="center" textRotation="0" wrapText="false" indent="0" shrinkToFit="false"/>
      <protection locked="true" hidden="false"/>
    </xf>
    <xf numFmtId="165" fontId="4" fillId="7" borderId="16" xfId="0" applyFont="true" applyBorder="true" applyAlignment="true" applyProtection="false">
      <alignment horizontal="right" vertical="center" textRotation="0" wrapText="false" indent="0" shrinkToFit="false"/>
      <protection locked="true" hidden="false"/>
    </xf>
    <xf numFmtId="164" fontId="4" fillId="7" borderId="12" xfId="0" applyFont="true" applyBorder="true" applyAlignment="true" applyProtection="false">
      <alignment horizontal="general" vertical="center" textRotation="0" wrapText="false" indent="0" shrinkToFit="false"/>
      <protection locked="true" hidden="false"/>
    </xf>
    <xf numFmtId="164" fontId="19" fillId="4" borderId="13"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3" fillId="2" borderId="8" xfId="0" applyFont="true" applyBorder="true" applyAlignment="true" applyProtection="false">
      <alignment horizontal="left" vertical="center" textRotation="0" wrapText="true" indent="0" shrinkToFit="false"/>
      <protection locked="true" hidden="false"/>
    </xf>
    <xf numFmtId="164" fontId="22" fillId="2" borderId="8" xfId="0" applyFont="true" applyBorder="true" applyAlignment="true" applyProtection="false">
      <alignment horizontal="left" vertical="center" textRotation="0" wrapText="true" indent="0" shrinkToFit="false"/>
      <protection locked="true" hidden="false"/>
    </xf>
    <xf numFmtId="164" fontId="13" fillId="2" borderId="7" xfId="0" applyFont="true" applyBorder="true" applyAlignment="true" applyProtection="false">
      <alignment horizontal="left" vertical="center" textRotation="0" wrapText="false" indent="0" shrinkToFit="false"/>
      <protection locked="true" hidden="false"/>
    </xf>
    <xf numFmtId="164" fontId="22" fillId="7" borderId="8" xfId="0" applyFont="true" applyBorder="true" applyAlignment="true" applyProtection="false">
      <alignment horizontal="left" vertical="center" textRotation="0" wrapText="true" indent="0" shrinkToFit="false"/>
      <protection locked="true" hidden="false"/>
    </xf>
    <xf numFmtId="167" fontId="13" fillId="7" borderId="6" xfId="0" applyFont="true" applyBorder="true" applyAlignment="true" applyProtection="false">
      <alignment horizontal="right" vertical="center" textRotation="0" wrapText="false" indent="0" shrinkToFit="false"/>
      <protection locked="true" hidden="false"/>
    </xf>
    <xf numFmtId="164" fontId="24" fillId="7" borderId="9" xfId="0" applyFont="true" applyBorder="true" applyAlignment="true" applyProtection="false">
      <alignment horizontal="left" vertical="center" textRotation="0" wrapText="false" indent="0" shrinkToFit="false"/>
      <protection locked="true" hidden="false"/>
    </xf>
    <xf numFmtId="164" fontId="22" fillId="4" borderId="10" xfId="0" applyFont="true" applyBorder="true" applyAlignment="true" applyProtection="false">
      <alignment horizontal="left" vertical="center" textRotation="0" wrapText="false" indent="0" shrinkToFit="false"/>
      <protection locked="true" hidden="false"/>
    </xf>
    <xf numFmtId="164" fontId="22" fillId="2" borderId="8" xfId="0" applyFont="true" applyBorder="true" applyAlignment="true" applyProtection="false">
      <alignment horizontal="left" vertical="center" textRotation="0" wrapText="false" indent="0" shrinkToFit="false"/>
      <protection locked="true" hidden="false"/>
    </xf>
    <xf numFmtId="164" fontId="22" fillId="7" borderId="8" xfId="0" applyFont="true" applyBorder="true" applyAlignment="true" applyProtection="false">
      <alignment horizontal="left" vertical="center" textRotation="0" wrapText="false" indent="0" shrinkToFit="false"/>
      <protection locked="true" hidden="false"/>
    </xf>
    <xf numFmtId="164" fontId="13" fillId="7" borderId="9" xfId="0" applyFont="true" applyBorder="true" applyAlignment="true" applyProtection="false">
      <alignment horizontal="left" vertical="center" textRotation="0" wrapText="false" indent="0" shrinkToFit="false"/>
      <protection locked="true" hidden="false"/>
    </xf>
    <xf numFmtId="164" fontId="22" fillId="2" borderId="11" xfId="0" applyFont="true" applyBorder="true" applyAlignment="true" applyProtection="false">
      <alignment horizontal="left" vertical="center" textRotation="0" wrapText="false" indent="0" shrinkToFit="false"/>
      <protection locked="true" hidden="false"/>
    </xf>
    <xf numFmtId="164" fontId="22" fillId="2" borderId="16" xfId="0" applyFont="true" applyBorder="true" applyAlignment="true" applyProtection="false">
      <alignment horizontal="center" vertical="center" textRotation="0" wrapText="false" indent="0" shrinkToFit="false"/>
      <protection locked="true" hidden="false"/>
    </xf>
    <xf numFmtId="167" fontId="22" fillId="2" borderId="16" xfId="0" applyFont="true" applyBorder="true" applyAlignment="true" applyProtection="false">
      <alignment horizontal="right" vertical="center" textRotation="0" wrapText="false" indent="0" shrinkToFit="false"/>
      <protection locked="true" hidden="false"/>
    </xf>
    <xf numFmtId="164" fontId="22" fillId="2" borderId="17" xfId="0" applyFont="true" applyBorder="true" applyAlignment="true" applyProtection="false">
      <alignment horizontal="left" vertical="center" textRotation="0" wrapText="false" indent="0" shrinkToFit="false"/>
      <protection locked="true" hidden="false"/>
    </xf>
    <xf numFmtId="164" fontId="34" fillId="3" borderId="14" xfId="0" applyFont="true" applyBorder="true" applyAlignment="true" applyProtection="false">
      <alignment horizontal="left" vertical="bottom"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19" fillId="2" borderId="8" xfId="0" applyFont="true" applyBorder="true" applyAlignment="true" applyProtection="false">
      <alignment horizontal="left" vertical="center" textRotation="0" wrapText="true" indent="0" shrinkToFit="false"/>
      <protection locked="true" hidden="false"/>
    </xf>
    <xf numFmtId="164" fontId="19" fillId="7" borderId="8" xfId="0" applyFont="true" applyBorder="true" applyAlignment="true" applyProtection="false">
      <alignment horizontal="left" vertical="center" textRotation="0" wrapText="true" indent="0" shrinkToFit="false"/>
      <protection locked="true" hidden="false"/>
    </xf>
    <xf numFmtId="165" fontId="13" fillId="7" borderId="6" xfId="0" applyFont="true" applyBorder="true" applyAlignment="true" applyProtection="false">
      <alignment horizontal="right" vertical="center" textRotation="0" wrapText="true" indent="0" shrinkToFit="false"/>
      <protection locked="true" hidden="false"/>
    </xf>
    <xf numFmtId="164" fontId="19" fillId="4" borderId="10" xfId="0" applyFont="true" applyBorder="true" applyAlignment="true" applyProtection="false">
      <alignment horizontal="left" vertical="center" textRotation="0" wrapText="false" indent="0" shrinkToFit="false"/>
      <protection locked="true" hidden="false"/>
    </xf>
    <xf numFmtId="164" fontId="4" fillId="2" borderId="8" xfId="0" applyFont="true" applyBorder="true" applyAlignment="true" applyProtection="false">
      <alignment horizontal="left" vertical="center" textRotation="0" wrapText="true" indent="0" shrinkToFit="false"/>
      <protection locked="true" hidden="false"/>
    </xf>
    <xf numFmtId="165" fontId="4" fillId="2" borderId="6" xfId="0" applyFont="true" applyBorder="true" applyAlignment="true" applyProtection="false">
      <alignment horizontal="right" vertical="center" textRotation="0" wrapText="true" indent="0" shrinkToFit="false"/>
      <protection locked="true" hidden="false"/>
    </xf>
    <xf numFmtId="167" fontId="4" fillId="2" borderId="6" xfId="0" applyFont="true" applyBorder="true" applyAlignment="true" applyProtection="false">
      <alignment horizontal="right" vertical="center" textRotation="0" wrapText="true" indent="0" shrinkToFit="false"/>
      <protection locked="true" hidden="false"/>
    </xf>
    <xf numFmtId="167" fontId="4" fillId="7" borderId="6" xfId="0" applyFont="true" applyBorder="true" applyAlignment="true" applyProtection="false">
      <alignment horizontal="right" vertical="center" textRotation="0" wrapText="false" indent="0" shrinkToFit="false"/>
      <protection locked="true" hidden="false"/>
    </xf>
    <xf numFmtId="164" fontId="4" fillId="2" borderId="11" xfId="0" applyFont="true" applyBorder="true" applyAlignment="true" applyProtection="false">
      <alignment horizontal="left" vertical="center" textRotation="0" wrapText="true" indent="0" shrinkToFit="false"/>
      <protection locked="true" hidden="false"/>
    </xf>
    <xf numFmtId="167" fontId="4" fillId="2" borderId="0" xfId="0" applyFont="true" applyBorder="false" applyAlignment="true" applyProtection="false">
      <alignment horizontal="right" vertical="center" textRotation="0" wrapText="true" indent="0" shrinkToFit="false"/>
      <protection locked="true" hidden="false"/>
    </xf>
    <xf numFmtId="164" fontId="13" fillId="2" borderId="8" xfId="0" applyFont="true" applyBorder="true" applyAlignment="true" applyProtection="false">
      <alignment horizontal="general" vertical="center" textRotation="0" wrapText="false" indent="0" shrinkToFit="false"/>
      <protection locked="true" hidden="false"/>
    </xf>
    <xf numFmtId="164" fontId="22" fillId="2" borderId="8" xfId="0" applyFont="true" applyBorder="true" applyAlignment="true" applyProtection="false">
      <alignment horizontal="general" vertical="center" textRotation="0" wrapText="false" indent="0" shrinkToFit="false"/>
      <protection locked="true" hidden="false"/>
    </xf>
    <xf numFmtId="164" fontId="22" fillId="7" borderId="8" xfId="0" applyFont="true" applyBorder="true" applyAlignment="true" applyProtection="false">
      <alignment horizontal="general" vertical="center" textRotation="0" wrapText="false" indent="0" shrinkToFit="false"/>
      <protection locked="true" hidden="false"/>
    </xf>
    <xf numFmtId="165" fontId="19" fillId="2" borderId="17" xfId="0" applyFont="true" applyBorder="tru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0" fillId="2" borderId="7" xfId="0" applyFont="true" applyBorder="true" applyAlignment="true" applyProtection="false">
      <alignment horizontal="left" vertical="center" textRotation="0" wrapText="false" indent="0" shrinkToFit="false"/>
      <protection locked="true" hidden="false"/>
    </xf>
    <xf numFmtId="164" fontId="0" fillId="2" borderId="17" xfId="0" applyFont="true" applyBorder="true" applyAlignment="true" applyProtection="false">
      <alignment horizontal="left" vertical="center" textRotation="0" wrapText="false" indent="0" shrinkToFit="false"/>
      <protection locked="true" hidden="false"/>
    </xf>
    <xf numFmtId="164" fontId="19" fillId="4" borderId="10" xfId="0" applyFont="true" applyBorder="true" applyAlignment="true" applyProtection="false">
      <alignment horizontal="general" vertical="center" textRotation="0" wrapText="false" indent="0" shrinkToFit="false"/>
      <protection locked="true" hidden="false"/>
    </xf>
    <xf numFmtId="164" fontId="0" fillId="7" borderId="9" xfId="0" applyFont="true" applyBorder="true" applyAlignment="true" applyProtection="false">
      <alignment horizontal="general" vertical="center" textRotation="0" wrapText="false" indent="0" shrinkToFit="false"/>
      <protection locked="true" hidden="false"/>
    </xf>
    <xf numFmtId="165" fontId="4" fillId="2" borderId="6" xfId="0" applyFont="true" applyBorder="true" applyAlignment="true" applyProtection="false">
      <alignment horizontal="right" vertical="center" textRotation="0" wrapText="false" indent="0" shrinkToFit="false"/>
      <protection locked="true" hidden="false"/>
    </xf>
    <xf numFmtId="165" fontId="4" fillId="7" borderId="6" xfId="0" applyFont="true" applyBorder="true" applyAlignment="true" applyProtection="false">
      <alignment horizontal="right" vertical="center" textRotation="0" wrapText="false" indent="0" shrinkToFit="false"/>
      <protection locked="true" hidden="false"/>
    </xf>
    <xf numFmtId="164" fontId="13" fillId="2" borderId="8" xfId="0" applyFont="true" applyBorder="true" applyAlignment="true" applyProtection="false">
      <alignment horizontal="general" vertical="center" textRotation="0" wrapText="true" indent="0" shrinkToFit="false"/>
      <protection locked="true" hidden="false"/>
    </xf>
    <xf numFmtId="164" fontId="4" fillId="7" borderId="6" xfId="0" applyFont="true" applyBorder="true" applyAlignment="true" applyProtection="false">
      <alignment horizontal="right" vertical="center" textRotation="0" wrapText="false" indent="0" shrinkToFit="false"/>
      <protection locked="true" hidden="false"/>
    </xf>
    <xf numFmtId="164" fontId="19" fillId="7" borderId="10" xfId="0" applyFont="true" applyBorder="true" applyAlignment="true" applyProtection="false">
      <alignment horizontal="general" vertical="center" textRotation="0" wrapText="false" indent="0" shrinkToFit="false"/>
      <protection locked="true" hidden="false"/>
    </xf>
    <xf numFmtId="164" fontId="4" fillId="7" borderId="27" xfId="0" applyFont="true" applyBorder="true" applyAlignment="true" applyProtection="false">
      <alignment horizontal="general" vertical="center" textRotation="0" wrapText="true" indent="0" shrinkToFit="false"/>
      <protection locked="true" hidden="false"/>
    </xf>
    <xf numFmtId="164" fontId="4" fillId="7" borderId="28" xfId="0" applyFont="true" applyBorder="true" applyAlignment="true" applyProtection="false">
      <alignment horizontal="general" vertical="center" textRotation="0" wrapText="false" indent="0" shrinkToFit="false"/>
      <protection locked="true" hidden="false"/>
    </xf>
    <xf numFmtId="164" fontId="4" fillId="7"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30" fillId="2" borderId="6" xfId="0" applyFont="true" applyBorder="true" applyAlignment="true" applyProtection="true">
      <alignment horizontal="center" vertical="bottom" textRotation="0" wrapText="tru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true" indent="0" shrinkToFit="false"/>
      <protection locked="true" hidden="false"/>
    </xf>
    <xf numFmtId="170" fontId="4" fillId="2" borderId="6"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19" fillId="2" borderId="0" xfId="0" applyFont="true" applyBorder="true" applyAlignment="true" applyProtection="true">
      <alignment horizontal="center" vertical="bottom" textRotation="0" wrapText="false" indent="0" shrinkToFit="false"/>
      <protection locked="true" hidden="false"/>
    </xf>
    <xf numFmtId="166" fontId="4" fillId="2" borderId="0" xfId="0" applyFont="true" applyBorder="false" applyAlignment="false" applyProtection="true">
      <alignment horizontal="general" vertical="bottom" textRotation="0" wrapText="false" indent="0" shrinkToFit="false"/>
      <protection locked="true" hidden="false"/>
    </xf>
    <xf numFmtId="164" fontId="44" fillId="2" borderId="0" xfId="0" applyFont="true" applyBorder="true" applyAlignment="true" applyProtection="true">
      <alignment horizontal="center" vertical="bottom" textRotation="0" wrapText="tru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true" indent="0" shrinkToFit="false"/>
      <protection locked="true" hidden="false"/>
    </xf>
    <xf numFmtId="164" fontId="0" fillId="2" borderId="0" xfId="0" applyFont="true" applyBorder="false" applyAlignment="false" applyProtection="true">
      <alignment horizontal="general" vertical="bottom" textRotation="0" wrapText="false" indent="0" shrinkToFit="false"/>
      <protection locked="true" hidden="false"/>
    </xf>
    <xf numFmtId="164" fontId="45" fillId="2" borderId="0" xfId="0" applyFont="true" applyBorder="tru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78787"/>
      <rgbColor rgb="FF9999FF"/>
      <rgbColor rgb="FFBE4B48"/>
      <rgbColor rgb="FFF2F2F2"/>
      <rgbColor rgb="FFDDFFDD"/>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BBB59"/>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Open Loop Gain, Phase Plot</a:t>
            </a:r>
          </a:p>
        </c:rich>
      </c:tx>
      <c:overlay val="0"/>
      <c:spPr>
        <a:noFill/>
        <a:ln>
          <a:noFill/>
        </a:ln>
      </c:spPr>
    </c:title>
    <c:autoTitleDeleted val="0"/>
    <c:plotArea>
      <c:scatterChart>
        <c:scatterStyle val="line"/>
        <c:varyColors val="0"/>
        <c:ser>
          <c:idx val="0"/>
          <c:order val="0"/>
          <c:tx>
            <c:strRef>
              <c:f>"Gain"</c:f>
              <c:strCache>
                <c:ptCount val="1"/>
                <c:pt idx="0">
                  <c:v>Gain</c:v>
                </c:pt>
              </c:strCache>
            </c:strRef>
          </c:tx>
          <c:spPr>
            <a:solidFill>
              <a:srgbClr val="4a7ebb"/>
            </a:solidFill>
            <a:ln w="31680">
              <a:solidFill>
                <a:srgbClr val="4a7ebb"/>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xVal>
            <c:numRef>
              <c:f>'LOOKUP TABLES AND DROPDOWN LIST'!$B$79:$B$109</c:f>
              <c:numCache>
                <c:formatCode>General</c:formatCode>
                <c:ptCount val="31"/>
                <c:pt idx="0">
                  <c:v>10</c:v>
                </c:pt>
                <c:pt idx="1">
                  <c:v>12.5892541179417</c:v>
                </c:pt>
                <c:pt idx="2">
                  <c:v>15.8489319246111</c:v>
                </c:pt>
                <c:pt idx="3">
                  <c:v>19.9526231496888</c:v>
                </c:pt>
                <c:pt idx="4">
                  <c:v>25.1188643150958</c:v>
                </c:pt>
                <c:pt idx="5">
                  <c:v>31.6227766016838</c:v>
                </c:pt>
                <c:pt idx="6">
                  <c:v>39.8107170553497</c:v>
                </c:pt>
                <c:pt idx="7">
                  <c:v>50.1187233627273</c:v>
                </c:pt>
                <c:pt idx="8">
                  <c:v>63.0957344480193</c:v>
                </c:pt>
                <c:pt idx="9">
                  <c:v>79.4328234724281</c:v>
                </c:pt>
                <c:pt idx="10">
                  <c:v>100</c:v>
                </c:pt>
                <c:pt idx="11">
                  <c:v>125.892541179417</c:v>
                </c:pt>
                <c:pt idx="12">
                  <c:v>158.489319246111</c:v>
                </c:pt>
                <c:pt idx="13">
                  <c:v>199.526231496888</c:v>
                </c:pt>
                <c:pt idx="14">
                  <c:v>251.188643150958</c:v>
                </c:pt>
                <c:pt idx="15">
                  <c:v>316.227766016838</c:v>
                </c:pt>
                <c:pt idx="16">
                  <c:v>398.107170553497</c:v>
                </c:pt>
                <c:pt idx="17">
                  <c:v>501.187233627272</c:v>
                </c:pt>
                <c:pt idx="18">
                  <c:v>630.957344480193</c:v>
                </c:pt>
                <c:pt idx="19">
                  <c:v>794.328234724281</c:v>
                </c:pt>
                <c:pt idx="20">
                  <c:v>1000</c:v>
                </c:pt>
                <c:pt idx="21">
                  <c:v>1258.92541179417</c:v>
                </c:pt>
                <c:pt idx="22">
                  <c:v>1584.89319246111</c:v>
                </c:pt>
                <c:pt idx="23">
                  <c:v>1995.26231496888</c:v>
                </c:pt>
                <c:pt idx="24">
                  <c:v>2511.88643150958</c:v>
                </c:pt>
                <c:pt idx="25">
                  <c:v>3162.27766016838</c:v>
                </c:pt>
                <c:pt idx="26">
                  <c:v>3981.07170553497</c:v>
                </c:pt>
                <c:pt idx="27">
                  <c:v>5011.87233627272</c:v>
                </c:pt>
                <c:pt idx="28">
                  <c:v>6309.57344480193</c:v>
                </c:pt>
                <c:pt idx="29">
                  <c:v>7943.28234724281</c:v>
                </c:pt>
                <c:pt idx="30">
                  <c:v>10000</c:v>
                </c:pt>
              </c:numCache>
            </c:numRef>
          </c:xVal>
          <c:yVal>
            <c:numRef>
              <c:f>'LOOKUP TABLES AND DROPDOWN LIST'!$K$79:$K$109</c:f>
              <c:numCache>
                <c:formatCode>General</c:formatCode>
                <c:ptCount val="31"/>
                <c:pt idx="0">
                  <c:v>18.2220357599875</c:v>
                </c:pt>
                <c:pt idx="1">
                  <c:v>17.7194156654146</c:v>
                </c:pt>
                <c:pt idx="2">
                  <c:v>17.0256367393278</c:v>
                </c:pt>
                <c:pt idx="3">
                  <c:v>16.1124353467665</c:v>
                </c:pt>
                <c:pt idx="4">
                  <c:v>14.971033383011</c:v>
                </c:pt>
                <c:pt idx="5">
                  <c:v>13.6153627816799</c:v>
                </c:pt>
                <c:pt idx="6">
                  <c:v>12.0769491368955</c:v>
                </c:pt>
                <c:pt idx="7">
                  <c:v>10.3949838569343</c:v>
                </c:pt>
                <c:pt idx="8">
                  <c:v>8.60723877673216</c:v>
                </c:pt>
                <c:pt idx="9">
                  <c:v>6.74490945866067</c:v>
                </c:pt>
                <c:pt idx="10">
                  <c:v>4.83117147826503</c:v>
                </c:pt>
                <c:pt idx="11">
                  <c:v>2.88183849775488</c:v>
                </c:pt>
                <c:pt idx="12">
                  <c:v>0.90669066639574</c:v>
                </c:pt>
                <c:pt idx="13">
                  <c:v>-1.08933716019845</c:v>
                </c:pt>
                <c:pt idx="14">
                  <c:v>-3.10544769038578</c:v>
                </c:pt>
                <c:pt idx="15">
                  <c:v>-5.1448599858796</c:v>
                </c:pt>
                <c:pt idx="16">
                  <c:v>-7.2152871181589</c:v>
                </c:pt>
                <c:pt idx="17">
                  <c:v>-9.32995449506365</c:v>
                </c:pt>
                <c:pt idx="18">
                  <c:v>-11.5089371244206</c:v>
                </c:pt>
                <c:pt idx="19">
                  <c:v>-13.7802245050616</c:v>
                </c:pt>
                <c:pt idx="20">
                  <c:v>-16.1793268816349</c:v>
                </c:pt>
                <c:pt idx="21">
                  <c:v>-18.7457637952951</c:v>
                </c:pt>
                <c:pt idx="22">
                  <c:v>-21.515400980777</c:v>
                </c:pt>
                <c:pt idx="23">
                  <c:v>-24.5102553111752</c:v>
                </c:pt>
                <c:pt idx="24">
                  <c:v>-27.730770943013</c:v>
                </c:pt>
                <c:pt idx="25">
                  <c:v>-31.155622749785</c:v>
                </c:pt>
                <c:pt idx="26">
                  <c:v>-34.7491768971228</c:v>
                </c:pt>
                <c:pt idx="27">
                  <c:v>-38.4716691391777</c:v>
                </c:pt>
                <c:pt idx="28">
                  <c:v>-42.286989313955</c:v>
                </c:pt>
                <c:pt idx="29">
                  <c:v>-46.1662904411459</c:v>
                </c:pt>
                <c:pt idx="30">
                  <c:v>-50.0883720899809</c:v>
                </c:pt>
              </c:numCache>
            </c:numRef>
          </c:yVal>
          <c:smooth val="1"/>
        </c:ser>
        <c:axId val="87327074"/>
        <c:axId val="55625540"/>
      </c:scatterChart>
      <c:scatterChart>
        <c:scatterStyle val="line"/>
        <c:varyColors val="0"/>
        <c:ser>
          <c:idx val="1"/>
          <c:order val="1"/>
          <c:tx>
            <c:strRef>
              <c:f>"Phase"</c:f>
              <c:strCache>
                <c:ptCount val="1"/>
                <c:pt idx="0">
                  <c:v>Phase</c:v>
                </c:pt>
              </c:strCache>
            </c:strRef>
          </c:tx>
          <c:spPr>
            <a:solidFill>
              <a:srgbClr val="be4b48"/>
            </a:solidFill>
            <a:ln w="31680">
              <a:solidFill>
                <a:srgbClr val="be4b48"/>
              </a:solidFill>
              <a:round/>
            </a:ln>
          </c:spPr>
          <c:marker>
            <c:symbol val="none"/>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xVal>
            <c:numRef>
              <c:f>'LOOKUP TABLES AND DROPDOWN LIST'!$B$79:$B$109</c:f>
              <c:numCache>
                <c:formatCode>General</c:formatCode>
                <c:ptCount val="31"/>
                <c:pt idx="0">
                  <c:v>10</c:v>
                </c:pt>
                <c:pt idx="1">
                  <c:v>12.5892541179417</c:v>
                </c:pt>
                <c:pt idx="2">
                  <c:v>15.8489319246111</c:v>
                </c:pt>
                <c:pt idx="3">
                  <c:v>19.9526231496888</c:v>
                </c:pt>
                <c:pt idx="4">
                  <c:v>25.1188643150958</c:v>
                </c:pt>
                <c:pt idx="5">
                  <c:v>31.6227766016838</c:v>
                </c:pt>
                <c:pt idx="6">
                  <c:v>39.8107170553497</c:v>
                </c:pt>
                <c:pt idx="7">
                  <c:v>50.1187233627273</c:v>
                </c:pt>
                <c:pt idx="8">
                  <c:v>63.0957344480193</c:v>
                </c:pt>
                <c:pt idx="9">
                  <c:v>79.4328234724281</c:v>
                </c:pt>
                <c:pt idx="10">
                  <c:v>100</c:v>
                </c:pt>
                <c:pt idx="11">
                  <c:v>125.892541179417</c:v>
                </c:pt>
                <c:pt idx="12">
                  <c:v>158.489319246111</c:v>
                </c:pt>
                <c:pt idx="13">
                  <c:v>199.526231496888</c:v>
                </c:pt>
                <c:pt idx="14">
                  <c:v>251.188643150958</c:v>
                </c:pt>
                <c:pt idx="15">
                  <c:v>316.227766016838</c:v>
                </c:pt>
                <c:pt idx="16">
                  <c:v>398.107170553497</c:v>
                </c:pt>
                <c:pt idx="17">
                  <c:v>501.187233627272</c:v>
                </c:pt>
                <c:pt idx="18">
                  <c:v>630.957344480193</c:v>
                </c:pt>
                <c:pt idx="19">
                  <c:v>794.328234724281</c:v>
                </c:pt>
                <c:pt idx="20">
                  <c:v>1000</c:v>
                </c:pt>
                <c:pt idx="21">
                  <c:v>1258.92541179417</c:v>
                </c:pt>
                <c:pt idx="22">
                  <c:v>1584.89319246111</c:v>
                </c:pt>
                <c:pt idx="23">
                  <c:v>1995.26231496888</c:v>
                </c:pt>
                <c:pt idx="24">
                  <c:v>2511.88643150958</c:v>
                </c:pt>
                <c:pt idx="25">
                  <c:v>3162.27766016838</c:v>
                </c:pt>
                <c:pt idx="26">
                  <c:v>3981.07170553497</c:v>
                </c:pt>
                <c:pt idx="27">
                  <c:v>5011.87233627272</c:v>
                </c:pt>
                <c:pt idx="28">
                  <c:v>6309.57344480193</c:v>
                </c:pt>
                <c:pt idx="29">
                  <c:v>7943.28234724281</c:v>
                </c:pt>
                <c:pt idx="30">
                  <c:v>10000</c:v>
                </c:pt>
              </c:numCache>
            </c:numRef>
          </c:xVal>
          <c:yVal>
            <c:numRef>
              <c:f>'LOOKUP TABLES AND DROPDOWN LIST'!$L$79:$L$109</c:f>
              <c:numCache>
                <c:formatCode>General</c:formatCode>
                <c:ptCount val="31"/>
                <c:pt idx="0">
                  <c:v>152.423010218499</c:v>
                </c:pt>
                <c:pt idx="1">
                  <c:v>146.630284692021</c:v>
                </c:pt>
                <c:pt idx="2">
                  <c:v>140.260342513099</c:v>
                </c:pt>
                <c:pt idx="3">
                  <c:v>133.571844858977</c:v>
                </c:pt>
                <c:pt idx="4">
                  <c:v>126.890173652524</c:v>
                </c:pt>
                <c:pt idx="5">
                  <c:v>120.528929447342</c:v>
                </c:pt>
                <c:pt idx="6">
                  <c:v>114.71673762703</c:v>
                </c:pt>
                <c:pt idx="7">
                  <c:v>109.56483843299</c:v>
                </c:pt>
                <c:pt idx="8">
                  <c:v>105.077990231622</c:v>
                </c:pt>
                <c:pt idx="9">
                  <c:v>101.187114903865</c:v>
                </c:pt>
                <c:pt idx="10">
                  <c:v>97.7822123943115</c:v>
                </c:pt>
                <c:pt idx="11">
                  <c:v>94.7355555998471</c:v>
                </c:pt>
                <c:pt idx="12">
                  <c:v>91.9143604572096</c:v>
                </c:pt>
                <c:pt idx="13">
                  <c:v>89.185817410104</c:v>
                </c:pt>
                <c:pt idx="14">
                  <c:v>86.4177658809813</c:v>
                </c:pt>
                <c:pt idx="15">
                  <c:v>83.4777229927241</c:v>
                </c:pt>
                <c:pt idx="16">
                  <c:v>80.2326026714779</c:v>
                </c:pt>
                <c:pt idx="17">
                  <c:v>76.5516298265093</c:v>
                </c:pt>
                <c:pt idx="18">
                  <c:v>72.3155283422998</c:v>
                </c:pt>
                <c:pt idx="19">
                  <c:v>67.4352679827422</c:v>
                </c:pt>
                <c:pt idx="20">
                  <c:v>61.881628054658</c:v>
                </c:pt>
                <c:pt idx="21">
                  <c:v>55.7199456095127</c:v>
                </c:pt>
                <c:pt idx="22">
                  <c:v>49.1328170591051</c:v>
                </c:pt>
                <c:pt idx="23">
                  <c:v>42.4066921645513</c:v>
                </c:pt>
                <c:pt idx="24">
                  <c:v>35.8724118278876</c:v>
                </c:pt>
                <c:pt idx="25">
                  <c:v>29.823300116963</c:v>
                </c:pt>
                <c:pt idx="26">
                  <c:v>24.4541868704385</c:v>
                </c:pt>
                <c:pt idx="27">
                  <c:v>19.846403479445</c:v>
                </c:pt>
                <c:pt idx="28">
                  <c:v>15.9899960679648</c:v>
                </c:pt>
                <c:pt idx="29">
                  <c:v>12.8191881477118</c:v>
                </c:pt>
                <c:pt idx="30">
                  <c:v>10.2433739882237</c:v>
                </c:pt>
              </c:numCache>
            </c:numRef>
          </c:yVal>
          <c:smooth val="1"/>
        </c:ser>
        <c:axId val="29385429"/>
        <c:axId val="30325214"/>
      </c:scatterChart>
      <c:valAx>
        <c:axId val="87327074"/>
        <c:scaling>
          <c:logBase val="10"/>
          <c:orientation val="minMax"/>
          <c:max val="10000"/>
          <c:min val="10"/>
        </c:scaling>
        <c:delete val="0"/>
        <c:axPos val="b"/>
        <c:majorGridlines>
          <c:spPr>
            <a:ln w="12600">
              <a:solidFill>
                <a:srgbClr val="878787"/>
              </a:solidFill>
              <a:round/>
            </a:ln>
          </c:spPr>
        </c:majorGridlines>
        <c:minorGridlines>
          <c:spPr>
            <a:ln w="9360">
              <a:solidFill>
                <a:srgbClr val="b7b7b7"/>
              </a:solidFill>
              <a:round/>
            </a:ln>
          </c:spPr>
        </c:minorGridlines>
        <c:title>
          <c:tx>
            <c:rich>
              <a:bodyPr rot="0"/>
              <a:lstStyle/>
              <a:p>
                <a:pPr>
                  <a:defRPr b="1" sz="1000" spc="-1" strike="noStrike">
                    <a:solidFill>
                      <a:srgbClr val="000000"/>
                    </a:solidFill>
                    <a:latin typeface="Calibri"/>
                  </a:defRPr>
                </a:pPr>
                <a:r>
                  <a:rPr b="1" sz="1000" spc="-1" strike="noStrike">
                    <a:solidFill>
                      <a:srgbClr val="000000"/>
                    </a:solidFill>
                    <a:latin typeface="Calibri"/>
                  </a:rPr>
                  <a:t>Frequency (Hz)</a:t>
                </a:r>
              </a:p>
            </c:rich>
          </c:tx>
          <c:overlay val="0"/>
          <c:spPr>
            <a:noFill/>
            <a:ln>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5625540"/>
        <c:crossesAt val="-40"/>
        <c:crossBetween val="midCat"/>
        <c:minorUnit val="9"/>
      </c:valAx>
      <c:valAx>
        <c:axId val="55625540"/>
        <c:scaling>
          <c:orientation val="minMax"/>
          <c:max val="40"/>
          <c:min val="-40"/>
        </c:scaling>
        <c:delete val="0"/>
        <c:axPos val="l"/>
        <c:majorGridlines>
          <c:spPr>
            <a:ln w="15840">
              <a:solidFill>
                <a:srgbClr val="87878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Gain (dB)</a:t>
                </a:r>
              </a:p>
            </c:rich>
          </c:tx>
          <c:overlay val="0"/>
          <c:spPr>
            <a:noFill/>
            <a:ln>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7327074"/>
        <c:crosses val="autoZero"/>
        <c:crossBetween val="midCat"/>
        <c:majorUnit val="10"/>
        <c:minorUnit val="1"/>
      </c:valAx>
      <c:valAx>
        <c:axId val="29385429"/>
        <c:scaling>
          <c:logBase val="10"/>
          <c:orientation val="minMax"/>
          <c:max val="10000"/>
          <c:min val="10"/>
        </c:scaling>
        <c:delete val="0"/>
        <c:axPos val="t"/>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0325214"/>
        <c:crosses val="max"/>
        <c:crossBetween val="midCat"/>
        <c:minorUnit val="9"/>
      </c:valAx>
      <c:valAx>
        <c:axId val="30325214"/>
        <c:scaling>
          <c:orientation val="minMax"/>
          <c:max val="180"/>
          <c:min val="-180"/>
        </c:scaling>
        <c:delete val="0"/>
        <c:axPos val="r"/>
        <c:title>
          <c:tx>
            <c:rich>
              <a:bodyPr rot="5400000"/>
              <a:lstStyle/>
              <a:p>
                <a:pPr>
                  <a:defRPr b="1" sz="1000" spc="-1" strike="noStrike">
                    <a:solidFill>
                      <a:srgbClr val="000000"/>
                    </a:solidFill>
                    <a:latin typeface="Calibri"/>
                  </a:defRPr>
                </a:pPr>
                <a:r>
                  <a:rPr b="1" sz="1000" spc="-1" strike="noStrike">
                    <a:solidFill>
                      <a:srgbClr val="000000"/>
                    </a:solidFill>
                    <a:latin typeface="Calibri"/>
                  </a:rPr>
                  <a:t>Phase (degrees)</a:t>
                </a:r>
              </a:p>
            </c:rich>
          </c:tx>
          <c:overlay val="0"/>
          <c:spPr>
            <a:noFill/>
            <a:ln>
              <a:noFill/>
            </a:ln>
          </c:spPr>
        </c:title>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9385429"/>
        <c:crosses val="max"/>
        <c:crossBetween val="midCat"/>
        <c:majorUnit val="45"/>
        <c:minorUnit val="5"/>
      </c:valAx>
      <c:spPr>
        <a:solidFill>
          <a:srgbClr val="ffffff"/>
        </a:solidFill>
        <a:ln>
          <a:noFill/>
        </a:ln>
      </c:spPr>
    </c:plotArea>
    <c:legend>
      <c:legendPos val="b"/>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wmf"/>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0</xdr:colOff>
      <xdr:row>1</xdr:row>
      <xdr:rowOff>0</xdr:rowOff>
    </xdr:from>
    <xdr:to>
      <xdr:col>7</xdr:col>
      <xdr:colOff>178920</xdr:colOff>
      <xdr:row>25</xdr:row>
      <xdr:rowOff>87480</xdr:rowOff>
    </xdr:to>
    <xdr:pic>
      <xdr:nvPicPr>
        <xdr:cNvPr id="0" name="Picture 5" descr=""/>
        <xdr:cNvPicPr/>
      </xdr:nvPicPr>
      <xdr:blipFill>
        <a:blip r:embed="rId1"/>
        <a:stretch/>
      </xdr:blipFill>
      <xdr:spPr>
        <a:xfrm>
          <a:off x="643680" y="190440"/>
          <a:ext cx="9096120" cy="4659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269</xdr:row>
      <xdr:rowOff>117000</xdr:rowOff>
    </xdr:from>
    <xdr:to>
      <xdr:col>4</xdr:col>
      <xdr:colOff>986400</xdr:colOff>
      <xdr:row>293</xdr:row>
      <xdr:rowOff>145080</xdr:rowOff>
    </xdr:to>
    <xdr:graphicFrame>
      <xdr:nvGraphicFramePr>
        <xdr:cNvPr id="1" name="Chart 1"/>
        <xdr:cNvGraphicFramePr/>
      </xdr:nvGraphicFramePr>
      <xdr:xfrm>
        <a:off x="0" y="59826600"/>
        <a:ext cx="9252000" cy="4234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M108"/>
  <sheetViews>
    <sheetView showFormulas="false" showGridLines="true" showRowColHeaders="true" showZeros="true" rightToLeft="false" tabSelected="true" showOutlineSymbols="true" defaultGridColor="true" view="normal" topLeftCell="A36" colorId="64" zoomScale="75" zoomScaleNormal="75" zoomScalePageLayoutView="100" workbookViewId="0">
      <selection pane="topLeft" activeCell="E57" activeCellId="0" sqref="E57"/>
    </sheetView>
  </sheetViews>
  <sheetFormatPr defaultColWidth="9.23828125" defaultRowHeight="13.8" zeroHeight="false" outlineLevelRow="0" outlineLevelCol="0"/>
  <cols>
    <col collapsed="false" customWidth="true" hidden="false" outlineLevel="0" max="1" min="1" style="1" width="3.71"/>
    <col collapsed="false" customWidth="true" hidden="false" outlineLevel="0" max="2" min="2" style="1" width="59.71"/>
    <col collapsed="false" customWidth="true" hidden="false" outlineLevel="0" max="3" min="3" style="2" width="12.71"/>
    <col collapsed="false" customWidth="true" hidden="false" outlineLevel="0" max="4" min="4" style="1" width="12.29"/>
    <col collapsed="false" customWidth="true" hidden="false" outlineLevel="0" max="5" min="5" style="1" width="12.71"/>
    <col collapsed="false" customWidth="true" hidden="false" outlineLevel="0" max="6" min="6" style="1" width="37.14"/>
    <col collapsed="false" customWidth="true" hidden="false" outlineLevel="0" max="7" min="7" style="1" width="36.85"/>
    <col collapsed="false" customWidth="true" hidden="false" outlineLevel="0" max="64" min="8" style="1" width="9.13"/>
  </cols>
  <sheetData>
    <row r="1" customFormat="false" ht="37.5" hidden="false" customHeight="true" outlineLevel="0" collapsed="false">
      <c r="B1" s="3" t="s">
        <v>0</v>
      </c>
      <c r="C1" s="3"/>
      <c r="D1" s="3"/>
      <c r="E1" s="3"/>
      <c r="F1" s="3"/>
    </row>
    <row r="2" customFormat="false" ht="17.25" hidden="false" customHeight="true" outlineLevel="0" collapsed="false">
      <c r="B2" s="4" t="s">
        <v>1</v>
      </c>
      <c r="C2" s="5" t="s">
        <v>2</v>
      </c>
      <c r="D2" s="6"/>
      <c r="E2" s="7"/>
      <c r="F2" s="8"/>
    </row>
    <row r="3" customFormat="false" ht="14.25" hidden="false" customHeight="true" outlineLevel="0" collapsed="false">
      <c r="B3" s="9" t="s">
        <v>3</v>
      </c>
      <c r="C3" s="9"/>
      <c r="D3" s="9"/>
      <c r="E3" s="9"/>
      <c r="F3" s="9"/>
    </row>
    <row r="4" customFormat="false" ht="15" hidden="false" customHeight="true" outlineLevel="0" collapsed="false">
      <c r="B4" s="10" t="s">
        <v>4</v>
      </c>
      <c r="C4" s="10"/>
      <c r="D4" s="10"/>
      <c r="E4" s="10"/>
      <c r="F4" s="10"/>
    </row>
    <row r="5" customFormat="false" ht="13.8" hidden="false" customHeight="false" outlineLevel="0" collapsed="false">
      <c r="B5" s="10"/>
      <c r="C5" s="10"/>
      <c r="D5" s="10"/>
      <c r="E5" s="10"/>
      <c r="F5" s="10"/>
    </row>
    <row r="6" customFormat="false" ht="13.8" hidden="false" customHeight="false" outlineLevel="0" collapsed="false">
      <c r="B6" s="10"/>
      <c r="C6" s="10"/>
      <c r="D6" s="10"/>
      <c r="E6" s="10"/>
      <c r="F6" s="10"/>
    </row>
    <row r="7" customFormat="false" ht="13.8" hidden="false" customHeight="false" outlineLevel="0" collapsed="false">
      <c r="B7" s="10"/>
      <c r="C7" s="10"/>
      <c r="D7" s="10"/>
      <c r="E7" s="10"/>
      <c r="F7" s="10"/>
    </row>
    <row r="8" customFormat="false" ht="45" hidden="false" customHeight="true" outlineLevel="0" collapsed="false">
      <c r="B8" s="11" t="s">
        <v>5</v>
      </c>
      <c r="C8" s="11"/>
      <c r="D8" s="11"/>
      <c r="E8" s="11"/>
      <c r="F8" s="11"/>
    </row>
    <row r="9" customFormat="false" ht="17.35" hidden="false" customHeight="false" outlineLevel="0" collapsed="false">
      <c r="B9" s="12" t="s">
        <v>6</v>
      </c>
      <c r="C9" s="12"/>
      <c r="D9" s="12"/>
      <c r="E9" s="12"/>
      <c r="F9" s="12"/>
    </row>
    <row r="10" customFormat="false" ht="15.75" hidden="false" customHeight="true" outlineLevel="0" collapsed="false">
      <c r="B10" s="13" t="s">
        <v>7</v>
      </c>
      <c r="C10" s="13"/>
      <c r="D10" s="13"/>
      <c r="E10" s="13"/>
      <c r="F10" s="13"/>
    </row>
    <row r="11" customFormat="false" ht="60" hidden="false" customHeight="true" outlineLevel="0" collapsed="false">
      <c r="B11" s="14" t="s">
        <v>8</v>
      </c>
      <c r="C11" s="14"/>
      <c r="D11" s="14"/>
      <c r="E11" s="14"/>
      <c r="F11" s="14"/>
    </row>
    <row r="12" customFormat="false" ht="15" hidden="false" customHeight="true" outlineLevel="0" collapsed="false">
      <c r="B12" s="15" t="s">
        <v>9</v>
      </c>
      <c r="C12" s="15"/>
      <c r="D12" s="15"/>
      <c r="E12" s="15"/>
      <c r="F12" s="15"/>
    </row>
    <row r="13" customFormat="false" ht="15.75" hidden="false" customHeight="true" outlineLevel="0" collapsed="false">
      <c r="B13" s="15"/>
      <c r="C13" s="15"/>
      <c r="D13" s="15"/>
      <c r="E13" s="15"/>
      <c r="F13" s="15"/>
    </row>
    <row r="14" customFormat="false" ht="15.75" hidden="false" customHeight="true" outlineLevel="0" collapsed="false">
      <c r="B14" s="16"/>
      <c r="C14" s="16"/>
      <c r="D14" s="16"/>
      <c r="E14" s="16"/>
      <c r="F14" s="16"/>
    </row>
    <row r="15" customFormat="false" ht="15" hidden="false" customHeight="false" outlineLevel="0" collapsed="false">
      <c r="B15" s="17" t="s">
        <v>10</v>
      </c>
      <c r="C15" s="17"/>
      <c r="D15" s="17"/>
      <c r="E15" s="17"/>
      <c r="F15" s="17"/>
    </row>
    <row r="16" customFormat="false" ht="13.8" hidden="false" customHeight="false" outlineLevel="0" collapsed="false">
      <c r="B16" s="18" t="s">
        <v>11</v>
      </c>
      <c r="C16" s="19" t="s">
        <v>12</v>
      </c>
      <c r="D16" s="20" t="s">
        <v>13</v>
      </c>
      <c r="E16" s="20"/>
      <c r="F16" s="20"/>
    </row>
    <row r="17" customFormat="false" ht="15.65" hidden="false" customHeight="false" outlineLevel="0" collapsed="false">
      <c r="B17" s="21" t="s">
        <v>14</v>
      </c>
      <c r="C17" s="19" t="n">
        <v>85</v>
      </c>
      <c r="D17" s="22" t="str">
        <f aca="false">IF(Vin_type="AC","VAC","VDC")</f>
        <v>VAC</v>
      </c>
      <c r="E17" s="22"/>
      <c r="F17" s="22"/>
    </row>
    <row r="18" customFormat="false" ht="18.75" hidden="false" customHeight="true" outlineLevel="0" collapsed="false">
      <c r="B18" s="21" t="s">
        <v>15</v>
      </c>
      <c r="C18" s="19" t="n">
        <v>265</v>
      </c>
      <c r="D18" s="23" t="str">
        <f aca="false">IF(Vin_type="AC","VAC","VDC")</f>
        <v>VAC</v>
      </c>
      <c r="E18" s="24" t="str">
        <f aca="false">IF(C18&lt;C17,"VINPUTmax must be &gt;VINPUTmin","")</f>
        <v/>
      </c>
      <c r="F18" s="24"/>
    </row>
    <row r="19" customFormat="false" ht="45" hidden="false" customHeight="true" outlineLevel="0" collapsed="false">
      <c r="B19" s="21" t="s">
        <v>16</v>
      </c>
      <c r="C19" s="25" t="n">
        <v>230</v>
      </c>
      <c r="D19" s="23" t="str">
        <f aca="false">IF(Vin_type="AC","VAC","VDC")</f>
        <v>VAC</v>
      </c>
      <c r="E19" s="26" t="str">
        <f aca="false">IF(Vinput_nom&lt;Vinput_min,"Select a NOMINAL voltage greater than the minimum input voltage",IF(Vinput_nom&gt;Vinput_max,"Select a NOMINAL voltage less than the maximum input voltage.",""))</f>
        <v/>
      </c>
      <c r="F19" s="26"/>
    </row>
    <row r="20" customFormat="false" ht="18.75" hidden="false" customHeight="true" outlineLevel="0" collapsed="false">
      <c r="B20" s="21" t="s">
        <v>17</v>
      </c>
      <c r="C20" s="19" t="n">
        <v>47</v>
      </c>
      <c r="D20" s="23" t="s">
        <v>18</v>
      </c>
      <c r="E20" s="27" t="s">
        <v>19</v>
      </c>
      <c r="F20" s="27"/>
    </row>
    <row r="21" customFormat="false" ht="60" hidden="false" customHeight="true" outlineLevel="0" collapsed="false">
      <c r="B21" s="28" t="s">
        <v>20</v>
      </c>
      <c r="C21" s="29" t="n">
        <v>80</v>
      </c>
      <c r="D21" s="30" t="str">
        <f aca="false">IF(Vin_type="AC","VAC","VDC")</f>
        <v>VAC</v>
      </c>
      <c r="E21" s="31" t="str">
        <f aca="false">IF(Vinput_run&gt;Vinput_min,"Low-line start-up voltage must be less than or equal to the minimum input voltage","")</f>
        <v/>
      </c>
      <c r="F21" s="31"/>
    </row>
    <row r="22" customFormat="false" ht="15.75" hidden="false" customHeight="true" outlineLevel="0" collapsed="false">
      <c r="B22" s="32" t="str">
        <f aca="false">IF(Vinput_nom&lt;Vinput_min,"DO NOT CONTINUE UNTIL NOMINAL INPUT VOLTAGE IS INCREASED",IF(Vinput_nom&gt;Vinput_max,"DO NOT CONTINUE UNTIL NOMINAL INPUT VOLTAGE IS DECREASED",""))</f>
        <v/>
      </c>
      <c r="C22" s="32"/>
      <c r="D22" s="32"/>
      <c r="E22" s="32"/>
      <c r="F22" s="32"/>
    </row>
    <row r="23" customFormat="false" ht="15" hidden="false" customHeight="false" outlineLevel="0" collapsed="false">
      <c r="B23" s="33" t="s">
        <v>21</v>
      </c>
      <c r="C23" s="33"/>
      <c r="D23" s="33"/>
      <c r="E23" s="33"/>
      <c r="F23" s="33"/>
    </row>
    <row r="24" customFormat="false" ht="15.65" hidden="false" customHeight="false" outlineLevel="0" collapsed="false">
      <c r="B24" s="34" t="s">
        <v>22</v>
      </c>
      <c r="C24" s="19" t="n">
        <v>45</v>
      </c>
      <c r="D24" s="22" t="s">
        <v>23</v>
      </c>
      <c r="E24" s="22"/>
      <c r="F24" s="22"/>
    </row>
    <row r="25" customFormat="false" ht="15.65" hidden="false" customHeight="false" outlineLevel="0" collapsed="false">
      <c r="B25" s="34" t="s">
        <v>24</v>
      </c>
      <c r="C25" s="19" t="n">
        <v>0.6</v>
      </c>
      <c r="D25" s="22" t="s">
        <v>25</v>
      </c>
      <c r="E25" s="22"/>
      <c r="F25" s="22"/>
    </row>
    <row r="26" customFormat="false" ht="36.75" hidden="false" customHeight="true" outlineLevel="0" collapsed="false">
      <c r="B26" s="34" t="s">
        <v>26</v>
      </c>
      <c r="C26" s="19" t="n">
        <v>0.6</v>
      </c>
      <c r="D26" s="35" t="s">
        <v>25</v>
      </c>
      <c r="E26" s="26" t="str">
        <f aca="false">IF(Iocc_target&lt;1.05*Iout,"Recommend target to be a minimum of 5% higher than rated Iout","")</f>
        <v>Recommend target to be a minimum of 5% higher than rated Iout</v>
      </c>
      <c r="F26" s="26"/>
    </row>
    <row r="27" customFormat="false" ht="60" hidden="false" customHeight="true" outlineLevel="0" collapsed="false">
      <c r="B27" s="36" t="s">
        <v>27</v>
      </c>
      <c r="C27" s="19" t="n">
        <v>30</v>
      </c>
      <c r="D27" s="23" t="s">
        <v>23</v>
      </c>
      <c r="E27" s="37" t="str">
        <f aca="false">IF(C27&gt;=Vout_cv,"Minimum output voltage in CC mode must be less than regulated output voltage","")</f>
        <v/>
      </c>
      <c r="F27" s="37"/>
    </row>
    <row r="28" customFormat="false" ht="45" hidden="false" customHeight="true" outlineLevel="0" collapsed="false">
      <c r="B28" s="36" t="s">
        <v>28</v>
      </c>
      <c r="C28" s="19" t="n">
        <v>0.5</v>
      </c>
      <c r="D28" s="22" t="s">
        <v>29</v>
      </c>
      <c r="E28" s="22"/>
      <c r="F28" s="22"/>
    </row>
    <row r="29" customFormat="false" ht="18.75" hidden="false" customHeight="true" outlineLevel="0" collapsed="false">
      <c r="B29" s="36" t="s">
        <v>30</v>
      </c>
      <c r="C29" s="19" t="n">
        <v>30</v>
      </c>
      <c r="D29" s="22" t="s">
        <v>31</v>
      </c>
      <c r="E29" s="22"/>
      <c r="F29" s="22"/>
    </row>
    <row r="30" customFormat="false" ht="45" hidden="false" customHeight="true" outlineLevel="0" collapsed="false">
      <c r="B30" s="36" t="s">
        <v>32</v>
      </c>
      <c r="C30" s="19" t="n">
        <v>100</v>
      </c>
      <c r="D30" s="23" t="s">
        <v>33</v>
      </c>
      <c r="E30" s="26" t="str">
        <f aca="false">IF(fmax_target&gt;100,"Desired switching frequency must be lower than 100 kHz",IF(fmax_target&lt;0.17,"Desired switching frequency must be higher than 170 Hz",""))</f>
        <v/>
      </c>
      <c r="F30" s="26"/>
    </row>
    <row r="31" customFormat="false" ht="18.75" hidden="false" customHeight="true" outlineLevel="0" collapsed="false">
      <c r="B31" s="21" t="s">
        <v>34</v>
      </c>
      <c r="C31" s="19" t="n">
        <v>50</v>
      </c>
      <c r="D31" s="23" t="s">
        <v>29</v>
      </c>
      <c r="E31" s="26" t="str">
        <f aca="false">IF(Vout_ovp&lt;=C24,"Vout_ovp must be &gt;Vout","")</f>
        <v/>
      </c>
      <c r="F31" s="26"/>
    </row>
    <row r="32" customFormat="false" ht="18.75" hidden="false" customHeight="true" outlineLevel="0" collapsed="false">
      <c r="B32" s="21" t="s">
        <v>35</v>
      </c>
      <c r="C32" s="19" t="n">
        <v>0.6</v>
      </c>
      <c r="D32" s="22" t="s">
        <v>25</v>
      </c>
      <c r="E32" s="22"/>
      <c r="F32" s="22"/>
    </row>
    <row r="33" customFormat="false" ht="37.5" hidden="false" customHeight="true" outlineLevel="0" collapsed="false">
      <c r="B33" s="36" t="s">
        <v>36</v>
      </c>
      <c r="C33" s="19" t="n">
        <v>20</v>
      </c>
      <c r="D33" s="22" t="s">
        <v>37</v>
      </c>
      <c r="E33" s="22"/>
      <c r="F33" s="22"/>
    </row>
    <row r="34" customFormat="false" ht="18.75" hidden="false" customHeight="true" outlineLevel="0" collapsed="false">
      <c r="B34" s="28" t="s">
        <v>38</v>
      </c>
      <c r="C34" s="38" t="n">
        <v>50</v>
      </c>
      <c r="D34" s="39" t="s">
        <v>39</v>
      </c>
      <c r="E34" s="39"/>
      <c r="F34" s="39"/>
    </row>
    <row r="35" customFormat="false" ht="15" hidden="false" customHeight="true" outlineLevel="0" collapsed="false">
      <c r="B35" s="40" t="str">
        <f aca="false">IF(fmax_target&gt;100,"DO NOT CONTINUE UNTIL DESIRED SWITCHING FREQUENCY VALUE IS DECREASED",IF(fmax_target&lt;0.17,"DO NOT CONTINUE UNTIL DESIRED SWITCHING FREQUENCY VALUE IS INCREASED",""))</f>
        <v/>
      </c>
      <c r="C35" s="40"/>
      <c r="D35" s="40"/>
      <c r="E35" s="40"/>
      <c r="F35" s="40"/>
    </row>
    <row r="36" customFormat="false" ht="15" hidden="false" customHeight="false" outlineLevel="0" collapsed="false">
      <c r="B36" s="41" t="s">
        <v>40</v>
      </c>
      <c r="C36" s="41"/>
      <c r="D36" s="41"/>
      <c r="E36" s="41"/>
      <c r="F36" s="41"/>
      <c r="G36" s="42"/>
    </row>
    <row r="37" customFormat="false" ht="15" hidden="false" customHeight="true" outlineLevel="0" collapsed="false">
      <c r="B37" s="43" t="s">
        <v>41</v>
      </c>
      <c r="C37" s="44" t="s">
        <v>42</v>
      </c>
      <c r="D37" s="44"/>
      <c r="E37" s="45" t="s">
        <v>43</v>
      </c>
      <c r="F37" s="45"/>
      <c r="G37" s="42"/>
    </row>
    <row r="38" customFormat="false" ht="15" hidden="false" customHeight="true" outlineLevel="0" collapsed="false">
      <c r="B38" s="46" t="s">
        <v>44</v>
      </c>
      <c r="C38" s="46"/>
      <c r="D38" s="46"/>
      <c r="E38" s="46"/>
      <c r="F38" s="46"/>
      <c r="G38" s="42"/>
    </row>
    <row r="39" customFormat="false" ht="49.5" hidden="false" customHeight="true" outlineLevel="0" collapsed="false">
      <c r="B39" s="47" t="s">
        <v>45</v>
      </c>
      <c r="C39" s="48" t="n">
        <v>100</v>
      </c>
      <c r="D39" s="49" t="s">
        <v>29</v>
      </c>
      <c r="E39" s="50" t="s">
        <v>46</v>
      </c>
      <c r="F39" s="50"/>
      <c r="G39" s="42"/>
    </row>
    <row r="40" customFormat="false" ht="102" hidden="false" customHeight="true" outlineLevel="0" collapsed="false">
      <c r="B40" s="51" t="s">
        <v>47</v>
      </c>
      <c r="C40" s="52" t="n">
        <f aca="false">Cbulk_rcmd</f>
        <v>123.435260240941</v>
      </c>
      <c r="D40" s="23" t="s">
        <v>48</v>
      </c>
      <c r="E40" s="53" t="s">
        <v>49</v>
      </c>
      <c r="F40" s="53"/>
      <c r="G40" s="42"/>
    </row>
    <row r="41" customFormat="false" ht="30" hidden="false" customHeight="true" outlineLevel="0" collapsed="false">
      <c r="B41" s="54" t="s">
        <v>50</v>
      </c>
      <c r="C41" s="55" t="n">
        <v>140</v>
      </c>
      <c r="D41" s="30" t="s">
        <v>48</v>
      </c>
      <c r="E41" s="56" t="s">
        <v>51</v>
      </c>
      <c r="F41" s="56"/>
      <c r="G41" s="42"/>
    </row>
    <row r="42" customFormat="false" ht="18.75" hidden="false" customHeight="true" outlineLevel="0" collapsed="false">
      <c r="B42" s="46" t="s">
        <v>52</v>
      </c>
      <c r="C42" s="46"/>
      <c r="D42" s="46"/>
      <c r="E42" s="46"/>
      <c r="F42" s="46"/>
    </row>
    <row r="43" customFormat="false" ht="30" hidden="false" customHeight="true" outlineLevel="0" collapsed="false">
      <c r="B43" s="28" t="s">
        <v>53</v>
      </c>
      <c r="C43" s="38" t="n">
        <v>1.25</v>
      </c>
      <c r="D43" s="30" t="s">
        <v>29</v>
      </c>
      <c r="E43" s="56" t="s">
        <v>54</v>
      </c>
      <c r="F43" s="56"/>
    </row>
    <row r="44" customFormat="false" ht="18.75" hidden="false" customHeight="true" outlineLevel="0" collapsed="false">
      <c r="B44" s="46" t="s">
        <v>55</v>
      </c>
      <c r="C44" s="46"/>
      <c r="D44" s="46"/>
      <c r="E44" s="46"/>
      <c r="F44" s="46"/>
    </row>
    <row r="45" customFormat="false" ht="30" hidden="false" customHeight="true" outlineLevel="0" collapsed="false">
      <c r="B45" s="28" t="s">
        <v>56</v>
      </c>
      <c r="C45" s="38" t="n">
        <v>0</v>
      </c>
      <c r="D45" s="30" t="s">
        <v>57</v>
      </c>
      <c r="E45" s="56" t="s">
        <v>58</v>
      </c>
      <c r="F45" s="56"/>
    </row>
    <row r="47" customFormat="false" ht="18.75" hidden="false" customHeight="true" outlineLevel="0" collapsed="false">
      <c r="B47" s="57" t="s">
        <v>59</v>
      </c>
      <c r="C47" s="57"/>
      <c r="D47" s="57"/>
      <c r="E47" s="57"/>
      <c r="F47" s="57"/>
    </row>
    <row r="48" customFormat="false" ht="18.75" hidden="false" customHeight="true" outlineLevel="0" collapsed="false">
      <c r="B48" s="58" t="s">
        <v>60</v>
      </c>
      <c r="C48" s="59" t="n">
        <f aca="false">Nps_ideal</f>
        <v>2.47282053858919</v>
      </c>
      <c r="D48" s="60"/>
      <c r="E48" s="27" t="s">
        <v>61</v>
      </c>
      <c r="F48" s="27"/>
    </row>
    <row r="49" customFormat="false" ht="60" hidden="false" customHeight="true" outlineLevel="0" collapsed="false">
      <c r="B49" s="58" t="s">
        <v>62</v>
      </c>
      <c r="C49" s="61" t="n">
        <v>2.769</v>
      </c>
      <c r="D49" s="62" t="s">
        <v>63</v>
      </c>
      <c r="E49" s="26" t="str">
        <f aca="false">IF(C49&gt;1.01*Nps_ideal,"Using a higher Nps than ideal may result in better efficiency but may limit operation at low input voltage",IF(C49&lt;0.99*Nps_ideal,"Using a lower Nps than ideal may result in deeper DCM operation at max load and may result in lower efficiency"," "))</f>
        <v>Using a higher Nps than ideal may result in better efficiency but may limit operation at low input voltage</v>
      </c>
      <c r="F49" s="26"/>
    </row>
    <row r="50" customFormat="false" ht="15.65" hidden="false" customHeight="false" outlineLevel="0" collapsed="false">
      <c r="B50" s="46" t="s">
        <v>64</v>
      </c>
      <c r="C50" s="46"/>
      <c r="D50" s="46"/>
      <c r="E50" s="46"/>
      <c r="F50" s="46"/>
    </row>
    <row r="51" customFormat="false" ht="15.65" hidden="false" customHeight="false" outlineLevel="0" collapsed="false">
      <c r="B51" s="51" t="s">
        <v>65</v>
      </c>
      <c r="C51" s="63" t="n">
        <f aca="false">Rcs_rcmd</f>
        <v>0.707631677574177</v>
      </c>
      <c r="D51" s="23" t="s">
        <v>66</v>
      </c>
      <c r="E51" s="27" t="s">
        <v>67</v>
      </c>
      <c r="F51" s="27"/>
      <c r="G51" s="64"/>
    </row>
    <row r="52" customFormat="false" ht="15.65" hidden="false" customHeight="false" outlineLevel="0" collapsed="false">
      <c r="B52" s="54" t="s">
        <v>68</v>
      </c>
      <c r="C52" s="65" t="n">
        <v>0.75</v>
      </c>
      <c r="D52" s="30" t="s">
        <v>66</v>
      </c>
      <c r="E52" s="66" t="s">
        <v>69</v>
      </c>
      <c r="F52" s="66"/>
      <c r="G52" s="64" t="str">
        <f aca="false">IF(Iocc&lt;Iocc_target,"Iocc will be less than target Iocc because Rcs is greater than recommended value","")</f>
        <v/>
      </c>
    </row>
    <row r="53" customFormat="false" ht="20.25" hidden="false" customHeight="true" outlineLevel="0" collapsed="false">
      <c r="B53" s="57" t="s">
        <v>70</v>
      </c>
      <c r="C53" s="57"/>
      <c r="D53" s="57"/>
      <c r="E53" s="57"/>
      <c r="F53" s="57"/>
    </row>
    <row r="54" customFormat="false" ht="18.75" hidden="false" customHeight="true" outlineLevel="0" collapsed="false">
      <c r="B54" s="51" t="s">
        <v>71</v>
      </c>
      <c r="C54" s="63" t="n">
        <f aca="false">Lp_rcmd</f>
        <v>586.763219598965</v>
      </c>
      <c r="D54" s="67" t="s">
        <v>72</v>
      </c>
      <c r="E54" s="68"/>
      <c r="F54" s="68"/>
      <c r="G54" s="64"/>
    </row>
    <row r="55" customFormat="false" ht="60" hidden="false" customHeight="true" outlineLevel="0" collapsed="false">
      <c r="B55" s="51" t="s">
        <v>73</v>
      </c>
      <c r="C55" s="69" t="n">
        <v>190</v>
      </c>
      <c r="D55" s="70" t="s">
        <v>72</v>
      </c>
      <c r="E55" s="26" t="str">
        <f aca="false">IF(ton_min&lt;tonmin_limit,"Increase the Primary Inductance to meet minimum on-time, tCSLEB, requirement, otherwise OVP fault at high input voltage may result","")</f>
        <v>Increase the Primary Inductance to meet minimum on-time, tCSLEB, requirement, otherwise OVP fault at high input voltage may result</v>
      </c>
      <c r="F55" s="26"/>
      <c r="G55" s="64" t="str">
        <f aca="false">IF(fmax&gt;100,"fmax &gt; 100kHz Design exceeds capability of part",IF(fmax&lt;32,"Design will operate only in the AM range, not all features may be available",""))</f>
        <v>fmax &gt; 100kHz Design exceeds capability of part</v>
      </c>
    </row>
    <row r="56" customFormat="false" ht="18.75" hidden="false" customHeight="true" outlineLevel="0" collapsed="false">
      <c r="B56" s="51" t="s">
        <v>74</v>
      </c>
      <c r="C56" s="63" t="n">
        <f aca="false">Npa_rcmd</f>
        <v>9.20545212765957</v>
      </c>
      <c r="D56" s="71" t="s">
        <v>75</v>
      </c>
      <c r="E56" s="71"/>
      <c r="F56" s="71"/>
    </row>
    <row r="57" customFormat="false" ht="60" hidden="false" customHeight="true" outlineLevel="0" collapsed="false">
      <c r="B57" s="54" t="s">
        <v>76</v>
      </c>
      <c r="C57" s="65" t="n">
        <v>9</v>
      </c>
      <c r="D57" s="72" t="s">
        <v>77</v>
      </c>
      <c r="E57" s="73" t="str">
        <f aca="false">IF(VDD&gt;25,"VDD may exceed its ABS MAX rating due to the targetted minimum output voltage during constant current regulation, a zener clamp is needed on VDD.  This will impact efficiency",IF(VDD&lt;9,"Decrease Primary to Auxiliary Turns Ratio",""))</f>
        <v/>
      </c>
      <c r="F57" s="73"/>
    </row>
    <row r="58" customFormat="false" ht="18.75" hidden="false" customHeight="true" outlineLevel="0" collapsed="false">
      <c r="B58" s="46" t="s">
        <v>78</v>
      </c>
      <c r="C58" s="46"/>
      <c r="D58" s="46"/>
      <c r="E58" s="46"/>
      <c r="F58" s="46"/>
    </row>
    <row r="59" customFormat="false" ht="18.75" hidden="false" customHeight="true" outlineLevel="0" collapsed="false">
      <c r="B59" s="74" t="s">
        <v>79</v>
      </c>
      <c r="C59" s="63" t="n">
        <f aca="false">Vds_min_rating</f>
        <v>653.682697237531</v>
      </c>
      <c r="D59" s="75" t="s">
        <v>29</v>
      </c>
      <c r="E59" s="76"/>
      <c r="F59" s="76"/>
    </row>
    <row r="60" customFormat="false" ht="47.25" hidden="false" customHeight="true" outlineLevel="0" collapsed="false">
      <c r="B60" s="21" t="s">
        <v>80</v>
      </c>
      <c r="C60" s="19" t="n">
        <v>700</v>
      </c>
      <c r="D60" s="23" t="s">
        <v>29</v>
      </c>
      <c r="E60" s="26" t="str">
        <f aca="false">IF(VDS_derating&gt;0.95,"Excessive leakage inductance voltage spikes during switching may result in exceeding the VDS rating of the FET ","")</f>
        <v/>
      </c>
      <c r="F60" s="26"/>
      <c r="G60" s="64"/>
    </row>
    <row r="61" customFormat="false" ht="30" hidden="false" customHeight="true" outlineLevel="0" collapsed="false">
      <c r="B61" s="21" t="s">
        <v>81</v>
      </c>
      <c r="C61" s="19" t="n">
        <v>150</v>
      </c>
      <c r="D61" s="22" t="s">
        <v>82</v>
      </c>
      <c r="E61" s="22"/>
      <c r="F61" s="22"/>
      <c r="G61" s="64" t="str">
        <f aca="false">IF((1-((tres_actual*us)*(fmax*kHz))-Ddemag_cc)&lt;(1-((2.1*us)*(fmax*kHz))-Ddemag_cc),"Design will not Valley Switch","")</f>
        <v/>
      </c>
    </row>
    <row r="62" customFormat="false" ht="30" hidden="false" customHeight="true" outlineLevel="0" collapsed="false">
      <c r="B62" s="21" t="s">
        <v>83</v>
      </c>
      <c r="C62" s="19" t="n">
        <v>1.4</v>
      </c>
      <c r="D62" s="22" t="s">
        <v>66</v>
      </c>
      <c r="E62" s="22"/>
      <c r="F62" s="22"/>
    </row>
    <row r="63" customFormat="false" ht="30" hidden="false" customHeight="true" outlineLevel="0" collapsed="false">
      <c r="B63" s="21" t="s">
        <v>84</v>
      </c>
      <c r="C63" s="19" t="n">
        <v>52</v>
      </c>
      <c r="D63" s="22" t="s">
        <v>85</v>
      </c>
      <c r="E63" s="22"/>
      <c r="F63" s="22"/>
    </row>
    <row r="64" customFormat="false" ht="30" hidden="false" customHeight="true" outlineLevel="0" collapsed="false">
      <c r="B64" s="21" t="s">
        <v>86</v>
      </c>
      <c r="C64" s="19" t="n">
        <v>80</v>
      </c>
      <c r="D64" s="22" t="s">
        <v>85</v>
      </c>
      <c r="E64" s="22"/>
      <c r="F64" s="22"/>
    </row>
    <row r="65" customFormat="false" ht="18.75" hidden="false" customHeight="true" outlineLevel="0" collapsed="false">
      <c r="B65" s="28" t="s">
        <v>87</v>
      </c>
      <c r="C65" s="38" t="n">
        <v>30</v>
      </c>
      <c r="D65" s="39" t="s">
        <v>88</v>
      </c>
      <c r="E65" s="39"/>
      <c r="F65" s="39"/>
    </row>
    <row r="66" customFormat="false" ht="13.8" hidden="false" customHeight="false" outlineLevel="0" collapsed="false">
      <c r="B66" s="77"/>
      <c r="C66" s="78"/>
      <c r="D66" s="77"/>
      <c r="E66" s="77"/>
      <c r="F66" s="77"/>
      <c r="G66" s="77"/>
      <c r="H66" s="77"/>
      <c r="I66" s="77"/>
      <c r="J66" s="77"/>
      <c r="K66" s="77"/>
      <c r="L66" s="77"/>
      <c r="M66" s="77"/>
    </row>
    <row r="67" customFormat="false" ht="15.65" hidden="false" customHeight="false" outlineLevel="0" collapsed="false">
      <c r="B67" s="46" t="s">
        <v>89</v>
      </c>
      <c r="C67" s="46"/>
      <c r="D67" s="46"/>
      <c r="E67" s="46"/>
      <c r="F67" s="46"/>
    </row>
    <row r="68" customFormat="false" ht="15.65" hidden="false" customHeight="false" outlineLevel="0" collapsed="false">
      <c r="B68" s="51" t="s">
        <v>90</v>
      </c>
      <c r="C68" s="63" t="n">
        <f aca="false">Cout_rcmd</f>
        <v>220</v>
      </c>
      <c r="D68" s="23" t="s">
        <v>48</v>
      </c>
      <c r="E68" s="27" t="s">
        <v>91</v>
      </c>
      <c r="F68" s="27"/>
    </row>
    <row r="69" customFormat="false" ht="15.65" hidden="false" customHeight="false" outlineLevel="0" collapsed="false">
      <c r="B69" s="51" t="s">
        <v>92</v>
      </c>
      <c r="C69" s="69" t="n">
        <v>221</v>
      </c>
      <c r="D69" s="23" t="s">
        <v>48</v>
      </c>
      <c r="E69" s="27" t="s">
        <v>93</v>
      </c>
      <c r="F69" s="27"/>
    </row>
    <row r="70" customFormat="false" ht="15.65" hidden="false" customHeight="false" outlineLevel="0" collapsed="false">
      <c r="B70" s="51" t="s">
        <v>94</v>
      </c>
      <c r="C70" s="63" t="n">
        <f aca="false">ESRrcmd</f>
        <v>10.5118721083592</v>
      </c>
      <c r="D70" s="23" t="s">
        <v>57</v>
      </c>
      <c r="E70" s="27" t="s">
        <v>95</v>
      </c>
      <c r="F70" s="27"/>
    </row>
    <row r="71" customFormat="false" ht="15.65" hidden="false" customHeight="false" outlineLevel="0" collapsed="false">
      <c r="B71" s="54" t="s">
        <v>96</v>
      </c>
      <c r="C71" s="65" t="n">
        <v>50</v>
      </c>
      <c r="D71" s="30" t="s">
        <v>57</v>
      </c>
      <c r="E71" s="66" t="s">
        <v>97</v>
      </c>
      <c r="F71" s="66"/>
    </row>
    <row r="72" customFormat="false" ht="15.65" hidden="false" customHeight="false" outlineLevel="0" collapsed="false">
      <c r="B72" s="57" t="s">
        <v>98</v>
      </c>
      <c r="C72" s="57"/>
      <c r="D72" s="57"/>
      <c r="E72" s="57"/>
      <c r="F72" s="57"/>
    </row>
    <row r="73" customFormat="false" ht="15.65" hidden="false" customHeight="false" outlineLevel="0" collapsed="false">
      <c r="B73" s="28" t="s">
        <v>99</v>
      </c>
      <c r="C73" s="38" t="n">
        <v>1.1</v>
      </c>
      <c r="D73" s="30" t="s">
        <v>29</v>
      </c>
      <c r="E73" s="79" t="s">
        <v>100</v>
      </c>
      <c r="F73" s="80" t="s">
        <v>101</v>
      </c>
    </row>
    <row r="74" customFormat="false" ht="15.65" hidden="false" customHeight="false" outlineLevel="0" collapsed="false">
      <c r="B74" s="46" t="s">
        <v>102</v>
      </c>
      <c r="C74" s="46"/>
      <c r="D74" s="46"/>
      <c r="E74" s="46"/>
      <c r="F74" s="46"/>
    </row>
    <row r="75" customFormat="false" ht="15.65" hidden="false" customHeight="false" outlineLevel="0" collapsed="false">
      <c r="B75" s="81" t="s">
        <v>103</v>
      </c>
      <c r="C75" s="82" t="n">
        <v>1.25</v>
      </c>
      <c r="D75" s="83" t="s">
        <v>29</v>
      </c>
      <c r="E75" s="83"/>
      <c r="F75" s="83"/>
    </row>
    <row r="76" customFormat="false" ht="15.65" hidden="false" customHeight="false" outlineLevel="0" collapsed="false">
      <c r="B76" s="46" t="s">
        <v>104</v>
      </c>
      <c r="C76" s="46"/>
      <c r="D76" s="46"/>
      <c r="E76" s="46"/>
      <c r="F76" s="46"/>
    </row>
    <row r="77" customFormat="false" ht="15.65" hidden="false" customHeight="false" outlineLevel="0" collapsed="false">
      <c r="B77" s="51" t="s">
        <v>105</v>
      </c>
      <c r="C77" s="63" t="n">
        <f aca="false">Rvs1_rcmd</f>
        <v>46.4</v>
      </c>
      <c r="D77" s="23" t="s">
        <v>106</v>
      </c>
      <c r="E77" s="27" t="s">
        <v>107</v>
      </c>
      <c r="F77" s="27"/>
    </row>
    <row r="78" customFormat="false" ht="15.65" hidden="false" customHeight="false" outlineLevel="0" collapsed="false">
      <c r="B78" s="84" t="s">
        <v>108</v>
      </c>
      <c r="C78" s="85" t="n">
        <v>46.4</v>
      </c>
      <c r="D78" s="30" t="s">
        <v>106</v>
      </c>
      <c r="E78" s="68" t="s">
        <v>109</v>
      </c>
      <c r="F78" s="68"/>
    </row>
    <row r="79" customFormat="false" ht="15.65" hidden="false" customHeight="false" outlineLevel="0" collapsed="false">
      <c r="B79" s="46" t="s">
        <v>110</v>
      </c>
      <c r="C79" s="46"/>
      <c r="D79" s="46"/>
      <c r="E79" s="46"/>
      <c r="F79" s="46"/>
    </row>
    <row r="80" customFormat="false" ht="15.65" hidden="false" customHeight="false" outlineLevel="0" collapsed="false">
      <c r="B80" s="51" t="s">
        <v>111</v>
      </c>
      <c r="C80" s="63" t="n">
        <f aca="false">Rvs2_rcmd</f>
        <v>20.5</v>
      </c>
      <c r="D80" s="23" t="s">
        <v>106</v>
      </c>
      <c r="E80" s="27" t="s">
        <v>112</v>
      </c>
      <c r="F80" s="27"/>
    </row>
    <row r="81" customFormat="false" ht="15.65" hidden="false" customHeight="false" outlineLevel="0" collapsed="false">
      <c r="B81" s="84" t="s">
        <v>113</v>
      </c>
      <c r="C81" s="85" t="n">
        <v>20.5</v>
      </c>
      <c r="D81" s="30" t="s">
        <v>106</v>
      </c>
      <c r="E81" s="68" t="s">
        <v>114</v>
      </c>
      <c r="F81" s="68"/>
    </row>
    <row r="82" customFormat="false" ht="15.65" hidden="false" customHeight="false" outlineLevel="0" collapsed="false">
      <c r="B82" s="46" t="s">
        <v>115</v>
      </c>
      <c r="C82" s="46"/>
      <c r="D82" s="46"/>
      <c r="E82" s="46"/>
      <c r="F82" s="46"/>
    </row>
    <row r="83" customFormat="false" ht="15.65" hidden="false" customHeight="false" outlineLevel="0" collapsed="false">
      <c r="B83" s="51" t="s">
        <v>116</v>
      </c>
      <c r="C83" s="63" t="n">
        <f aca="false">Rlc_rcmd</f>
        <v>5.36</v>
      </c>
      <c r="D83" s="23" t="s">
        <v>106</v>
      </c>
      <c r="E83" s="27" t="s">
        <v>117</v>
      </c>
      <c r="F83" s="27"/>
    </row>
    <row r="84" customFormat="false" ht="15.65" hidden="false" customHeight="false" outlineLevel="0" collapsed="false">
      <c r="B84" s="84" t="s">
        <v>118</v>
      </c>
      <c r="C84" s="85" t="n">
        <v>5.17</v>
      </c>
      <c r="D84" s="86" t="s">
        <v>106</v>
      </c>
      <c r="E84" s="87" t="s">
        <v>119</v>
      </c>
      <c r="F84" s="87"/>
    </row>
    <row r="85" customFormat="false" ht="15.65" hidden="false" customHeight="false" outlineLevel="0" collapsed="false">
      <c r="B85" s="88" t="s">
        <v>120</v>
      </c>
      <c r="C85" s="88"/>
      <c r="D85" s="88"/>
      <c r="E85" s="88"/>
      <c r="F85" s="88"/>
    </row>
    <row r="86" customFormat="false" ht="15.65" hidden="false" customHeight="false" outlineLevel="0" collapsed="false">
      <c r="B86" s="89" t="s">
        <v>121</v>
      </c>
      <c r="C86" s="48" t="n">
        <v>2.5</v>
      </c>
      <c r="D86" s="90" t="s">
        <v>29</v>
      </c>
      <c r="E86" s="90" t="s">
        <v>122</v>
      </c>
      <c r="F86" s="90"/>
    </row>
    <row r="87" customFormat="false" ht="15.65" hidden="false" customHeight="false" outlineLevel="0" collapsed="false">
      <c r="B87" s="89" t="s">
        <v>123</v>
      </c>
      <c r="C87" s="48" t="n">
        <v>4</v>
      </c>
      <c r="D87" s="91" t="s">
        <v>124</v>
      </c>
      <c r="E87" s="90" t="s">
        <v>125</v>
      </c>
      <c r="F87" s="90"/>
    </row>
    <row r="88" customFormat="false" ht="15.65" hidden="false" customHeight="false" outlineLevel="0" collapsed="false">
      <c r="B88" s="92" t="s">
        <v>126</v>
      </c>
      <c r="C88" s="93" t="n">
        <f aca="false">Rfb2_rcmd</f>
        <v>44.2</v>
      </c>
      <c r="D88" s="94" t="s">
        <v>127</v>
      </c>
      <c r="E88" s="95" t="s">
        <v>128</v>
      </c>
      <c r="F88" s="95"/>
    </row>
    <row r="89" customFormat="false" ht="15.65" hidden="false" customHeight="false" outlineLevel="0" collapsed="false">
      <c r="B89" s="92" t="s">
        <v>129</v>
      </c>
      <c r="C89" s="19" t="n">
        <v>44.2</v>
      </c>
      <c r="D89" s="94" t="s">
        <v>127</v>
      </c>
      <c r="E89" s="95" t="s">
        <v>130</v>
      </c>
      <c r="F89" s="95"/>
    </row>
    <row r="90" customFormat="false" ht="15.65" hidden="false" customHeight="false" outlineLevel="0" collapsed="false">
      <c r="B90" s="92" t="s">
        <v>131</v>
      </c>
      <c r="C90" s="93" t="n">
        <f aca="false">Rfb1_rcmd</f>
        <v>750</v>
      </c>
      <c r="D90" s="94" t="s">
        <v>127</v>
      </c>
      <c r="E90" s="95" t="s">
        <v>132</v>
      </c>
      <c r="F90" s="95"/>
    </row>
    <row r="91" customFormat="false" ht="15.65" hidden="false" customHeight="false" outlineLevel="0" collapsed="false">
      <c r="B91" s="92" t="s">
        <v>133</v>
      </c>
      <c r="C91" s="19" t="n">
        <v>750</v>
      </c>
      <c r="D91" s="94" t="s">
        <v>127</v>
      </c>
      <c r="E91" s="95" t="s">
        <v>134</v>
      </c>
      <c r="F91" s="95"/>
    </row>
    <row r="92" customFormat="false" ht="18.75" hidden="false" customHeight="true" outlineLevel="0" collapsed="false">
      <c r="B92" s="96" t="s">
        <v>135</v>
      </c>
      <c r="C92" s="19" t="n">
        <v>50</v>
      </c>
      <c r="D92" s="95" t="s">
        <v>136</v>
      </c>
      <c r="E92" s="95" t="s">
        <v>137</v>
      </c>
      <c r="F92" s="95"/>
    </row>
    <row r="93" customFormat="false" ht="13.8" hidden="false" customHeight="false" outlineLevel="0" collapsed="false">
      <c r="B93" s="96"/>
      <c r="C93" s="19"/>
      <c r="D93" s="95"/>
      <c r="E93" s="95"/>
      <c r="F93" s="95"/>
    </row>
    <row r="94" customFormat="false" ht="15.65" hidden="false" customHeight="false" outlineLevel="0" collapsed="false">
      <c r="B94" s="94" t="s">
        <v>138</v>
      </c>
      <c r="C94" s="19" t="n">
        <v>18</v>
      </c>
      <c r="D94" s="97" t="s">
        <v>139</v>
      </c>
      <c r="E94" s="95" t="s">
        <v>140</v>
      </c>
      <c r="F94" s="95"/>
    </row>
    <row r="95" customFormat="false" ht="15.65" hidden="false" customHeight="false" outlineLevel="0" collapsed="false">
      <c r="B95" s="94" t="s">
        <v>141</v>
      </c>
      <c r="C95" s="19" t="n">
        <v>100</v>
      </c>
      <c r="D95" s="97" t="s">
        <v>66</v>
      </c>
      <c r="E95" s="95" t="s">
        <v>142</v>
      </c>
      <c r="F95" s="95"/>
    </row>
    <row r="96" customFormat="false" ht="15.65" hidden="false" customHeight="false" outlineLevel="0" collapsed="false">
      <c r="B96" s="94" t="s">
        <v>143</v>
      </c>
      <c r="C96" s="19" t="n">
        <v>2</v>
      </c>
      <c r="D96" s="94" t="s">
        <v>33</v>
      </c>
      <c r="E96" s="95" t="s">
        <v>144</v>
      </c>
      <c r="F96" s="95"/>
    </row>
    <row r="97" customFormat="false" ht="15.65" hidden="false" customHeight="false" outlineLevel="0" collapsed="false">
      <c r="B97" s="94" t="s">
        <v>145</v>
      </c>
      <c r="C97" s="19" t="n">
        <v>1.2</v>
      </c>
      <c r="D97" s="94" t="s">
        <v>29</v>
      </c>
      <c r="E97" s="95" t="s">
        <v>146</v>
      </c>
      <c r="F97" s="95"/>
    </row>
    <row r="98" customFormat="false" ht="18.75" hidden="false" customHeight="true" outlineLevel="0" collapsed="false">
      <c r="B98" s="98" t="s">
        <v>147</v>
      </c>
      <c r="C98" s="99" t="n">
        <v>0</v>
      </c>
      <c r="D98" s="100" t="s">
        <v>48</v>
      </c>
      <c r="E98" s="95" t="s">
        <v>148</v>
      </c>
      <c r="F98" s="95"/>
    </row>
    <row r="99" customFormat="false" ht="13.8" hidden="false" customHeight="false" outlineLevel="0" collapsed="false">
      <c r="B99" s="98"/>
      <c r="C99" s="99"/>
      <c r="D99" s="100"/>
      <c r="E99" s="100"/>
      <c r="F99" s="95"/>
    </row>
    <row r="100" customFormat="false" ht="15.65" hidden="false" customHeight="false" outlineLevel="0" collapsed="false">
      <c r="B100" s="92" t="s">
        <v>149</v>
      </c>
      <c r="C100" s="19" t="n">
        <v>0.0015</v>
      </c>
      <c r="D100" s="97" t="s">
        <v>150</v>
      </c>
      <c r="E100" s="95" t="s">
        <v>151</v>
      </c>
      <c r="F100" s="95"/>
    </row>
    <row r="101" customFormat="false" ht="15.65" hidden="false" customHeight="false" outlineLevel="0" collapsed="false">
      <c r="B101" s="92" t="s">
        <v>152</v>
      </c>
      <c r="C101" s="93" t="n">
        <f aca="false">Cfb_rcmd</f>
        <v>0.047</v>
      </c>
      <c r="D101" s="97" t="s">
        <v>150</v>
      </c>
      <c r="E101" s="95" t="s">
        <v>153</v>
      </c>
      <c r="F101" s="95"/>
    </row>
    <row r="102" customFormat="false" ht="15.65" hidden="false" customHeight="false" outlineLevel="0" collapsed="false">
      <c r="B102" s="92" t="s">
        <v>154</v>
      </c>
      <c r="C102" s="19" t="n">
        <v>0.047</v>
      </c>
      <c r="D102" s="97" t="s">
        <v>150</v>
      </c>
      <c r="E102" s="95" t="s">
        <v>155</v>
      </c>
      <c r="F102" s="95"/>
    </row>
    <row r="103" customFormat="false" ht="15.65" hidden="false" customHeight="false" outlineLevel="0" collapsed="false">
      <c r="B103" s="92" t="s">
        <v>156</v>
      </c>
      <c r="C103" s="93" t="n">
        <f aca="false">R_fb4_rcmd</f>
        <v>22</v>
      </c>
      <c r="D103" s="94" t="s">
        <v>127</v>
      </c>
      <c r="E103" s="95" t="s">
        <v>157</v>
      </c>
      <c r="F103" s="95"/>
    </row>
    <row r="104" customFormat="false" ht="15.65" hidden="false" customHeight="false" outlineLevel="0" collapsed="false">
      <c r="B104" s="92" t="s">
        <v>158</v>
      </c>
      <c r="C104" s="19" t="n">
        <v>22</v>
      </c>
      <c r="D104" s="94" t="s">
        <v>127</v>
      </c>
      <c r="E104" s="95" t="s">
        <v>159</v>
      </c>
      <c r="F104" s="95"/>
    </row>
    <row r="105" customFormat="false" ht="15.65" hidden="false" customHeight="false" outlineLevel="0" collapsed="false">
      <c r="B105" s="92" t="s">
        <v>160</v>
      </c>
      <c r="C105" s="93" t="n">
        <f aca="false">Rtl_rcmd</f>
        <v>1.5</v>
      </c>
      <c r="D105" s="94" t="s">
        <v>127</v>
      </c>
      <c r="E105" s="95" t="s">
        <v>161</v>
      </c>
      <c r="F105" s="95"/>
    </row>
    <row r="106" customFormat="false" ht="15.65" hidden="false" customHeight="false" outlineLevel="0" collapsed="false">
      <c r="B106" s="92" t="s">
        <v>162</v>
      </c>
      <c r="C106" s="19" t="n">
        <v>1.5</v>
      </c>
      <c r="D106" s="94" t="s">
        <v>127</v>
      </c>
      <c r="E106" s="95" t="s">
        <v>163</v>
      </c>
      <c r="F106" s="95"/>
    </row>
    <row r="107" customFormat="false" ht="15.65" hidden="false" customHeight="false" outlineLevel="0" collapsed="false">
      <c r="B107" s="92" t="s">
        <v>164</v>
      </c>
      <c r="C107" s="93" t="n">
        <f aca="false">Cz_rcmd</f>
        <v>390</v>
      </c>
      <c r="D107" s="94" t="s">
        <v>82</v>
      </c>
      <c r="E107" s="95" t="s">
        <v>165</v>
      </c>
      <c r="F107" s="95"/>
    </row>
    <row r="108" customFormat="false" ht="15.65" hidden="false" customHeight="false" outlineLevel="0" collapsed="false">
      <c r="B108" s="92" t="s">
        <v>166</v>
      </c>
      <c r="C108" s="19" t="n">
        <v>1500</v>
      </c>
      <c r="D108" s="94" t="s">
        <v>82</v>
      </c>
      <c r="E108" s="95" t="s">
        <v>167</v>
      </c>
      <c r="F108" s="95"/>
    </row>
  </sheetData>
  <sheetProtection sheet="true" objects="true" scenarios="true"/>
  <mergeCells count="105">
    <mergeCell ref="B1:F1"/>
    <mergeCell ref="B3:F3"/>
    <mergeCell ref="B4:F7"/>
    <mergeCell ref="B8:F8"/>
    <mergeCell ref="B9:F9"/>
    <mergeCell ref="B10:F10"/>
    <mergeCell ref="B11:F11"/>
    <mergeCell ref="B12:F13"/>
    <mergeCell ref="B14:F14"/>
    <mergeCell ref="B15:F15"/>
    <mergeCell ref="D16:F16"/>
    <mergeCell ref="D17:F17"/>
    <mergeCell ref="E18:F18"/>
    <mergeCell ref="E19:F19"/>
    <mergeCell ref="E20:F20"/>
    <mergeCell ref="E21:F21"/>
    <mergeCell ref="B22:F22"/>
    <mergeCell ref="B23:F23"/>
    <mergeCell ref="D24:F24"/>
    <mergeCell ref="D25:F25"/>
    <mergeCell ref="E26:F26"/>
    <mergeCell ref="E27:F27"/>
    <mergeCell ref="D28:F28"/>
    <mergeCell ref="D29:F29"/>
    <mergeCell ref="E30:F30"/>
    <mergeCell ref="E31:F31"/>
    <mergeCell ref="D32:F32"/>
    <mergeCell ref="D33:F33"/>
    <mergeCell ref="D34:F34"/>
    <mergeCell ref="B35:F35"/>
    <mergeCell ref="B36:F36"/>
    <mergeCell ref="C37:D37"/>
    <mergeCell ref="E37:F37"/>
    <mergeCell ref="B38:F38"/>
    <mergeCell ref="E39:F39"/>
    <mergeCell ref="E40:F40"/>
    <mergeCell ref="E41:F41"/>
    <mergeCell ref="B42:F42"/>
    <mergeCell ref="E43:F43"/>
    <mergeCell ref="B44:F44"/>
    <mergeCell ref="E45:F45"/>
    <mergeCell ref="B47:F47"/>
    <mergeCell ref="E48:F48"/>
    <mergeCell ref="E49:F49"/>
    <mergeCell ref="B50:F50"/>
    <mergeCell ref="E51:F51"/>
    <mergeCell ref="E52:F52"/>
    <mergeCell ref="B53:F53"/>
    <mergeCell ref="E54:F54"/>
    <mergeCell ref="E55:F55"/>
    <mergeCell ref="D56:F56"/>
    <mergeCell ref="E57:F57"/>
    <mergeCell ref="B58:F58"/>
    <mergeCell ref="E59:F59"/>
    <mergeCell ref="E60:F60"/>
    <mergeCell ref="D61:F61"/>
    <mergeCell ref="D62:F62"/>
    <mergeCell ref="D63:F63"/>
    <mergeCell ref="D64:F64"/>
    <mergeCell ref="D65:F65"/>
    <mergeCell ref="B67:F67"/>
    <mergeCell ref="E68:F68"/>
    <mergeCell ref="E69:F69"/>
    <mergeCell ref="E70:F70"/>
    <mergeCell ref="E71:F71"/>
    <mergeCell ref="B72:F72"/>
    <mergeCell ref="B74:F74"/>
    <mergeCell ref="D75:F75"/>
    <mergeCell ref="B76:F76"/>
    <mergeCell ref="E77:F77"/>
    <mergeCell ref="E78:F78"/>
    <mergeCell ref="B79:F79"/>
    <mergeCell ref="E80:F80"/>
    <mergeCell ref="E81:F81"/>
    <mergeCell ref="B82:F82"/>
    <mergeCell ref="E83:F83"/>
    <mergeCell ref="E84:F84"/>
    <mergeCell ref="B85:F85"/>
    <mergeCell ref="E86:F86"/>
    <mergeCell ref="E87:F87"/>
    <mergeCell ref="E88:F88"/>
    <mergeCell ref="E89:F89"/>
    <mergeCell ref="E90:F90"/>
    <mergeCell ref="E91:F91"/>
    <mergeCell ref="B92:B93"/>
    <mergeCell ref="C92:C93"/>
    <mergeCell ref="D92:D93"/>
    <mergeCell ref="E92:F93"/>
    <mergeCell ref="E94:F94"/>
    <mergeCell ref="E95:F95"/>
    <mergeCell ref="E96:F96"/>
    <mergeCell ref="E97:F97"/>
    <mergeCell ref="B98:B99"/>
    <mergeCell ref="C98:C99"/>
    <mergeCell ref="D98:D99"/>
    <mergeCell ref="E98:F99"/>
    <mergeCell ref="E100:F100"/>
    <mergeCell ref="E101:F101"/>
    <mergeCell ref="E102:F102"/>
    <mergeCell ref="E103:F103"/>
    <mergeCell ref="E104:F104"/>
    <mergeCell ref="E105:F105"/>
    <mergeCell ref="E106:F106"/>
    <mergeCell ref="E107:F107"/>
    <mergeCell ref="E108:F108"/>
  </mergeCells>
  <dataValidations count="2">
    <dataValidation allowBlank="false" operator="equal" prompt="Choose either AC or DC from the drop-down menu." promptTitle="Select Input Voltage Type" showDropDown="false" showErrorMessage="true" showInputMessage="false" sqref="C16" type="list">
      <formula1>'LOOKUP TABLES AND DROPDOWN LIST'!$B$1:$B$2</formula1>
      <formula2>0</formula2>
    </dataValidation>
    <dataValidation allowBlank="true" operator="between" prompt="User must enter a value up to 100kHz" showDropDown="false" showErrorMessage="false" showInputMessage="true" sqref="C30" type="custom">
      <formula1>"&lt;100"</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29:F146"/>
  <sheetViews>
    <sheetView showFormulas="false" showGridLines="true" showRowColHeaders="true" showZeros="true" rightToLeft="false" tabSelected="false" showOutlineSymbols="true" defaultGridColor="true" view="normal" topLeftCell="A91" colorId="64" zoomScale="75" zoomScaleNormal="75" zoomScalePageLayoutView="100" workbookViewId="0">
      <selection pane="topLeft" activeCell="C150" activeCellId="0" sqref="C150"/>
    </sheetView>
  </sheetViews>
  <sheetFormatPr defaultColWidth="9.23828125" defaultRowHeight="15" zeroHeight="false" outlineLevelRow="0" outlineLevelCol="0"/>
  <cols>
    <col collapsed="false" customWidth="true" hidden="false" outlineLevel="0" max="1" min="1" style="101" width="9.13"/>
    <col collapsed="false" customWidth="true" hidden="false" outlineLevel="0" max="2" min="2" style="101" width="36.71"/>
    <col collapsed="false" customWidth="true" hidden="false" outlineLevel="0" max="3" min="3" style="101" width="42"/>
    <col collapsed="false" customWidth="true" hidden="false" outlineLevel="0" max="4" min="4" style="101" width="12.71"/>
    <col collapsed="false" customWidth="true" hidden="false" outlineLevel="0" max="5" min="5" style="101" width="5.7"/>
    <col collapsed="false" customWidth="true" hidden="false" outlineLevel="0" max="6" min="6" style="101" width="20.14"/>
    <col collapsed="false" customWidth="true" hidden="false" outlineLevel="0" max="64" min="7" style="101" width="9.13"/>
  </cols>
  <sheetData>
    <row r="29" customFormat="false" ht="19.7" hidden="false" customHeight="false" outlineLevel="0" collapsed="false">
      <c r="B29" s="102" t="s">
        <v>168</v>
      </c>
      <c r="C29" s="102"/>
      <c r="D29" s="102"/>
      <c r="E29" s="102"/>
      <c r="F29" s="102"/>
    </row>
    <row r="30" customFormat="false" ht="17.35" hidden="false" customHeight="false" outlineLevel="0" collapsed="false">
      <c r="B30" s="103" t="s">
        <v>169</v>
      </c>
      <c r="C30" s="104" t="s">
        <v>170</v>
      </c>
      <c r="D30" s="104"/>
      <c r="E30" s="104"/>
      <c r="F30" s="104"/>
    </row>
    <row r="31" customFormat="false" ht="15" hidden="false" customHeight="false" outlineLevel="0" collapsed="false">
      <c r="B31" s="105"/>
      <c r="C31" s="105"/>
      <c r="D31" s="105"/>
      <c r="E31" s="105"/>
      <c r="F31" s="105"/>
    </row>
    <row r="32" customFormat="false" ht="15" hidden="false" customHeight="false" outlineLevel="0" collapsed="false">
      <c r="B32" s="106" t="s">
        <v>171</v>
      </c>
      <c r="C32" s="107" t="s">
        <v>172</v>
      </c>
      <c r="D32" s="108" t="n">
        <f aca="false">Vbridge</f>
        <v>400</v>
      </c>
      <c r="E32" s="109" t="str">
        <f aca="false">CALCULATIONS!D48</f>
        <v>V</v>
      </c>
      <c r="F32" s="109"/>
    </row>
    <row r="33" customFormat="false" ht="15" hidden="false" customHeight="false" outlineLevel="0" collapsed="false">
      <c r="B33" s="106"/>
      <c r="C33" s="110" t="s">
        <v>173</v>
      </c>
      <c r="D33" s="111" t="n">
        <f aca="false">Ibridge</f>
        <v>0.620833548766438</v>
      </c>
      <c r="E33" s="112" t="str">
        <f aca="false">CALCULATIONS!D49</f>
        <v>A</v>
      </c>
      <c r="F33" s="112"/>
    </row>
    <row r="34" customFormat="false" ht="15" hidden="false" customHeight="false" outlineLevel="0" collapsed="false">
      <c r="B34" s="106"/>
      <c r="C34" s="113" t="s">
        <v>174</v>
      </c>
      <c r="D34" s="114" t="n">
        <f aca="false">Pbridge</f>
        <v>1699.83995069141</v>
      </c>
      <c r="E34" s="115" t="str">
        <f aca="false">CALCULATIONS!D51</f>
        <v>mW</v>
      </c>
      <c r="F34" s="115"/>
    </row>
    <row r="35" customFormat="false" ht="15" hidden="false" customHeight="false" outlineLevel="0" collapsed="false">
      <c r="B35" s="105"/>
      <c r="C35" s="105"/>
      <c r="D35" s="105"/>
      <c r="E35" s="105"/>
      <c r="F35" s="105"/>
    </row>
    <row r="36" customFormat="false" ht="19.5" hidden="false" customHeight="true" outlineLevel="0" collapsed="false">
      <c r="B36" s="106" t="s">
        <v>175</v>
      </c>
      <c r="C36" s="116" t="s">
        <v>176</v>
      </c>
      <c r="D36" s="117" t="s">
        <v>177</v>
      </c>
      <c r="E36" s="117"/>
      <c r="F36" s="117"/>
    </row>
    <row r="37" customFormat="false" ht="15" hidden="false" customHeight="true" outlineLevel="0" collapsed="false">
      <c r="B37" s="106"/>
      <c r="C37" s="110" t="s">
        <v>178</v>
      </c>
      <c r="D37" s="118" t="n">
        <f aca="false">Cbulk</f>
        <v>140</v>
      </c>
      <c r="E37" s="118" t="str">
        <f aca="false">CALCULATIONS!D37</f>
        <v>µF</v>
      </c>
      <c r="F37" s="119" t="s">
        <v>179</v>
      </c>
    </row>
    <row r="38" customFormat="false" ht="15" hidden="false" customHeight="true" outlineLevel="0" collapsed="false">
      <c r="B38" s="106"/>
      <c r="C38" s="110" t="s">
        <v>180</v>
      </c>
      <c r="D38" s="118" t="n">
        <f aca="false">Vcin_rated</f>
        <v>400</v>
      </c>
      <c r="E38" s="112" t="str">
        <f aca="false">CALCULATIONS!D41</f>
        <v>V</v>
      </c>
      <c r="F38" s="112"/>
    </row>
    <row r="39" customFormat="false" ht="15.75" hidden="false" customHeight="true" outlineLevel="0" collapsed="false">
      <c r="B39" s="106"/>
      <c r="C39" s="113" t="s">
        <v>181</v>
      </c>
      <c r="D39" s="114" t="n">
        <f aca="false">Icin</f>
        <v>772.654523041549</v>
      </c>
      <c r="E39" s="115" t="str">
        <f aca="false">CALCULATIONS!D40</f>
        <v>mA</v>
      </c>
      <c r="F39" s="115"/>
    </row>
    <row r="40" customFormat="false" ht="16.5" hidden="false" customHeight="true" outlineLevel="0" collapsed="false">
      <c r="B40" s="105"/>
      <c r="C40" s="105"/>
      <c r="D40" s="105"/>
      <c r="E40" s="105"/>
      <c r="F40" s="105"/>
    </row>
    <row r="41" customFormat="false" ht="16.5" hidden="false" customHeight="true" outlineLevel="0" collapsed="false">
      <c r="B41" s="106" t="s">
        <v>182</v>
      </c>
      <c r="C41" s="116" t="s">
        <v>176</v>
      </c>
      <c r="D41" s="117" t="s">
        <v>183</v>
      </c>
      <c r="E41" s="117"/>
      <c r="F41" s="117"/>
    </row>
    <row r="42" customFormat="false" ht="15.75" hidden="false" customHeight="true" outlineLevel="0" collapsed="false">
      <c r="B42" s="106"/>
      <c r="C42" s="110" t="s">
        <v>178</v>
      </c>
      <c r="D42" s="118" t="n">
        <f aca="false">Cext</f>
        <v>0.0015</v>
      </c>
      <c r="E42" s="118" t="str">
        <f aca="false">CALCULATIONS!D236</f>
        <v>µF</v>
      </c>
      <c r="F42" s="120" t="s">
        <v>184</v>
      </c>
    </row>
    <row r="43" customFormat="false" ht="15.75" hidden="false" customHeight="true" outlineLevel="0" collapsed="false">
      <c r="B43" s="106"/>
      <c r="C43" s="113" t="s">
        <v>180</v>
      </c>
      <c r="D43" s="121" t="n">
        <v>50</v>
      </c>
      <c r="E43" s="115" t="s">
        <v>29</v>
      </c>
      <c r="F43" s="115"/>
    </row>
    <row r="44" customFormat="false" ht="15.75" hidden="false" customHeight="true" outlineLevel="0" collapsed="false">
      <c r="B44" s="105"/>
      <c r="C44" s="105"/>
      <c r="D44" s="105"/>
      <c r="E44" s="105"/>
      <c r="F44" s="105"/>
    </row>
    <row r="45" customFormat="false" ht="15.75" hidden="false" customHeight="true" outlineLevel="0" collapsed="false">
      <c r="B45" s="106" t="s">
        <v>185</v>
      </c>
      <c r="C45" s="116" t="s">
        <v>176</v>
      </c>
      <c r="D45" s="117" t="s">
        <v>183</v>
      </c>
      <c r="E45" s="117"/>
      <c r="F45" s="117"/>
    </row>
    <row r="46" customFormat="false" ht="15.75" hidden="false" customHeight="true" outlineLevel="0" collapsed="false">
      <c r="B46" s="106"/>
      <c r="C46" s="110" t="s">
        <v>178</v>
      </c>
      <c r="D46" s="118" t="n">
        <f aca="false">CALCULATIONS!C238</f>
        <v>0.047</v>
      </c>
      <c r="E46" s="118" t="str">
        <f aca="false">CALCULATIONS!D238</f>
        <v>µF</v>
      </c>
      <c r="F46" s="120" t="s">
        <v>184</v>
      </c>
    </row>
    <row r="47" customFormat="false" ht="15.75" hidden="false" customHeight="true" outlineLevel="0" collapsed="false">
      <c r="B47" s="106"/>
      <c r="C47" s="113" t="s">
        <v>180</v>
      </c>
      <c r="D47" s="121" t="n">
        <v>10</v>
      </c>
      <c r="E47" s="115" t="s">
        <v>29</v>
      </c>
      <c r="F47" s="115"/>
    </row>
    <row r="48" customFormat="false" ht="15.75" hidden="false" customHeight="true" outlineLevel="0" collapsed="false">
      <c r="B48" s="105"/>
      <c r="C48" s="105"/>
      <c r="D48" s="105"/>
      <c r="E48" s="105"/>
      <c r="F48" s="105"/>
    </row>
    <row r="49" customFormat="false" ht="15.75" hidden="false" customHeight="true" outlineLevel="0" collapsed="false">
      <c r="B49" s="106" t="s">
        <v>186</v>
      </c>
      <c r="C49" s="116" t="s">
        <v>176</v>
      </c>
      <c r="D49" s="117" t="s">
        <v>177</v>
      </c>
      <c r="E49" s="117"/>
      <c r="F49" s="117"/>
    </row>
    <row r="50" customFormat="false" ht="15.75" hidden="false" customHeight="true" outlineLevel="0" collapsed="false">
      <c r="B50" s="106"/>
      <c r="C50" s="110" t="s">
        <v>187</v>
      </c>
      <c r="D50" s="118" t="n">
        <f aca="false">Cout</f>
        <v>221</v>
      </c>
      <c r="E50" s="118" t="str">
        <f aca="false">CALCULATIONS!D154</f>
        <v>µF</v>
      </c>
      <c r="F50" s="119" t="s">
        <v>179</v>
      </c>
    </row>
    <row r="51" customFormat="false" ht="15.75" hidden="false" customHeight="true" outlineLevel="0" collapsed="false">
      <c r="B51" s="106"/>
      <c r="C51" s="110" t="s">
        <v>180</v>
      </c>
      <c r="D51" s="111" t="n">
        <f aca="false">Vout_cv</f>
        <v>45</v>
      </c>
      <c r="E51" s="112" t="str">
        <f aca="false">CALCULATIONS!D16</f>
        <v>V</v>
      </c>
      <c r="F51" s="112"/>
    </row>
    <row r="52" customFormat="false" ht="15.75" hidden="false" customHeight="true" outlineLevel="0" collapsed="false">
      <c r="B52" s="106"/>
      <c r="C52" s="110" t="s">
        <v>181</v>
      </c>
      <c r="D52" s="111" t="n">
        <f aca="false">Icout_rms</f>
        <v>0.944066649526369</v>
      </c>
      <c r="E52" s="112" t="str">
        <f aca="false">CALCULATIONS!D155</f>
        <v>A</v>
      </c>
      <c r="F52" s="112"/>
    </row>
    <row r="53" customFormat="false" ht="15.75" hidden="false" customHeight="true" outlineLevel="0" collapsed="false">
      <c r="B53" s="106"/>
      <c r="C53" s="113" t="s">
        <v>188</v>
      </c>
      <c r="D53" s="114" t="n">
        <f aca="false">ESRrcmd</f>
        <v>10.5118721083592</v>
      </c>
      <c r="E53" s="115" t="str">
        <f aca="false">CALCULATIONS!D156</f>
        <v>mΩ</v>
      </c>
      <c r="F53" s="115"/>
    </row>
    <row r="54" customFormat="false" ht="15.75" hidden="false" customHeight="true" outlineLevel="0" collapsed="false">
      <c r="B54" s="105"/>
      <c r="C54" s="105"/>
      <c r="D54" s="105"/>
      <c r="E54" s="105"/>
      <c r="F54" s="105"/>
    </row>
    <row r="55" customFormat="false" ht="15.75" hidden="false" customHeight="true" outlineLevel="0" collapsed="false">
      <c r="B55" s="106" t="s">
        <v>189</v>
      </c>
      <c r="C55" s="116" t="s">
        <v>176</v>
      </c>
      <c r="D55" s="117" t="s">
        <v>183</v>
      </c>
      <c r="E55" s="117"/>
      <c r="F55" s="117"/>
    </row>
    <row r="56" customFormat="false" ht="15.75" hidden="false" customHeight="true" outlineLevel="0" collapsed="false">
      <c r="B56" s="106"/>
      <c r="C56" s="110" t="s">
        <v>178</v>
      </c>
      <c r="D56" s="118" t="n">
        <v>1</v>
      </c>
      <c r="E56" s="118" t="s">
        <v>48</v>
      </c>
      <c r="F56" s="120" t="s">
        <v>184</v>
      </c>
    </row>
    <row r="57" customFormat="false" ht="15.75" hidden="false" customHeight="true" outlineLevel="0" collapsed="false">
      <c r="B57" s="106"/>
      <c r="C57" s="113" t="s">
        <v>180</v>
      </c>
      <c r="D57" s="121" t="n">
        <v>10</v>
      </c>
      <c r="E57" s="115" t="s">
        <v>29</v>
      </c>
      <c r="F57" s="115"/>
    </row>
    <row r="58" customFormat="false" ht="15.75" hidden="false" customHeight="true" outlineLevel="0" collapsed="false">
      <c r="B58" s="105"/>
      <c r="C58" s="105"/>
      <c r="D58" s="105"/>
      <c r="E58" s="105"/>
      <c r="F58" s="105"/>
    </row>
    <row r="59" customFormat="false" ht="15.75" hidden="false" customHeight="true" outlineLevel="0" collapsed="false">
      <c r="B59" s="106" t="s">
        <v>190</v>
      </c>
      <c r="C59" s="116" t="s">
        <v>176</v>
      </c>
      <c r="D59" s="117" t="s">
        <v>183</v>
      </c>
      <c r="E59" s="117"/>
      <c r="F59" s="117"/>
    </row>
    <row r="60" customFormat="false" ht="15.75" hidden="false" customHeight="true" outlineLevel="0" collapsed="false">
      <c r="B60" s="106"/>
      <c r="C60" s="110" t="s">
        <v>187</v>
      </c>
      <c r="D60" s="118" t="n">
        <f aca="false">Cvdd_rcmd</f>
        <v>10</v>
      </c>
      <c r="E60" s="122" t="str">
        <f aca="false">CALCULATIONS!D209</f>
        <v>µF</v>
      </c>
      <c r="F60" s="120" t="s">
        <v>184</v>
      </c>
    </row>
    <row r="61" customFormat="false" ht="15.75" hidden="false" customHeight="true" outlineLevel="0" collapsed="false">
      <c r="B61" s="106"/>
      <c r="C61" s="113" t="s">
        <v>191</v>
      </c>
      <c r="D61" s="121" t="n">
        <v>50</v>
      </c>
      <c r="E61" s="115" t="s">
        <v>29</v>
      </c>
      <c r="F61" s="115"/>
    </row>
    <row r="62" customFormat="false" ht="15.75" hidden="false" customHeight="true" outlineLevel="0" collapsed="false">
      <c r="B62" s="105"/>
      <c r="C62" s="105"/>
      <c r="D62" s="105"/>
      <c r="E62" s="105"/>
      <c r="F62" s="105"/>
    </row>
    <row r="63" customFormat="false" ht="15.75" hidden="false" customHeight="true" outlineLevel="0" collapsed="false">
      <c r="B63" s="106" t="s">
        <v>192</v>
      </c>
      <c r="C63" s="116" t="s">
        <v>176</v>
      </c>
      <c r="D63" s="117" t="s">
        <v>183</v>
      </c>
      <c r="E63" s="117"/>
      <c r="F63" s="117"/>
    </row>
    <row r="64" customFormat="false" ht="15.75" hidden="false" customHeight="true" outlineLevel="0" collapsed="false">
      <c r="B64" s="106"/>
      <c r="C64" s="110" t="s">
        <v>178</v>
      </c>
      <c r="D64" s="118" t="n">
        <f aca="false">Cz_actual</f>
        <v>1500</v>
      </c>
      <c r="E64" s="118" t="str">
        <f aca="false">CALCULATIONS!D251</f>
        <v>pF</v>
      </c>
      <c r="F64" s="120" t="s">
        <v>184</v>
      </c>
    </row>
    <row r="65" customFormat="false" ht="15.75" hidden="false" customHeight="true" outlineLevel="0" collapsed="false">
      <c r="B65" s="106"/>
      <c r="C65" s="113" t="s">
        <v>191</v>
      </c>
      <c r="D65" s="121" t="n">
        <v>10</v>
      </c>
      <c r="E65" s="121" t="s">
        <v>29</v>
      </c>
      <c r="F65" s="123"/>
    </row>
    <row r="66" customFormat="false" ht="15.75" hidden="false" customHeight="true" outlineLevel="0" collapsed="false">
      <c r="B66" s="105"/>
      <c r="C66" s="105"/>
      <c r="D66" s="105"/>
      <c r="E66" s="105"/>
      <c r="F66" s="105"/>
    </row>
    <row r="67" customFormat="false" ht="15.75" hidden="false" customHeight="true" outlineLevel="0" collapsed="false">
      <c r="B67" s="106" t="s">
        <v>193</v>
      </c>
      <c r="C67" s="107" t="s">
        <v>176</v>
      </c>
      <c r="D67" s="117" t="s">
        <v>194</v>
      </c>
      <c r="E67" s="117"/>
      <c r="F67" s="117"/>
    </row>
    <row r="68" customFormat="false" ht="15.75" hidden="false" customHeight="true" outlineLevel="0" collapsed="false">
      <c r="B68" s="106"/>
      <c r="C68" s="110" t="s">
        <v>195</v>
      </c>
      <c r="D68" s="111" t="n">
        <f aca="false">VDbias_blocking</f>
        <v>68.4653160032078</v>
      </c>
      <c r="E68" s="112" t="str">
        <f aca="false">CALCULATIONS!D143</f>
        <v>V</v>
      </c>
      <c r="F68" s="112"/>
    </row>
    <row r="69" customFormat="false" ht="15.75" hidden="false" customHeight="true" outlineLevel="0" collapsed="false">
      <c r="B69" s="106"/>
      <c r="C69" s="113" t="s">
        <v>196</v>
      </c>
      <c r="D69" s="121" t="n">
        <v>250</v>
      </c>
      <c r="E69" s="115" t="s">
        <v>197</v>
      </c>
      <c r="F69" s="115"/>
    </row>
    <row r="70" customFormat="false" ht="15.75" hidden="false" customHeight="true" outlineLevel="0" collapsed="false">
      <c r="B70" s="105"/>
      <c r="C70" s="105"/>
      <c r="D70" s="105"/>
      <c r="E70" s="105"/>
      <c r="F70" s="105"/>
    </row>
    <row r="71" customFormat="false" ht="15.75" hidden="false" customHeight="true" outlineLevel="0" collapsed="false">
      <c r="B71" s="106" t="s">
        <v>198</v>
      </c>
      <c r="C71" s="107" t="s">
        <v>176</v>
      </c>
      <c r="D71" s="124" t="s">
        <v>199</v>
      </c>
      <c r="E71" s="125"/>
      <c r="F71" s="126"/>
    </row>
    <row r="72" customFormat="false" ht="15.75" hidden="false" customHeight="true" outlineLevel="0" collapsed="false">
      <c r="B72" s="106"/>
      <c r="C72" s="110" t="s">
        <v>200</v>
      </c>
      <c r="D72" s="111" t="n">
        <f aca="false">Vdrain_clamp</f>
        <v>162.16715597113</v>
      </c>
      <c r="E72" s="112" t="str">
        <f aca="false">CALCULATIONS!D133</f>
        <v>V</v>
      </c>
      <c r="F72" s="112"/>
    </row>
    <row r="73" customFormat="false" ht="15.75" hidden="false" customHeight="true" outlineLevel="0" collapsed="false">
      <c r="B73" s="106"/>
      <c r="C73" s="113" t="s">
        <v>201</v>
      </c>
      <c r="D73" s="114" t="n">
        <v>600</v>
      </c>
      <c r="E73" s="115" t="s">
        <v>202</v>
      </c>
      <c r="F73" s="115"/>
    </row>
    <row r="74" customFormat="false" ht="15.75" hidden="false" customHeight="true" outlineLevel="0" collapsed="false">
      <c r="B74" s="105"/>
      <c r="C74" s="105"/>
      <c r="D74" s="105"/>
      <c r="E74" s="105"/>
      <c r="F74" s="105"/>
    </row>
    <row r="75" customFormat="false" ht="15.75" hidden="false" customHeight="true" outlineLevel="0" collapsed="false">
      <c r="B75" s="106" t="s">
        <v>203</v>
      </c>
      <c r="C75" s="107" t="s">
        <v>176</v>
      </c>
      <c r="D75" s="127" t="s">
        <v>204</v>
      </c>
      <c r="E75" s="127"/>
      <c r="F75" s="127"/>
    </row>
    <row r="76" customFormat="false" ht="15.75" hidden="false" customHeight="true" outlineLevel="0" collapsed="false">
      <c r="B76" s="106"/>
      <c r="C76" s="110" t="s">
        <v>205</v>
      </c>
      <c r="D76" s="111" t="n">
        <f aca="false">Vdout_blocking</f>
        <v>243.908902130733</v>
      </c>
      <c r="E76" s="112" t="str">
        <f aca="false">CALCULATIONS!D137</f>
        <v>V</v>
      </c>
      <c r="F76" s="112"/>
    </row>
    <row r="77" customFormat="false" ht="15.75" hidden="false" customHeight="true" outlineLevel="0" collapsed="false">
      <c r="B77" s="106"/>
      <c r="C77" s="110" t="s">
        <v>206</v>
      </c>
      <c r="D77" s="111" t="n">
        <f aca="false">Idout</f>
        <v>1.07417495896444</v>
      </c>
      <c r="E77" s="112" t="str">
        <f aca="false">CALCULATIONS!D138</f>
        <v>A</v>
      </c>
      <c r="F77" s="112"/>
    </row>
    <row r="78" customFormat="false" ht="15.75" hidden="false" customHeight="true" outlineLevel="0" collapsed="false">
      <c r="B78" s="106"/>
      <c r="C78" s="113" t="s">
        <v>174</v>
      </c>
      <c r="D78" s="114" t="n">
        <f aca="false">Pdout</f>
        <v>0.7580714375</v>
      </c>
      <c r="E78" s="115" t="str">
        <f aca="false">CALCULATIONS!D139</f>
        <v>W</v>
      </c>
      <c r="F78" s="115"/>
    </row>
    <row r="79" customFormat="false" ht="15.75" hidden="false" customHeight="true" outlineLevel="0" collapsed="false">
      <c r="B79" s="105"/>
      <c r="C79" s="105"/>
      <c r="D79" s="105"/>
      <c r="E79" s="105"/>
      <c r="F79" s="105"/>
    </row>
    <row r="80" customFormat="false" ht="15.75" hidden="false" customHeight="true" outlineLevel="0" collapsed="false">
      <c r="B80" s="106" t="s">
        <v>207</v>
      </c>
      <c r="C80" s="107" t="s">
        <v>176</v>
      </c>
      <c r="D80" s="117" t="s">
        <v>208</v>
      </c>
      <c r="E80" s="117"/>
      <c r="F80" s="117"/>
    </row>
    <row r="81" customFormat="false" ht="15.75" hidden="false" customHeight="true" outlineLevel="0" collapsed="false">
      <c r="B81" s="106"/>
      <c r="C81" s="110" t="s">
        <v>191</v>
      </c>
      <c r="D81" s="118" t="n">
        <v>1000</v>
      </c>
      <c r="E81" s="112" t="s">
        <v>29</v>
      </c>
      <c r="F81" s="112"/>
    </row>
    <row r="82" customFormat="false" ht="15" hidden="false" customHeight="true" outlineLevel="0" collapsed="false">
      <c r="B82" s="106"/>
      <c r="C82" s="113" t="s">
        <v>209</v>
      </c>
      <c r="D82" s="121" t="n">
        <v>1</v>
      </c>
      <c r="E82" s="115" t="s">
        <v>25</v>
      </c>
      <c r="F82" s="115"/>
    </row>
    <row r="83" customFormat="false" ht="15.75" hidden="false" customHeight="true" outlineLevel="0" collapsed="false">
      <c r="B83" s="105"/>
      <c r="C83" s="105"/>
      <c r="D83" s="105"/>
      <c r="E83" s="105"/>
      <c r="F83" s="105"/>
    </row>
    <row r="84" customFormat="false" ht="18.75" hidden="false" customHeight="true" outlineLevel="0" collapsed="false">
      <c r="B84" s="106" t="s">
        <v>210</v>
      </c>
      <c r="C84" s="107" t="s">
        <v>176</v>
      </c>
      <c r="D84" s="128" t="s">
        <v>211</v>
      </c>
      <c r="E84" s="128"/>
      <c r="F84" s="128"/>
    </row>
    <row r="85" customFormat="false" ht="15" hidden="false" customHeight="false" outlineLevel="0" collapsed="false">
      <c r="B85" s="106"/>
      <c r="C85" s="110" t="s">
        <v>180</v>
      </c>
      <c r="D85" s="118" t="n">
        <f aca="false">CALCULATIONS!C44</f>
        <v>265</v>
      </c>
      <c r="E85" s="112" t="str">
        <f aca="false">CALCULATIONS!D44</f>
        <v>VAC</v>
      </c>
      <c r="F85" s="112"/>
    </row>
    <row r="86" customFormat="false" ht="15" hidden="false" customHeight="false" outlineLevel="0" collapsed="false">
      <c r="B86" s="106"/>
      <c r="C86" s="113" t="s">
        <v>212</v>
      </c>
      <c r="D86" s="114" t="n">
        <f aca="false">Iin_peak</f>
        <v>2.09394082212085</v>
      </c>
      <c r="E86" s="115" t="str">
        <f aca="false">CALCULATIONS!D45</f>
        <v>A</v>
      </c>
      <c r="F86" s="115"/>
    </row>
    <row r="87" customFormat="false" ht="15" hidden="false" customHeight="false" outlineLevel="0" collapsed="false">
      <c r="B87" s="105"/>
      <c r="C87" s="105"/>
      <c r="D87" s="105"/>
      <c r="E87" s="105"/>
      <c r="F87" s="105"/>
    </row>
    <row r="88" customFormat="false" ht="17.45" hidden="false" customHeight="false" outlineLevel="0" collapsed="false">
      <c r="B88" s="106" t="s">
        <v>213</v>
      </c>
      <c r="C88" s="129" t="s">
        <v>214</v>
      </c>
      <c r="D88" s="130" t="n">
        <f aca="false">CTRmin</f>
        <v>50</v>
      </c>
      <c r="E88" s="131" t="str">
        <f aca="false">CALCULATIONS!D226</f>
        <v>%</v>
      </c>
      <c r="F88" s="131"/>
    </row>
    <row r="89" customFormat="false" ht="15" hidden="false" customHeight="false" outlineLevel="0" collapsed="false">
      <c r="B89" s="105"/>
      <c r="C89" s="105"/>
      <c r="D89" s="105"/>
      <c r="E89" s="105"/>
      <c r="F89" s="105"/>
    </row>
    <row r="90" customFormat="false" ht="17.45" hidden="false" customHeight="false" outlineLevel="0" collapsed="false">
      <c r="B90" s="106" t="s">
        <v>215</v>
      </c>
      <c r="C90" s="107" t="s">
        <v>216</v>
      </c>
      <c r="D90" s="108" t="n">
        <f aca="false">Vds</f>
        <v>700</v>
      </c>
      <c r="E90" s="109" t="str">
        <f aca="false">CALCULATIONS!D118</f>
        <v>V</v>
      </c>
      <c r="F90" s="109"/>
    </row>
    <row r="91" customFormat="false" ht="15" hidden="false" customHeight="false" outlineLevel="0" collapsed="false">
      <c r="B91" s="106"/>
      <c r="C91" s="110" t="s">
        <v>217</v>
      </c>
      <c r="D91" s="111" t="n">
        <f aca="false">Idrain</f>
        <v>4.59345976451016</v>
      </c>
      <c r="E91" s="112" t="str">
        <f aca="false">CALCULATIONS!D128</f>
        <v>A</v>
      </c>
      <c r="F91" s="112"/>
    </row>
    <row r="92" customFormat="false" ht="15" hidden="false" customHeight="false" outlineLevel="0" collapsed="false">
      <c r="B92" s="106"/>
      <c r="C92" s="110" t="s">
        <v>218</v>
      </c>
      <c r="D92" s="111" t="n">
        <f aca="false">Ipulsed</f>
        <v>10.9090909090909</v>
      </c>
      <c r="E92" s="112" t="str">
        <f aca="false">CALCULATIONS!D129</f>
        <v>A</v>
      </c>
      <c r="F92" s="112"/>
    </row>
    <row r="93" customFormat="false" ht="15" hidden="false" customHeight="false" outlineLevel="0" collapsed="false">
      <c r="B93" s="106"/>
      <c r="C93" s="113" t="s">
        <v>174</v>
      </c>
      <c r="D93" s="114" t="n">
        <f aca="false">Pfet</f>
        <v>5.27748626262591</v>
      </c>
      <c r="E93" s="115" t="str">
        <f aca="false">CALCULATIONS!D132</f>
        <v>W</v>
      </c>
      <c r="F93" s="115"/>
    </row>
    <row r="94" customFormat="false" ht="15" hidden="false" customHeight="false" outlineLevel="0" collapsed="false">
      <c r="B94" s="105"/>
      <c r="C94" s="105"/>
      <c r="D94" s="105"/>
      <c r="E94" s="105"/>
      <c r="F94" s="105"/>
    </row>
    <row r="95" customFormat="false" ht="15" hidden="false" customHeight="false" outlineLevel="0" collapsed="false">
      <c r="B95" s="106" t="s">
        <v>219</v>
      </c>
      <c r="C95" s="107" t="s">
        <v>178</v>
      </c>
      <c r="D95" s="132" t="n">
        <f aca="false">Rcs</f>
        <v>0.75</v>
      </c>
      <c r="E95" s="108" t="str">
        <f aca="false">CALCULATIONS!D76</f>
        <v>Ω</v>
      </c>
      <c r="F95" s="133" t="s">
        <v>220</v>
      </c>
    </row>
    <row r="96" customFormat="false" ht="15" hidden="false" customHeight="false" outlineLevel="0" collapsed="false">
      <c r="B96" s="106"/>
      <c r="C96" s="110" t="s">
        <v>174</v>
      </c>
      <c r="D96" s="111" t="n">
        <f aca="false">P_Rcs</f>
        <v>141.253896235409</v>
      </c>
      <c r="E96" s="112" t="str">
        <f aca="false">CALCULATIONS!D77</f>
        <v>mW</v>
      </c>
      <c r="F96" s="112"/>
    </row>
    <row r="97" customFormat="false" ht="15" hidden="false" customHeight="false" outlineLevel="0" collapsed="false">
      <c r="B97" s="106"/>
      <c r="C97" s="113" t="s">
        <v>176</v>
      </c>
      <c r="D97" s="134" t="s">
        <v>221</v>
      </c>
      <c r="E97" s="134"/>
      <c r="F97" s="134"/>
    </row>
    <row r="98" customFormat="false" ht="15" hidden="false" customHeight="false" outlineLevel="0" collapsed="false">
      <c r="B98" s="105"/>
      <c r="C98" s="105"/>
      <c r="D98" s="105"/>
      <c r="E98" s="105"/>
      <c r="F98" s="105"/>
    </row>
    <row r="99" customFormat="false" ht="15" hidden="false" customHeight="true" outlineLevel="0" collapsed="false">
      <c r="B99" s="106" t="s">
        <v>222</v>
      </c>
      <c r="C99" s="107" t="s">
        <v>178</v>
      </c>
      <c r="D99" s="108" t="n">
        <f aca="false">Rfb1_actual</f>
        <v>750</v>
      </c>
      <c r="E99" s="108" t="str">
        <f aca="false">CALCULATIONS!D223</f>
        <v>kΩ</v>
      </c>
      <c r="F99" s="133" t="s">
        <v>220</v>
      </c>
    </row>
    <row r="100" customFormat="false" ht="15.75" hidden="false" customHeight="true" outlineLevel="0" collapsed="false">
      <c r="B100" s="106"/>
      <c r="C100" s="113" t="s">
        <v>201</v>
      </c>
      <c r="D100" s="135" t="n">
        <v>0.1</v>
      </c>
      <c r="E100" s="115" t="s">
        <v>202</v>
      </c>
      <c r="F100" s="115"/>
    </row>
    <row r="101" customFormat="false" ht="15" hidden="false" customHeight="false" outlineLevel="0" collapsed="false">
      <c r="B101" s="105"/>
      <c r="C101" s="105"/>
      <c r="D101" s="105"/>
      <c r="E101" s="105"/>
      <c r="F101" s="105"/>
    </row>
    <row r="102" customFormat="false" ht="15" hidden="false" customHeight="false" outlineLevel="0" collapsed="false">
      <c r="B102" s="106" t="s">
        <v>223</v>
      </c>
      <c r="C102" s="107" t="s">
        <v>178</v>
      </c>
      <c r="D102" s="136" t="n">
        <f aca="false">R_fb2</f>
        <v>44.2</v>
      </c>
      <c r="E102" s="137" t="str">
        <f aca="false">CALCULATIONS!D218</f>
        <v>kΩ</v>
      </c>
      <c r="F102" s="133" t="s">
        <v>220</v>
      </c>
    </row>
    <row r="103" customFormat="false" ht="15" hidden="false" customHeight="false" outlineLevel="0" collapsed="false">
      <c r="B103" s="106"/>
      <c r="C103" s="113" t="s">
        <v>201</v>
      </c>
      <c r="D103" s="135" t="n">
        <v>0.1</v>
      </c>
      <c r="E103" s="115" t="s">
        <v>202</v>
      </c>
      <c r="F103" s="115"/>
    </row>
    <row r="104" customFormat="false" ht="15" hidden="false" customHeight="false" outlineLevel="0" collapsed="false">
      <c r="B104" s="105"/>
      <c r="C104" s="105"/>
      <c r="D104" s="105"/>
      <c r="E104" s="105"/>
      <c r="F104" s="105"/>
    </row>
    <row r="105" customFormat="false" ht="15" hidden="false" customHeight="false" outlineLevel="0" collapsed="false">
      <c r="B105" s="106" t="s">
        <v>224</v>
      </c>
      <c r="C105" s="107" t="s">
        <v>178</v>
      </c>
      <c r="D105" s="136" t="n">
        <v>100</v>
      </c>
      <c r="E105" s="137" t="str">
        <f aca="false">CALCULATIONS!D221</f>
        <v>kΩ</v>
      </c>
      <c r="F105" s="133" t="s">
        <v>220</v>
      </c>
    </row>
    <row r="106" customFormat="false" ht="15" hidden="false" customHeight="false" outlineLevel="0" collapsed="false">
      <c r="B106" s="106"/>
      <c r="C106" s="113" t="s">
        <v>201</v>
      </c>
      <c r="D106" s="135" t="n">
        <v>0.1</v>
      </c>
      <c r="E106" s="115" t="s">
        <v>202</v>
      </c>
      <c r="F106" s="115"/>
    </row>
    <row r="107" customFormat="false" ht="15" hidden="false" customHeight="false" outlineLevel="0" collapsed="false">
      <c r="B107" s="105"/>
      <c r="C107" s="105"/>
      <c r="D107" s="105"/>
      <c r="E107" s="105"/>
      <c r="F107" s="105"/>
    </row>
    <row r="108" customFormat="false" ht="15.05" hidden="false" customHeight="false" outlineLevel="0" collapsed="false">
      <c r="B108" s="106" t="s">
        <v>225</v>
      </c>
      <c r="C108" s="107" t="s">
        <v>178</v>
      </c>
      <c r="D108" s="136" t="n">
        <f aca="false">R_fb4</f>
        <v>22</v>
      </c>
      <c r="E108" s="137" t="s">
        <v>226</v>
      </c>
      <c r="F108" s="133" t="s">
        <v>220</v>
      </c>
    </row>
    <row r="109" customFormat="false" ht="15" hidden="false" customHeight="false" outlineLevel="0" collapsed="false">
      <c r="B109" s="106"/>
      <c r="C109" s="113" t="s">
        <v>201</v>
      </c>
      <c r="D109" s="135" t="n">
        <v>0.1</v>
      </c>
      <c r="E109" s="115" t="s">
        <v>202</v>
      </c>
      <c r="F109" s="115"/>
    </row>
    <row r="110" customFormat="false" ht="15" hidden="false" customHeight="false" outlineLevel="0" collapsed="false">
      <c r="B110" s="105"/>
      <c r="C110" s="105"/>
      <c r="D110" s="105"/>
      <c r="E110" s="105"/>
      <c r="F110" s="105"/>
    </row>
    <row r="111" customFormat="false" ht="15" hidden="false" customHeight="false" outlineLevel="0" collapsed="false">
      <c r="B111" s="138" t="s">
        <v>227</v>
      </c>
      <c r="C111" s="107" t="s">
        <v>178</v>
      </c>
      <c r="D111" s="136" t="n">
        <f aca="false">Rinj</f>
        <v>20</v>
      </c>
      <c r="E111" s="139" t="s">
        <v>66</v>
      </c>
      <c r="F111" s="133" t="s">
        <v>220</v>
      </c>
    </row>
    <row r="112" customFormat="false" ht="15" hidden="false" customHeight="false" outlineLevel="0" collapsed="false">
      <c r="B112" s="138"/>
      <c r="C112" s="113" t="s">
        <v>201</v>
      </c>
      <c r="D112" s="135" t="n">
        <v>0.1</v>
      </c>
      <c r="E112" s="115" t="s">
        <v>202</v>
      </c>
      <c r="F112" s="115"/>
    </row>
    <row r="113" customFormat="false" ht="15" hidden="false" customHeight="false" outlineLevel="0" collapsed="false">
      <c r="B113" s="105"/>
      <c r="C113" s="105"/>
      <c r="D113" s="105"/>
      <c r="E113" s="105"/>
      <c r="F113" s="105"/>
    </row>
    <row r="114" customFormat="false" ht="15" hidden="false" customHeight="false" outlineLevel="0" collapsed="false">
      <c r="B114" s="106" t="s">
        <v>228</v>
      </c>
      <c r="C114" s="107" t="s">
        <v>178</v>
      </c>
      <c r="D114" s="136" t="n">
        <f aca="false">Rlc</f>
        <v>5.17</v>
      </c>
      <c r="E114" s="136" t="str">
        <f aca="false">CALCULATIONS!D196</f>
        <v>kΩ</v>
      </c>
      <c r="F114" s="133" t="s">
        <v>220</v>
      </c>
    </row>
    <row r="115" customFormat="false" ht="15" hidden="false" customHeight="false" outlineLevel="0" collapsed="false">
      <c r="B115" s="106"/>
      <c r="C115" s="113" t="s">
        <v>201</v>
      </c>
      <c r="D115" s="135" t="n">
        <v>0.1</v>
      </c>
      <c r="E115" s="115" t="s">
        <v>202</v>
      </c>
      <c r="F115" s="115"/>
    </row>
    <row r="116" customFormat="false" ht="15" hidden="false" customHeight="false" outlineLevel="0" collapsed="false">
      <c r="B116" s="105"/>
      <c r="C116" s="105"/>
      <c r="D116" s="105"/>
      <c r="E116" s="105"/>
      <c r="F116" s="105"/>
    </row>
    <row r="117" customFormat="false" ht="15.05" hidden="false" customHeight="false" outlineLevel="0" collapsed="false">
      <c r="B117" s="106" t="s">
        <v>229</v>
      </c>
      <c r="C117" s="107" t="s">
        <v>178</v>
      </c>
      <c r="D117" s="136" t="n">
        <v>1</v>
      </c>
      <c r="E117" s="136" t="s">
        <v>226</v>
      </c>
      <c r="F117" s="133" t="s">
        <v>220</v>
      </c>
    </row>
    <row r="118" customFormat="false" ht="15" hidden="false" customHeight="false" outlineLevel="0" collapsed="false">
      <c r="B118" s="106"/>
      <c r="C118" s="113" t="s">
        <v>201</v>
      </c>
      <c r="D118" s="135" t="n">
        <v>0.1</v>
      </c>
      <c r="E118" s="115" t="s">
        <v>202</v>
      </c>
      <c r="F118" s="115"/>
    </row>
    <row r="119" customFormat="false" ht="15" hidden="false" customHeight="false" outlineLevel="0" collapsed="false">
      <c r="B119" s="105"/>
      <c r="C119" s="105"/>
      <c r="D119" s="105"/>
      <c r="E119" s="105"/>
      <c r="F119" s="105"/>
    </row>
    <row r="120" customFormat="false" ht="15" hidden="false" customHeight="false" outlineLevel="0" collapsed="false">
      <c r="B120" s="106" t="s">
        <v>230</v>
      </c>
      <c r="C120" s="107" t="s">
        <v>178</v>
      </c>
      <c r="D120" s="136" t="n">
        <f aca="false">R_tl</f>
        <v>1.5</v>
      </c>
      <c r="E120" s="136" t="str">
        <f aca="false">CALCULATIONS!D249</f>
        <v>kΩ</v>
      </c>
      <c r="F120" s="133" t="s">
        <v>220</v>
      </c>
    </row>
    <row r="121" customFormat="false" ht="15" hidden="false" customHeight="false" outlineLevel="0" collapsed="false">
      <c r="B121" s="106"/>
      <c r="C121" s="113" t="s">
        <v>201</v>
      </c>
      <c r="D121" s="135" t="n">
        <v>0.1</v>
      </c>
      <c r="E121" s="115" t="s">
        <v>202</v>
      </c>
      <c r="F121" s="115"/>
    </row>
    <row r="122" customFormat="false" ht="15" hidden="false" customHeight="false" outlineLevel="0" collapsed="false">
      <c r="B122" s="105"/>
      <c r="C122" s="105"/>
      <c r="D122" s="105"/>
      <c r="E122" s="105"/>
      <c r="F122" s="105"/>
    </row>
    <row r="123" customFormat="false" ht="15.75" hidden="false" customHeight="true" outlineLevel="0" collapsed="false">
      <c r="B123" s="106" t="s">
        <v>231</v>
      </c>
      <c r="C123" s="107" t="s">
        <v>178</v>
      </c>
      <c r="D123" s="140" t="s">
        <v>232</v>
      </c>
      <c r="E123" s="141" t="s">
        <v>66</v>
      </c>
      <c r="F123" s="142" t="s">
        <v>233</v>
      </c>
    </row>
    <row r="124" customFormat="false" ht="15" hidden="false" customHeight="false" outlineLevel="0" collapsed="false">
      <c r="B124" s="106"/>
      <c r="C124" s="113" t="s">
        <v>201</v>
      </c>
      <c r="D124" s="143" t="s">
        <v>234</v>
      </c>
      <c r="E124" s="144" t="s">
        <v>202</v>
      </c>
      <c r="F124" s="142"/>
    </row>
    <row r="125" customFormat="false" ht="15" hidden="false" customHeight="false" outlineLevel="0" collapsed="false">
      <c r="B125" s="105"/>
      <c r="C125" s="105"/>
      <c r="D125" s="105"/>
      <c r="E125" s="105"/>
      <c r="F125" s="105"/>
    </row>
    <row r="126" customFormat="false" ht="15" hidden="false" customHeight="false" outlineLevel="0" collapsed="false">
      <c r="B126" s="106" t="s">
        <v>235</v>
      </c>
      <c r="C126" s="107" t="s">
        <v>178</v>
      </c>
      <c r="D126" s="108" t="n">
        <f aca="false">R_vs1</f>
        <v>46.4</v>
      </c>
      <c r="E126" s="108" t="str">
        <f aca="false">CALCULATIONS!D172</f>
        <v>kΩ</v>
      </c>
      <c r="F126" s="133" t="s">
        <v>220</v>
      </c>
    </row>
    <row r="127" customFormat="false" ht="15" hidden="false" customHeight="false" outlineLevel="0" collapsed="false">
      <c r="B127" s="106"/>
      <c r="C127" s="113" t="s">
        <v>201</v>
      </c>
      <c r="D127" s="135" t="n">
        <v>0.1</v>
      </c>
      <c r="E127" s="115" t="s">
        <v>202</v>
      </c>
      <c r="F127" s="115"/>
    </row>
    <row r="128" customFormat="false" ht="15" hidden="false" customHeight="false" outlineLevel="0" collapsed="false">
      <c r="B128" s="105"/>
      <c r="C128" s="105"/>
      <c r="D128" s="105"/>
      <c r="E128" s="105"/>
      <c r="F128" s="105"/>
    </row>
    <row r="129" customFormat="false" ht="15" hidden="false" customHeight="false" outlineLevel="0" collapsed="false">
      <c r="B129" s="106" t="s">
        <v>236</v>
      </c>
      <c r="C129" s="107" t="s">
        <v>178</v>
      </c>
      <c r="D129" s="108" t="n">
        <f aca="false">R_vs2</f>
        <v>20.5</v>
      </c>
      <c r="E129" s="108" t="str">
        <f aca="false">CALCULATIONS!D186</f>
        <v>kΩ</v>
      </c>
      <c r="F129" s="133" t="s">
        <v>220</v>
      </c>
    </row>
    <row r="130" customFormat="false" ht="15" hidden="false" customHeight="false" outlineLevel="0" collapsed="false">
      <c r="B130" s="106"/>
      <c r="C130" s="113" t="s">
        <v>201</v>
      </c>
      <c r="D130" s="135" t="n">
        <v>0.1</v>
      </c>
      <c r="E130" s="115" t="s">
        <v>202</v>
      </c>
      <c r="F130" s="115"/>
    </row>
    <row r="131" customFormat="false" ht="15" hidden="false" customHeight="false" outlineLevel="0" collapsed="false">
      <c r="B131" s="105"/>
      <c r="C131" s="105"/>
      <c r="D131" s="105"/>
      <c r="E131" s="105"/>
      <c r="F131" s="105"/>
    </row>
    <row r="132" customFormat="false" ht="15" hidden="false" customHeight="false" outlineLevel="0" collapsed="false">
      <c r="B132" s="138" t="s">
        <v>237</v>
      </c>
      <c r="C132" s="130" t="s">
        <v>238</v>
      </c>
      <c r="D132" s="130" t="n">
        <f aca="false">Vref431</f>
        <v>2.5</v>
      </c>
      <c r="E132" s="130" t="str">
        <f aca="false">CALCULATIONS!D212</f>
        <v>V</v>
      </c>
      <c r="F132" s="145"/>
    </row>
    <row r="133" customFormat="false" ht="15" hidden="false" customHeight="false" outlineLevel="0" collapsed="false">
      <c r="B133" s="105"/>
      <c r="C133" s="105"/>
      <c r="D133" s="105"/>
      <c r="E133" s="105"/>
      <c r="F133" s="105"/>
    </row>
    <row r="134" customFormat="false" ht="15" hidden="false" customHeight="true" outlineLevel="0" collapsed="false">
      <c r="B134" s="106" t="s">
        <v>239</v>
      </c>
      <c r="C134" s="107" t="s">
        <v>240</v>
      </c>
      <c r="D134" s="108" t="n">
        <f aca="false">Lp</f>
        <v>190</v>
      </c>
      <c r="E134" s="109" t="str">
        <f aca="false">CALCULATIONS!D94</f>
        <v>µH</v>
      </c>
      <c r="F134" s="109"/>
    </row>
    <row r="135" customFormat="false" ht="17.45" hidden="false" customHeight="false" outlineLevel="0" collapsed="false">
      <c r="B135" s="106"/>
      <c r="C135" s="110" t="s">
        <v>241</v>
      </c>
      <c r="D135" s="111" t="n">
        <f aca="false">Nps</f>
        <v>2.769</v>
      </c>
      <c r="E135" s="118"/>
      <c r="F135" s="119" t="s">
        <v>242</v>
      </c>
    </row>
    <row r="136" customFormat="false" ht="18.75" hidden="false" customHeight="true" outlineLevel="0" collapsed="false">
      <c r="B136" s="106"/>
      <c r="C136" s="110" t="s">
        <v>243</v>
      </c>
      <c r="D136" s="111" t="n">
        <f aca="false">Npa</f>
        <v>9</v>
      </c>
      <c r="E136" s="146"/>
      <c r="F136" s="119" t="s">
        <v>244</v>
      </c>
    </row>
    <row r="137" customFormat="false" ht="15" hidden="false" customHeight="false" outlineLevel="0" collapsed="false">
      <c r="B137" s="106"/>
      <c r="C137" s="110" t="s">
        <v>245</v>
      </c>
      <c r="D137" s="111" t="n">
        <f aca="false">Ipp_nom</f>
        <v>1.03066666666667</v>
      </c>
      <c r="E137" s="112" t="str">
        <f aca="false">CALCULATIONS!D82</f>
        <v>A</v>
      </c>
      <c r="F137" s="112"/>
    </row>
    <row r="138" customFormat="false" ht="15" hidden="false" customHeight="false" outlineLevel="0" collapsed="false">
      <c r="B138" s="106"/>
      <c r="C138" s="147" t="s">
        <v>246</v>
      </c>
      <c r="D138" s="111" t="n">
        <f aca="false">Ipri_RMS</f>
        <v>0.433979870862554</v>
      </c>
      <c r="E138" s="112" t="str">
        <f aca="false">CALCULATIONS!D100</f>
        <v>A</v>
      </c>
      <c r="F138" s="112"/>
    </row>
    <row r="139" customFormat="false" ht="15" hidden="false" customHeight="false" outlineLevel="0" collapsed="false">
      <c r="B139" s="106"/>
      <c r="C139" s="110" t="s">
        <v>247</v>
      </c>
      <c r="D139" s="111" t="n">
        <f aca="false">Isp_max</f>
        <v>2.853916</v>
      </c>
      <c r="E139" s="112" t="str">
        <f aca="false">CALCULATIONS!D101</f>
        <v>A</v>
      </c>
      <c r="F139" s="112"/>
    </row>
    <row r="140" customFormat="false" ht="15" hidden="false" customHeight="false" outlineLevel="0" collapsed="false">
      <c r="B140" s="106"/>
      <c r="C140" s="110" t="s">
        <v>248</v>
      </c>
      <c r="D140" s="111" t="n">
        <f aca="false">Isec_rms</f>
        <v>1.07417495896444</v>
      </c>
      <c r="E140" s="112" t="str">
        <f aca="false">CALCULATIONS!D102</f>
        <v>A</v>
      </c>
      <c r="F140" s="112"/>
    </row>
    <row r="141" customFormat="false" ht="15.75" hidden="false" customHeight="true" outlineLevel="0" collapsed="false">
      <c r="B141" s="106"/>
      <c r="C141" s="113" t="s">
        <v>249</v>
      </c>
      <c r="D141" s="114" t="n">
        <f aca="false">fmax</f>
        <v>277.940472441615</v>
      </c>
      <c r="E141" s="115" t="str">
        <f aca="false">CALCULATIONS!D95</f>
        <v>kHz</v>
      </c>
      <c r="F141" s="115"/>
    </row>
    <row r="142" customFormat="false" ht="15.75" hidden="false" customHeight="true" outlineLevel="0" collapsed="false"/>
    <row r="143" customFormat="false" ht="18.75" hidden="false" customHeight="true" outlineLevel="0" collapsed="false"/>
    <row r="144" customFormat="false" ht="18.75" hidden="false" customHeight="true" outlineLevel="0" collapsed="false"/>
    <row r="146" customFormat="false" ht="18.75" hidden="false" customHeight="true" outlineLevel="0" collapsed="false"/>
  </sheetData>
  <sheetProtection sheet="true" objects="true" scenarios="true"/>
  <mergeCells count="116">
    <mergeCell ref="B29:F29"/>
    <mergeCell ref="C30:F30"/>
    <mergeCell ref="B31:F31"/>
    <mergeCell ref="B32:B34"/>
    <mergeCell ref="E32:F32"/>
    <mergeCell ref="E33:F33"/>
    <mergeCell ref="E34:F34"/>
    <mergeCell ref="B35:F35"/>
    <mergeCell ref="B36:B39"/>
    <mergeCell ref="D36:F36"/>
    <mergeCell ref="E38:F38"/>
    <mergeCell ref="E39:F39"/>
    <mergeCell ref="B40:F40"/>
    <mergeCell ref="B41:B43"/>
    <mergeCell ref="D41:F41"/>
    <mergeCell ref="E43:F43"/>
    <mergeCell ref="B44:F44"/>
    <mergeCell ref="B45:B47"/>
    <mergeCell ref="D45:F45"/>
    <mergeCell ref="E47:F47"/>
    <mergeCell ref="B48:F48"/>
    <mergeCell ref="B49:B53"/>
    <mergeCell ref="D49:F49"/>
    <mergeCell ref="E51:F51"/>
    <mergeCell ref="E52:F52"/>
    <mergeCell ref="E53:F53"/>
    <mergeCell ref="B54:F54"/>
    <mergeCell ref="B55:B57"/>
    <mergeCell ref="D55:F55"/>
    <mergeCell ref="E57:F57"/>
    <mergeCell ref="B58:F58"/>
    <mergeCell ref="B59:B61"/>
    <mergeCell ref="D59:F59"/>
    <mergeCell ref="E61:F61"/>
    <mergeCell ref="B62:F62"/>
    <mergeCell ref="B63:B65"/>
    <mergeCell ref="D63:F63"/>
    <mergeCell ref="B66:F66"/>
    <mergeCell ref="B67:B69"/>
    <mergeCell ref="D67:F67"/>
    <mergeCell ref="E68:F68"/>
    <mergeCell ref="E69:F69"/>
    <mergeCell ref="B70:F70"/>
    <mergeCell ref="B71:B73"/>
    <mergeCell ref="E72:F72"/>
    <mergeCell ref="E73:F73"/>
    <mergeCell ref="B74:F74"/>
    <mergeCell ref="B75:B78"/>
    <mergeCell ref="D75:F75"/>
    <mergeCell ref="E76:F76"/>
    <mergeCell ref="E77:F77"/>
    <mergeCell ref="E78:F78"/>
    <mergeCell ref="B79:F79"/>
    <mergeCell ref="B80:B82"/>
    <mergeCell ref="D80:F80"/>
    <mergeCell ref="E81:F81"/>
    <mergeCell ref="E82:F82"/>
    <mergeCell ref="B83:F83"/>
    <mergeCell ref="B84:B86"/>
    <mergeCell ref="D84:F84"/>
    <mergeCell ref="E85:F85"/>
    <mergeCell ref="E86:F86"/>
    <mergeCell ref="B87:F87"/>
    <mergeCell ref="E88:F88"/>
    <mergeCell ref="B89:F89"/>
    <mergeCell ref="B90:B93"/>
    <mergeCell ref="E90:F90"/>
    <mergeCell ref="E91:F91"/>
    <mergeCell ref="E92:F92"/>
    <mergeCell ref="E93:F93"/>
    <mergeCell ref="B94:F94"/>
    <mergeCell ref="B95:B97"/>
    <mergeCell ref="E96:F96"/>
    <mergeCell ref="D97:F97"/>
    <mergeCell ref="B98:F98"/>
    <mergeCell ref="B99:B100"/>
    <mergeCell ref="E100:F100"/>
    <mergeCell ref="B101:F101"/>
    <mergeCell ref="B102:B103"/>
    <mergeCell ref="E103:F103"/>
    <mergeCell ref="B104:F104"/>
    <mergeCell ref="B105:B106"/>
    <mergeCell ref="E106:F106"/>
    <mergeCell ref="B107:F107"/>
    <mergeCell ref="B108:B109"/>
    <mergeCell ref="E109:F109"/>
    <mergeCell ref="B110:F110"/>
    <mergeCell ref="B111:B112"/>
    <mergeCell ref="E112:F112"/>
    <mergeCell ref="B113:F113"/>
    <mergeCell ref="B114:B115"/>
    <mergeCell ref="E115:F115"/>
    <mergeCell ref="B116:F116"/>
    <mergeCell ref="B117:B118"/>
    <mergeCell ref="E118:F118"/>
    <mergeCell ref="B119:F119"/>
    <mergeCell ref="B120:B121"/>
    <mergeCell ref="E121:F121"/>
    <mergeCell ref="B122:F122"/>
    <mergeCell ref="B123:B124"/>
    <mergeCell ref="F123:F124"/>
    <mergeCell ref="B125:F125"/>
    <mergeCell ref="B126:B127"/>
    <mergeCell ref="E127:F127"/>
    <mergeCell ref="B128:F128"/>
    <mergeCell ref="B129:B130"/>
    <mergeCell ref="E130:F130"/>
    <mergeCell ref="B131:F131"/>
    <mergeCell ref="B133:F133"/>
    <mergeCell ref="B134:B141"/>
    <mergeCell ref="E134:F134"/>
    <mergeCell ref="E137:F137"/>
    <mergeCell ref="E138:F138"/>
    <mergeCell ref="E139:F139"/>
    <mergeCell ref="E140:F140"/>
    <mergeCell ref="E141:F141"/>
  </mergeCells>
  <printOptions headings="false" gridLines="false" gridLinesSet="true" horizontalCentered="false" verticalCentered="false"/>
  <pageMargins left="0" right="0" top="0.747916666666667" bottom="0.747916666666667" header="0.511805555555555" footer="0.511805555555555"/>
  <pageSetup paperSize="8"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BL257"/>
  <sheetViews>
    <sheetView showFormulas="false" showGridLines="true" showRowColHeaders="true" showZeros="true" rightToLeft="false" tabSelected="false" showOutlineSymbols="true" defaultGridColor="true" view="normal" topLeftCell="A91" colorId="64" zoomScale="75" zoomScaleNormal="75" zoomScalePageLayoutView="100" workbookViewId="0">
      <selection pane="topLeft" activeCell="K13" activeCellId="0" sqref="K13"/>
    </sheetView>
  </sheetViews>
  <sheetFormatPr defaultColWidth="9.23828125" defaultRowHeight="13.8" zeroHeight="false" outlineLevelRow="0" outlineLevelCol="0"/>
  <cols>
    <col collapsed="false" customWidth="true" hidden="false" outlineLevel="0" max="1" min="1" style="1" width="65.15"/>
    <col collapsed="false" customWidth="true" hidden="false" outlineLevel="0" max="2" min="2" style="1" width="23.88"/>
    <col collapsed="false" customWidth="true" hidden="false" outlineLevel="0" max="3" min="3" style="1" width="19"/>
    <col collapsed="false" customWidth="true" hidden="false" outlineLevel="0" max="4" min="4" style="1" width="9.13"/>
    <col collapsed="false" customWidth="true" hidden="false" outlineLevel="0" max="5" min="5" style="1" width="38.7"/>
    <col collapsed="false" customWidth="true" hidden="false" outlineLevel="0" max="6" min="6" style="1" width="9.13"/>
    <col collapsed="false" customWidth="true" hidden="false" outlineLevel="0" max="7" min="7" style="1" width="14.15"/>
    <col collapsed="false" customWidth="true" hidden="false" outlineLevel="0" max="64" min="8" style="1" width="9.13"/>
  </cols>
  <sheetData>
    <row r="1" customFormat="false" ht="26.8" hidden="false" customHeight="false" outlineLevel="0" collapsed="false">
      <c r="A1" s="148" t="s">
        <v>250</v>
      </c>
      <c r="B1" s="148"/>
      <c r="C1" s="148"/>
      <c r="D1" s="148"/>
      <c r="E1" s="148"/>
    </row>
    <row r="2" customFormat="false" ht="45" hidden="false" customHeight="true" outlineLevel="0" collapsed="false">
      <c r="A2" s="149" t="s">
        <v>251</v>
      </c>
      <c r="B2" s="149"/>
      <c r="C2" s="149"/>
      <c r="D2" s="149"/>
      <c r="E2" s="149"/>
    </row>
    <row r="3" customFormat="false" ht="18.75" hidden="false" customHeight="true" outlineLevel="0" collapsed="false">
      <c r="A3" s="150" t="s">
        <v>252</v>
      </c>
      <c r="B3" s="150"/>
      <c r="C3" s="150"/>
      <c r="D3" s="150"/>
      <c r="E3" s="150"/>
    </row>
    <row r="4" customFormat="false" ht="18.75" hidden="false" customHeight="true" outlineLevel="0" collapsed="false">
      <c r="A4" s="151" t="s">
        <v>253</v>
      </c>
      <c r="B4" s="152" t="s">
        <v>254</v>
      </c>
      <c r="C4" s="153" t="str">
        <f aca="false">Vin_type</f>
        <v>AC</v>
      </c>
      <c r="D4" s="153"/>
      <c r="E4" s="154" t="s">
        <v>255</v>
      </c>
    </row>
    <row r="5" customFormat="false" ht="18.75" hidden="false" customHeight="true" outlineLevel="0" collapsed="false">
      <c r="A5" s="151" t="s">
        <v>256</v>
      </c>
      <c r="B5" s="152" t="s">
        <v>257</v>
      </c>
      <c r="C5" s="155" t="n">
        <f aca="false">'START HERE'!C17</f>
        <v>85</v>
      </c>
      <c r="D5" s="155" t="str">
        <f aca="false">IF(Vin_type="AC","VAC","VDC")</f>
        <v>VAC</v>
      </c>
      <c r="E5" s="154"/>
    </row>
    <row r="6" customFormat="false" ht="18.75" hidden="false" customHeight="true" outlineLevel="0" collapsed="false">
      <c r="A6" s="151" t="s">
        <v>258</v>
      </c>
      <c r="B6" s="152" t="s">
        <v>259</v>
      </c>
      <c r="C6" s="155" t="n">
        <f aca="false">'START HERE'!C18</f>
        <v>265</v>
      </c>
      <c r="D6" s="155" t="str">
        <f aca="false">IF(Vin_type="AC","VAC","VDC")</f>
        <v>VAC</v>
      </c>
      <c r="E6" s="154"/>
    </row>
    <row r="7" customFormat="false" ht="18.75" hidden="false" customHeight="true" outlineLevel="0" collapsed="false">
      <c r="A7" s="151" t="s">
        <v>260</v>
      </c>
      <c r="B7" s="152" t="s">
        <v>261</v>
      </c>
      <c r="C7" s="155" t="n">
        <f aca="false">'START HERE'!C19</f>
        <v>230</v>
      </c>
      <c r="D7" s="155" t="str">
        <f aca="false">IF(Vin_type="AC","VAC","VDC")</f>
        <v>VAC</v>
      </c>
      <c r="E7" s="154"/>
    </row>
    <row r="8" customFormat="false" ht="18.75" hidden="false" customHeight="true" outlineLevel="0" collapsed="false">
      <c r="A8" s="151" t="s">
        <v>262</v>
      </c>
      <c r="B8" s="152" t="s">
        <v>263</v>
      </c>
      <c r="C8" s="155" t="n">
        <f aca="false">'START HERE'!C20</f>
        <v>47</v>
      </c>
      <c r="D8" s="155" t="s">
        <v>18</v>
      </c>
      <c r="E8" s="154"/>
    </row>
    <row r="9" customFormat="false" ht="18.75" hidden="false" customHeight="true" outlineLevel="0" collapsed="false">
      <c r="A9" s="151" t="s">
        <v>264</v>
      </c>
      <c r="B9" s="152" t="s">
        <v>265</v>
      </c>
      <c r="C9" s="155" t="n">
        <f aca="false">'START HERE'!C21</f>
        <v>80</v>
      </c>
      <c r="D9" s="155" t="str">
        <f aca="false">IF(Vin_type="AC","VAC","VDC")</f>
        <v>VAC</v>
      </c>
      <c r="E9" s="154"/>
    </row>
    <row r="10" customFormat="false" ht="18.75" hidden="false" customHeight="true" outlineLevel="0" collapsed="false">
      <c r="A10" s="156" t="s">
        <v>266</v>
      </c>
      <c r="B10" s="157" t="s">
        <v>267</v>
      </c>
      <c r="C10" s="158" t="n">
        <f aca="false">IF(Vin_type="AC",Vinput_min*SQRT(2),Vinput_min)</f>
        <v>120.208152801713</v>
      </c>
      <c r="D10" s="159" t="s">
        <v>29</v>
      </c>
      <c r="E10" s="159"/>
    </row>
    <row r="11" customFormat="false" ht="18.75" hidden="false" customHeight="true" outlineLevel="0" collapsed="false">
      <c r="A11" s="21" t="s">
        <v>268</v>
      </c>
      <c r="B11" s="160" t="s">
        <v>269</v>
      </c>
      <c r="C11" s="161" t="n">
        <f aca="false">IF(Vin_type="AC",Vinput_max*SQRT(2),Vinput_max)</f>
        <v>374.76659402887</v>
      </c>
      <c r="D11" s="162" t="s">
        <v>29</v>
      </c>
      <c r="E11" s="162"/>
    </row>
    <row r="12" customFormat="false" ht="18.75" hidden="false" customHeight="true" outlineLevel="0" collapsed="false">
      <c r="A12" s="21" t="s">
        <v>270</v>
      </c>
      <c r="B12" s="160" t="s">
        <v>271</v>
      </c>
      <c r="C12" s="161" t="n">
        <f aca="false">IF(Vin_type="AC",Vinput_nom*SQRT(2),Vinput_nom)</f>
        <v>325.269119345812</v>
      </c>
      <c r="D12" s="162" t="s">
        <v>29</v>
      </c>
      <c r="E12" s="162"/>
    </row>
    <row r="13" customFormat="false" ht="18.75" hidden="false" customHeight="true" outlineLevel="0" collapsed="false">
      <c r="A13" s="21" t="s">
        <v>272</v>
      </c>
      <c r="B13" s="160" t="s">
        <v>273</v>
      </c>
      <c r="C13" s="161" t="n">
        <f aca="false">IF(Vin_type="AC",Vinput_run*SQRT(2),Vinput_run)</f>
        <v>113.137084989848</v>
      </c>
      <c r="D13" s="162" t="s">
        <v>29</v>
      </c>
      <c r="E13" s="162"/>
    </row>
    <row r="14" customFormat="false" ht="18.75" hidden="false" customHeight="true" outlineLevel="0" collapsed="false">
      <c r="A14" s="28" t="s">
        <v>274</v>
      </c>
      <c r="B14" s="163" t="s">
        <v>275</v>
      </c>
      <c r="C14" s="164" t="n">
        <f aca="false">IF(Input_Voltage_type="AC",(1/fline_min)/ms,"n/a")</f>
        <v>21.2765957446808</v>
      </c>
      <c r="D14" s="39" t="s">
        <v>37</v>
      </c>
      <c r="E14" s="39"/>
    </row>
    <row r="15" customFormat="false" ht="18.75" hidden="false" customHeight="true" outlineLevel="0" collapsed="false">
      <c r="A15" s="150" t="s">
        <v>276</v>
      </c>
      <c r="B15" s="150"/>
      <c r="C15" s="150"/>
      <c r="D15" s="150"/>
      <c r="E15" s="150"/>
    </row>
    <row r="16" customFormat="false" ht="18.75" hidden="false" customHeight="true" outlineLevel="0" collapsed="false">
      <c r="A16" s="151" t="s">
        <v>277</v>
      </c>
      <c r="B16" s="152" t="s">
        <v>278</v>
      </c>
      <c r="C16" s="155" t="n">
        <f aca="false">'START HERE'!C24</f>
        <v>45</v>
      </c>
      <c r="D16" s="155" t="s">
        <v>29</v>
      </c>
      <c r="E16" s="154" t="s">
        <v>255</v>
      </c>
    </row>
    <row r="17" customFormat="false" ht="18.75" hidden="false" customHeight="true" outlineLevel="0" collapsed="false">
      <c r="A17" s="151" t="s">
        <v>279</v>
      </c>
      <c r="B17" s="152" t="s">
        <v>280</v>
      </c>
      <c r="C17" s="155" t="n">
        <f aca="false">'START HERE'!C25</f>
        <v>0.6</v>
      </c>
      <c r="D17" s="155" t="s">
        <v>25</v>
      </c>
      <c r="E17" s="154"/>
    </row>
    <row r="18" customFormat="false" ht="18.75" hidden="false" customHeight="true" outlineLevel="0" collapsed="false">
      <c r="A18" s="151" t="s">
        <v>281</v>
      </c>
      <c r="B18" s="152" t="s">
        <v>282</v>
      </c>
      <c r="C18" s="155" t="n">
        <f aca="false">'START HERE'!C26</f>
        <v>0.6</v>
      </c>
      <c r="D18" s="155" t="s">
        <v>25</v>
      </c>
      <c r="E18" s="154"/>
    </row>
    <row r="19" customFormat="false" ht="18.75" hidden="false" customHeight="true" outlineLevel="0" collapsed="false">
      <c r="A19" s="165" t="s">
        <v>283</v>
      </c>
      <c r="B19" s="166" t="s">
        <v>284</v>
      </c>
      <c r="C19" s="167" t="n">
        <f aca="false">'START HERE'!C27</f>
        <v>30</v>
      </c>
      <c r="D19" s="168" t="s">
        <v>29</v>
      </c>
      <c r="E19" s="154"/>
    </row>
    <row r="20" customFormat="false" ht="18.75" hidden="false" customHeight="true" outlineLevel="0" collapsed="false">
      <c r="A20" s="165"/>
      <c r="B20" s="166"/>
      <c r="C20" s="167"/>
      <c r="D20" s="168"/>
      <c r="E20" s="154"/>
    </row>
    <row r="21" customFormat="false" ht="18.75" hidden="false" customHeight="true" outlineLevel="0" collapsed="false">
      <c r="A21" s="165" t="s">
        <v>285</v>
      </c>
      <c r="B21" s="166" t="s">
        <v>286</v>
      </c>
      <c r="C21" s="167" t="n">
        <f aca="false">'START HERE'!C28</f>
        <v>0.5</v>
      </c>
      <c r="D21" s="168" t="s">
        <v>29</v>
      </c>
      <c r="E21" s="154"/>
    </row>
    <row r="22" customFormat="false" ht="18.75" hidden="false" customHeight="true" outlineLevel="0" collapsed="false">
      <c r="A22" s="165"/>
      <c r="B22" s="166"/>
      <c r="C22" s="167"/>
      <c r="D22" s="168"/>
      <c r="E22" s="154"/>
    </row>
    <row r="23" customFormat="false" ht="18.75" hidden="false" customHeight="true" outlineLevel="0" collapsed="false">
      <c r="A23" s="151" t="s">
        <v>287</v>
      </c>
      <c r="B23" s="152" t="s">
        <v>288</v>
      </c>
      <c r="C23" s="155" t="n">
        <f aca="false">'START HERE'!C29</f>
        <v>30</v>
      </c>
      <c r="D23" s="155" t="s">
        <v>31</v>
      </c>
      <c r="E23" s="154"/>
    </row>
    <row r="24" customFormat="false" ht="18.75" hidden="false" customHeight="true" outlineLevel="0" collapsed="false">
      <c r="A24" s="155" t="s">
        <v>289</v>
      </c>
      <c r="B24" s="152" t="s">
        <v>290</v>
      </c>
      <c r="C24" s="155" t="n">
        <f aca="false">'START HERE'!C32</f>
        <v>0.6</v>
      </c>
      <c r="D24" s="155" t="s">
        <v>25</v>
      </c>
      <c r="E24" s="154"/>
    </row>
    <row r="25" customFormat="false" ht="18.75" hidden="false" customHeight="true" outlineLevel="0" collapsed="false">
      <c r="A25" s="169" t="s">
        <v>291</v>
      </c>
      <c r="B25" s="152" t="s">
        <v>292</v>
      </c>
      <c r="C25" s="167" t="n">
        <f aca="false">'START HERE'!C33</f>
        <v>20</v>
      </c>
      <c r="D25" s="168" t="s">
        <v>37</v>
      </c>
      <c r="E25" s="154"/>
    </row>
    <row r="26" customFormat="false" ht="18.75" hidden="false" customHeight="true" outlineLevel="0" collapsed="false">
      <c r="A26" s="169"/>
      <c r="B26" s="152"/>
      <c r="C26" s="167"/>
      <c r="D26" s="168"/>
      <c r="E26" s="154"/>
    </row>
    <row r="27" customFormat="false" ht="18.75" hidden="false" customHeight="true" outlineLevel="0" collapsed="false">
      <c r="A27" s="170" t="s">
        <v>293</v>
      </c>
      <c r="B27" s="171" t="s">
        <v>294</v>
      </c>
      <c r="C27" s="172" t="n">
        <f aca="false">'START HERE'!C31</f>
        <v>50</v>
      </c>
      <c r="D27" s="173" t="s">
        <v>29</v>
      </c>
      <c r="E27" s="154"/>
    </row>
    <row r="28" customFormat="false" ht="18.75" hidden="false" customHeight="true" outlineLevel="0" collapsed="false">
      <c r="A28" s="170" t="s">
        <v>295</v>
      </c>
      <c r="B28" s="171" t="s">
        <v>296</v>
      </c>
      <c r="C28" s="172" t="n">
        <f aca="false">'START HERE'!C34</f>
        <v>50</v>
      </c>
      <c r="D28" s="173" t="s">
        <v>39</v>
      </c>
      <c r="E28" s="154"/>
    </row>
    <row r="29" customFormat="false" ht="18.75" hidden="false" customHeight="true" outlineLevel="0" collapsed="false">
      <c r="A29" s="156" t="s">
        <v>297</v>
      </c>
      <c r="B29" s="157" t="s">
        <v>298</v>
      </c>
      <c r="C29" s="158" t="n">
        <f aca="false">IF(Vout_cv&lt;12,0.8,0.85)</f>
        <v>0.85</v>
      </c>
      <c r="D29" s="159"/>
      <c r="E29" s="159"/>
    </row>
    <row r="30" customFormat="false" ht="18.75" hidden="false" customHeight="true" outlineLevel="0" collapsed="false">
      <c r="A30" s="21" t="s">
        <v>299</v>
      </c>
      <c r="B30" s="160" t="s">
        <v>300</v>
      </c>
      <c r="C30" s="161" t="n">
        <f aca="false">(Vout_cv)*Iocc_target</f>
        <v>27</v>
      </c>
      <c r="D30" s="162" t="s">
        <v>202</v>
      </c>
      <c r="E30" s="162"/>
    </row>
    <row r="31" customFormat="false" ht="18.75" hidden="false" customHeight="true" outlineLevel="0" collapsed="false">
      <c r="A31" s="28" t="s">
        <v>301</v>
      </c>
      <c r="B31" s="163" t="s">
        <v>302</v>
      </c>
      <c r="C31" s="174" t="n">
        <f aca="false">Pout/efficiency</f>
        <v>31.7647058823529</v>
      </c>
      <c r="D31" s="39" t="s">
        <v>202</v>
      </c>
      <c r="E31" s="39"/>
    </row>
    <row r="32" customFormat="false" ht="18.75" hidden="false" customHeight="true" outlineLevel="0" collapsed="false">
      <c r="A32" s="175"/>
      <c r="B32" s="175"/>
      <c r="C32" s="175"/>
      <c r="D32" s="175"/>
      <c r="E32" s="175"/>
    </row>
    <row r="33" customFormat="false" ht="18.75" hidden="false" customHeight="true" outlineLevel="0" collapsed="false">
      <c r="A33" s="176" t="s">
        <v>303</v>
      </c>
      <c r="B33" s="176"/>
      <c r="C33" s="176"/>
      <c r="D33" s="176"/>
      <c r="E33" s="176"/>
    </row>
    <row r="34" customFormat="false" ht="18.75" hidden="false" customHeight="true" outlineLevel="0" collapsed="false">
      <c r="A34" s="177"/>
      <c r="B34" s="177"/>
      <c r="C34" s="177"/>
      <c r="D34" s="177"/>
      <c r="E34" s="177"/>
    </row>
    <row r="35" customFormat="false" ht="18.75" hidden="false" customHeight="true" outlineLevel="0" collapsed="false">
      <c r="A35" s="178" t="s">
        <v>304</v>
      </c>
      <c r="B35" s="178"/>
      <c r="C35" s="178"/>
      <c r="D35" s="178"/>
      <c r="E35" s="178"/>
    </row>
    <row r="36" customFormat="false" ht="18.75" hidden="false" customHeight="true" outlineLevel="0" collapsed="false">
      <c r="A36" s="84" t="s">
        <v>305</v>
      </c>
      <c r="B36" s="179" t="s">
        <v>306</v>
      </c>
      <c r="C36" s="180" t="n">
        <f aca="false">IF(Input_Voltage_type="AC",(((2*Pin)*(0.25+(((1/(2*PI()))*ASIN(Vbulkvalley_desired/Vbulk_min)))))/(((Vbulk_min^2)-(Vbulkvalley_desired^2))*fline_min))*10^6,0.5*Pout)</f>
        <v>123.435260240941</v>
      </c>
      <c r="D36" s="83" t="s">
        <v>48</v>
      </c>
      <c r="E36" s="83"/>
    </row>
    <row r="37" customFormat="false" ht="18.75" hidden="false" customHeight="true" outlineLevel="0" collapsed="false">
      <c r="A37" s="181" t="s">
        <v>307</v>
      </c>
      <c r="B37" s="182" t="s">
        <v>308</v>
      </c>
      <c r="C37" s="183" t="n">
        <f aca="false">IF('START HERE'!C41="","",'START HERE'!C41)</f>
        <v>140</v>
      </c>
      <c r="D37" s="184" t="s">
        <v>48</v>
      </c>
      <c r="E37" s="185" t="s">
        <v>309</v>
      </c>
    </row>
    <row r="38" customFormat="false" ht="18.75" hidden="false" customHeight="true" outlineLevel="0" collapsed="false">
      <c r="A38" s="156" t="s">
        <v>310</v>
      </c>
      <c r="B38" s="157" t="s">
        <v>311</v>
      </c>
      <c r="C38" s="158" t="n">
        <f aca="false">IF(Cbulk_actual="",Cbulk_rcmd,Cbulk_actual)</f>
        <v>140</v>
      </c>
      <c r="D38" s="159" t="s">
        <v>48</v>
      </c>
      <c r="E38" s="159"/>
    </row>
    <row r="39" customFormat="false" ht="18.75" hidden="false" customHeight="true" outlineLevel="0" collapsed="false">
      <c r="A39" s="21" t="s">
        <v>312</v>
      </c>
      <c r="B39" s="160" t="s">
        <v>313</v>
      </c>
      <c r="C39" s="161" t="n">
        <f aca="false">IF(C4="AC",Vbulkvalley,Vinput_run)</f>
        <v>102.329218340303</v>
      </c>
      <c r="D39" s="162" t="s">
        <v>29</v>
      </c>
      <c r="E39" s="162"/>
    </row>
    <row r="40" customFormat="false" ht="18.75" hidden="false" customHeight="true" outlineLevel="0" collapsed="false">
      <c r="A40" s="21" t="s">
        <v>314</v>
      </c>
      <c r="B40" s="160" t="s">
        <v>315</v>
      </c>
      <c r="C40" s="161" t="n">
        <f aca="false">IF(Input_Voltage_type="AC",(((Cbulk*uF)*(Vbulk_min-Vbulk_valley)/tcharge_3)/SQRT(3))/mA,(2*Pin)/(Vinput_run))</f>
        <v>772.654523041549</v>
      </c>
      <c r="D40" s="162" t="s">
        <v>197</v>
      </c>
      <c r="E40" s="162"/>
    </row>
    <row r="41" customFormat="false" ht="18.75" hidden="false" customHeight="true" outlineLevel="0" collapsed="false">
      <c r="A41" s="28" t="s">
        <v>316</v>
      </c>
      <c r="B41" s="163" t="s">
        <v>317</v>
      </c>
      <c r="C41" s="186" t="n">
        <f aca="false">MROUND(Vbulk_max,100)</f>
        <v>400</v>
      </c>
      <c r="D41" s="39" t="s">
        <v>29</v>
      </c>
      <c r="E41" s="39"/>
    </row>
    <row r="42" customFormat="false" ht="18.75" hidden="false" customHeight="true" outlineLevel="0" collapsed="false">
      <c r="A42" s="187"/>
      <c r="B42" s="187"/>
      <c r="C42" s="187"/>
      <c r="D42" s="187"/>
      <c r="E42" s="187"/>
    </row>
    <row r="43" customFormat="false" ht="18.75" hidden="false" customHeight="true" outlineLevel="0" collapsed="false">
      <c r="A43" s="178" t="s">
        <v>318</v>
      </c>
      <c r="B43" s="178"/>
      <c r="C43" s="178"/>
      <c r="D43" s="178"/>
      <c r="E43" s="178"/>
    </row>
    <row r="44" customFormat="false" ht="18.75" hidden="false" customHeight="true" outlineLevel="0" collapsed="false">
      <c r="A44" s="188" t="s">
        <v>319</v>
      </c>
      <c r="B44" s="189" t="s">
        <v>320</v>
      </c>
      <c r="C44" s="190" t="n">
        <f aca="false">Vinput_max</f>
        <v>265</v>
      </c>
      <c r="D44" s="191" t="str">
        <f aca="false">IF(Vin_type="AC","VAC","VDC")</f>
        <v>VAC</v>
      </c>
      <c r="E44" s="191"/>
    </row>
    <row r="45" customFormat="false" ht="18.75" hidden="false" customHeight="true" outlineLevel="0" collapsed="false">
      <c r="A45" s="28" t="s">
        <v>321</v>
      </c>
      <c r="B45" s="192" t="s">
        <v>322</v>
      </c>
      <c r="C45" s="174" t="n">
        <f aca="false">IF(Input_Voltage_type="AC",(2*Pin/Vbulk_valley)/SQRT(tcharge_3/(t_line*ms)),(2*Pin)/(Vinput_run*(1-Ddemag_cc)))</f>
        <v>2.09394082212085</v>
      </c>
      <c r="D45" s="39" t="s">
        <v>25</v>
      </c>
      <c r="E45" s="39"/>
    </row>
    <row r="46" customFormat="false" ht="18.75" hidden="false" customHeight="true" outlineLevel="0" collapsed="false">
      <c r="A46" s="193"/>
      <c r="B46" s="194"/>
      <c r="C46" s="195"/>
      <c r="D46" s="196"/>
      <c r="E46" s="196"/>
    </row>
    <row r="47" customFormat="false" ht="18.75" hidden="false" customHeight="true" outlineLevel="0" collapsed="false">
      <c r="A47" s="178" t="s">
        <v>171</v>
      </c>
      <c r="B47" s="178"/>
      <c r="C47" s="178"/>
      <c r="D47" s="178"/>
      <c r="E47" s="178"/>
    </row>
    <row r="48" customFormat="false" ht="18.75" hidden="false" customHeight="true" outlineLevel="0" collapsed="false">
      <c r="A48" s="21" t="s">
        <v>319</v>
      </c>
      <c r="B48" s="93" t="s">
        <v>323</v>
      </c>
      <c r="C48" s="197" t="n">
        <f aca="false">IF(Input_Voltage_type="AC",MROUND(Vbulk_max,100),Vinput_max)</f>
        <v>400</v>
      </c>
      <c r="D48" s="162" t="s">
        <v>29</v>
      </c>
      <c r="E48" s="162"/>
    </row>
    <row r="49" customFormat="false" ht="18.75" hidden="false" customHeight="true" outlineLevel="0" collapsed="false">
      <c r="A49" s="21" t="s">
        <v>324</v>
      </c>
      <c r="B49" s="93" t="s">
        <v>325</v>
      </c>
      <c r="C49" s="197" t="n">
        <f aca="false">IF(Input_Voltage_type="AC",2*Pin/Vbulk_valley,2*Pin/Vinput_run)</f>
        <v>0.620833548766438</v>
      </c>
      <c r="D49" s="162" t="s">
        <v>25</v>
      </c>
      <c r="E49" s="162"/>
    </row>
    <row r="50" customFormat="false" ht="18.75" hidden="false" customHeight="true" outlineLevel="0" collapsed="false">
      <c r="A50" s="198" t="s">
        <v>326</v>
      </c>
      <c r="B50" s="199" t="s">
        <v>327</v>
      </c>
      <c r="C50" s="183" t="n">
        <f aca="false">IF('START HERE'!C73="",1,'START HERE'!C73)</f>
        <v>1.1</v>
      </c>
      <c r="D50" s="200" t="s">
        <v>29</v>
      </c>
      <c r="E50" s="185" t="s">
        <v>309</v>
      </c>
    </row>
    <row r="51" customFormat="false" ht="18.75" hidden="false" customHeight="true" outlineLevel="0" collapsed="false">
      <c r="A51" s="28" t="s">
        <v>328</v>
      </c>
      <c r="B51" s="192" t="s">
        <v>329</v>
      </c>
      <c r="C51" s="174" t="n">
        <f aca="false">2*Vf_bridge*Icin*mA/mW</f>
        <v>1699.83995069141</v>
      </c>
      <c r="D51" s="39" t="s">
        <v>39</v>
      </c>
      <c r="E51" s="39"/>
    </row>
    <row r="52" customFormat="false" ht="18.75" hidden="false" customHeight="true" outlineLevel="0" collapsed="false"/>
    <row r="53" customFormat="false" ht="18.75" hidden="false" customHeight="true" outlineLevel="0" collapsed="false">
      <c r="A53" s="201" t="s">
        <v>330</v>
      </c>
      <c r="B53" s="201"/>
      <c r="C53" s="201"/>
      <c r="D53" s="201"/>
      <c r="E53" s="201"/>
    </row>
    <row r="54" customFormat="false" ht="18.75" hidden="false" customHeight="true" outlineLevel="0" collapsed="false">
      <c r="A54" s="21" t="s">
        <v>331</v>
      </c>
      <c r="B54" s="93" t="s">
        <v>332</v>
      </c>
      <c r="C54" s="97" t="n">
        <v>0.425</v>
      </c>
      <c r="D54" s="20" t="s">
        <v>333</v>
      </c>
      <c r="E54" s="20"/>
    </row>
    <row r="55" customFormat="false" ht="18.75" hidden="false" customHeight="true" outlineLevel="0" collapsed="false">
      <c r="A55" s="21" t="s">
        <v>334</v>
      </c>
      <c r="B55" s="93" t="s">
        <v>335</v>
      </c>
      <c r="C55" s="97" t="n">
        <v>4</v>
      </c>
      <c r="D55" s="20" t="s">
        <v>333</v>
      </c>
      <c r="E55" s="20"/>
    </row>
    <row r="56" customFormat="false" ht="18.75" hidden="false" customHeight="true" outlineLevel="0" collapsed="false">
      <c r="A56" s="202" t="s">
        <v>336</v>
      </c>
      <c r="B56" s="203" t="s">
        <v>337</v>
      </c>
      <c r="C56" s="204" t="n">
        <f aca="false">'START HERE'!C30</f>
        <v>100</v>
      </c>
      <c r="D56" s="184" t="s">
        <v>33</v>
      </c>
      <c r="E56" s="205" t="s">
        <v>309</v>
      </c>
    </row>
    <row r="57" customFormat="false" ht="18.75" hidden="false" customHeight="true" outlineLevel="0" collapsed="false">
      <c r="A57" s="21" t="s">
        <v>338</v>
      </c>
      <c r="B57" s="93" t="s">
        <v>339</v>
      </c>
      <c r="C57" s="206" t="n">
        <f aca="false">(1/(fmax_target*kHz))/us</f>
        <v>10</v>
      </c>
      <c r="D57" s="162" t="s">
        <v>340</v>
      </c>
      <c r="E57" s="162"/>
    </row>
    <row r="58" customFormat="false" ht="18" hidden="false" customHeight="true" outlineLevel="0" collapsed="false">
      <c r="A58" s="21" t="s">
        <v>341</v>
      </c>
      <c r="B58" s="93" t="s">
        <v>342</v>
      </c>
      <c r="C58" s="161" t="n">
        <v>0.5</v>
      </c>
      <c r="D58" s="23" t="s">
        <v>343</v>
      </c>
      <c r="E58" s="207"/>
    </row>
    <row r="59" customFormat="false" ht="18.75" hidden="false" customHeight="true" outlineLevel="0" collapsed="false">
      <c r="A59" s="21" t="s">
        <v>344</v>
      </c>
      <c r="B59" s="93" t="s">
        <v>345</v>
      </c>
      <c r="C59" s="161" t="n">
        <f aca="false">1/(2*fres*MHz)/us</f>
        <v>1</v>
      </c>
      <c r="D59" s="162" t="s">
        <v>340</v>
      </c>
      <c r="E59" s="162"/>
    </row>
    <row r="60" customFormat="false" ht="18.75" hidden="false" customHeight="true" outlineLevel="0" collapsed="false">
      <c r="A60" s="21" t="s">
        <v>346</v>
      </c>
      <c r="B60" s="93" t="s">
        <v>347</v>
      </c>
      <c r="C60" s="161" t="n">
        <f aca="false">(1-((tres*us)*(fmax_target*kHz))-Ddemag_cc)</f>
        <v>0.475</v>
      </c>
      <c r="D60" s="162"/>
      <c r="E60" s="162"/>
    </row>
    <row r="61" customFormat="false" ht="18.75" hidden="false" customHeight="true" outlineLevel="0" collapsed="false">
      <c r="A61" s="58" t="s">
        <v>348</v>
      </c>
      <c r="B61" s="208" t="s">
        <v>349</v>
      </c>
      <c r="C61" s="209" t="n">
        <f aca="false">(Dmax_target*Vbulk_valley)/(Ddemag_cc*(Vout_cv+Vf+(DCR_Lout*mOhms*Iocc_target)))</f>
        <v>2.47282053858919</v>
      </c>
      <c r="D61" s="210" t="s">
        <v>350</v>
      </c>
      <c r="E61" s="210"/>
      <c r="F61" s="42"/>
      <c r="G61" s="42"/>
      <c r="H61" s="42"/>
      <c r="I61" s="42"/>
      <c r="J61" s="42"/>
    </row>
    <row r="62" customFormat="false" ht="18.75" hidden="false" customHeight="true" outlineLevel="0" collapsed="false">
      <c r="A62" s="211" t="s">
        <v>351</v>
      </c>
      <c r="B62" s="203" t="s">
        <v>352</v>
      </c>
      <c r="C62" s="212" t="n">
        <f aca="false">IF('START HERE'!C49="","",'START HERE'!C49)</f>
        <v>2.769</v>
      </c>
      <c r="D62" s="184"/>
      <c r="E62" s="185" t="s">
        <v>309</v>
      </c>
      <c r="F62" s="42"/>
      <c r="G62" s="42"/>
      <c r="H62" s="42"/>
      <c r="I62" s="42"/>
      <c r="J62" s="42"/>
    </row>
    <row r="63" customFormat="false" ht="18.75" hidden="false" customHeight="true" outlineLevel="0" collapsed="false">
      <c r="A63" s="36" t="s">
        <v>353</v>
      </c>
      <c r="B63" s="208" t="s">
        <v>354</v>
      </c>
      <c r="C63" s="161" t="n">
        <f aca="false">IF(Nps_actual="",Nps_ideal,Nps_actual)</f>
        <v>2.769</v>
      </c>
      <c r="D63" s="213"/>
      <c r="E63" s="213"/>
    </row>
    <row r="64" customFormat="false" ht="18.75" hidden="false" customHeight="true" outlineLevel="0" collapsed="false">
      <c r="A64" s="21" t="s">
        <v>355</v>
      </c>
      <c r="B64" s="93" t="s">
        <v>356</v>
      </c>
      <c r="C64" s="161" t="n">
        <f aca="false">Nps*(Vout_cv+Vf+((DCR_Lout*mOhms*Iocc_target)))</f>
        <v>128.06625</v>
      </c>
      <c r="D64" s="162" t="s">
        <v>29</v>
      </c>
      <c r="E64" s="162"/>
    </row>
    <row r="65" customFormat="false" ht="18.75" hidden="false" customHeight="true" outlineLevel="0" collapsed="false">
      <c r="A65" s="21" t="s">
        <v>357</v>
      </c>
      <c r="B65" s="93" t="s">
        <v>358</v>
      </c>
      <c r="C65" s="161" t="n">
        <f aca="false">Vds-Vbulk_max-(Nps*(Vout_cv+Vf+((DCR_Lout*mOhms)*Iocc_target)))</f>
        <v>197.16715597113</v>
      </c>
      <c r="D65" s="162" t="s">
        <v>29</v>
      </c>
      <c r="E65" s="162"/>
    </row>
    <row r="66" customFormat="false" ht="18.75" hidden="false" customHeight="true" outlineLevel="0" collapsed="false">
      <c r="A66" s="21" t="s">
        <v>359</v>
      </c>
      <c r="B66" s="93" t="s">
        <v>360</v>
      </c>
      <c r="C66" s="161" t="n">
        <f aca="false">(((Vout_cv+Vf+(DCR_Lout*mOhms*Iocc_target))*Nps*((1/(fmax_target*kHz))-(tres*us)))/(Vbulk_valley+((Vout_cv+Vf+(DCR_Lout*mOhms*Iocc_target))*Nps)))/us</f>
        <v>5.00268628677007</v>
      </c>
      <c r="D66" s="162" t="s">
        <v>340</v>
      </c>
      <c r="E66" s="162"/>
    </row>
    <row r="67" customFormat="false" ht="18.75" hidden="false" customHeight="true" outlineLevel="0" collapsed="false">
      <c r="A67" s="28" t="s">
        <v>361</v>
      </c>
      <c r="B67" s="192" t="s">
        <v>362</v>
      </c>
      <c r="C67" s="186" t="n">
        <v>0.9</v>
      </c>
      <c r="D67" s="39"/>
      <c r="E67" s="39"/>
    </row>
    <row r="68" customFormat="false" ht="18.75" hidden="false" customHeight="true" outlineLevel="0" collapsed="false"/>
    <row r="69" customFormat="false" ht="18.75" hidden="false" customHeight="true" outlineLevel="0" collapsed="false">
      <c r="A69" s="201" t="s">
        <v>363</v>
      </c>
      <c r="B69" s="201"/>
      <c r="C69" s="201"/>
      <c r="D69" s="201"/>
      <c r="E69" s="201"/>
    </row>
    <row r="70" customFormat="false" ht="18.75" hidden="false" customHeight="true" outlineLevel="0" collapsed="false">
      <c r="A70" s="74" t="s">
        <v>364</v>
      </c>
      <c r="B70" s="214" t="s">
        <v>365</v>
      </c>
      <c r="C70" s="215" t="n">
        <v>318</v>
      </c>
      <c r="D70" s="216" t="s">
        <v>31</v>
      </c>
      <c r="E70" s="217" t="s">
        <v>333</v>
      </c>
    </row>
    <row r="71" customFormat="false" ht="18.75" hidden="false" customHeight="true" outlineLevel="0" collapsed="false">
      <c r="A71" s="74" t="s">
        <v>366</v>
      </c>
      <c r="B71" s="214" t="s">
        <v>367</v>
      </c>
      <c r="C71" s="215" t="n">
        <v>330</v>
      </c>
      <c r="D71" s="218" t="s">
        <v>31</v>
      </c>
      <c r="E71" s="219" t="s">
        <v>333</v>
      </c>
    </row>
    <row r="72" customFormat="false" ht="18.75" hidden="false" customHeight="true" outlineLevel="0" collapsed="false">
      <c r="A72" s="74" t="s">
        <v>364</v>
      </c>
      <c r="B72" s="214" t="s">
        <v>365</v>
      </c>
      <c r="C72" s="215" t="n">
        <v>343</v>
      </c>
      <c r="D72" s="218" t="s">
        <v>31</v>
      </c>
      <c r="E72" s="219" t="s">
        <v>333</v>
      </c>
    </row>
    <row r="73" customFormat="false" ht="18.75" hidden="false" customHeight="true" outlineLevel="0" collapsed="false">
      <c r="A73" s="74" t="s">
        <v>368</v>
      </c>
      <c r="B73" s="214" t="s">
        <v>369</v>
      </c>
      <c r="C73" s="220" t="n">
        <f aca="false">2*(Vout_cv+Vf+(DCR_Lout*mOhms*Iocc_target))*Iocc_target/(eff_xfmr*((2*Iocc_target)/(Nps*Ddemag_cc))^2*fmax_target*kHz)/uH</f>
        <v>593.077916471354</v>
      </c>
      <c r="D73" s="23" t="s">
        <v>72</v>
      </c>
      <c r="E73" s="219"/>
    </row>
    <row r="74" customFormat="false" ht="18.75" hidden="false" customHeight="true" outlineLevel="0" collapsed="false">
      <c r="A74" s="51" t="s">
        <v>370</v>
      </c>
      <c r="B74" s="93" t="s">
        <v>371</v>
      </c>
      <c r="C74" s="161" t="n">
        <f aca="false">(Vccr_nom*mV)/(((2*Iocc_target)/(Nps*SQRT(eff_xfmr)))+(((Vbulk_valley*tdelay*ns)/(Lp_est*uH))*Ddemag_cc))</f>
        <v>0.707631677574177</v>
      </c>
      <c r="D74" s="162" t="s">
        <v>66</v>
      </c>
      <c r="E74" s="162"/>
    </row>
    <row r="75" customFormat="false" ht="18.75" hidden="false" customHeight="true" outlineLevel="0" collapsed="false">
      <c r="A75" s="181" t="s">
        <v>372</v>
      </c>
      <c r="B75" s="199" t="s">
        <v>373</v>
      </c>
      <c r="C75" s="183" t="n">
        <f aca="false">IF('START HERE'!C52="","",'START HERE'!C52)</f>
        <v>0.75</v>
      </c>
      <c r="D75" s="184" t="s">
        <v>66</v>
      </c>
      <c r="E75" s="185" t="s">
        <v>309</v>
      </c>
    </row>
    <row r="76" customFormat="false" ht="18.75" hidden="false" customHeight="true" outlineLevel="0" collapsed="false">
      <c r="A76" s="21" t="s">
        <v>374</v>
      </c>
      <c r="B76" s="93" t="s">
        <v>375</v>
      </c>
      <c r="C76" s="161" t="n">
        <f aca="false">IF(Rcs_actual="",Rcs_rcmd,Rcs_actual)</f>
        <v>0.75</v>
      </c>
      <c r="D76" s="162" t="s">
        <v>66</v>
      </c>
      <c r="E76" s="162"/>
    </row>
    <row r="77" customFormat="false" ht="18.75" hidden="false" customHeight="true" outlineLevel="0" collapsed="false">
      <c r="A77" s="21" t="s">
        <v>376</v>
      </c>
      <c r="B77" s="93" t="s">
        <v>377</v>
      </c>
      <c r="C77" s="161" t="n">
        <f aca="false">(Ipri_RMS^2)*Rcs/mW</f>
        <v>141.253896235409</v>
      </c>
      <c r="D77" s="159" t="s">
        <v>39</v>
      </c>
      <c r="E77" s="159"/>
    </row>
    <row r="78" customFormat="false" ht="18.75" hidden="false" customHeight="true" outlineLevel="0" collapsed="false">
      <c r="A78" s="21" t="s">
        <v>378</v>
      </c>
      <c r="B78" s="93" t="s">
        <v>379</v>
      </c>
      <c r="C78" s="97" t="n">
        <v>738</v>
      </c>
      <c r="D78" s="23" t="s">
        <v>31</v>
      </c>
      <c r="E78" s="221" t="s">
        <v>333</v>
      </c>
    </row>
    <row r="79" customFormat="false" ht="18.75" hidden="false" customHeight="true" outlineLevel="0" collapsed="false">
      <c r="A79" s="21" t="s">
        <v>380</v>
      </c>
      <c r="B79" s="93" t="s">
        <v>381</v>
      </c>
      <c r="C79" s="97" t="n">
        <v>773</v>
      </c>
      <c r="D79" s="23" t="s">
        <v>31</v>
      </c>
      <c r="E79" s="221" t="s">
        <v>333</v>
      </c>
    </row>
    <row r="80" customFormat="false" ht="18.75" hidden="false" customHeight="true" outlineLevel="0" collapsed="false">
      <c r="A80" s="21" t="s">
        <v>382</v>
      </c>
      <c r="B80" s="93" t="s">
        <v>383</v>
      </c>
      <c r="C80" s="97" t="n">
        <v>810</v>
      </c>
      <c r="D80" s="23" t="s">
        <v>31</v>
      </c>
      <c r="E80" s="221" t="s">
        <v>333</v>
      </c>
    </row>
    <row r="81" customFormat="false" ht="18.75" hidden="false" customHeight="true" outlineLevel="0" collapsed="false">
      <c r="A81" s="21" t="s">
        <v>384</v>
      </c>
      <c r="B81" s="93" t="s">
        <v>385</v>
      </c>
      <c r="C81" s="161" t="n">
        <f aca="false">Vcstmax_min*mV/Rcs</f>
        <v>0.984</v>
      </c>
      <c r="D81" s="162" t="s">
        <v>25</v>
      </c>
      <c r="E81" s="162"/>
    </row>
    <row r="82" customFormat="false" ht="18.75" hidden="false" customHeight="true" outlineLevel="0" collapsed="false">
      <c r="A82" s="51" t="s">
        <v>386</v>
      </c>
      <c r="B82" s="222" t="s">
        <v>387</v>
      </c>
      <c r="C82" s="223" t="n">
        <f aca="false">Vcstmax_nom*mV/Rcs</f>
        <v>1.03066666666667</v>
      </c>
      <c r="D82" s="224" t="s">
        <v>25</v>
      </c>
      <c r="E82" s="224"/>
    </row>
    <row r="83" customFormat="false" ht="18.75" hidden="false" customHeight="true" outlineLevel="0" collapsed="false">
      <c r="A83" s="21" t="s">
        <v>388</v>
      </c>
      <c r="B83" s="93" t="s">
        <v>389</v>
      </c>
      <c r="C83" s="161" t="n">
        <f aca="false">Vcstmax_max*mV/Rcs</f>
        <v>1.08</v>
      </c>
      <c r="D83" s="162" t="s">
        <v>25</v>
      </c>
      <c r="E83" s="162"/>
    </row>
    <row r="84" customFormat="false" ht="18.75" hidden="false" customHeight="true" outlineLevel="0" collapsed="false">
      <c r="A84" s="51" t="s">
        <v>390</v>
      </c>
      <c r="B84" s="222" t="s">
        <v>391</v>
      </c>
      <c r="C84" s="223" t="n">
        <f aca="false">Ipp_nom*Nps*Ddemag_cc/2</f>
        <v>0.60645715</v>
      </c>
      <c r="D84" s="225" t="s">
        <v>25</v>
      </c>
      <c r="E84" s="226"/>
      <c r="H84" s="42"/>
      <c r="I84" s="42"/>
      <c r="J84" s="42"/>
    </row>
    <row r="85" customFormat="false" ht="18.75" hidden="false" customHeight="true" outlineLevel="0" collapsed="false">
      <c r="A85" s="21" t="s">
        <v>392</v>
      </c>
      <c r="B85" s="93" t="s">
        <v>393</v>
      </c>
      <c r="C85" s="161" t="n">
        <f aca="false">Ipp_nom/Kam_nom</f>
        <v>0.257666666666667</v>
      </c>
      <c r="D85" s="162" t="s">
        <v>25</v>
      </c>
      <c r="E85" s="162"/>
      <c r="H85" s="42"/>
      <c r="I85" s="42"/>
      <c r="J85" s="42"/>
    </row>
    <row r="86" customFormat="false" ht="18.75" hidden="false" customHeight="true" outlineLevel="0" collapsed="false">
      <c r="A86" s="227" t="s">
        <v>394</v>
      </c>
      <c r="B86" s="99" t="s">
        <v>395</v>
      </c>
      <c r="C86" s="197" t="n">
        <f aca="false">(Vcstmax_max*mV)/(0.99*Rcs)</f>
        <v>1.09090909090909</v>
      </c>
      <c r="D86" s="35" t="s">
        <v>25</v>
      </c>
      <c r="E86" s="53" t="s">
        <v>396</v>
      </c>
      <c r="H86" s="42"/>
      <c r="I86" s="42"/>
      <c r="J86" s="42"/>
    </row>
    <row r="87" customFormat="false" ht="18.75" hidden="false" customHeight="true" outlineLevel="0" collapsed="false">
      <c r="A87" s="227"/>
      <c r="B87" s="99"/>
      <c r="C87" s="197"/>
      <c r="D87" s="35"/>
      <c r="E87" s="53"/>
      <c r="H87" s="42"/>
      <c r="I87" s="42"/>
      <c r="J87" s="42"/>
    </row>
    <row r="88" customFormat="false" ht="18.75" hidden="false" customHeight="true" outlineLevel="0" collapsed="false">
      <c r="A88" s="28" t="s">
        <v>397</v>
      </c>
      <c r="B88" s="192" t="s">
        <v>398</v>
      </c>
      <c r="C88" s="174" t="n">
        <f aca="false">Ipp_wc*Nps*Ddemag_cc/2</f>
        <v>0.641904545454546</v>
      </c>
      <c r="D88" s="30" t="s">
        <v>25</v>
      </c>
      <c r="E88" s="80" t="s">
        <v>399</v>
      </c>
      <c r="H88" s="42"/>
      <c r="I88" s="42"/>
      <c r="J88" s="42"/>
    </row>
    <row r="89" customFormat="false" ht="18.75" hidden="false" customHeight="true" outlineLevel="0" collapsed="false">
      <c r="A89" s="42"/>
      <c r="B89" s="42"/>
      <c r="C89" s="42"/>
      <c r="D89" s="42"/>
      <c r="E89" s="42"/>
      <c r="F89" s="42"/>
      <c r="H89" s="42"/>
      <c r="I89" s="42"/>
      <c r="J89" s="42"/>
    </row>
    <row r="90" customFormat="false" ht="18.75" hidden="false" customHeight="true" outlineLevel="0" collapsed="false">
      <c r="A90" s="201" t="s">
        <v>400</v>
      </c>
      <c r="B90" s="201"/>
      <c r="C90" s="201"/>
      <c r="D90" s="201"/>
      <c r="E90" s="201"/>
      <c r="H90" s="42"/>
      <c r="I90" s="42"/>
      <c r="J90" s="42"/>
    </row>
    <row r="91" customFormat="false" ht="18.75" hidden="false" customHeight="true" outlineLevel="0" collapsed="false">
      <c r="A91" s="228" t="s">
        <v>401</v>
      </c>
      <c r="B91" s="229" t="s">
        <v>402</v>
      </c>
      <c r="C91" s="161" t="n">
        <f aca="false">((2*(Vout_cv+Vf+(DCR_Lout*mOhms*Iocc))*Iocc/(eff_xfmr*Ipp_nom^2*fmax_target*kHz))/uH)</f>
        <v>586.763219598965</v>
      </c>
      <c r="D91" s="162" t="s">
        <v>72</v>
      </c>
      <c r="E91" s="162"/>
      <c r="H91" s="42"/>
      <c r="I91" s="42"/>
      <c r="J91" s="42"/>
    </row>
    <row r="92" customFormat="false" ht="18.75" hidden="false" customHeight="true" outlineLevel="0" collapsed="false">
      <c r="A92" s="51" t="s">
        <v>403</v>
      </c>
      <c r="B92" s="93" t="s">
        <v>404</v>
      </c>
      <c r="C92" s="161" t="n">
        <f aca="false">IF(((((2*(Vout_cv+Vf+(DCR_Lout*mOhms*Iocc))*Iocc/(eff_xfmr*Ipp_nom^2*fmax_target*kHz))/uH)*uH*Ipp_nom)/(Vbulk_max*Kam_nom))/ns&lt;tonmin_limit,(tonmin_limit*1.01*Vbulk_max*Kam_nom/Ipp_nom*ns),(2*(Vout_cv+Vf+(DCR_Lout*mOhms*Iocc))*Iocc/(eff_xfmr*Ipp_nom^2*fmax_target*kHz)))/uH</f>
        <v>586.763219598965</v>
      </c>
      <c r="D92" s="23" t="s">
        <v>72</v>
      </c>
      <c r="E92" s="221" t="s">
        <v>405</v>
      </c>
      <c r="H92" s="42"/>
      <c r="I92" s="42"/>
      <c r="J92" s="42"/>
    </row>
    <row r="93" customFormat="false" ht="18.75" hidden="false" customHeight="true" outlineLevel="0" collapsed="false">
      <c r="A93" s="211" t="s">
        <v>406</v>
      </c>
      <c r="B93" s="203" t="s">
        <v>407</v>
      </c>
      <c r="C93" s="204" t="n">
        <f aca="false">IF('START HERE'!C55="","",'START HERE'!C55)</f>
        <v>190</v>
      </c>
      <c r="D93" s="184" t="s">
        <v>72</v>
      </c>
      <c r="E93" s="205" t="s">
        <v>309</v>
      </c>
    </row>
    <row r="94" customFormat="false" ht="18.75" hidden="false" customHeight="true" outlineLevel="0" collapsed="false">
      <c r="A94" s="21" t="s">
        <v>408</v>
      </c>
      <c r="B94" s="93" t="s">
        <v>409</v>
      </c>
      <c r="C94" s="161" t="n">
        <f aca="false">IF(Lp_actual="",Lp_rcmd,Lp_actual)</f>
        <v>190</v>
      </c>
      <c r="D94" s="162" t="s">
        <v>72</v>
      </c>
      <c r="E94" s="162"/>
    </row>
    <row r="95" customFormat="false" ht="18.75" hidden="false" customHeight="true" outlineLevel="0" collapsed="false">
      <c r="A95" s="51" t="s">
        <v>410</v>
      </c>
      <c r="B95" s="222" t="s">
        <v>411</v>
      </c>
      <c r="C95" s="223" t="n">
        <f aca="false">(Nps*Ddemag_cc*(Vout_cv+Vf+(DCR_Lout*mOhms*Iocc))/(Lp*uH*Ipp_nom)/kHz)</f>
        <v>277.940472441615</v>
      </c>
      <c r="D95" s="230" t="s">
        <v>33</v>
      </c>
      <c r="E95" s="231" t="str">
        <f aca="false">IF(fmax&gt;100,"Design exceeds capability of part",IF(fmax&lt;32,"Design will operate only in the AM range, not all features may be available",""))</f>
        <v>Design exceeds capability of part</v>
      </c>
    </row>
    <row r="96" customFormat="false" ht="18.75" hidden="false" customHeight="true" outlineLevel="0" collapsed="false">
      <c r="A96" s="21" t="s">
        <v>412</v>
      </c>
      <c r="B96" s="93" t="s">
        <v>413</v>
      </c>
      <c r="C96" s="161" t="n">
        <f aca="false">(1/fmax*kHz)</f>
        <v>3.59789271139727</v>
      </c>
      <c r="D96" s="162" t="s">
        <v>340</v>
      </c>
      <c r="E96" s="162"/>
    </row>
    <row r="97" customFormat="false" ht="18.75" hidden="false" customHeight="true" outlineLevel="0" collapsed="false">
      <c r="A97" s="21" t="s">
        <v>414</v>
      </c>
      <c r="B97" s="93" t="s">
        <v>415</v>
      </c>
      <c r="C97" s="161" t="n">
        <f aca="false">Ipp_nom*Lp/Vbulk_valley</f>
        <v>1.91369258793155</v>
      </c>
      <c r="D97" s="162" t="s">
        <v>340</v>
      </c>
      <c r="E97" s="162"/>
    </row>
    <row r="98" customFormat="false" ht="18.75" hidden="false" customHeight="true" outlineLevel="0" collapsed="false">
      <c r="A98" s="21" t="s">
        <v>416</v>
      </c>
      <c r="B98" s="93" t="s">
        <v>417</v>
      </c>
      <c r="C98" s="161" t="n">
        <f aca="false">(ton_max*us)*(fmax*kHz)</f>
        <v>0.531892621997712</v>
      </c>
      <c r="D98" s="162"/>
      <c r="E98" s="162"/>
    </row>
    <row r="99" customFormat="false" ht="18.75" hidden="false" customHeight="true" outlineLevel="0" collapsed="false">
      <c r="A99" s="21" t="s">
        <v>418</v>
      </c>
      <c r="B99" s="93" t="s">
        <v>419</v>
      </c>
      <c r="C99" s="161" t="n">
        <f aca="false">(Lp*uH)*Ipp_nom/(Nps*(Vout_cv+Vf+(DCR_Lout*mOhms*Iocc)))/us</f>
        <v>1.52910440234384</v>
      </c>
      <c r="D99" s="162" t="s">
        <v>340</v>
      </c>
      <c r="E99" s="162"/>
    </row>
    <row r="100" customFormat="false" ht="18.75" hidden="false" customHeight="true" outlineLevel="0" collapsed="false">
      <c r="A100" s="21" t="s">
        <v>420</v>
      </c>
      <c r="B100" s="93" t="s">
        <v>421</v>
      </c>
      <c r="C100" s="161" t="n">
        <f aca="false">(Ipp_nom/SQRT(3))*(SQRT(ton_max/tsw))</f>
        <v>0.433979870862554</v>
      </c>
      <c r="D100" s="162" t="s">
        <v>25</v>
      </c>
      <c r="E100" s="162"/>
    </row>
    <row r="101" customFormat="false" ht="18.75" hidden="false" customHeight="true" outlineLevel="0" collapsed="false">
      <c r="A101" s="21" t="s">
        <v>422</v>
      </c>
      <c r="B101" s="93" t="s">
        <v>423</v>
      </c>
      <c r="C101" s="161" t="n">
        <f aca="false">Ipp_nom*Nps</f>
        <v>2.853916</v>
      </c>
      <c r="D101" s="162" t="s">
        <v>25</v>
      </c>
      <c r="E101" s="162"/>
    </row>
    <row r="102" customFormat="false" ht="18.75" hidden="false" customHeight="true" outlineLevel="0" collapsed="false">
      <c r="A102" s="21" t="s">
        <v>424</v>
      </c>
      <c r="B102" s="93" t="s">
        <v>425</v>
      </c>
      <c r="C102" s="161" t="n">
        <f aca="false">Isp_max*SQRT(Ddemag_cc/3)</f>
        <v>1.07417495896444</v>
      </c>
      <c r="D102" s="162" t="s">
        <v>25</v>
      </c>
      <c r="E102" s="162"/>
    </row>
    <row r="103" customFormat="false" ht="18.75" hidden="false" customHeight="true" outlineLevel="0" collapsed="false">
      <c r="A103" s="21" t="s">
        <v>426</v>
      </c>
      <c r="B103" s="93" t="s">
        <v>427</v>
      </c>
      <c r="C103" s="161" t="n">
        <v>8.15</v>
      </c>
      <c r="D103" s="23" t="s">
        <v>29</v>
      </c>
      <c r="E103" s="221" t="s">
        <v>333</v>
      </c>
    </row>
    <row r="104" customFormat="false" ht="18.75" hidden="false" customHeight="true" outlineLevel="0" collapsed="false">
      <c r="A104" s="21" t="s">
        <v>428</v>
      </c>
      <c r="B104" s="93" t="s">
        <v>429</v>
      </c>
      <c r="C104" s="161" t="n">
        <v>7.35</v>
      </c>
      <c r="D104" s="23" t="s">
        <v>29</v>
      </c>
      <c r="E104" s="221" t="s">
        <v>333</v>
      </c>
    </row>
    <row r="105" customFormat="false" ht="18.75" hidden="false" customHeight="true" outlineLevel="0" collapsed="false">
      <c r="A105" s="36" t="s">
        <v>430</v>
      </c>
      <c r="B105" s="93" t="s">
        <v>431</v>
      </c>
      <c r="C105" s="161" t="n">
        <f aca="false">(VDDoff_max+Vfa)/(Vout_cc+Vf+(DCR_Lout*mOhms*Iocc))</f>
        <v>0.3008</v>
      </c>
      <c r="D105" s="162"/>
      <c r="E105" s="162"/>
    </row>
    <row r="106" customFormat="false" ht="18.75" hidden="false" customHeight="true" outlineLevel="0" collapsed="false">
      <c r="A106" s="51" t="s">
        <v>432</v>
      </c>
      <c r="B106" s="93" t="s">
        <v>433</v>
      </c>
      <c r="C106" s="161" t="n">
        <f aca="false">Nps/Nas_rcmd</f>
        <v>9.20545212765957</v>
      </c>
      <c r="D106" s="162"/>
      <c r="E106" s="162"/>
    </row>
    <row r="107" customFormat="false" ht="18.75" hidden="false" customHeight="true" outlineLevel="0" collapsed="false">
      <c r="A107" s="181" t="s">
        <v>434</v>
      </c>
      <c r="B107" s="199" t="s">
        <v>435</v>
      </c>
      <c r="C107" s="183" t="n">
        <f aca="false">IF('START HERE'!C57="","",'START HERE'!C57)</f>
        <v>9</v>
      </c>
      <c r="D107" s="154" t="s">
        <v>309</v>
      </c>
      <c r="E107" s="154"/>
    </row>
    <row r="108" customFormat="false" ht="18.75" hidden="false" customHeight="true" outlineLevel="0" collapsed="false">
      <c r="A108" s="36" t="s">
        <v>436</v>
      </c>
      <c r="B108" s="93" t="s">
        <v>437</v>
      </c>
      <c r="C108" s="161" t="n">
        <f aca="false">IF('START HERE'!C57="",Npa_rcmd,Npa_actual)</f>
        <v>9</v>
      </c>
      <c r="D108" s="162"/>
      <c r="E108" s="162"/>
    </row>
    <row r="109" customFormat="false" ht="55.5" hidden="false" customHeight="true" outlineLevel="0" collapsed="false">
      <c r="A109" s="51" t="s">
        <v>438</v>
      </c>
      <c r="B109" s="222" t="s">
        <v>439</v>
      </c>
      <c r="C109" s="223" t="n">
        <f aca="false">((Vout_cv+Vf+(DCR_Lout*mOhms*Iocc))*Nps-Vfa*Npa)/Npa</f>
        <v>12.9795833333333</v>
      </c>
      <c r="D109" s="230" t="s">
        <v>29</v>
      </c>
      <c r="E109" s="232" t="str">
        <f aca="false">IF(VDD &gt; 25,"A zener clamp is needed to protect VDD from Exceeding ABS MAX over entire operating range","")</f>
        <v/>
      </c>
    </row>
    <row r="110" customFormat="false" ht="18.75" hidden="false" customHeight="true" outlineLevel="0" collapsed="false">
      <c r="A110" s="233" t="s">
        <v>440</v>
      </c>
      <c r="B110" s="234" t="s">
        <v>441</v>
      </c>
      <c r="C110" s="235" t="n">
        <f aca="false">Nps/Npa</f>
        <v>0.307666666666667</v>
      </c>
      <c r="D110" s="210"/>
      <c r="E110" s="210"/>
    </row>
    <row r="111" customFormat="false" ht="18.75" hidden="false" customHeight="true" outlineLevel="0" collapsed="false">
      <c r="A111" s="233" t="s">
        <v>442</v>
      </c>
      <c r="B111" s="93" t="s">
        <v>443</v>
      </c>
      <c r="C111" s="235" t="n">
        <v>280</v>
      </c>
      <c r="D111" s="236" t="s">
        <v>85</v>
      </c>
      <c r="E111" s="237"/>
    </row>
    <row r="112" customFormat="false" ht="18.75" hidden="false" customHeight="true" outlineLevel="0" collapsed="false">
      <c r="A112" s="21" t="s">
        <v>444</v>
      </c>
      <c r="B112" s="93" t="s">
        <v>445</v>
      </c>
      <c r="C112" s="161" t="n">
        <f aca="false">(Lp*uH*Ipp_nom)/(Vbulk_max*Kam_nom)/ns</f>
        <v>130.632418808639</v>
      </c>
      <c r="D112" s="238" t="s">
        <v>85</v>
      </c>
      <c r="E112" s="239" t="str">
        <f aca="false">IF(ton_min&lt;tonmin_limit,"Increase Primary Inductance","")</f>
        <v>Increase Primary Inductance</v>
      </c>
    </row>
    <row r="113" customFormat="false" ht="18.75" hidden="false" customHeight="true" outlineLevel="0" collapsed="false">
      <c r="A113" s="21" t="s">
        <v>446</v>
      </c>
      <c r="B113" s="93" t="s">
        <v>447</v>
      </c>
      <c r="C113" s="161" t="n">
        <f aca="false">((ton_min*ns)*Vbulk_max)/(Nps*(Vout_cv+Vf+(DCR_Lout*mOhms)))/us</f>
        <v>0.38227610058596</v>
      </c>
      <c r="D113" s="162" t="s">
        <v>340</v>
      </c>
      <c r="E113" s="162"/>
    </row>
    <row r="114" customFormat="false" ht="18.75" hidden="false" customHeight="true" outlineLevel="0" collapsed="false">
      <c r="A114" s="240" t="s">
        <v>448</v>
      </c>
      <c r="B114" s="241" t="s">
        <v>449</v>
      </c>
      <c r="C114" s="242" t="n">
        <f aca="false">((VDDoff_min+Vfa)/Nas)-Vf-(DCR_Lout*mOhms*Iocc)</f>
        <v>26.7023293607801</v>
      </c>
      <c r="D114" s="243" t="s">
        <v>29</v>
      </c>
      <c r="E114" s="243"/>
    </row>
    <row r="115" customFormat="false" ht="18.75" hidden="false" customHeight="true" outlineLevel="0" collapsed="false"/>
    <row r="116" customFormat="false" ht="18.75" hidden="false" customHeight="true" outlineLevel="0" collapsed="false">
      <c r="A116" s="178" t="s">
        <v>450</v>
      </c>
      <c r="B116" s="178"/>
      <c r="C116" s="178"/>
      <c r="D116" s="178"/>
      <c r="E116" s="178"/>
    </row>
    <row r="117" customFormat="false" ht="18.75" hidden="false" customHeight="true" outlineLevel="0" collapsed="false">
      <c r="A117" s="90" t="s">
        <v>79</v>
      </c>
      <c r="B117" s="244" t="s">
        <v>451</v>
      </c>
      <c r="C117" s="161" t="n">
        <f aca="false">(Vbulk_max+(Nps*(Vout_cv+Vf+((DCR_Lout*mOhms)*Iocc_target))))*1.3</f>
        <v>653.682697237531</v>
      </c>
      <c r="D117" s="245" t="s">
        <v>29</v>
      </c>
      <c r="E117" s="245"/>
    </row>
    <row r="118" customFormat="false" ht="18.75" hidden="false" customHeight="true" outlineLevel="0" collapsed="false">
      <c r="A118" s="198" t="s">
        <v>452</v>
      </c>
      <c r="B118" s="199" t="s">
        <v>453</v>
      </c>
      <c r="C118" s="183" t="n">
        <f aca="false">'START HERE'!C60</f>
        <v>700</v>
      </c>
      <c r="D118" s="246" t="s">
        <v>29</v>
      </c>
      <c r="E118" s="154" t="s">
        <v>255</v>
      </c>
    </row>
    <row r="119" customFormat="false" ht="15.65" hidden="false" customHeight="false" outlineLevel="0" collapsed="false">
      <c r="A119" s="198" t="s">
        <v>454</v>
      </c>
      <c r="B119" s="199" t="s">
        <v>455</v>
      </c>
      <c r="C119" s="246" t="n">
        <f aca="false">'START HERE'!C61</f>
        <v>150</v>
      </c>
      <c r="D119" s="246" t="s">
        <v>82</v>
      </c>
      <c r="E119" s="154"/>
    </row>
    <row r="120" customFormat="false" ht="18.75" hidden="false" customHeight="true" outlineLevel="0" collapsed="false">
      <c r="A120" s="198" t="s">
        <v>456</v>
      </c>
      <c r="B120" s="199" t="s">
        <v>457</v>
      </c>
      <c r="C120" s="183" t="n">
        <f aca="false">'START HERE'!C62</f>
        <v>1.4</v>
      </c>
      <c r="D120" s="246" t="s">
        <v>66</v>
      </c>
      <c r="E120" s="154"/>
    </row>
    <row r="121" customFormat="false" ht="18.75" hidden="false" customHeight="true" outlineLevel="0" collapsed="false">
      <c r="A121" s="198" t="s">
        <v>458</v>
      </c>
      <c r="B121" s="199" t="s">
        <v>459</v>
      </c>
      <c r="C121" s="183" t="n">
        <f aca="false">'START HERE'!C63</f>
        <v>52</v>
      </c>
      <c r="D121" s="246" t="s">
        <v>85</v>
      </c>
      <c r="E121" s="154"/>
    </row>
    <row r="122" customFormat="false" ht="18.75" hidden="false" customHeight="true" outlineLevel="0" collapsed="false">
      <c r="A122" s="155" t="s">
        <v>460</v>
      </c>
      <c r="B122" s="199" t="s">
        <v>461</v>
      </c>
      <c r="C122" s="246" t="n">
        <f aca="false">'START HERE'!C64</f>
        <v>80</v>
      </c>
      <c r="D122" s="246" t="s">
        <v>85</v>
      </c>
      <c r="E122" s="154"/>
    </row>
    <row r="123" customFormat="false" ht="18.75" hidden="false" customHeight="true" outlineLevel="0" collapsed="false">
      <c r="A123" s="198" t="s">
        <v>462</v>
      </c>
      <c r="B123" s="199" t="s">
        <v>463</v>
      </c>
      <c r="C123" s="183" t="n">
        <f aca="false">'START HERE'!C65</f>
        <v>30</v>
      </c>
      <c r="D123" s="246" t="s">
        <v>88</v>
      </c>
      <c r="E123" s="154"/>
    </row>
    <row r="124" customFormat="false" ht="19.5" hidden="false" customHeight="true" outlineLevel="0" collapsed="false">
      <c r="A124" s="21" t="s">
        <v>464</v>
      </c>
      <c r="B124" s="2" t="s">
        <v>465</v>
      </c>
      <c r="C124" s="161" t="n">
        <f aca="false">1/(2*PI()*SQRT(Lp*uH*Coss*2*pF))/MHz</f>
        <v>0.666626699379828</v>
      </c>
      <c r="D124" s="162" t="s">
        <v>343</v>
      </c>
      <c r="E124" s="162"/>
    </row>
    <row r="125" customFormat="false" ht="18.75" hidden="false" customHeight="true" outlineLevel="0" collapsed="false">
      <c r="A125" s="21" t="s">
        <v>466</v>
      </c>
      <c r="B125" s="93" t="s">
        <v>467</v>
      </c>
      <c r="C125" s="161" t="n">
        <f aca="false">1/(2*fres_actual*MHz)/us</f>
        <v>0.750044965893441</v>
      </c>
      <c r="D125" s="247" t="s">
        <v>468</v>
      </c>
      <c r="E125" s="247"/>
    </row>
    <row r="126" customFormat="false" ht="18.75" hidden="false" customHeight="true" outlineLevel="0" collapsed="false">
      <c r="A126" s="21" t="s">
        <v>469</v>
      </c>
      <c r="B126" s="93" t="s">
        <v>470</v>
      </c>
      <c r="C126" s="248" t="str">
        <f aca="false">IF((1-((tres_actual*us)*(fmax*kHz))-Ddemag_cc)&lt;(1-((2.1*us)*(fmax*kHz))-Ddemag_cc),"NO","YES")</f>
        <v>YES</v>
      </c>
      <c r="D126" s="249" t="str">
        <f aca="false">IF(C126="NO", "Efficiency will be impacted","")</f>
        <v/>
      </c>
      <c r="E126" s="249"/>
    </row>
    <row r="127" customFormat="false" ht="18.75" hidden="false" customHeight="true" outlineLevel="0" collapsed="false">
      <c r="A127" s="21" t="s">
        <v>471</v>
      </c>
      <c r="B127" s="93" t="s">
        <v>472</v>
      </c>
      <c r="C127" s="161" t="n">
        <f aca="false">Vds_min_rating/Vds</f>
        <v>0.933832424625044</v>
      </c>
      <c r="D127" s="162"/>
      <c r="E127" s="162"/>
    </row>
    <row r="128" customFormat="false" ht="18.75" hidden="false" customHeight="true" outlineLevel="0" collapsed="false">
      <c r="A128" s="21" t="s">
        <v>473</v>
      </c>
      <c r="B128" s="93" t="s">
        <v>474</v>
      </c>
      <c r="C128" s="161" t="n">
        <f aca="false">((Ipp_wc/SQRT(3))*(SQRT(ton_max/tsw)))*10</f>
        <v>4.59345976451016</v>
      </c>
      <c r="D128" s="162" t="s">
        <v>25</v>
      </c>
      <c r="E128" s="162"/>
    </row>
    <row r="129" customFormat="false" ht="18.75" hidden="false" customHeight="true" outlineLevel="0" collapsed="false">
      <c r="A129" s="21" t="s">
        <v>475</v>
      </c>
      <c r="B129" s="93" t="s">
        <v>476</v>
      </c>
      <c r="C129" s="161" t="n">
        <f aca="false">Ipp_wc*10</f>
        <v>10.9090909090909</v>
      </c>
      <c r="D129" s="162" t="s">
        <v>25</v>
      </c>
      <c r="E129" s="162"/>
    </row>
    <row r="130" customFormat="false" ht="18.75" hidden="false" customHeight="true" outlineLevel="0" collapsed="false">
      <c r="A130" s="21" t="s">
        <v>477</v>
      </c>
      <c r="B130" s="93" t="s">
        <v>478</v>
      </c>
      <c r="C130" s="161" t="n">
        <f aca="false">(Ipri_RMS^2)*Rdson</f>
        <v>0.263673939639431</v>
      </c>
      <c r="D130" s="162" t="s">
        <v>202</v>
      </c>
      <c r="E130" s="162"/>
    </row>
    <row r="131" customFormat="false" ht="18.75" hidden="false" customHeight="true" outlineLevel="0" collapsed="false">
      <c r="A131" s="21" t="s">
        <v>479</v>
      </c>
      <c r="B131" s="93" t="s">
        <v>480</v>
      </c>
      <c r="C131" s="161" t="n">
        <f aca="false">fmax*kHz*((((Coss*pF)*(Vbulk_max-Vflyback)^2)/2)+(((Vbulk_max+Vflyback)*Ipp_nom*tf*ns)/2))</f>
        <v>5.01381232298648</v>
      </c>
      <c r="D131" s="162" t="s">
        <v>202</v>
      </c>
      <c r="E131" s="162"/>
    </row>
    <row r="132" customFormat="false" ht="15.65" hidden="false" customHeight="false" outlineLevel="0" collapsed="false">
      <c r="A132" s="21" t="s">
        <v>481</v>
      </c>
      <c r="B132" s="93" t="s">
        <v>482</v>
      </c>
      <c r="C132" s="161" t="n">
        <f aca="false">Pfet_cond+Pfet_switch</f>
        <v>5.27748626262591</v>
      </c>
      <c r="D132" s="162" t="s">
        <v>202</v>
      </c>
      <c r="E132" s="162"/>
    </row>
    <row r="133" customFormat="false" ht="15.65" hidden="false" customHeight="false" outlineLevel="0" collapsed="false">
      <c r="A133" s="28" t="s">
        <v>483</v>
      </c>
      <c r="B133" s="192" t="s">
        <v>484</v>
      </c>
      <c r="C133" s="174" t="n">
        <f aca="false">(0.95*Vds)-(Vbulk_max+Nps*(Vout_cv+Vf+(DCR_Lout*mOhms)))</f>
        <v>162.16715597113</v>
      </c>
      <c r="D133" s="39" t="s">
        <v>29</v>
      </c>
      <c r="E133" s="39"/>
    </row>
    <row r="134" customFormat="false" ht="13.8" hidden="false" customHeight="false" outlineLevel="0" collapsed="false">
      <c r="B134" s="2"/>
      <c r="C134" s="250"/>
    </row>
    <row r="135" customFormat="false" ht="17.45" hidden="false" customHeight="false" outlineLevel="0" collapsed="false">
      <c r="A135" s="178" t="s">
        <v>485</v>
      </c>
      <c r="B135" s="178"/>
      <c r="C135" s="178"/>
      <c r="D135" s="178"/>
      <c r="E135" s="178"/>
    </row>
    <row r="136" customFormat="false" ht="15.65" hidden="false" customHeight="false" outlineLevel="0" collapsed="false">
      <c r="A136" s="198" t="s">
        <v>53</v>
      </c>
      <c r="B136" s="199" t="s">
        <v>486</v>
      </c>
      <c r="C136" s="183" t="n">
        <f aca="false">IF('START HERE'!C43="",0.7,'START HERE'!C43)</f>
        <v>1.25</v>
      </c>
      <c r="D136" s="184" t="s">
        <v>29</v>
      </c>
      <c r="E136" s="185" t="s">
        <v>309</v>
      </c>
    </row>
    <row r="137" customFormat="false" ht="15.65" hidden="false" customHeight="false" outlineLevel="0" collapsed="false">
      <c r="A137" s="21" t="s">
        <v>487</v>
      </c>
      <c r="B137" s="93" t="s">
        <v>488</v>
      </c>
      <c r="C137" s="161" t="n">
        <f aca="false">((Vbulk_max+Vdrain_clamp)/Nps)+Vout_ovp+(DCR_Lout*mOhms*Iocc)</f>
        <v>243.908902130733</v>
      </c>
      <c r="D137" s="162" t="s">
        <v>29</v>
      </c>
      <c r="E137" s="162"/>
    </row>
    <row r="138" customFormat="false" ht="15.65" hidden="false" customHeight="false" outlineLevel="0" collapsed="false">
      <c r="A138" s="21" t="s">
        <v>489</v>
      </c>
      <c r="B138" s="93" t="s">
        <v>490</v>
      </c>
      <c r="C138" s="161" t="n">
        <f aca="false">Isec_rms</f>
        <v>1.07417495896444</v>
      </c>
      <c r="D138" s="162" t="s">
        <v>25</v>
      </c>
      <c r="E138" s="162"/>
    </row>
    <row r="139" customFormat="false" ht="15.65" hidden="false" customHeight="false" outlineLevel="0" collapsed="false">
      <c r="A139" s="28" t="s">
        <v>491</v>
      </c>
      <c r="B139" s="192" t="s">
        <v>492</v>
      </c>
      <c r="C139" s="174" t="n">
        <f aca="false">Vf*Iocc</f>
        <v>0.7580714375</v>
      </c>
      <c r="D139" s="39" t="s">
        <v>202</v>
      </c>
      <c r="E139" s="39"/>
    </row>
    <row r="140" customFormat="false" ht="14.25" hidden="false" customHeight="true" outlineLevel="0" collapsed="false">
      <c r="E140" s="251"/>
    </row>
    <row r="141" customFormat="false" ht="17.45" hidden="false" customHeight="false" outlineLevel="0" collapsed="false">
      <c r="A141" s="178" t="s">
        <v>493</v>
      </c>
      <c r="B141" s="178"/>
      <c r="C141" s="178"/>
      <c r="D141" s="178"/>
      <c r="E141" s="178"/>
    </row>
    <row r="142" customFormat="false" ht="18.75" hidden="false" customHeight="true" outlineLevel="0" collapsed="false">
      <c r="A142" s="198" t="s">
        <v>494</v>
      </c>
      <c r="B142" s="199" t="s">
        <v>495</v>
      </c>
      <c r="C142" s="183" t="n">
        <f aca="false">IF('START HERE'!C75="",0.7,'START HERE'!C75)</f>
        <v>1.25</v>
      </c>
      <c r="D142" s="184" t="s">
        <v>29</v>
      </c>
      <c r="E142" s="185" t="s">
        <v>309</v>
      </c>
    </row>
    <row r="143" customFormat="false" ht="15.65" hidden="false" customHeight="false" outlineLevel="0" collapsed="false">
      <c r="A143" s="28" t="s">
        <v>487</v>
      </c>
      <c r="B143" s="192" t="s">
        <v>496</v>
      </c>
      <c r="C143" s="174" t="n">
        <f aca="false">(Vout_cv*Nps/Npa)+(Vbulk_max/Npa)+VDD</f>
        <v>68.4653160032078</v>
      </c>
      <c r="D143" s="39" t="s">
        <v>29</v>
      </c>
      <c r="E143" s="39"/>
    </row>
    <row r="145" customFormat="false" ht="17.45" hidden="false" customHeight="false" outlineLevel="0" collapsed="false">
      <c r="A145" s="178" t="s">
        <v>497</v>
      </c>
      <c r="B145" s="178"/>
      <c r="C145" s="178"/>
      <c r="D145" s="178"/>
      <c r="E145" s="178"/>
    </row>
    <row r="146" customFormat="false" ht="15.65" hidden="false" customHeight="false" outlineLevel="0" collapsed="false">
      <c r="A146" s="252" t="s">
        <v>498</v>
      </c>
      <c r="B146" s="253" t="s">
        <v>499</v>
      </c>
      <c r="C146" s="254" t="n">
        <f aca="false">IF('START HERE'!C45="",0,'START HERE'!C45)</f>
        <v>0</v>
      </c>
      <c r="D146" s="255" t="s">
        <v>57</v>
      </c>
      <c r="E146" s="256" t="s">
        <v>309</v>
      </c>
    </row>
    <row r="147" customFormat="false" ht="14.25" hidden="false" customHeight="true" outlineLevel="0" collapsed="false">
      <c r="E147" s="257"/>
    </row>
    <row r="148" customFormat="false" ht="17.45" hidden="false" customHeight="false" outlineLevel="0" collapsed="false">
      <c r="A148" s="178" t="s">
        <v>500</v>
      </c>
      <c r="B148" s="178"/>
      <c r="C148" s="178"/>
      <c r="D148" s="178"/>
      <c r="E148" s="178"/>
    </row>
    <row r="149" customFormat="false" ht="18.75" hidden="false" customHeight="true" outlineLevel="0" collapsed="false">
      <c r="A149" s="258" t="s">
        <v>501</v>
      </c>
      <c r="B149" s="214" t="s">
        <v>502</v>
      </c>
      <c r="C149" s="220" t="n">
        <f aca="false">(Itran*tresp*ms)/Vout_delta/uF</f>
        <v>24000</v>
      </c>
      <c r="D149" s="75" t="s">
        <v>48</v>
      </c>
      <c r="E149" s="50" t="s">
        <v>503</v>
      </c>
    </row>
    <row r="150" customFormat="false" ht="13.8" hidden="false" customHeight="false" outlineLevel="0" collapsed="false">
      <c r="A150" s="258"/>
      <c r="B150" s="214"/>
      <c r="C150" s="220"/>
      <c r="D150" s="75"/>
      <c r="E150" s="50"/>
    </row>
    <row r="151" customFormat="false" ht="18.75" hidden="false" customHeight="true" outlineLevel="0" collapsed="false">
      <c r="A151" s="259" t="s">
        <v>504</v>
      </c>
      <c r="B151" s="214" t="s">
        <v>505</v>
      </c>
      <c r="C151" s="220" t="n">
        <f aca="false">'LOOKUP TABLES AND DROPDOWN LIST'!T23</f>
        <v>220</v>
      </c>
      <c r="D151" s="260" t="s">
        <v>48</v>
      </c>
      <c r="E151" s="260"/>
    </row>
    <row r="152" customFormat="false" ht="18.75" hidden="false" customHeight="true" outlineLevel="0" collapsed="false">
      <c r="A152" s="259"/>
      <c r="B152" s="214"/>
      <c r="C152" s="220"/>
      <c r="D152" s="260"/>
      <c r="E152" s="260"/>
    </row>
    <row r="153" customFormat="false" ht="18.75" hidden="false" customHeight="true" outlineLevel="0" collapsed="false">
      <c r="A153" s="261" t="s">
        <v>506</v>
      </c>
      <c r="B153" s="152" t="s">
        <v>507</v>
      </c>
      <c r="C153" s="262" t="n">
        <f aca="false">IF('START HERE'!C69="","",'START HERE'!C69)</f>
        <v>221</v>
      </c>
      <c r="D153" s="263" t="s">
        <v>508</v>
      </c>
      <c r="E153" s="264" t="s">
        <v>309</v>
      </c>
    </row>
    <row r="154" customFormat="false" ht="18.75" hidden="false" customHeight="true" outlineLevel="0" collapsed="false">
      <c r="A154" s="258" t="s">
        <v>509</v>
      </c>
      <c r="B154" s="214" t="s">
        <v>510</v>
      </c>
      <c r="C154" s="220" t="n">
        <f aca="false">IF(Cout_actual="",Cout_rcmd,Cout_actual)</f>
        <v>221</v>
      </c>
      <c r="D154" s="247" t="s">
        <v>508</v>
      </c>
      <c r="E154" s="247"/>
    </row>
    <row r="155" customFormat="false" ht="15.65" hidden="false" customHeight="false" outlineLevel="0" collapsed="false">
      <c r="A155" s="258" t="s">
        <v>511</v>
      </c>
      <c r="B155" s="214" t="s">
        <v>512</v>
      </c>
      <c r="C155" s="220" t="n">
        <f aca="false">SQRT((Iocc^2)+((Lp*uH*Ipp_nom*fmax*kHz/Vbulk_valley)*((Isp_max^2/3)-Isp_max*Iocc)))</f>
        <v>0.944066649526369</v>
      </c>
      <c r="D155" s="191" t="s">
        <v>25</v>
      </c>
      <c r="E155" s="191"/>
    </row>
    <row r="156" customFormat="false" ht="15.65" hidden="false" customHeight="false" outlineLevel="0" collapsed="false">
      <c r="A156" s="265" t="s">
        <v>513</v>
      </c>
      <c r="B156" s="214" t="s">
        <v>514</v>
      </c>
      <c r="C156" s="220" t="n">
        <f aca="false">Vripple_target*mV/Isp_max/mOhms</f>
        <v>10.5118721083592</v>
      </c>
      <c r="D156" s="191" t="s">
        <v>57</v>
      </c>
      <c r="E156" s="191"/>
    </row>
    <row r="157" customFormat="false" ht="15.65" hidden="false" customHeight="false" outlineLevel="0" collapsed="false">
      <c r="A157" s="266" t="s">
        <v>515</v>
      </c>
      <c r="B157" s="152" t="s">
        <v>516</v>
      </c>
      <c r="C157" s="262" t="n">
        <f aca="false">IF('START HERE'!C71="","",'START HERE'!C71)</f>
        <v>50</v>
      </c>
      <c r="D157" s="267" t="s">
        <v>57</v>
      </c>
      <c r="E157" s="264" t="s">
        <v>309</v>
      </c>
    </row>
    <row r="158" customFormat="false" ht="15.65" hidden="false" customHeight="false" outlineLevel="0" collapsed="false">
      <c r="A158" s="74" t="s">
        <v>517</v>
      </c>
      <c r="B158" s="214" t="s">
        <v>518</v>
      </c>
      <c r="C158" s="220" t="n">
        <f aca="false">IF(ESRactual="",ESRrcmd,ESRactual)</f>
        <v>50</v>
      </c>
      <c r="D158" s="191" t="s">
        <v>57</v>
      </c>
      <c r="E158" s="191"/>
    </row>
    <row r="159" customFormat="false" ht="15.65" hidden="false" customHeight="false" outlineLevel="0" collapsed="false">
      <c r="A159" s="268" t="s">
        <v>519</v>
      </c>
      <c r="B159" s="269" t="s">
        <v>520</v>
      </c>
      <c r="C159" s="270" t="n">
        <f aca="false">(SQRT(((Isp_max*ESR*mOhms)^2)+((Iocc*ton_max*us)/(Cout*uF))^2))/mV</f>
        <v>142.79239883369</v>
      </c>
      <c r="D159" s="271" t="s">
        <v>31</v>
      </c>
      <c r="E159" s="271"/>
    </row>
    <row r="160" customFormat="false" ht="13.8" hidden="false" customHeight="false" outlineLevel="0" collapsed="false">
      <c r="A160" s="77"/>
      <c r="B160" s="77"/>
      <c r="C160" s="77"/>
      <c r="D160" s="77"/>
      <c r="E160" s="77"/>
    </row>
    <row r="161" customFormat="false" ht="17.45" hidden="false" customHeight="false" outlineLevel="0" collapsed="false">
      <c r="A161" s="272" t="s">
        <v>521</v>
      </c>
      <c r="B161" s="272"/>
      <c r="C161" s="272"/>
      <c r="D161" s="272"/>
      <c r="E161" s="272"/>
      <c r="F161" s="251"/>
      <c r="G161" s="251"/>
      <c r="H161" s="251"/>
      <c r="I161" s="251"/>
      <c r="J161" s="251"/>
      <c r="K161" s="251"/>
      <c r="L161" s="251"/>
      <c r="M161" s="251"/>
      <c r="N161" s="251"/>
      <c r="O161" s="251"/>
      <c r="P161" s="251"/>
      <c r="Q161" s="251"/>
      <c r="R161" s="251"/>
      <c r="S161" s="251"/>
      <c r="T161" s="251"/>
      <c r="U161" s="251"/>
      <c r="V161" s="251"/>
      <c r="W161" s="251"/>
      <c r="X161" s="251"/>
      <c r="Y161" s="251"/>
      <c r="Z161" s="251"/>
      <c r="AA161" s="251"/>
      <c r="AB161" s="251"/>
      <c r="AC161" s="251"/>
      <c r="AD161" s="251"/>
      <c r="AE161" s="251"/>
      <c r="AF161" s="251"/>
      <c r="AG161" s="251"/>
      <c r="AH161" s="251"/>
      <c r="AI161" s="251"/>
      <c r="AJ161" s="251"/>
      <c r="AK161" s="251"/>
      <c r="AL161" s="251"/>
      <c r="AM161" s="251"/>
      <c r="AN161" s="251"/>
      <c r="AO161" s="251"/>
      <c r="AP161" s="251"/>
      <c r="AQ161" s="251"/>
      <c r="AR161" s="251"/>
      <c r="AS161" s="251"/>
      <c r="AT161" s="251"/>
      <c r="AU161" s="251"/>
      <c r="AV161" s="251"/>
      <c r="AW161" s="251"/>
      <c r="AX161" s="251"/>
      <c r="AY161" s="251"/>
      <c r="AZ161" s="251"/>
      <c r="BA161" s="251"/>
      <c r="BB161" s="251"/>
      <c r="BC161" s="251"/>
      <c r="BD161" s="251"/>
      <c r="BE161" s="251"/>
      <c r="BF161" s="251"/>
      <c r="BG161" s="251"/>
      <c r="BH161" s="251"/>
      <c r="BI161" s="251"/>
      <c r="BJ161" s="251"/>
      <c r="BK161" s="251"/>
      <c r="BL161" s="251"/>
    </row>
    <row r="162" customFormat="false" ht="15.65" hidden="false" customHeight="false" outlineLevel="0" collapsed="false">
      <c r="A162" s="21" t="s">
        <v>522</v>
      </c>
      <c r="B162" s="93" t="s">
        <v>523</v>
      </c>
      <c r="C162" s="97" t="n">
        <v>190</v>
      </c>
      <c r="D162" s="273" t="s">
        <v>524</v>
      </c>
      <c r="E162" s="221" t="s">
        <v>333</v>
      </c>
    </row>
    <row r="163" customFormat="false" ht="15.65" hidden="false" customHeight="false" outlineLevel="0" collapsed="false">
      <c r="A163" s="21" t="s">
        <v>525</v>
      </c>
      <c r="B163" s="93" t="s">
        <v>526</v>
      </c>
      <c r="C163" s="97" t="n">
        <v>225</v>
      </c>
      <c r="D163" s="273" t="s">
        <v>524</v>
      </c>
      <c r="E163" s="221" t="s">
        <v>333</v>
      </c>
    </row>
    <row r="164" customFormat="false" ht="15.65" hidden="false" customHeight="false" outlineLevel="0" collapsed="false">
      <c r="A164" s="21" t="s">
        <v>527</v>
      </c>
      <c r="B164" s="93" t="s">
        <v>528</v>
      </c>
      <c r="C164" s="97" t="n">
        <v>275</v>
      </c>
      <c r="D164" s="273" t="s">
        <v>524</v>
      </c>
      <c r="E164" s="221" t="s">
        <v>333</v>
      </c>
    </row>
    <row r="165" customFormat="false" ht="15.65" hidden="false" customHeight="false" outlineLevel="0" collapsed="false">
      <c r="A165" s="21" t="s">
        <v>529</v>
      </c>
      <c r="B165" s="93" t="s">
        <v>530</v>
      </c>
      <c r="C165" s="97" t="n">
        <v>70</v>
      </c>
      <c r="D165" s="273" t="s">
        <v>524</v>
      </c>
      <c r="E165" s="221" t="s">
        <v>333</v>
      </c>
    </row>
    <row r="166" customFormat="false" ht="15.65" hidden="false" customHeight="false" outlineLevel="0" collapsed="false">
      <c r="A166" s="21" t="s">
        <v>531</v>
      </c>
      <c r="B166" s="93" t="s">
        <v>532</v>
      </c>
      <c r="C166" s="97" t="n">
        <v>80</v>
      </c>
      <c r="D166" s="273" t="s">
        <v>524</v>
      </c>
      <c r="E166" s="221" t="s">
        <v>333</v>
      </c>
    </row>
    <row r="167" customFormat="false" ht="15.65" hidden="false" customHeight="false" outlineLevel="0" collapsed="false">
      <c r="A167" s="21" t="s">
        <v>533</v>
      </c>
      <c r="B167" s="93" t="s">
        <v>534</v>
      </c>
      <c r="C167" s="97" t="n">
        <v>100</v>
      </c>
      <c r="D167" s="273" t="s">
        <v>524</v>
      </c>
      <c r="E167" s="221" t="s">
        <v>333</v>
      </c>
    </row>
    <row r="168" customFormat="false" ht="18.75" hidden="false" customHeight="true" outlineLevel="0" collapsed="false">
      <c r="A168" s="274" t="s">
        <v>535</v>
      </c>
      <c r="B168" s="99" t="s">
        <v>536</v>
      </c>
      <c r="C168" s="197" t="n">
        <f aca="false">'LOOKUP TABLES AND DROPDOWN LIST'!H57</f>
        <v>46.4</v>
      </c>
      <c r="D168" s="162" t="s">
        <v>127</v>
      </c>
      <c r="E168" s="162"/>
    </row>
    <row r="169" customFormat="false" ht="13.8" hidden="false" customHeight="false" outlineLevel="0" collapsed="false">
      <c r="A169" s="274"/>
      <c r="B169" s="99"/>
      <c r="C169" s="197"/>
      <c r="D169" s="162"/>
      <c r="E169" s="162"/>
    </row>
    <row r="170" customFormat="false" ht="15" hidden="false" customHeight="true" outlineLevel="0" collapsed="false">
      <c r="A170" s="275" t="s">
        <v>537</v>
      </c>
      <c r="B170" s="199" t="s">
        <v>538</v>
      </c>
      <c r="C170" s="276" t="n">
        <f aca="false">IF('START HERE'!C78="","",'START HERE'!C78)</f>
        <v>46.4</v>
      </c>
      <c r="D170" s="200" t="s">
        <v>127</v>
      </c>
      <c r="E170" s="277" t="s">
        <v>309</v>
      </c>
    </row>
    <row r="171" customFormat="false" ht="13.8" hidden="false" customHeight="false" outlineLevel="0" collapsed="false">
      <c r="A171" s="275"/>
      <c r="B171" s="199"/>
      <c r="C171" s="276"/>
      <c r="D171" s="200"/>
      <c r="E171" s="277"/>
    </row>
    <row r="172" customFormat="false" ht="15.65" hidden="false" customHeight="false" outlineLevel="0" collapsed="false">
      <c r="A172" s="278" t="s">
        <v>539</v>
      </c>
      <c r="B172" s="93" t="s">
        <v>540</v>
      </c>
      <c r="C172" s="279" t="n">
        <f aca="false">IF(Rvs1_actual="",Rvs1_rcmd,Rvs1_actual)</f>
        <v>46.4</v>
      </c>
      <c r="D172" s="162" t="s">
        <v>127</v>
      </c>
      <c r="E172" s="162"/>
    </row>
    <row r="173" customFormat="false" ht="15.65" hidden="false" customHeight="false" outlineLevel="0" collapsed="false">
      <c r="A173" s="278" t="s">
        <v>541</v>
      </c>
      <c r="B173" s="93" t="s">
        <v>542</v>
      </c>
      <c r="C173" s="280" t="n">
        <f aca="false">IF(Vin_type="AC",(R_vs1*kOhms*Npa*Ivslrun_min*uA)/SQRT(2),R_vs1*kOhms*Npa*Ivslrun_min*uA)</f>
        <v>56.1046804464654</v>
      </c>
      <c r="D173" s="162" t="str">
        <f aca="false">IF(Vin_type="AC","VAC","VDC")</f>
        <v>VAC</v>
      </c>
      <c r="E173" s="162"/>
    </row>
    <row r="174" customFormat="false" ht="15.65" hidden="false" customHeight="false" outlineLevel="0" collapsed="false">
      <c r="A174" s="51" t="s">
        <v>543</v>
      </c>
      <c r="B174" s="222" t="s">
        <v>544</v>
      </c>
      <c r="C174" s="223" t="n">
        <f aca="false">IF(Vin_type="AC",(R_vs1*kOhms*Npa*Ivslrun_nom*uA)/SQRT(2),R_vs1*kOhms*Npa*Ivslrun_nom*uA)</f>
        <v>66.439753160288</v>
      </c>
      <c r="D174" s="224" t="str">
        <f aca="false">IF(Vin_type="AC","VAC","VDC")</f>
        <v>VAC</v>
      </c>
      <c r="E174" s="224"/>
    </row>
    <row r="175" customFormat="false" ht="15.65" hidden="false" customHeight="false" outlineLevel="0" collapsed="false">
      <c r="A175" s="278" t="s">
        <v>545</v>
      </c>
      <c r="B175" s="93" t="s">
        <v>546</v>
      </c>
      <c r="C175" s="280" t="n">
        <f aca="false">IF(Vin_type="AC",(R_vs1*kOhms*Npa*Ivslrun_max*uA)/SQRT(2),R_vs1*kOhms*Npa*Ivslrun_max*uA)</f>
        <v>81.2041427514631</v>
      </c>
      <c r="D175" s="162" t="str">
        <f aca="false">IF(Vin_type="AC","VAC","VDC")</f>
        <v>VAC</v>
      </c>
      <c r="E175" s="162"/>
    </row>
    <row r="176" customFormat="false" ht="15.65" hidden="false" customHeight="false" outlineLevel="0" collapsed="false">
      <c r="A176" s="278" t="s">
        <v>547</v>
      </c>
      <c r="B176" s="93" t="s">
        <v>548</v>
      </c>
      <c r="C176" s="161" t="n">
        <f aca="false">IF(Vin_type="AC",((R_vs1*kOhms*Npa*Ivslstop_min*uA)+(Vbulk_min-Vbulk_valley))/SQRT(2),((R_vs1*kOhms*Npa*Ivslstop_min*uA)+(Vbulk_min-Vbulk_valley)))</f>
        <v>33.3124612256981</v>
      </c>
      <c r="D176" s="162" t="str">
        <f aca="false">IF(Vin_type="AC","VAC","VDC")</f>
        <v>VAC</v>
      </c>
      <c r="E176" s="162"/>
    </row>
    <row r="177" customFormat="false" ht="15.65" hidden="false" customHeight="false" outlineLevel="0" collapsed="false">
      <c r="A177" s="274" t="s">
        <v>549</v>
      </c>
      <c r="B177" s="222" t="s">
        <v>550</v>
      </c>
      <c r="C177" s="223" t="n">
        <f aca="false">IF(Vin_type="AC",((R_vs1*kOhms*Npa*Ivslstop_nom*uA)+(Vbulk_min-Vbulk_valley))/SQRT(2),((R_vs1*kOhms*Npa*Ivslstop_nom*uA)+(Vbulk_min-Vbulk_valley)))</f>
        <v>36.2653391439332</v>
      </c>
      <c r="D177" s="224" t="str">
        <f aca="false">IF(Vin_type="AC","VAC","VDC")</f>
        <v>VAC</v>
      </c>
      <c r="E177" s="224"/>
    </row>
    <row r="178" customFormat="false" ht="15.65" hidden="false" customHeight="false" outlineLevel="0" collapsed="false">
      <c r="A178" s="278" t="s">
        <v>551</v>
      </c>
      <c r="B178" s="93" t="s">
        <v>552</v>
      </c>
      <c r="C178" s="161" t="n">
        <f aca="false">IF(Vin_type="AC",((R_vs1*kOhms*Npa*Ivslstop_max*uA)+(Vbulk_min-Vbulk_valley))/SQRT(2),((R_vs1*kOhms*Npa*Ivslstop_max*uA)+(Vbulk_min-Vbulk_valley)))</f>
        <v>42.1710949804032</v>
      </c>
      <c r="D178" s="162" t="str">
        <f aca="false">IF(Vin_type="AC","VAC","VDC")</f>
        <v>VAC</v>
      </c>
      <c r="E178" s="162"/>
    </row>
    <row r="179" customFormat="false" ht="15.65" hidden="false" customHeight="false" outlineLevel="0" collapsed="false">
      <c r="A179" s="21" t="s">
        <v>553</v>
      </c>
      <c r="B179" s="93" t="s">
        <v>554</v>
      </c>
      <c r="C179" s="97" t="n">
        <v>4.52</v>
      </c>
      <c r="D179" s="23" t="s">
        <v>29</v>
      </c>
      <c r="E179" s="221" t="s">
        <v>333</v>
      </c>
    </row>
    <row r="180" customFormat="false" ht="15.65" hidden="false" customHeight="false" outlineLevel="0" collapsed="false">
      <c r="A180" s="278" t="s">
        <v>555</v>
      </c>
      <c r="B180" s="93" t="s">
        <v>556</v>
      </c>
      <c r="C180" s="161" t="n">
        <v>4.6</v>
      </c>
      <c r="D180" s="23" t="s">
        <v>29</v>
      </c>
      <c r="E180" s="221" t="s">
        <v>333</v>
      </c>
    </row>
    <row r="181" customFormat="false" ht="15.65" hidden="false" customHeight="false" outlineLevel="0" collapsed="false">
      <c r="A181" s="278" t="s">
        <v>557</v>
      </c>
      <c r="B181" s="93" t="s">
        <v>558</v>
      </c>
      <c r="C181" s="161" t="n">
        <v>4.71</v>
      </c>
      <c r="D181" s="23" t="s">
        <v>29</v>
      </c>
      <c r="E181" s="221" t="s">
        <v>333</v>
      </c>
    </row>
    <row r="182" customFormat="false" ht="18.75" hidden="false" customHeight="true" outlineLevel="0" collapsed="false">
      <c r="A182" s="274" t="s">
        <v>559</v>
      </c>
      <c r="B182" s="99" t="s">
        <v>560</v>
      </c>
      <c r="C182" s="197" t="n">
        <f aca="false">'LOOKUP TABLES AND DROPDOWN LIST'!H60</f>
        <v>20.5</v>
      </c>
      <c r="D182" s="162" t="s">
        <v>106</v>
      </c>
      <c r="E182" s="162"/>
    </row>
    <row r="183" customFormat="false" ht="13.8" hidden="false" customHeight="false" outlineLevel="0" collapsed="false">
      <c r="A183" s="274"/>
      <c r="B183" s="99"/>
      <c r="C183" s="197"/>
      <c r="D183" s="162"/>
      <c r="E183" s="162"/>
    </row>
    <row r="184" customFormat="false" ht="18.75" hidden="false" customHeight="true" outlineLevel="0" collapsed="false">
      <c r="A184" s="275" t="s">
        <v>561</v>
      </c>
      <c r="B184" s="199" t="s">
        <v>562</v>
      </c>
      <c r="C184" s="281" t="n">
        <f aca="false">IF('START HERE'!C81="","",'START HERE'!C81)</f>
        <v>20.5</v>
      </c>
      <c r="D184" s="200" t="s">
        <v>106</v>
      </c>
      <c r="E184" s="277" t="s">
        <v>309</v>
      </c>
    </row>
    <row r="185" customFormat="false" ht="14.25" hidden="false" customHeight="true" outlineLevel="0" collapsed="false">
      <c r="A185" s="275"/>
      <c r="B185" s="199"/>
      <c r="C185" s="281"/>
      <c r="D185" s="200"/>
      <c r="E185" s="277"/>
    </row>
    <row r="186" customFormat="false" ht="15.65" hidden="false" customHeight="false" outlineLevel="0" collapsed="false">
      <c r="A186" s="278" t="s">
        <v>563</v>
      </c>
      <c r="B186" s="93" t="s">
        <v>564</v>
      </c>
      <c r="C186" s="161" t="n">
        <f aca="false">IF(Rvs2_actual="",Rvs2_rcmd,Rvs2_actual)</f>
        <v>20.5</v>
      </c>
      <c r="D186" s="162" t="s">
        <v>106</v>
      </c>
      <c r="E186" s="162"/>
    </row>
    <row r="187" customFormat="false" ht="15.65" hidden="false" customHeight="false" outlineLevel="0" collapsed="false">
      <c r="A187" s="278" t="s">
        <v>565</v>
      </c>
      <c r="B187" s="93" t="s">
        <v>566</v>
      </c>
      <c r="C187" s="161" t="n">
        <f aca="false">(((R_vs1*kOhms*Vovp_min)/(R_vs2*kOhms)+Vovp_min)/Nas)+Vf+(DCR_Lout*mOhms*Iocc)</f>
        <v>49.1935562719657</v>
      </c>
      <c r="D187" s="162" t="s">
        <v>29</v>
      </c>
      <c r="E187" s="162"/>
    </row>
    <row r="188" customFormat="false" ht="15.65" hidden="false" customHeight="false" outlineLevel="0" collapsed="false">
      <c r="A188" s="274" t="s">
        <v>567</v>
      </c>
      <c r="B188" s="222" t="s">
        <v>568</v>
      </c>
      <c r="C188" s="223" t="n">
        <f aca="false">(((R_vs1*kOhms*Vovp_nom)/(R_vs2*kOhms)+Vovp_nom)/Nas)+Vf+(DCR_Lout*mOhms*Iocc)</f>
        <v>50.0421147900536</v>
      </c>
      <c r="D188" s="230" t="s">
        <v>29</v>
      </c>
      <c r="E188" s="231" t="s">
        <v>569</v>
      </c>
    </row>
    <row r="189" customFormat="false" ht="15.65" hidden="false" customHeight="false" outlineLevel="0" collapsed="false">
      <c r="A189" s="282" t="s">
        <v>570</v>
      </c>
      <c r="B189" s="192" t="s">
        <v>571</v>
      </c>
      <c r="C189" s="174" t="n">
        <f aca="false">(((R_vs1*kOhms*Vovp_max)/(R_vs2*kOhms)+Vovp_max)/Nas)+Vf+(DCR_Lout*mOhms*Iocc)</f>
        <v>51.2088827524245</v>
      </c>
      <c r="D189" s="39" t="s">
        <v>29</v>
      </c>
      <c r="E189" s="39"/>
    </row>
    <row r="190" customFormat="false" ht="13.8" hidden="false" customHeight="false" outlineLevel="0" collapsed="false">
      <c r="C190" s="283"/>
    </row>
    <row r="191" customFormat="false" ht="17.45" hidden="false" customHeight="false" outlineLevel="0" collapsed="false">
      <c r="A191" s="178" t="s">
        <v>572</v>
      </c>
      <c r="B191" s="178"/>
      <c r="C191" s="178"/>
      <c r="D191" s="178"/>
      <c r="E191" s="178"/>
    </row>
    <row r="192" customFormat="false" ht="15.65" hidden="false" customHeight="false" outlineLevel="0" collapsed="false">
      <c r="A192" s="284" t="s">
        <v>573</v>
      </c>
      <c r="B192" s="93" t="s">
        <v>574</v>
      </c>
      <c r="C192" s="97" t="n">
        <v>25</v>
      </c>
      <c r="D192" s="23" t="s">
        <v>575</v>
      </c>
      <c r="E192" s="221" t="s">
        <v>333</v>
      </c>
    </row>
    <row r="193" customFormat="false" ht="15.65" hidden="false" customHeight="false" outlineLevel="0" collapsed="false">
      <c r="A193" s="284" t="s">
        <v>576</v>
      </c>
      <c r="B193" s="93" t="s">
        <v>577</v>
      </c>
      <c r="C193" s="97" t="n">
        <f aca="false">tdoff+50</f>
        <v>130</v>
      </c>
      <c r="D193" s="162" t="s">
        <v>85</v>
      </c>
      <c r="E193" s="162"/>
    </row>
    <row r="194" customFormat="false" ht="18.75" hidden="false" customHeight="true" outlineLevel="0" collapsed="false">
      <c r="A194" s="285" t="s">
        <v>578</v>
      </c>
      <c r="B194" s="93" t="s">
        <v>579</v>
      </c>
      <c r="C194" s="161" t="n">
        <f aca="false">'LOOKUP TABLES AND DROPDOWN LIST'!H63</f>
        <v>5.36</v>
      </c>
      <c r="D194" s="162" t="s">
        <v>127</v>
      </c>
      <c r="E194" s="162"/>
    </row>
    <row r="195" customFormat="false" ht="18.75" hidden="false" customHeight="true" outlineLevel="0" collapsed="false">
      <c r="A195" s="286" t="s">
        <v>580</v>
      </c>
      <c r="B195" s="199" t="s">
        <v>581</v>
      </c>
      <c r="C195" s="183" t="n">
        <f aca="false">IF('START HERE'!C84="","",'START HERE'!C84)</f>
        <v>5.17</v>
      </c>
      <c r="D195" s="200" t="s">
        <v>106</v>
      </c>
      <c r="E195" s="277" t="s">
        <v>309</v>
      </c>
    </row>
    <row r="196" customFormat="false" ht="18.75" hidden="false" customHeight="true" outlineLevel="0" collapsed="false">
      <c r="A196" s="284" t="s">
        <v>582</v>
      </c>
      <c r="B196" s="93" t="s">
        <v>583</v>
      </c>
      <c r="C196" s="161" t="n">
        <f aca="false">IF(Rlc_actual="",Rlc_rcmd,Rlc_actual)</f>
        <v>5.17</v>
      </c>
      <c r="D196" s="162" t="s">
        <v>106</v>
      </c>
      <c r="E196" s="162"/>
    </row>
    <row r="197" customFormat="false" ht="18.75" hidden="false" customHeight="true" outlineLevel="0" collapsed="false">
      <c r="A197" s="268" t="s">
        <v>584</v>
      </c>
      <c r="B197" s="287" t="str">
        <f aca="false">IF(Rlc&lt;0.95*Rlc_rcmd,"Using a resistor value that is significantly less than that recommended will result in a higher constant current output at higher input line voltage.",IF(Rlc&gt;1.05*Rlc_rcmd,"Using a resistor value that is significantly higher than that recommended will result in lower constant current output at higher input line voltage.","Output Constant Current will have minimal deviation over input line voltage range."))</f>
        <v>Output Constant Current will have minimal deviation over input line voltage range.</v>
      </c>
      <c r="C197" s="287"/>
      <c r="D197" s="287"/>
      <c r="E197" s="287"/>
    </row>
    <row r="198" customFormat="false" ht="18.75" hidden="false" customHeight="true" outlineLevel="0" collapsed="false">
      <c r="A198" s="268"/>
      <c r="B198" s="287"/>
      <c r="C198" s="287"/>
      <c r="D198" s="287"/>
      <c r="E198" s="287"/>
    </row>
    <row r="199" customFormat="false" ht="13.8" hidden="false" customHeight="false" outlineLevel="0" collapsed="false">
      <c r="A199" s="77"/>
      <c r="B199" s="288"/>
      <c r="C199" s="288"/>
      <c r="D199" s="288"/>
      <c r="E199" s="288"/>
    </row>
    <row r="200" customFormat="false" ht="17.45" hidden="false" customHeight="false" outlineLevel="0" collapsed="false">
      <c r="A200" s="178" t="s">
        <v>585</v>
      </c>
      <c r="B200" s="178"/>
      <c r="C200" s="178"/>
      <c r="D200" s="178"/>
      <c r="E200" s="178"/>
    </row>
    <row r="201" customFormat="false" ht="15.65" hidden="false" customHeight="false" outlineLevel="0" collapsed="false">
      <c r="A201" s="21" t="s">
        <v>586</v>
      </c>
      <c r="B201" s="93" t="s">
        <v>587</v>
      </c>
      <c r="C201" s="97" t="n">
        <v>2.65</v>
      </c>
      <c r="D201" s="23" t="s">
        <v>197</v>
      </c>
      <c r="E201" s="221" t="s">
        <v>333</v>
      </c>
    </row>
    <row r="202" customFormat="false" ht="15.65" hidden="false" customHeight="false" outlineLevel="0" collapsed="false">
      <c r="A202" s="21" t="s">
        <v>588</v>
      </c>
      <c r="B202" s="93" t="s">
        <v>589</v>
      </c>
      <c r="C202" s="97" t="n">
        <v>23</v>
      </c>
      <c r="D202" s="23" t="s">
        <v>29</v>
      </c>
      <c r="E202" s="221" t="s">
        <v>333</v>
      </c>
    </row>
    <row r="203" customFormat="false" ht="15.65" hidden="false" customHeight="false" outlineLevel="0" collapsed="false">
      <c r="A203" s="21" t="s">
        <v>590</v>
      </c>
      <c r="B203" s="93" t="s">
        <v>591</v>
      </c>
      <c r="C203" s="97" t="n">
        <v>8.15</v>
      </c>
      <c r="D203" s="23" t="s">
        <v>29</v>
      </c>
      <c r="E203" s="221" t="s">
        <v>333</v>
      </c>
    </row>
    <row r="204" customFormat="false" ht="15.65" hidden="false" customHeight="false" outlineLevel="0" collapsed="false">
      <c r="A204" s="21" t="s">
        <v>592</v>
      </c>
      <c r="B204" s="93" t="s">
        <v>593</v>
      </c>
      <c r="C204" s="161" t="n">
        <f aca="false">0.8*Psb_target*mW/(0.5*Lp*uH*(Ipp_fm^2))/kHz</f>
        <v>6.34190756299782</v>
      </c>
      <c r="D204" s="162" t="s">
        <v>33</v>
      </c>
      <c r="E204" s="162"/>
    </row>
    <row r="205" customFormat="false" ht="15.65" hidden="false" customHeight="false" outlineLevel="0" collapsed="false">
      <c r="A205" s="21" t="s">
        <v>594</v>
      </c>
      <c r="B205" s="93" t="s">
        <v>595</v>
      </c>
      <c r="C205" s="161" t="n">
        <v>20</v>
      </c>
      <c r="D205" s="162" t="s">
        <v>37</v>
      </c>
      <c r="E205" s="162"/>
    </row>
    <row r="206" customFormat="false" ht="15.65" hidden="false" customHeight="false" outlineLevel="0" collapsed="false">
      <c r="A206" s="21" t="s">
        <v>596</v>
      </c>
      <c r="B206" s="93" t="s">
        <v>597</v>
      </c>
      <c r="C206" s="161" t="n">
        <f aca="false">Cvdd1</f>
        <v>10</v>
      </c>
      <c r="D206" s="289" t="s">
        <v>150</v>
      </c>
      <c r="E206" s="289"/>
    </row>
    <row r="207" customFormat="false" ht="15.65" hidden="false" customHeight="false" outlineLevel="0" collapsed="false">
      <c r="A207" s="21" t="s">
        <v>598</v>
      </c>
      <c r="B207" s="93" t="s">
        <v>599</v>
      </c>
      <c r="C207" s="161" t="n">
        <f aca="false">'LOOKUP TABLES AND DROPDOWN LIST'!Q27</f>
        <v>10</v>
      </c>
      <c r="D207" s="289" t="s">
        <v>150</v>
      </c>
      <c r="E207" s="289"/>
    </row>
    <row r="208" customFormat="false" ht="15.65" hidden="false" customHeight="false" outlineLevel="0" collapsed="false">
      <c r="A208" s="21" t="s">
        <v>600</v>
      </c>
      <c r="B208" s="93" t="s">
        <v>601</v>
      </c>
      <c r="C208" s="161" t="n">
        <f aca="false">'LOOKUP TABLES AND DROPDOWN LIST'!Q31</f>
        <v>0.47</v>
      </c>
      <c r="D208" s="289" t="s">
        <v>150</v>
      </c>
      <c r="E208" s="289"/>
    </row>
    <row r="209" customFormat="false" ht="15.65" hidden="false" customHeight="false" outlineLevel="0" collapsed="false">
      <c r="A209" s="54" t="s">
        <v>602</v>
      </c>
      <c r="B209" s="192" t="s">
        <v>603</v>
      </c>
      <c r="C209" s="174" t="n">
        <f aca="false">MAX(C206:C208)</f>
        <v>10</v>
      </c>
      <c r="D209" s="290" t="s">
        <v>150</v>
      </c>
      <c r="E209" s="290"/>
    </row>
    <row r="211" customFormat="false" ht="15" hidden="false" customHeight="false" outlineLevel="0" collapsed="false">
      <c r="A211" s="178" t="s">
        <v>604</v>
      </c>
      <c r="B211" s="178"/>
      <c r="C211" s="178"/>
      <c r="D211" s="178"/>
      <c r="E211" s="178"/>
    </row>
    <row r="212" customFormat="false" ht="15.65" hidden="false" customHeight="false" outlineLevel="0" collapsed="false">
      <c r="A212" s="151" t="s">
        <v>605</v>
      </c>
      <c r="B212" s="199" t="s">
        <v>606</v>
      </c>
      <c r="C212" s="246" t="n">
        <f aca="false">'START HERE'!C86</f>
        <v>2.5</v>
      </c>
      <c r="D212" s="184" t="s">
        <v>29</v>
      </c>
      <c r="E212" s="291" t="s">
        <v>309</v>
      </c>
    </row>
    <row r="213" customFormat="false" ht="15.65" hidden="false" customHeight="false" outlineLevel="0" collapsed="false">
      <c r="A213" s="151" t="s">
        <v>607</v>
      </c>
      <c r="B213" s="199" t="s">
        <v>608</v>
      </c>
      <c r="C213" s="246" t="n">
        <f aca="false">'START HERE'!C87</f>
        <v>4</v>
      </c>
      <c r="D213" s="292" t="s">
        <v>524</v>
      </c>
      <c r="E213" s="291" t="s">
        <v>309</v>
      </c>
    </row>
    <row r="214" customFormat="false" ht="18.75" hidden="false" customHeight="true" outlineLevel="0" collapsed="false">
      <c r="A214" s="259" t="s">
        <v>609</v>
      </c>
      <c r="B214" s="99" t="s">
        <v>610</v>
      </c>
      <c r="C214" s="293" t="n">
        <f aca="false">'LOOKUP TABLES AND DROPDOWN LIST'!H66</f>
        <v>44.2</v>
      </c>
      <c r="D214" s="162" t="s">
        <v>127</v>
      </c>
      <c r="E214" s="162"/>
    </row>
    <row r="215" customFormat="false" ht="13.8" hidden="false" customHeight="false" outlineLevel="0" collapsed="false">
      <c r="A215" s="259"/>
      <c r="B215" s="99"/>
      <c r="C215" s="293"/>
      <c r="D215" s="162"/>
      <c r="E215" s="162"/>
    </row>
    <row r="216" customFormat="false" ht="15" hidden="false" customHeight="true" outlineLevel="0" collapsed="false">
      <c r="A216" s="261" t="s">
        <v>611</v>
      </c>
      <c r="B216" s="199" t="s">
        <v>612</v>
      </c>
      <c r="C216" s="294" t="n">
        <f aca="false">IF('START HERE'!C89="","",'START HERE'!C89)</f>
        <v>44.2</v>
      </c>
      <c r="D216" s="200" t="s">
        <v>106</v>
      </c>
      <c r="E216" s="277" t="s">
        <v>309</v>
      </c>
    </row>
    <row r="217" customFormat="false" ht="15" hidden="false" customHeight="true" outlineLevel="0" collapsed="false">
      <c r="A217" s="261"/>
      <c r="B217" s="199"/>
      <c r="C217" s="294"/>
      <c r="D217" s="200"/>
      <c r="E217" s="277"/>
    </row>
    <row r="218" customFormat="false" ht="15.75" hidden="false" customHeight="true" outlineLevel="0" collapsed="false">
      <c r="A218" s="295" t="s">
        <v>613</v>
      </c>
      <c r="B218" s="93" t="s">
        <v>614</v>
      </c>
      <c r="C218" s="97" t="n">
        <f aca="false">IF(Rfb2_actual="",Rfb2_rcmd,Rfb2_actual)</f>
        <v>44.2</v>
      </c>
      <c r="D218" s="162" t="s">
        <v>106</v>
      </c>
      <c r="E218" s="162"/>
    </row>
    <row r="219" customFormat="false" ht="18.75" hidden="false" customHeight="true" outlineLevel="0" collapsed="false">
      <c r="A219" s="259" t="s">
        <v>615</v>
      </c>
      <c r="B219" s="99" t="s">
        <v>616</v>
      </c>
      <c r="C219" s="293" t="n">
        <f aca="false">'LOOKUP TABLES AND DROPDOWN LIST'!H69</f>
        <v>750</v>
      </c>
      <c r="D219" s="162" t="s">
        <v>106</v>
      </c>
      <c r="E219" s="162"/>
    </row>
    <row r="220" customFormat="false" ht="13.8" hidden="false" customHeight="false" outlineLevel="0" collapsed="false">
      <c r="A220" s="259"/>
      <c r="B220" s="99"/>
      <c r="C220" s="293"/>
      <c r="D220" s="162"/>
      <c r="E220" s="162"/>
    </row>
    <row r="221" customFormat="false" ht="18.75" hidden="false" customHeight="true" outlineLevel="0" collapsed="false">
      <c r="A221" s="261" t="s">
        <v>617</v>
      </c>
      <c r="B221" s="199" t="s">
        <v>618</v>
      </c>
      <c r="C221" s="294" t="n">
        <f aca="false">IF('START HERE'!C91="","",'START HERE'!C91)</f>
        <v>750</v>
      </c>
      <c r="D221" s="200" t="s">
        <v>106</v>
      </c>
      <c r="E221" s="277" t="s">
        <v>309</v>
      </c>
    </row>
    <row r="222" customFormat="false" ht="14.25" hidden="false" customHeight="true" outlineLevel="0" collapsed="false">
      <c r="A222" s="261"/>
      <c r="B222" s="199"/>
      <c r="C222" s="294"/>
      <c r="D222" s="200"/>
      <c r="E222" s="277"/>
    </row>
    <row r="223" customFormat="false" ht="15.65" hidden="false" customHeight="false" outlineLevel="0" collapsed="false">
      <c r="A223" s="284" t="s">
        <v>619</v>
      </c>
      <c r="B223" s="93" t="s">
        <v>620</v>
      </c>
      <c r="C223" s="97" t="n">
        <f aca="false">((IF(Rfb1_actual="",Rfb1_rcmd,Rfb1_actual))+(Rinj/kOhms))</f>
        <v>750.02</v>
      </c>
      <c r="D223" s="162" t="s">
        <v>106</v>
      </c>
      <c r="E223" s="162"/>
    </row>
    <row r="224" customFormat="false" ht="15.65" hidden="false" customHeight="false" outlineLevel="0" collapsed="false">
      <c r="A224" s="165" t="s">
        <v>621</v>
      </c>
      <c r="B224" s="199" t="s">
        <v>622</v>
      </c>
      <c r="C224" s="296" t="n">
        <v>20</v>
      </c>
      <c r="D224" s="292" t="s">
        <v>623</v>
      </c>
      <c r="E224" s="297" t="s">
        <v>624</v>
      </c>
    </row>
    <row r="225" customFormat="false" ht="15.65" hidden="false" customHeight="false" outlineLevel="0" collapsed="false">
      <c r="A225" s="285" t="s">
        <v>625</v>
      </c>
      <c r="B225" s="222" t="s">
        <v>626</v>
      </c>
      <c r="C225" s="223" t="n">
        <f aca="false">(R_fb1*kOhms*(Vref431/(R_fb2*kOhms)))+Vref431</f>
        <v>44.9219457013575</v>
      </c>
      <c r="D225" s="224" t="s">
        <v>29</v>
      </c>
      <c r="E225" s="224"/>
    </row>
    <row r="226" customFormat="false" ht="18.75" hidden="false" customHeight="true" outlineLevel="0" collapsed="false">
      <c r="A226" s="298" t="s">
        <v>627</v>
      </c>
      <c r="B226" s="199" t="s">
        <v>628</v>
      </c>
      <c r="C226" s="299" t="n">
        <v>50</v>
      </c>
      <c r="D226" s="300" t="s">
        <v>136</v>
      </c>
      <c r="E226" s="291" t="s">
        <v>309</v>
      </c>
    </row>
    <row r="227" customFormat="false" ht="14.25" hidden="false" customHeight="true" outlineLevel="0" collapsed="false">
      <c r="A227" s="198" t="s">
        <v>629</v>
      </c>
      <c r="B227" s="152" t="s">
        <v>630</v>
      </c>
      <c r="C227" s="296" t="n">
        <v>3</v>
      </c>
      <c r="D227" s="292" t="s">
        <v>139</v>
      </c>
      <c r="E227" s="291" t="s">
        <v>309</v>
      </c>
    </row>
    <row r="228" customFormat="false" ht="15.65" hidden="false" customHeight="false" outlineLevel="0" collapsed="false">
      <c r="A228" s="198" t="s">
        <v>631</v>
      </c>
      <c r="B228" s="152" t="s">
        <v>632</v>
      </c>
      <c r="C228" s="296" t="n">
        <v>100</v>
      </c>
      <c r="D228" s="292" t="s">
        <v>66</v>
      </c>
      <c r="E228" s="291" t="s">
        <v>309</v>
      </c>
    </row>
    <row r="229" customFormat="false" ht="18.75" hidden="false" customHeight="true" outlineLevel="0" collapsed="false">
      <c r="A229" s="198" t="s">
        <v>633</v>
      </c>
      <c r="B229" s="199" t="s">
        <v>634</v>
      </c>
      <c r="C229" s="296" t="n">
        <v>80</v>
      </c>
      <c r="D229" s="184" t="s">
        <v>33</v>
      </c>
      <c r="E229" s="291" t="s">
        <v>309</v>
      </c>
    </row>
    <row r="230" customFormat="false" ht="18.75" hidden="false" customHeight="true" outlineLevel="0" collapsed="false">
      <c r="A230" s="198" t="s">
        <v>635</v>
      </c>
      <c r="B230" s="199" t="s">
        <v>636</v>
      </c>
      <c r="C230" s="296" t="n">
        <v>1.4</v>
      </c>
      <c r="D230" s="184" t="s">
        <v>29</v>
      </c>
      <c r="E230" s="291" t="s">
        <v>309</v>
      </c>
    </row>
    <row r="231" customFormat="false" ht="15.65" hidden="false" customHeight="false" outlineLevel="0" collapsed="false">
      <c r="A231" s="21" t="s">
        <v>637</v>
      </c>
      <c r="B231" s="93" t="s">
        <v>638</v>
      </c>
      <c r="C231" s="161" t="n">
        <f aca="false">(tf_opto*us)/(2*PI()*Rl_opto)/nF</f>
        <v>4.77464829275686</v>
      </c>
      <c r="D231" s="162" t="s">
        <v>639</v>
      </c>
      <c r="E231" s="162"/>
    </row>
    <row r="232" customFormat="false" ht="15.65" hidden="false" customHeight="false" outlineLevel="0" collapsed="false">
      <c r="A232" s="21" t="s">
        <v>640</v>
      </c>
      <c r="B232" s="93" t="s">
        <v>641</v>
      </c>
      <c r="C232" s="97" t="n">
        <v>40</v>
      </c>
      <c r="D232" s="162" t="s">
        <v>127</v>
      </c>
      <c r="E232" s="162"/>
    </row>
    <row r="233" customFormat="false" ht="18.75" hidden="false" customHeight="true" outlineLevel="0" collapsed="false">
      <c r="A233" s="274" t="s">
        <v>642</v>
      </c>
      <c r="B233" s="99" t="s">
        <v>643</v>
      </c>
      <c r="C233" s="94" t="n">
        <v>0</v>
      </c>
      <c r="D233" s="289" t="s">
        <v>150</v>
      </c>
      <c r="E233" s="289"/>
    </row>
    <row r="234" customFormat="false" ht="18.75" hidden="false" customHeight="true" outlineLevel="0" collapsed="false">
      <c r="A234" s="274"/>
      <c r="B234" s="99"/>
      <c r="C234" s="94"/>
      <c r="D234" s="289"/>
      <c r="E234" s="289"/>
    </row>
    <row r="235" customFormat="false" ht="15.65" hidden="false" customHeight="false" outlineLevel="0" collapsed="false">
      <c r="A235" s="181" t="s">
        <v>644</v>
      </c>
      <c r="B235" s="199" t="s">
        <v>645</v>
      </c>
      <c r="C235" s="246" t="n">
        <f aca="false">IF('START HERE'!C100="","",'START HERE'!C100)</f>
        <v>0.0015</v>
      </c>
      <c r="D235" s="292" t="s">
        <v>150</v>
      </c>
      <c r="E235" s="291" t="s">
        <v>309</v>
      </c>
    </row>
    <row r="236" customFormat="false" ht="15.65" hidden="false" customHeight="false" outlineLevel="0" collapsed="false">
      <c r="A236" s="21" t="s">
        <v>646</v>
      </c>
      <c r="B236" s="93" t="s">
        <v>647</v>
      </c>
      <c r="C236" s="97" t="n">
        <f aca="false">IF(Cext_actual="",Cext_rcmd,Cext_actual)</f>
        <v>0.0015</v>
      </c>
      <c r="D236" s="289" t="s">
        <v>150</v>
      </c>
      <c r="E236" s="289"/>
    </row>
    <row r="237" customFormat="false" ht="15.65" hidden="false" customHeight="false" outlineLevel="0" collapsed="false">
      <c r="A237" s="51" t="s">
        <v>648</v>
      </c>
      <c r="B237" s="93" t="s">
        <v>649</v>
      </c>
      <c r="C237" s="97" t="n">
        <f aca="false">'LOOKUP TABLES AND DROPDOWN LIST'!W23</f>
        <v>0.047</v>
      </c>
      <c r="D237" s="289" t="s">
        <v>150</v>
      </c>
      <c r="E237" s="289"/>
    </row>
    <row r="238" customFormat="false" ht="15.65" hidden="false" customHeight="false" outlineLevel="0" collapsed="false">
      <c r="A238" s="181" t="s">
        <v>650</v>
      </c>
      <c r="B238" s="199" t="s">
        <v>651</v>
      </c>
      <c r="C238" s="246" t="n">
        <f aca="false">IF('START HERE'!C102="","",'START HERE'!C102)</f>
        <v>0.047</v>
      </c>
      <c r="D238" s="292" t="s">
        <v>150</v>
      </c>
      <c r="E238" s="291" t="s">
        <v>309</v>
      </c>
    </row>
    <row r="239" customFormat="false" ht="15.65" hidden="false" customHeight="false" outlineLevel="0" collapsed="false">
      <c r="A239" s="21" t="s">
        <v>652</v>
      </c>
      <c r="B239" s="93" t="s">
        <v>653</v>
      </c>
      <c r="C239" s="97" t="n">
        <f aca="false">IF(Cfb_actual="",Cfb_rcmd,Cfb_actual)</f>
        <v>0.047</v>
      </c>
      <c r="D239" s="35"/>
      <c r="E239" s="27"/>
    </row>
    <row r="240" customFormat="false" ht="15.65" hidden="false" customHeight="false" outlineLevel="0" collapsed="false">
      <c r="A240" s="51" t="s">
        <v>654</v>
      </c>
      <c r="B240" s="93" t="s">
        <v>655</v>
      </c>
      <c r="C240" s="97" t="n">
        <v>22</v>
      </c>
      <c r="D240" s="162" t="s">
        <v>127</v>
      </c>
      <c r="E240" s="162"/>
    </row>
    <row r="241" customFormat="false" ht="15.65" hidden="false" customHeight="false" outlineLevel="0" collapsed="false">
      <c r="A241" s="181" t="s">
        <v>158</v>
      </c>
      <c r="B241" s="199" t="s">
        <v>656</v>
      </c>
      <c r="C241" s="246" t="n">
        <f aca="false">IF('START HERE'!C104="","",'START HERE'!C104)</f>
        <v>22</v>
      </c>
      <c r="D241" s="184" t="s">
        <v>127</v>
      </c>
      <c r="E241" s="291" t="s">
        <v>309</v>
      </c>
    </row>
    <row r="242" customFormat="false" ht="15.65" hidden="false" customHeight="false" outlineLevel="0" collapsed="false">
      <c r="A242" s="21" t="s">
        <v>657</v>
      </c>
      <c r="B242" s="93" t="s">
        <v>658</v>
      </c>
      <c r="C242" s="97" t="n">
        <f aca="false">IF(R_fb4_actual="",R_fb4_rcmd,R_fb4_actual)</f>
        <v>22</v>
      </c>
      <c r="D242" s="162" t="s">
        <v>127</v>
      </c>
      <c r="E242" s="162"/>
    </row>
    <row r="243" customFormat="false" ht="15.65" hidden="false" customHeight="false" outlineLevel="0" collapsed="false">
      <c r="A243" s="21" t="s">
        <v>659</v>
      </c>
      <c r="B243" s="93" t="s">
        <v>660</v>
      </c>
      <c r="C243" s="161" t="n">
        <f aca="false">(R_fb4*kOhms)/((R_fb4*kOhms)+(Requ*kOhms))</f>
        <v>0.354838709677419</v>
      </c>
      <c r="D243" s="289"/>
      <c r="E243" s="289"/>
    </row>
    <row r="244" customFormat="false" ht="15.65" hidden="false" customHeight="false" outlineLevel="0" collapsed="false">
      <c r="A244" s="21" t="s">
        <v>661</v>
      </c>
      <c r="B244" s="93" t="s">
        <v>662</v>
      </c>
      <c r="C244" s="97" t="n">
        <f aca="false">480*kOhms/(-2.5)/kOhms</f>
        <v>-192</v>
      </c>
      <c r="D244" s="162" t="s">
        <v>127</v>
      </c>
      <c r="E244" s="162"/>
    </row>
    <row r="245" customFormat="false" ht="15.65" hidden="false" customHeight="false" outlineLevel="0" collapsed="false">
      <c r="A245" s="21" t="s">
        <v>663</v>
      </c>
      <c r="B245" s="93" t="s">
        <v>664</v>
      </c>
      <c r="C245" s="97" t="n">
        <v>50.4</v>
      </c>
      <c r="D245" s="162" t="s">
        <v>665</v>
      </c>
      <c r="E245" s="162"/>
    </row>
    <row r="246" customFormat="false" ht="15.65" hidden="false" customHeight="false" outlineLevel="0" collapsed="false">
      <c r="A246" s="21" t="s">
        <v>666</v>
      </c>
      <c r="B246" s="93" t="s">
        <v>667</v>
      </c>
      <c r="C246" s="161" t="n">
        <f aca="false">((Pout/(fmax*kHz))*((Ipp_nom/Ipp_nom)^2)*(1/Vout_cv))/uC</f>
        <v>2.15873562683836</v>
      </c>
      <c r="D246" s="289" t="s">
        <v>668</v>
      </c>
      <c r="E246" s="289"/>
    </row>
    <row r="247" customFormat="false" ht="15.65" hidden="false" customHeight="false" outlineLevel="0" collapsed="false">
      <c r="A247" s="51" t="s">
        <v>669</v>
      </c>
      <c r="B247" s="93" t="s">
        <v>670</v>
      </c>
      <c r="C247" s="97" t="n">
        <v>1.5</v>
      </c>
      <c r="D247" s="162" t="s">
        <v>127</v>
      </c>
      <c r="E247" s="162"/>
    </row>
    <row r="248" customFormat="false" ht="15.65" hidden="false" customHeight="false" outlineLevel="0" collapsed="false">
      <c r="A248" s="181" t="s">
        <v>671</v>
      </c>
      <c r="B248" s="199" t="s">
        <v>672</v>
      </c>
      <c r="C248" s="246" t="n">
        <f aca="false">IF('START HERE'!C106="","",'START HERE'!C106)</f>
        <v>1.5</v>
      </c>
      <c r="D248" s="184" t="s">
        <v>127</v>
      </c>
      <c r="E248" s="291" t="s">
        <v>309</v>
      </c>
    </row>
    <row r="249" customFormat="false" ht="15.65" hidden="false" customHeight="false" outlineLevel="0" collapsed="false">
      <c r="A249" s="21" t="s">
        <v>673</v>
      </c>
      <c r="B249" s="93" t="s">
        <v>674</v>
      </c>
      <c r="C249" s="97" t="n">
        <f aca="false">IF(Rtl_actual="",Rtl_rcmd,Rtl_actual)</f>
        <v>1.5</v>
      </c>
      <c r="D249" s="162" t="s">
        <v>127</v>
      </c>
      <c r="E249" s="162"/>
    </row>
    <row r="250" customFormat="false" ht="15.65" hidden="false" customHeight="false" outlineLevel="0" collapsed="false">
      <c r="A250" s="51" t="s">
        <v>675</v>
      </c>
      <c r="B250" s="93" t="s">
        <v>676</v>
      </c>
      <c r="C250" s="97" t="n">
        <f aca="false">'LOOKUP TABLES AND DROPDOWN LIST'!W82</f>
        <v>390</v>
      </c>
      <c r="D250" s="162" t="s">
        <v>82</v>
      </c>
      <c r="E250" s="162"/>
    </row>
    <row r="251" customFormat="false" ht="15.65" hidden="false" customHeight="false" outlineLevel="0" collapsed="false">
      <c r="A251" s="181" t="s">
        <v>677</v>
      </c>
      <c r="B251" s="199" t="s">
        <v>678</v>
      </c>
      <c r="C251" s="246" t="n">
        <f aca="false">IF('START HERE'!C108="","",'START HERE'!C108)</f>
        <v>1500</v>
      </c>
      <c r="D251" s="200" t="s">
        <v>82</v>
      </c>
      <c r="E251" s="277" t="s">
        <v>309</v>
      </c>
    </row>
    <row r="252" customFormat="false" ht="15.65" hidden="false" customHeight="false" outlineLevel="0" collapsed="false">
      <c r="A252" s="28" t="s">
        <v>679</v>
      </c>
      <c r="B252" s="192" t="s">
        <v>680</v>
      </c>
      <c r="C252" s="186" t="n">
        <f aca="false">IF(Cz_actual="",Cz_rcmd,Cz_actual)</f>
        <v>1500</v>
      </c>
      <c r="D252" s="39" t="s">
        <v>82</v>
      </c>
      <c r="E252" s="39"/>
    </row>
    <row r="253" customFormat="false" ht="13.8" hidden="false" customHeight="false" outlineLevel="0" collapsed="false">
      <c r="A253" s="42"/>
      <c r="B253" s="2"/>
    </row>
    <row r="254" customFormat="false" ht="13.8" hidden="false" customHeight="false" outlineLevel="0" collapsed="false">
      <c r="A254" s="42"/>
    </row>
    <row r="255" customFormat="false" ht="13.8" hidden="false" customHeight="false" outlineLevel="0" collapsed="false">
      <c r="A255" s="42"/>
    </row>
    <row r="256" customFormat="false" ht="13.8" hidden="false" customHeight="false" outlineLevel="0" collapsed="false">
      <c r="A256" s="42"/>
    </row>
    <row r="257" customFormat="false" ht="13.8" hidden="false" customHeight="false" outlineLevel="0" collapsed="false">
      <c r="A257" s="42"/>
    </row>
  </sheetData>
  <sheetProtection sheet="true" objects="true" scenarios="true"/>
  <mergeCells count="203">
    <mergeCell ref="A1:E1"/>
    <mergeCell ref="A2:E2"/>
    <mergeCell ref="A3:E3"/>
    <mergeCell ref="C4:D4"/>
    <mergeCell ref="E4:E9"/>
    <mergeCell ref="D10:E10"/>
    <mergeCell ref="D11:E11"/>
    <mergeCell ref="D12:E12"/>
    <mergeCell ref="D13:E13"/>
    <mergeCell ref="D14:E14"/>
    <mergeCell ref="A15:E15"/>
    <mergeCell ref="E16:E28"/>
    <mergeCell ref="A19:A20"/>
    <mergeCell ref="B19:B20"/>
    <mergeCell ref="C19:C20"/>
    <mergeCell ref="D19:D20"/>
    <mergeCell ref="A21:A22"/>
    <mergeCell ref="B21:B22"/>
    <mergeCell ref="C21:C22"/>
    <mergeCell ref="D21:D22"/>
    <mergeCell ref="A25:A26"/>
    <mergeCell ref="B25:B26"/>
    <mergeCell ref="C25:C26"/>
    <mergeCell ref="D25:D26"/>
    <mergeCell ref="D29:E29"/>
    <mergeCell ref="D30:E30"/>
    <mergeCell ref="D31:E31"/>
    <mergeCell ref="A32:E32"/>
    <mergeCell ref="A33:E33"/>
    <mergeCell ref="A34:E34"/>
    <mergeCell ref="A35:E35"/>
    <mergeCell ref="D36:E36"/>
    <mergeCell ref="D38:E38"/>
    <mergeCell ref="D39:E39"/>
    <mergeCell ref="D40:E40"/>
    <mergeCell ref="D41:E41"/>
    <mergeCell ref="A42:E42"/>
    <mergeCell ref="A43:E43"/>
    <mergeCell ref="D44:E44"/>
    <mergeCell ref="D45:E45"/>
    <mergeCell ref="A47:E47"/>
    <mergeCell ref="D48:E48"/>
    <mergeCell ref="D49:E49"/>
    <mergeCell ref="D51:E51"/>
    <mergeCell ref="A53:E53"/>
    <mergeCell ref="D54:E54"/>
    <mergeCell ref="D55:E55"/>
    <mergeCell ref="D57:E57"/>
    <mergeCell ref="D59:E59"/>
    <mergeCell ref="D60:E60"/>
    <mergeCell ref="D61:E61"/>
    <mergeCell ref="D63:E63"/>
    <mergeCell ref="D64:E64"/>
    <mergeCell ref="D65:E65"/>
    <mergeCell ref="D66:E66"/>
    <mergeCell ref="D67:E67"/>
    <mergeCell ref="A69:E69"/>
    <mergeCell ref="D74:E74"/>
    <mergeCell ref="D76:E76"/>
    <mergeCell ref="D77:E77"/>
    <mergeCell ref="D81:E81"/>
    <mergeCell ref="D82:E82"/>
    <mergeCell ref="D83:E83"/>
    <mergeCell ref="D85:E85"/>
    <mergeCell ref="A86:A87"/>
    <mergeCell ref="B86:B87"/>
    <mergeCell ref="C86:C87"/>
    <mergeCell ref="D86:D87"/>
    <mergeCell ref="E86:E87"/>
    <mergeCell ref="A90:E90"/>
    <mergeCell ref="D91:E91"/>
    <mergeCell ref="D94:E94"/>
    <mergeCell ref="D96:E96"/>
    <mergeCell ref="D97:E97"/>
    <mergeCell ref="D98:E98"/>
    <mergeCell ref="D99:E99"/>
    <mergeCell ref="D100:E100"/>
    <mergeCell ref="D101:E101"/>
    <mergeCell ref="D102:E102"/>
    <mergeCell ref="D105:E105"/>
    <mergeCell ref="D106:E106"/>
    <mergeCell ref="D107:E107"/>
    <mergeCell ref="D108:E108"/>
    <mergeCell ref="D110:E110"/>
    <mergeCell ref="D113:E113"/>
    <mergeCell ref="D114:E114"/>
    <mergeCell ref="A116:E116"/>
    <mergeCell ref="D117:E117"/>
    <mergeCell ref="E118:E123"/>
    <mergeCell ref="D124:E124"/>
    <mergeCell ref="D125:E125"/>
    <mergeCell ref="D126:E126"/>
    <mergeCell ref="D127:E127"/>
    <mergeCell ref="D128:E128"/>
    <mergeCell ref="D129:E129"/>
    <mergeCell ref="D130:E130"/>
    <mergeCell ref="D131:E131"/>
    <mergeCell ref="D132:E132"/>
    <mergeCell ref="D133:E133"/>
    <mergeCell ref="A135:E135"/>
    <mergeCell ref="D137:E137"/>
    <mergeCell ref="D138:E138"/>
    <mergeCell ref="D139:E139"/>
    <mergeCell ref="A141:E141"/>
    <mergeCell ref="D143:E143"/>
    <mergeCell ref="A145:E145"/>
    <mergeCell ref="A148:E148"/>
    <mergeCell ref="A149:A150"/>
    <mergeCell ref="B149:B150"/>
    <mergeCell ref="C149:C150"/>
    <mergeCell ref="D149:D150"/>
    <mergeCell ref="E149:E150"/>
    <mergeCell ref="A151:A152"/>
    <mergeCell ref="B151:B152"/>
    <mergeCell ref="C151:C152"/>
    <mergeCell ref="D151:E152"/>
    <mergeCell ref="D154:E154"/>
    <mergeCell ref="D155:E155"/>
    <mergeCell ref="D156:E156"/>
    <mergeCell ref="D158:E158"/>
    <mergeCell ref="D159:E159"/>
    <mergeCell ref="A161:E161"/>
    <mergeCell ref="A168:A169"/>
    <mergeCell ref="B168:B169"/>
    <mergeCell ref="C168:C169"/>
    <mergeCell ref="D168:E169"/>
    <mergeCell ref="A170:A171"/>
    <mergeCell ref="B170:B171"/>
    <mergeCell ref="C170:C171"/>
    <mergeCell ref="D170:D171"/>
    <mergeCell ref="E170:E171"/>
    <mergeCell ref="D172:E172"/>
    <mergeCell ref="D173:E173"/>
    <mergeCell ref="D174:E174"/>
    <mergeCell ref="D175:E175"/>
    <mergeCell ref="D176:E176"/>
    <mergeCell ref="D177:E177"/>
    <mergeCell ref="D178:E178"/>
    <mergeCell ref="A182:A183"/>
    <mergeCell ref="B182:B183"/>
    <mergeCell ref="C182:C183"/>
    <mergeCell ref="D182:E183"/>
    <mergeCell ref="A184:A185"/>
    <mergeCell ref="B184:B185"/>
    <mergeCell ref="C184:C185"/>
    <mergeCell ref="D184:D185"/>
    <mergeCell ref="E184:E185"/>
    <mergeCell ref="D186:E186"/>
    <mergeCell ref="D187:E187"/>
    <mergeCell ref="D189:E189"/>
    <mergeCell ref="A191:E191"/>
    <mergeCell ref="D193:E193"/>
    <mergeCell ref="D194:E194"/>
    <mergeCell ref="D196:E196"/>
    <mergeCell ref="A197:A198"/>
    <mergeCell ref="B197:E198"/>
    <mergeCell ref="A200:E200"/>
    <mergeCell ref="D204:E204"/>
    <mergeCell ref="D205:E205"/>
    <mergeCell ref="D206:E206"/>
    <mergeCell ref="D207:E207"/>
    <mergeCell ref="D208:E208"/>
    <mergeCell ref="D209:E209"/>
    <mergeCell ref="A211:E211"/>
    <mergeCell ref="A214:A215"/>
    <mergeCell ref="B214:B215"/>
    <mergeCell ref="C214:C215"/>
    <mergeCell ref="D214:E215"/>
    <mergeCell ref="A216:A217"/>
    <mergeCell ref="B216:B217"/>
    <mergeCell ref="C216:C217"/>
    <mergeCell ref="D216:D217"/>
    <mergeCell ref="E216:E217"/>
    <mergeCell ref="D218:E218"/>
    <mergeCell ref="A219:A220"/>
    <mergeCell ref="B219:B220"/>
    <mergeCell ref="C219:C220"/>
    <mergeCell ref="D219:E220"/>
    <mergeCell ref="A221:A222"/>
    <mergeCell ref="B221:B222"/>
    <mergeCell ref="C221:C222"/>
    <mergeCell ref="D221:D222"/>
    <mergeCell ref="E221:E222"/>
    <mergeCell ref="D223:E223"/>
    <mergeCell ref="D225:E225"/>
    <mergeCell ref="D231:E231"/>
    <mergeCell ref="D232:E232"/>
    <mergeCell ref="A233:A234"/>
    <mergeCell ref="B233:B234"/>
    <mergeCell ref="C233:C234"/>
    <mergeCell ref="D233:E234"/>
    <mergeCell ref="D236:E236"/>
    <mergeCell ref="D237:E237"/>
    <mergeCell ref="D240:E240"/>
    <mergeCell ref="D242:E242"/>
    <mergeCell ref="D243:E243"/>
    <mergeCell ref="D244:E244"/>
    <mergeCell ref="D245:E245"/>
    <mergeCell ref="D246:E246"/>
    <mergeCell ref="D247:E247"/>
    <mergeCell ref="D249:E249"/>
    <mergeCell ref="D250:E250"/>
    <mergeCell ref="D252:E252"/>
  </mergeCells>
  <printOptions headings="false" gridLines="false" gridLinesSet="true" horizontalCentered="false" verticalCentered="false"/>
  <pageMargins left="0.7" right="0.7" top="0.75" bottom="0.75" header="0.51180555555555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5" man="true" max="65535" min="0"/>
  </colBreaks>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63" activeCellId="0" sqref="G63"/>
    </sheetView>
  </sheetViews>
  <sheetFormatPr defaultColWidth="9.23828125" defaultRowHeight="13.8" zeroHeight="false" outlineLevelRow="0" outlineLevelCol="0"/>
  <cols>
    <col collapsed="false" customWidth="true" hidden="false" outlineLevel="0" max="1" min="1" style="301" width="11.86"/>
    <col collapsed="false" customWidth="true" hidden="false" outlineLevel="0" max="2" min="2" style="301" width="10.71"/>
    <col collapsed="false" customWidth="true" hidden="false" outlineLevel="0" max="3" min="3" style="301" width="9.13"/>
    <col collapsed="false" customWidth="true" hidden="false" outlineLevel="0" max="4" min="4" style="301" width="46.29"/>
    <col collapsed="false" customWidth="true" hidden="false" outlineLevel="0" max="6" min="5" style="301" width="9.29"/>
    <col collapsed="false" customWidth="true" hidden="false" outlineLevel="0" max="7" min="7" style="301" width="45.71"/>
    <col collapsed="false" customWidth="true" hidden="false" outlineLevel="0" max="8" min="8" style="301" width="9.13"/>
    <col collapsed="false" customWidth="true" hidden="false" outlineLevel="0" max="9" min="9" style="301" width="18.85"/>
    <col collapsed="false" customWidth="true" hidden="false" outlineLevel="0" max="10" min="10" style="301" width="43.85"/>
    <col collapsed="false" customWidth="true" hidden="false" outlineLevel="0" max="12" min="11" style="301" width="9.13"/>
    <col collapsed="false" customWidth="true" hidden="false" outlineLevel="0" max="13" min="13" style="301" width="10.12"/>
    <col collapsed="false" customWidth="true" hidden="false" outlineLevel="0" max="15" min="14" style="301" width="9.13"/>
    <col collapsed="false" customWidth="true" hidden="false" outlineLevel="0" max="16" min="16" style="301" width="13.7"/>
    <col collapsed="false" customWidth="true" hidden="false" outlineLevel="0" max="17" min="17" style="301" width="9.13"/>
    <col collapsed="false" customWidth="true" hidden="false" outlineLevel="0" max="18" min="18" style="301" width="9.29"/>
    <col collapsed="false" customWidth="true" hidden="false" outlineLevel="0" max="19" min="19" style="301" width="9.13"/>
    <col collapsed="false" customWidth="true" hidden="false" outlineLevel="0" max="20" min="20" style="301" width="11.3"/>
    <col collapsed="false" customWidth="true" hidden="false" outlineLevel="0" max="22" min="21" style="301" width="9.13"/>
    <col collapsed="false" customWidth="true" hidden="false" outlineLevel="0" max="23" min="23" style="301" width="9.29"/>
    <col collapsed="false" customWidth="true" hidden="false" outlineLevel="0" max="64" min="24" style="301" width="9.13"/>
  </cols>
  <sheetData>
    <row r="1" customFormat="false" ht="18.75" hidden="false" customHeight="true" outlineLevel="0" collapsed="false">
      <c r="A1" s="302" t="s">
        <v>681</v>
      </c>
      <c r="B1" s="303" t="s">
        <v>12</v>
      </c>
      <c r="D1" s="303" t="s">
        <v>682</v>
      </c>
      <c r="E1" s="303" t="n">
        <f aca="false">100*kHz</f>
        <v>100000</v>
      </c>
    </row>
    <row r="2" customFormat="false" ht="15.65" hidden="false" customHeight="false" outlineLevel="0" collapsed="false">
      <c r="A2" s="302"/>
      <c r="B2" s="303" t="s">
        <v>683</v>
      </c>
      <c r="D2" s="303" t="s">
        <v>684</v>
      </c>
      <c r="E2" s="303" t="n">
        <v>170</v>
      </c>
    </row>
    <row r="3" customFormat="false" ht="13.8" hidden="false" customHeight="false" outlineLevel="0" collapsed="false">
      <c r="A3" s="304"/>
    </row>
    <row r="4" customFormat="false" ht="13.8" hidden="false" customHeight="false" outlineLevel="0" collapsed="false">
      <c r="A4" s="303" t="s">
        <v>685</v>
      </c>
      <c r="B4" s="305" t="n">
        <f aca="false">10^-3</f>
        <v>0.001</v>
      </c>
    </row>
    <row r="5" customFormat="false" ht="13.8" hidden="false" customHeight="false" outlineLevel="0" collapsed="false">
      <c r="A5" s="303" t="s">
        <v>686</v>
      </c>
      <c r="B5" s="305" t="n">
        <f aca="false">(10^-6)</f>
        <v>1E-006</v>
      </c>
    </row>
    <row r="6" customFormat="false" ht="13.8" hidden="false" customHeight="false" outlineLevel="0" collapsed="false">
      <c r="A6" s="303" t="s">
        <v>687</v>
      </c>
      <c r="B6" s="305" t="n">
        <f aca="false">10^3</f>
        <v>1000</v>
      </c>
    </row>
    <row r="7" customFormat="false" ht="13.8" hidden="false" customHeight="false" outlineLevel="0" collapsed="false">
      <c r="A7" s="303" t="s">
        <v>688</v>
      </c>
      <c r="B7" s="305" t="n">
        <f aca="false">10^-3</f>
        <v>0.001</v>
      </c>
    </row>
    <row r="8" customFormat="false" ht="13.8" hidden="false" customHeight="false" outlineLevel="0" collapsed="false">
      <c r="A8" s="303" t="s">
        <v>689</v>
      </c>
      <c r="B8" s="305" t="n">
        <f aca="false">10^-3</f>
        <v>0.001</v>
      </c>
    </row>
    <row r="9" customFormat="false" ht="13.8" hidden="false" customHeight="false" outlineLevel="0" collapsed="false">
      <c r="A9" s="303" t="s">
        <v>690</v>
      </c>
      <c r="B9" s="305" t="n">
        <f aca="false">10^-3</f>
        <v>0.001</v>
      </c>
    </row>
    <row r="10" customFormat="false" ht="13.8" hidden="false" customHeight="false" outlineLevel="0" collapsed="false">
      <c r="A10" s="303" t="s">
        <v>691</v>
      </c>
      <c r="B10" s="305" t="n">
        <f aca="false">10^-6</f>
        <v>1E-006</v>
      </c>
    </row>
    <row r="11" customFormat="false" ht="13.8" hidden="false" customHeight="false" outlineLevel="0" collapsed="false">
      <c r="A11" s="303" t="s">
        <v>692</v>
      </c>
      <c r="B11" s="305" t="n">
        <f aca="false">10^-6</f>
        <v>1E-006</v>
      </c>
    </row>
    <row r="12" customFormat="false" ht="13.8" hidden="false" customHeight="false" outlineLevel="0" collapsed="false">
      <c r="A12" s="303" t="s">
        <v>693</v>
      </c>
      <c r="B12" s="305" t="n">
        <f aca="false">10^-9</f>
        <v>1E-009</v>
      </c>
    </row>
    <row r="13" customFormat="false" ht="13.8" hidden="false" customHeight="false" outlineLevel="0" collapsed="false">
      <c r="A13" s="303" t="s">
        <v>694</v>
      </c>
      <c r="B13" s="305" t="n">
        <f aca="false">10^-3</f>
        <v>0.001</v>
      </c>
    </row>
    <row r="14" customFormat="false" ht="13.8" hidden="false" customHeight="false" outlineLevel="0" collapsed="false">
      <c r="A14" s="303" t="s">
        <v>695</v>
      </c>
      <c r="B14" s="305" t="n">
        <f aca="false">10^-12</f>
        <v>1E-012</v>
      </c>
    </row>
    <row r="15" customFormat="false" ht="13.8" hidden="false" customHeight="false" outlineLevel="0" collapsed="false">
      <c r="A15" s="303" t="s">
        <v>696</v>
      </c>
      <c r="B15" s="305" t="n">
        <f aca="false">10^6</f>
        <v>1000000</v>
      </c>
    </row>
    <row r="16" customFormat="false" ht="13.8" hidden="false" customHeight="false" outlineLevel="0" collapsed="false">
      <c r="A16" s="303" t="s">
        <v>697</v>
      </c>
      <c r="B16" s="305" t="n">
        <f aca="false">10^-6</f>
        <v>1E-006</v>
      </c>
    </row>
    <row r="17" customFormat="false" ht="13.85" hidden="false" customHeight="false" outlineLevel="0" collapsed="false">
      <c r="A17" s="303" t="s">
        <v>698</v>
      </c>
      <c r="B17" s="305" t="n">
        <f aca="false">10^3</f>
        <v>1000</v>
      </c>
    </row>
    <row r="18" customFormat="false" ht="13.8" hidden="false" customHeight="false" outlineLevel="0" collapsed="false">
      <c r="A18" s="303" t="s">
        <v>699</v>
      </c>
      <c r="B18" s="305" t="n">
        <f aca="false">10^-9</f>
        <v>1E-009</v>
      </c>
    </row>
    <row r="19" customFormat="false" ht="13.8" hidden="false" customHeight="false" outlineLevel="0" collapsed="false">
      <c r="A19" s="303" t="s">
        <v>700</v>
      </c>
      <c r="B19" s="305" t="n">
        <f aca="false">10^-9</f>
        <v>1E-009</v>
      </c>
    </row>
    <row r="20" customFormat="false" ht="13.8" hidden="false" customHeight="false" outlineLevel="0" collapsed="false">
      <c r="A20" s="303" t="s">
        <v>701</v>
      </c>
      <c r="B20" s="305" t="n">
        <f aca="false">10^-6</f>
        <v>1E-006</v>
      </c>
    </row>
    <row r="21" customFormat="false" ht="15.65" hidden="false" customHeight="false" outlineLevel="0" collapsed="false">
      <c r="I21" s="301" t="s">
        <v>702</v>
      </c>
      <c r="P21" s="306" t="s">
        <v>703</v>
      </c>
      <c r="Q21" s="306"/>
      <c r="S21" s="306" t="s">
        <v>704</v>
      </c>
      <c r="T21" s="306"/>
      <c r="V21" s="306" t="s">
        <v>705</v>
      </c>
      <c r="W21" s="306"/>
      <c r="X21" s="306"/>
      <c r="Y21" s="306"/>
    </row>
    <row r="22" customFormat="false" ht="15.65" hidden="false" customHeight="false" outlineLevel="0" collapsed="false">
      <c r="A22" s="307" t="s">
        <v>706</v>
      </c>
      <c r="B22" s="307"/>
      <c r="C22" s="307"/>
      <c r="E22" s="306" t="s">
        <v>707</v>
      </c>
      <c r="F22" s="306"/>
      <c r="G22" s="306"/>
      <c r="I22" s="301" t="s">
        <v>708</v>
      </c>
      <c r="J22" s="308" t="n">
        <f aca="false">Cbulk_rcmd</f>
        <v>123.435260240941</v>
      </c>
      <c r="K22" s="301" t="s">
        <v>48</v>
      </c>
      <c r="L22" s="301" t="s">
        <v>709</v>
      </c>
      <c r="P22" s="301" t="s">
        <v>710</v>
      </c>
      <c r="Q22" s="301" t="n">
        <f aca="false">((Irun*mA+(Qg*nC*fmax*kHz))*(Cout*uF*Vout_cc/Iocc))/(VDDon-(VDDoff_max+1))*10^12</f>
        <v>8673427.44924082</v>
      </c>
      <c r="R22" s="301" t="s">
        <v>82</v>
      </c>
      <c r="S22" s="301" t="s">
        <v>711</v>
      </c>
      <c r="T22" s="301" t="n">
        <f aca="false">(ton_max*us*Iocc)/(0.2*Vripple_target*mV)*10^12</f>
        <v>193428758.808849</v>
      </c>
      <c r="U22" s="301" t="s">
        <v>82</v>
      </c>
      <c r="V22" s="301" t="s">
        <v>712</v>
      </c>
      <c r="W22" s="301" t="n">
        <f aca="false">(10*Copto*nF)*10^12</f>
        <v>47746.4829275686</v>
      </c>
      <c r="X22" s="301" t="s">
        <v>82</v>
      </c>
    </row>
    <row r="23" customFormat="false" ht="13.8" hidden="false" customHeight="false" outlineLevel="0" collapsed="false">
      <c r="A23" s="309" t="n">
        <v>100</v>
      </c>
      <c r="B23" s="309" t="n">
        <v>105</v>
      </c>
      <c r="E23" s="306" t="s">
        <v>713</v>
      </c>
      <c r="F23" s="306"/>
      <c r="G23" s="306"/>
      <c r="Q23" s="301" t="n">
        <f aca="false">(IF(Q22&lt;10000,Q24*10^INT(LOG(Q22)),Q25*10^INT(LOG(Q22))))*10^-6</f>
        <v>10</v>
      </c>
      <c r="R23" s="301" t="s">
        <v>48</v>
      </c>
      <c r="T23" s="301" t="n">
        <f aca="false">(IF(T22&lt;10000,T24*10^INT(LOG(T22)),T25*10^INT(LOG(T22))))*10^-6</f>
        <v>220</v>
      </c>
      <c r="U23" s="301" t="s">
        <v>48</v>
      </c>
      <c r="W23" s="301" t="n">
        <f aca="false">(IF(W22&lt;10000,W24*10^INT(LOG(W22)),W25*10^INT(LOG(W22))))*10^-6</f>
        <v>0.047</v>
      </c>
      <c r="X23" s="301" t="s">
        <v>48</v>
      </c>
    </row>
    <row r="24" customFormat="false" ht="13.8" hidden="false" customHeight="false" outlineLevel="0" collapsed="false">
      <c r="A24" s="309" t="n">
        <v>105</v>
      </c>
      <c r="B24" s="309" t="n">
        <v>110</v>
      </c>
      <c r="E24" s="301" t="n">
        <v>1</v>
      </c>
      <c r="F24" s="301" t="n">
        <v>1.2</v>
      </c>
      <c r="Q24" s="301" t="n">
        <f aca="false">IF((10^(LOG(Q22)-INT(LOG(Q22))))-VLOOKUP((10^(LOG(Q22)-INT(LOG(Q22)))),C_s1:C_f1,1)&lt;VLOOKUP((10^(LOG(Q22)-INT(LOG(Q22)))),C_s1:C_f1,2)-(10^(LOG(Q22)-INT(LOG(Q22)))),VLOOKUP((10^(LOG(Q22)-INT(LOG(Q22)))),C_s1:C_f1,1),VLOOKUP((10^(LOG(Q22)-INT(LOG(Q22)))),C_s1:C_f1,2))</f>
        <v>8.2</v>
      </c>
      <c r="T24" s="301" t="n">
        <f aca="false">IF((10^(LOG(T22)-INT(LOG(T22))))-VLOOKUP((10^(LOG(T22)-INT(LOG(T22)))),C_s1:C_f1,1)&lt;VLOOKUP((10^(LOG(T22)-INT(LOG(T22)))),C_s1:C_f1,2)-(10^(LOG(T22)-INT(LOG(T22)))),VLOOKUP((10^(LOG(T22)-INT(LOG(T22)))),C_s1:C_f1,1),VLOOKUP((10^(LOG(T22)-INT(LOG(T22)))),C_s1:C_f1,2))</f>
        <v>1.8</v>
      </c>
      <c r="W24" s="301" t="n">
        <f aca="false">IF((10^(LOG(W22)-INT(LOG(W22))))-VLOOKUP((10^(LOG(W22)-INT(LOG(W22)))),C_s1:C_f1,1)&lt;VLOOKUP((10^(LOG(W22)-INT(LOG(W22)))),C_s1:C_f1,2)-(10^(LOG(W22)-INT(LOG(W22)))),VLOOKUP((10^(LOG(W22)-INT(LOG(W22)))),C_s1:C_f1,1),VLOOKUP((10^(LOG(W22)-INT(LOG(W22)))),C_s1:C_f1,2))</f>
        <v>4.7</v>
      </c>
    </row>
    <row r="25" customFormat="false" ht="13.8" hidden="false" customHeight="false" outlineLevel="0" collapsed="false">
      <c r="A25" s="309" t="n">
        <v>110</v>
      </c>
      <c r="B25" s="309" t="n">
        <v>115</v>
      </c>
      <c r="E25" s="301" t="n">
        <v>1.2</v>
      </c>
      <c r="F25" s="301" t="n">
        <v>1.5</v>
      </c>
      <c r="Q25" s="301" t="n">
        <f aca="false">IF((10^(LOG(Q22)-INT(LOG(Q22))))-VLOOKUP((10^(LOG(Q22)-INT(LOG(Q22)))),C_s2:C_f2,1)&lt;VLOOKUP((10^(LOG(Q22)-INT(LOG(Q22)))),C_s2:C_f2,2)-(10^(LOG(Q22)-INT(LOG(Q22)))),VLOOKUP((10^(LOG(Q22)-INT(LOG(Q22)))),C_s2:C_f2,1),VLOOKUP((10^(LOG(Q22)-INT(LOG(Q22)))),C_s2:C_f2,2))</f>
        <v>10</v>
      </c>
      <c r="T25" s="301" t="n">
        <f aca="false">IF((10^(LOG(T22)-INT(LOG(T22))))-VLOOKUP((10^(LOG(T22)-INT(LOG(T22)))),C_s2:C_f2,1)&lt;VLOOKUP((10^(LOG(T22)-INT(LOG(T22)))),C_s2:C_f2,2)-(10^(LOG(T22)-INT(LOG(T22)))),VLOOKUP((10^(LOG(T22)-INT(LOG(T22)))),C_s2:C_f2,1),VLOOKUP((10^(LOG(T22)-INT(LOG(T22)))),C_s2:C_f2,2))</f>
        <v>2.2</v>
      </c>
      <c r="W25" s="301" t="n">
        <f aca="false">IF((10^(LOG(W22)-INT(LOG(W22))))-VLOOKUP((10^(LOG(W22)-INT(LOG(W22)))),C_s2:C_f2,1)&lt;VLOOKUP((10^(LOG(W22)-INT(LOG(W22)))),C_s2:C_f2,2)-(10^(LOG(W22)-INT(LOG(W22)))),VLOOKUP((10^(LOG(W22)-INT(LOG(W22)))),C_s2:C_f2,1),VLOOKUP((10^(LOG(W22)-INT(LOG(W22)))),C_s2:C_f2,2))</f>
        <v>4.7</v>
      </c>
    </row>
    <row r="26" customFormat="false" ht="15.65" hidden="false" customHeight="false" outlineLevel="0" collapsed="false">
      <c r="A26" s="309" t="n">
        <v>115</v>
      </c>
      <c r="B26" s="309" t="n">
        <v>121</v>
      </c>
      <c r="E26" s="301" t="n">
        <v>1.5</v>
      </c>
      <c r="F26" s="301" t="n">
        <v>1.8</v>
      </c>
      <c r="P26" s="301" t="s">
        <v>714</v>
      </c>
      <c r="Q26" s="301" t="n">
        <f aca="false">((2*(Irun*mA+Qg*nC)*(tov*ms))/((VDD*1.5)-(VDDoff+1)))*10^12</f>
        <v>10272056.2049543</v>
      </c>
      <c r="R26" s="301" t="s">
        <v>82</v>
      </c>
    </row>
    <row r="27" customFormat="false" ht="13.8" hidden="false" customHeight="false" outlineLevel="0" collapsed="false">
      <c r="A27" s="309" t="n">
        <v>121</v>
      </c>
      <c r="B27" s="309" t="n">
        <v>127</v>
      </c>
      <c r="E27" s="301" t="n">
        <v>1.8</v>
      </c>
      <c r="F27" s="301" t="n">
        <v>2.2</v>
      </c>
      <c r="I27" s="310" t="s">
        <v>715</v>
      </c>
      <c r="J27" s="310"/>
      <c r="K27" s="310"/>
      <c r="Q27" s="301" t="n">
        <f aca="false">(IF(Q26&lt;10000,Q28*10^INT(LOG(Q26)),Q29*10^INT(LOG(Q26))))*10^-6</f>
        <v>10</v>
      </c>
      <c r="R27" s="301" t="s">
        <v>48</v>
      </c>
    </row>
    <row r="28" customFormat="false" ht="13.8" hidden="false" customHeight="false" outlineLevel="0" collapsed="false">
      <c r="A28" s="309" t="n">
        <v>127</v>
      </c>
      <c r="B28" s="309" t="n">
        <v>133</v>
      </c>
      <c r="E28" s="301" t="n">
        <v>2.2</v>
      </c>
      <c r="F28" s="301" t="n">
        <v>2.7</v>
      </c>
      <c r="I28" s="310" t="s">
        <v>716</v>
      </c>
      <c r="J28" s="310"/>
      <c r="K28" s="310"/>
      <c r="Q28" s="301" t="n">
        <f aca="false">IF((10^(LOG(Q26)-INT(LOG(Q26))))-VLOOKUP((10^(LOG(Q26)-INT(LOG(Q26)))),C_s1:C_f1,1)&lt;VLOOKUP((10^(LOG(Q26)-INT(LOG(Q26)))),C_s1:C_f1,2)-(10^(LOG(Q26)-INT(LOG(Q26)))),VLOOKUP((10^(LOG(Q26)-INT(LOG(Q26)))),C_s1:C_f1,1),VLOOKUP((10^(LOG(Q26)-INT(LOG(Q26)))),C_s1:C_f1,2))</f>
        <v>1</v>
      </c>
    </row>
    <row r="29" customFormat="false" ht="15.65" hidden="false" customHeight="false" outlineLevel="0" collapsed="false">
      <c r="A29" s="309" t="n">
        <v>133</v>
      </c>
      <c r="B29" s="309" t="n">
        <v>140</v>
      </c>
      <c r="E29" s="301" t="n">
        <v>2.7</v>
      </c>
      <c r="F29" s="301" t="n">
        <v>3.3</v>
      </c>
      <c r="I29" s="301" t="s">
        <v>717</v>
      </c>
      <c r="J29" s="301" t="n">
        <f aca="false">(1/fline_min)/(2*PI())*ASIN((Vbulkvalley_desired)/Vbulk_min)</f>
        <v>0.00332703387607715</v>
      </c>
      <c r="K29" s="301" t="s">
        <v>718</v>
      </c>
      <c r="Q29" s="301" t="n">
        <f aca="false">IF((10^(LOG(Q26)-INT(LOG(Q26))))-VLOOKUP((10^(LOG(Q26)-INT(LOG(Q26)))),C_s2:C_f2,1)&lt;VLOOKUP((10^(LOG(Q26)-INT(LOG(Q26)))),C_s2:C_f2,2)-(10^(LOG(Q26)-INT(LOG(Q26)))),VLOOKUP((10^(LOG(Q26)-INT(LOG(Q26)))),C_s2:C_f2,1),VLOOKUP((10^(LOG(Q26)-INT(LOG(Q26)))),C_s2:C_f2,2))</f>
        <v>1</v>
      </c>
    </row>
    <row r="30" customFormat="false" ht="15.65" hidden="false" customHeight="false" outlineLevel="0" collapsed="false">
      <c r="A30" s="309" t="n">
        <v>140</v>
      </c>
      <c r="B30" s="309" t="n">
        <v>147</v>
      </c>
      <c r="E30" s="301" t="n">
        <v>3.3</v>
      </c>
      <c r="F30" s="301" t="n">
        <v>3.9</v>
      </c>
      <c r="I30" s="301" t="s">
        <v>719</v>
      </c>
      <c r="J30" s="301" t="n">
        <f aca="false">((1/fline_min)/2)+t_1</f>
        <v>0.0139653317484176</v>
      </c>
      <c r="K30" s="301" t="s">
        <v>718</v>
      </c>
      <c r="P30" s="301" t="s">
        <v>720</v>
      </c>
      <c r="Q30" s="301" t="n">
        <f aca="false">(Irun*mA+(Qg*nC*fmin*kHz))/(1*fmin*kHz)*10^12</f>
        <v>447855.349305556</v>
      </c>
      <c r="R30" s="301" t="s">
        <v>82</v>
      </c>
    </row>
    <row r="31" customFormat="false" ht="15.65" hidden="false" customHeight="false" outlineLevel="0" collapsed="false">
      <c r="A31" s="309" t="n">
        <v>147</v>
      </c>
      <c r="B31" s="309" t="n">
        <v>154</v>
      </c>
      <c r="E31" s="301" t="n">
        <v>3.9</v>
      </c>
      <c r="F31" s="301" t="n">
        <v>4.7</v>
      </c>
      <c r="I31" s="301" t="s">
        <v>721</v>
      </c>
      <c r="J31" s="301" t="n">
        <f aca="false">((t_line*10^-3)/2)+t_1-((t_line*10^-3)/4)</f>
        <v>0.00864618281224735</v>
      </c>
      <c r="K31" s="301" t="s">
        <v>718</v>
      </c>
      <c r="Q31" s="301" t="n">
        <f aca="false">(IF(Q30&lt;10000,Q32*10^INT(LOG(Q30)),Q33*10^INT(LOG(Q30))))*10^-6</f>
        <v>0.47</v>
      </c>
      <c r="R31" s="301" t="s">
        <v>48</v>
      </c>
    </row>
    <row r="32" customFormat="false" ht="15.65" hidden="false" customHeight="false" outlineLevel="0" collapsed="false">
      <c r="A32" s="309" t="n">
        <v>154</v>
      </c>
      <c r="B32" s="309" t="n">
        <v>162</v>
      </c>
      <c r="E32" s="301" t="n">
        <v>4.7</v>
      </c>
      <c r="F32" s="301" t="n">
        <v>5.6</v>
      </c>
      <c r="I32" s="301" t="s">
        <v>722</v>
      </c>
      <c r="J32" s="301" t="n">
        <f aca="false">((t_line*10^-3)/4)-t_1</f>
        <v>0.00199211506009305</v>
      </c>
      <c r="K32" s="301" t="s">
        <v>718</v>
      </c>
      <c r="Q32" s="301" t="n">
        <f aca="false">IF((10^(LOG(Q30)-INT(LOG(Q30))))-VLOOKUP((10^(LOG(Q30)-INT(LOG(Q30)))),C_s1:C_f1,1)&lt;VLOOKUP((10^(LOG(Q30)-INT(LOG(Q30)))),C_s1:C_f1,2)-(10^(LOG(Q30)-INT(LOG(Q30)))),VLOOKUP((10^(LOG(Q30)-INT(LOG(Q30)))),C_s1:C_f1,1),VLOOKUP((10^(LOG(Q30)-INT(LOG(Q30)))),C_s1:C_f1,2))</f>
        <v>4.7</v>
      </c>
    </row>
    <row r="33" customFormat="false" ht="15.65" hidden="false" customHeight="false" outlineLevel="0" collapsed="false">
      <c r="A33" s="309" t="n">
        <v>162</v>
      </c>
      <c r="B33" s="309" t="n">
        <v>169</v>
      </c>
      <c r="E33" s="301" t="n">
        <v>5.6</v>
      </c>
      <c r="F33" s="301" t="n">
        <v>6.8</v>
      </c>
      <c r="I33" s="301" t="s">
        <v>723</v>
      </c>
      <c r="J33" s="301" t="n">
        <f aca="false">(SQRT((2*Cbulk*uF)*(((Cbulk*uF)*(Vinput_min^2))-(Pin*t_discharge))))/(Cbulk*uF)</f>
        <v>102.598840564593</v>
      </c>
      <c r="K33" s="301" t="s">
        <v>29</v>
      </c>
      <c r="Q33" s="301" t="n">
        <f aca="false">IF((10^(LOG(Q30)-INT(LOG(Q30))))-VLOOKUP((10^(LOG(Q30)-INT(LOG(Q30)))),C_s2:C_f2,1)&lt;VLOOKUP((10^(LOG(Q30)-INT(LOG(Q30)))),C_s2:C_f2,2)-(10^(LOG(Q30)-INT(LOG(Q30)))),VLOOKUP((10^(LOG(Q30)-INT(LOG(Q30)))),C_s2:C_f2,1),VLOOKUP((10^(LOG(Q30)-INT(LOG(Q30)))),C_s2:C_f2,2))</f>
        <v>4.7</v>
      </c>
    </row>
    <row r="34" customFormat="false" ht="13.8" hidden="false" customHeight="false" outlineLevel="0" collapsed="false">
      <c r="A34" s="309" t="n">
        <v>169</v>
      </c>
      <c r="B34" s="309" t="n">
        <v>178</v>
      </c>
      <c r="E34" s="301" t="n">
        <v>6.8</v>
      </c>
      <c r="F34" s="301" t="n">
        <v>8.2</v>
      </c>
      <c r="I34" s="310" t="s">
        <v>724</v>
      </c>
      <c r="J34" s="310"/>
      <c r="K34" s="310"/>
    </row>
    <row r="35" customFormat="false" ht="15.65" hidden="false" customHeight="false" outlineLevel="0" collapsed="false">
      <c r="A35" s="309" t="n">
        <v>178</v>
      </c>
      <c r="B35" s="309" t="n">
        <v>187</v>
      </c>
      <c r="E35" s="301" t="n">
        <v>8.2</v>
      </c>
      <c r="F35" s="301" t="n">
        <v>10</v>
      </c>
      <c r="I35" s="301" t="s">
        <v>725</v>
      </c>
      <c r="J35" s="301" t="n">
        <f aca="false">(1/fline_min)/(2*PI())*ASIN((Vbulkvalley_1)/Vbulk_min)</f>
        <v>0.00346309075358634</v>
      </c>
      <c r="K35" s="301" t="s">
        <v>718</v>
      </c>
    </row>
    <row r="36" customFormat="false" ht="15.65" hidden="false" customHeight="false" outlineLevel="0" collapsed="false">
      <c r="A36" s="309" t="n">
        <v>187</v>
      </c>
      <c r="B36" s="309" t="n">
        <v>196</v>
      </c>
      <c r="E36" s="306" t="s">
        <v>726</v>
      </c>
      <c r="F36" s="306"/>
      <c r="G36" s="306"/>
      <c r="I36" s="301" t="s">
        <v>727</v>
      </c>
      <c r="J36" s="301" t="n">
        <f aca="false">((t_line*10^-3)/2)+t1_1</f>
        <v>0.0141013886259267</v>
      </c>
      <c r="K36" s="301" t="s">
        <v>718</v>
      </c>
    </row>
    <row r="37" customFormat="false" ht="15.65" hidden="false" customHeight="false" outlineLevel="0" collapsed="false">
      <c r="A37" s="309" t="n">
        <v>196</v>
      </c>
      <c r="B37" s="309" t="n">
        <v>205</v>
      </c>
      <c r="E37" s="301" t="n">
        <v>1</v>
      </c>
      <c r="F37" s="301" t="n">
        <v>1.5</v>
      </c>
      <c r="I37" s="301" t="s">
        <v>728</v>
      </c>
      <c r="J37" s="301" t="n">
        <f aca="false">t2_1-((t_line*10^-3)/4)</f>
        <v>0.00878223968975654</v>
      </c>
      <c r="K37" s="301" t="s">
        <v>718</v>
      </c>
    </row>
    <row r="38" customFormat="false" ht="15.65" hidden="false" customHeight="false" outlineLevel="0" collapsed="false">
      <c r="A38" s="309" t="n">
        <v>205</v>
      </c>
      <c r="B38" s="309" t="n">
        <v>215</v>
      </c>
      <c r="E38" s="301" t="n">
        <v>1.5</v>
      </c>
      <c r="F38" s="301" t="n">
        <v>2.2</v>
      </c>
      <c r="I38" s="301" t="s">
        <v>729</v>
      </c>
      <c r="J38" s="301" t="n">
        <f aca="false">((t_line*10^-3)/4)-t1_1</f>
        <v>0.00185605818258386</v>
      </c>
      <c r="K38" s="301" t="s">
        <v>718</v>
      </c>
    </row>
    <row r="39" customFormat="false" ht="15.65" hidden="false" customHeight="false" outlineLevel="0" collapsed="false">
      <c r="A39" s="309" t="n">
        <v>215</v>
      </c>
      <c r="B39" s="309" t="n">
        <v>226</v>
      </c>
      <c r="E39" s="301" t="n">
        <v>2.2</v>
      </c>
      <c r="F39" s="301" t="n">
        <v>3.3</v>
      </c>
      <c r="I39" s="301" t="s">
        <v>730</v>
      </c>
      <c r="J39" s="301" t="n">
        <f aca="false">SQRT((2*Cbulk*uF)*(((Cbulk*uF)*(Vinput_min^2))-(Pin*tdischarge_1)))/(Cbulk*uF)</f>
        <v>102.297517025206</v>
      </c>
      <c r="K39" s="301" t="s">
        <v>29</v>
      </c>
    </row>
    <row r="40" customFormat="false" ht="13.8" hidden="false" customHeight="false" outlineLevel="0" collapsed="false">
      <c r="A40" s="309" t="n">
        <v>226</v>
      </c>
      <c r="B40" s="309" t="n">
        <v>237</v>
      </c>
      <c r="E40" s="301" t="n">
        <v>3.3</v>
      </c>
      <c r="F40" s="301" t="n">
        <v>4.7</v>
      </c>
      <c r="I40" s="311" t="s">
        <v>731</v>
      </c>
    </row>
    <row r="41" customFormat="false" ht="15.65" hidden="false" customHeight="false" outlineLevel="0" collapsed="false">
      <c r="A41" s="309" t="n">
        <v>237</v>
      </c>
      <c r="B41" s="309" t="n">
        <v>249</v>
      </c>
      <c r="E41" s="301" t="n">
        <v>4.7</v>
      </c>
      <c r="F41" s="301" t="n">
        <v>6.8</v>
      </c>
      <c r="I41" s="301" t="s">
        <v>732</v>
      </c>
      <c r="J41" s="301" t="n">
        <f aca="false">(1/fline_min)/(2*PI())*ASIN(Vbulkvalley_2/Vbulk_min)</f>
        <v>0.00344686442112193</v>
      </c>
      <c r="K41" s="301" t="s">
        <v>718</v>
      </c>
    </row>
    <row r="42" customFormat="false" ht="15.65" hidden="false" customHeight="false" outlineLevel="0" collapsed="false">
      <c r="A42" s="309" t="n">
        <v>249</v>
      </c>
      <c r="B42" s="309" t="n">
        <v>261</v>
      </c>
      <c r="E42" s="301" t="n">
        <v>6.8</v>
      </c>
      <c r="F42" s="301" t="n">
        <v>10</v>
      </c>
      <c r="I42" s="301" t="s">
        <v>733</v>
      </c>
      <c r="J42" s="301" t="n">
        <f aca="false">((t_line*10^-3)/2)+t1_2</f>
        <v>0.0140851622934623</v>
      </c>
      <c r="K42" s="301" t="s">
        <v>718</v>
      </c>
    </row>
    <row r="43" customFormat="false" ht="15.65" hidden="false" customHeight="false" outlineLevel="0" collapsed="false">
      <c r="A43" s="309" t="n">
        <v>261</v>
      </c>
      <c r="B43" s="309" t="n">
        <v>274</v>
      </c>
      <c r="I43" s="301" t="s">
        <v>734</v>
      </c>
      <c r="J43" s="301" t="n">
        <f aca="false">t2_2-((t_line*10^-3)/4)</f>
        <v>0.00876601335729213</v>
      </c>
      <c r="K43" s="301" t="s">
        <v>718</v>
      </c>
    </row>
    <row r="44" customFormat="false" ht="15.65" hidden="false" customHeight="false" outlineLevel="0" collapsed="false">
      <c r="A44" s="309" t="n">
        <v>274</v>
      </c>
      <c r="B44" s="309" t="n">
        <v>287</v>
      </c>
      <c r="I44" s="301" t="s">
        <v>735</v>
      </c>
      <c r="J44" s="301" t="n">
        <f aca="false">((t_line*10^-3)/4)-t1_2</f>
        <v>0.00187228451504827</v>
      </c>
      <c r="K44" s="301" t="s">
        <v>718</v>
      </c>
    </row>
    <row r="45" customFormat="false" ht="15.65" hidden="false" customHeight="false" outlineLevel="0" collapsed="false">
      <c r="A45" s="309" t="n">
        <v>287</v>
      </c>
      <c r="B45" s="309" t="n">
        <v>301</v>
      </c>
      <c r="I45" s="301" t="s">
        <v>736</v>
      </c>
      <c r="J45" s="301" t="n">
        <f aca="false">SQRT((2*Cbulk*uF)*(((Cbulk*uF)*(Vinput_min^2))-(Pin*tdischarge_2)))/(Cbulk*uF)</f>
        <v>102.333499887437</v>
      </c>
      <c r="K45" s="301" t="s">
        <v>29</v>
      </c>
    </row>
    <row r="46" customFormat="false" ht="13.8" hidden="false" customHeight="false" outlineLevel="0" collapsed="false">
      <c r="A46" s="309" t="n">
        <v>301</v>
      </c>
      <c r="B46" s="309" t="n">
        <v>316</v>
      </c>
      <c r="I46" s="311" t="s">
        <v>737</v>
      </c>
    </row>
    <row r="47" customFormat="false" ht="15.65" hidden="false" customHeight="false" outlineLevel="0" collapsed="false">
      <c r="A47" s="309" t="n">
        <v>316</v>
      </c>
      <c r="B47" s="309" t="n">
        <v>332</v>
      </c>
      <c r="I47" s="301" t="s">
        <v>738</v>
      </c>
      <c r="J47" s="301" t="n">
        <f aca="false">(1/fline_min)/(2*PI())*ASIN(Vbulkvalley_3/Vbulk_min)</f>
        <v>0.0034487954673419</v>
      </c>
      <c r="K47" s="301" t="s">
        <v>718</v>
      </c>
    </row>
    <row r="48" customFormat="false" ht="15.65" hidden="false" customHeight="false" outlineLevel="0" collapsed="false">
      <c r="A48" s="309" t="n">
        <v>332</v>
      </c>
      <c r="B48" s="309" t="n">
        <v>348</v>
      </c>
      <c r="I48" s="301" t="s">
        <v>739</v>
      </c>
      <c r="J48" s="301" t="n">
        <f aca="false">((t_line*10^-3)/2)+t1_3</f>
        <v>0.0140870933396823</v>
      </c>
      <c r="K48" s="301" t="s">
        <v>718</v>
      </c>
    </row>
    <row r="49" customFormat="false" ht="15.65" hidden="false" customHeight="false" outlineLevel="0" collapsed="false">
      <c r="A49" s="309" t="n">
        <v>348</v>
      </c>
      <c r="B49" s="309" t="n">
        <v>365</v>
      </c>
      <c r="I49" s="301" t="s">
        <v>740</v>
      </c>
      <c r="J49" s="301" t="n">
        <f aca="false">t2_3-((t_line*10^-3)/4)</f>
        <v>0.0087679444035121</v>
      </c>
      <c r="K49" s="301" t="s">
        <v>718</v>
      </c>
    </row>
    <row r="50" customFormat="false" ht="15.65" hidden="false" customHeight="false" outlineLevel="0" collapsed="false">
      <c r="A50" s="309" t="n">
        <v>365</v>
      </c>
      <c r="B50" s="309" t="n">
        <v>383</v>
      </c>
      <c r="I50" s="301" t="s">
        <v>741</v>
      </c>
      <c r="J50" s="301" t="n">
        <f aca="false">((t_line*10^-3)/4)-t1_3</f>
        <v>0.0018703534688283</v>
      </c>
      <c r="K50" s="301" t="s">
        <v>718</v>
      </c>
    </row>
    <row r="51" customFormat="false" ht="15.65" hidden="false" customHeight="false" outlineLevel="0" collapsed="false">
      <c r="A51" s="309" t="n">
        <v>383</v>
      </c>
      <c r="B51" s="309" t="n">
        <v>402</v>
      </c>
      <c r="I51" s="301" t="s">
        <v>742</v>
      </c>
      <c r="J51" s="301" t="n">
        <f aca="false">(SQRT((2*Cbulk*uF)*(((Cbulk*uF)*(Vinput_min^2))-(Pin*tdischarge_3))))/(Cbulk*uF)</f>
        <v>102.329218340303</v>
      </c>
      <c r="K51" s="301" t="s">
        <v>29</v>
      </c>
    </row>
    <row r="52" customFormat="false" ht="13.8" hidden="false" customHeight="false" outlineLevel="0" collapsed="false">
      <c r="A52" s="309" t="n">
        <v>402</v>
      </c>
      <c r="B52" s="309" t="n">
        <v>422</v>
      </c>
    </row>
    <row r="53" customFormat="false" ht="13.8" hidden="false" customHeight="false" outlineLevel="0" collapsed="false">
      <c r="A53" s="309" t="n">
        <v>422</v>
      </c>
      <c r="B53" s="309" t="n">
        <v>442</v>
      </c>
    </row>
    <row r="54" customFormat="false" ht="13.8" hidden="false" customHeight="false" outlineLevel="0" collapsed="false">
      <c r="A54" s="309" t="n">
        <v>442</v>
      </c>
      <c r="B54" s="309" t="n">
        <v>464</v>
      </c>
    </row>
    <row r="55" customFormat="false" ht="13.8" hidden="false" customHeight="false" outlineLevel="0" collapsed="false">
      <c r="A55" s="309" t="n">
        <v>464</v>
      </c>
      <c r="B55" s="309" t="n">
        <v>487</v>
      </c>
    </row>
    <row r="56" customFormat="false" ht="15.65" hidden="false" customHeight="false" outlineLevel="0" collapsed="false">
      <c r="A56" s="309" t="n">
        <v>487</v>
      </c>
      <c r="B56" s="309" t="n">
        <v>511</v>
      </c>
      <c r="G56" s="312" t="s">
        <v>743</v>
      </c>
      <c r="H56" s="301" t="n">
        <f aca="false">Vbulk_run/(Npa*Ivslrun_max*uA)/kOhms</f>
        <v>45.7119535312517</v>
      </c>
      <c r="I56" s="301" t="s">
        <v>127</v>
      </c>
    </row>
    <row r="57" customFormat="false" ht="13.85" hidden="false" customHeight="false" outlineLevel="0" collapsed="false">
      <c r="A57" s="309" t="n">
        <v>511</v>
      </c>
      <c r="B57" s="309" t="n">
        <v>536</v>
      </c>
      <c r="H57" s="301" t="n">
        <f aca="false">(IF((10^(LOG(H56)-INT(LOG(H56)))*100)-VLOOKUP((10^(LOG(H56)-INT(LOG(H56)))*100),E_48s:E_48f,1)&lt;VLOOKUP((10^(LOG(H56)-INT(LOG(H56)))*100),E_48s:E_48f,2)-(10^(LOG(H56)-INT(LOG(H56)))*100),VLOOKUP((10^(LOG(H56)-INT(LOG(H56)))*100),E_48s:E_48f,1),VLOOKUP((10^(LOG(H56)-INT(LOG(H56)))*100),E_48s:E_48f,2)))*10^INT(LOG(H56))/100</f>
        <v>46.4</v>
      </c>
      <c r="I57" s="301" t="s">
        <v>127</v>
      </c>
    </row>
    <row r="58" customFormat="false" ht="13.8" hidden="false" customHeight="false" outlineLevel="0" collapsed="false">
      <c r="A58" s="309" t="n">
        <v>536</v>
      </c>
      <c r="B58" s="309" t="n">
        <v>562</v>
      </c>
    </row>
    <row r="59" customFormat="false" ht="15.65" hidden="false" customHeight="false" outlineLevel="0" collapsed="false">
      <c r="A59" s="309" t="n">
        <v>562</v>
      </c>
      <c r="B59" s="309" t="n">
        <v>590</v>
      </c>
      <c r="G59" s="312" t="s">
        <v>744</v>
      </c>
      <c r="H59" s="301" t="n">
        <f aca="false">R_vs1*kOhms*Vovp_nom/(Nas*(Vout_ovp-Vf-(DCR_Lout*mOhms*Iocc))-Vovp_nom)/kOhms</f>
        <v>20.5255439355692</v>
      </c>
      <c r="I59" s="301" t="s">
        <v>127</v>
      </c>
    </row>
    <row r="60" customFormat="false" ht="13.85" hidden="false" customHeight="false" outlineLevel="0" collapsed="false">
      <c r="A60" s="309" t="n">
        <v>590</v>
      </c>
      <c r="B60" s="309" t="n">
        <v>619</v>
      </c>
      <c r="H60" s="301" t="n">
        <f aca="false">(IF((10^(LOG(H59)-INT(LOG(H59)))*100)-VLOOKUP((10^(LOG(H59)-INT(LOG(H59)))*100),E_48s:E_48f,1)&lt;VLOOKUP((10^(LOG(H59)-INT(LOG(H59)))*100),E_48s:E_48f,2)-(10^(LOG(H59)-INT(LOG(H59)))*100),VLOOKUP((10^(LOG(H59)-INT(LOG(H59)))*100),E_48s:E_48f,1),VLOOKUP((10^(LOG(H59)-INT(LOG(H59)))*100),E_48s:E_48f,2)))*10^INT(LOG(H59))/100</f>
        <v>20.5</v>
      </c>
      <c r="I60" s="301" t="s">
        <v>127</v>
      </c>
    </row>
    <row r="61" customFormat="false" ht="13.8" hidden="false" customHeight="false" outlineLevel="0" collapsed="false">
      <c r="A61" s="309" t="n">
        <v>619</v>
      </c>
      <c r="B61" s="309" t="n">
        <v>649</v>
      </c>
    </row>
    <row r="62" customFormat="false" ht="15.65" hidden="false" customHeight="false" outlineLevel="0" collapsed="false">
      <c r="A62" s="309" t="n">
        <v>649</v>
      </c>
      <c r="B62" s="309" t="n">
        <v>681</v>
      </c>
      <c r="G62" s="312" t="s">
        <v>745</v>
      </c>
      <c r="H62" s="301" t="n">
        <f aca="false">((Klc*R_vs1*kOhms*Rcs*tdelay*ns*Npa)/(Lp*uH))/kOhms</f>
        <v>5.35736842105263</v>
      </c>
      <c r="I62" s="301" t="s">
        <v>127</v>
      </c>
    </row>
    <row r="63" customFormat="false" ht="13.85" hidden="false" customHeight="false" outlineLevel="0" collapsed="false">
      <c r="A63" s="309" t="n">
        <v>681</v>
      </c>
      <c r="B63" s="309" t="n">
        <v>715</v>
      </c>
      <c r="H63" s="301" t="n">
        <f aca="false">(IF((10^(LOG(H62)-INT(LOG(H62)))*100)-VLOOKUP((10^(LOG(H62)-INT(LOG(H62)))*100),E_48s:E_48f,1)&lt;VLOOKUP((10^(LOG(H62)-INT(LOG(H62)))*100),E_48s:E_48f,2)-(10^(LOG(H62)-INT(LOG(H62)))*100),VLOOKUP((10^(LOG(H62)-INT(LOG(H62)))*100),E_48s:E_48f,1),VLOOKUP((10^(LOG(H62)-INT(LOG(H62)))*100),E_48s:E_48f,2)))*10^INT(LOG(H62))/100</f>
        <v>5.36</v>
      </c>
      <c r="I63" s="301" t="s">
        <v>127</v>
      </c>
    </row>
    <row r="64" customFormat="false" ht="13.8" hidden="false" customHeight="false" outlineLevel="0" collapsed="false">
      <c r="A64" s="309" t="n">
        <v>715</v>
      </c>
      <c r="B64" s="309" t="n">
        <v>750</v>
      </c>
    </row>
    <row r="65" customFormat="false" ht="15.65" hidden="false" customHeight="false" outlineLevel="0" collapsed="false">
      <c r="A65" s="309" t="n">
        <v>750</v>
      </c>
      <c r="B65" s="309" t="n">
        <v>787</v>
      </c>
      <c r="G65" s="312" t="s">
        <v>746</v>
      </c>
      <c r="H65" s="301" t="n">
        <f aca="false">Vref431/((Iref431*uA*15)-Iref431*uA)/kOhms</f>
        <v>44.6428571428572</v>
      </c>
      <c r="I65" s="301" t="s">
        <v>127</v>
      </c>
    </row>
    <row r="66" customFormat="false" ht="13.85" hidden="false" customHeight="false" outlineLevel="0" collapsed="false">
      <c r="A66" s="309" t="n">
        <v>787</v>
      </c>
      <c r="B66" s="309" t="n">
        <v>825</v>
      </c>
      <c r="H66" s="301" t="n">
        <f aca="false">(IF((10^(LOG(H65)-INT(LOG(H65)))*100)-VLOOKUP((10^(LOG(H65)-INT(LOG(H65)))*100),E_48s:E_48f,1)&lt;VLOOKUP((10^(LOG(H65)-INT(LOG(H65)))*100),E_48s:E_48f,2)-(10^(LOG(H65)-INT(LOG(H65)))*100),VLOOKUP((10^(LOG(H65)-INT(LOG(H65)))*100),E_48s:E_48f,1),VLOOKUP((10^(LOG(H65)-INT(LOG(H65)))*100),E_48s:E_48f,2)))*10^INT(LOG(H65))/100</f>
        <v>44.2</v>
      </c>
      <c r="I66" s="301" t="s">
        <v>127</v>
      </c>
    </row>
    <row r="67" customFormat="false" ht="13.8" hidden="false" customHeight="false" outlineLevel="0" collapsed="false">
      <c r="A67" s="309" t="n">
        <v>825</v>
      </c>
      <c r="B67" s="309" t="n">
        <v>866</v>
      </c>
    </row>
    <row r="68" customFormat="false" ht="15.65" hidden="false" customHeight="false" outlineLevel="0" collapsed="false">
      <c r="A68" s="309" t="n">
        <v>866</v>
      </c>
      <c r="B68" s="309" t="n">
        <v>909</v>
      </c>
      <c r="G68" s="312" t="s">
        <v>747</v>
      </c>
      <c r="H68" s="301" t="n">
        <f aca="false">(Vout_cv-Vref431)/(Vref431/(R_fb2*kOhms))/kOhms</f>
        <v>751.4</v>
      </c>
      <c r="I68" s="301" t="s">
        <v>127</v>
      </c>
    </row>
    <row r="69" customFormat="false" ht="13.85" hidden="false" customHeight="false" outlineLevel="0" collapsed="false">
      <c r="A69" s="309" t="n">
        <v>909</v>
      </c>
      <c r="B69" s="309" t="n">
        <v>953</v>
      </c>
      <c r="H69" s="301" t="n">
        <f aca="false">(IF((10^(LOG(H68)-INT(LOG(H68)))*100)-VLOOKUP((10^(LOG(H68)-INT(LOG(H68)))*100),E_48s:E_48f,1)&lt;VLOOKUP((10^(LOG(H68)-INT(LOG(H68)))*100),E_48s:E_48f,2)-(10^(LOG(H68)-INT(LOG(H68)))*100),VLOOKUP((10^(LOG(H68)-INT(LOG(H68)))*100),E_48s:E_48f,1),VLOOKUP((10^(LOG(H68)-INT(LOG(H68)))*100),E_48s:E_48f,2)))*10^INT(LOG(H68))/100</f>
        <v>750</v>
      </c>
      <c r="I69" s="301" t="s">
        <v>127</v>
      </c>
    </row>
    <row r="70" customFormat="false" ht="13.8" hidden="false" customHeight="false" outlineLevel="0" collapsed="false">
      <c r="A70" s="309" t="n">
        <v>953</v>
      </c>
      <c r="B70" s="309" t="n">
        <v>1000</v>
      </c>
    </row>
    <row r="75" customFormat="false" ht="13.8" hidden="false" customHeight="false" outlineLevel="0" collapsed="false">
      <c r="A75" s="301" t="s">
        <v>748</v>
      </c>
    </row>
    <row r="76" customFormat="false" ht="13.8" hidden="false" customHeight="false" outlineLevel="0" collapsed="false">
      <c r="D76" s="306" t="s">
        <v>749</v>
      </c>
      <c r="E76" s="306"/>
      <c r="F76" s="306"/>
      <c r="G76" s="301" t="s">
        <v>750</v>
      </c>
      <c r="J76" s="301" t="s">
        <v>751</v>
      </c>
    </row>
    <row r="77" customFormat="false" ht="15" hidden="false" customHeight="true" outlineLevel="0" collapsed="false">
      <c r="A77" s="313" t="s">
        <v>752</v>
      </c>
      <c r="B77" s="301" t="s">
        <v>753</v>
      </c>
      <c r="C77" s="314" t="s">
        <v>754</v>
      </c>
      <c r="D77" s="301" t="s">
        <v>755</v>
      </c>
      <c r="G77" s="301" t="s">
        <v>755</v>
      </c>
      <c r="J77" s="301" t="s">
        <v>755</v>
      </c>
    </row>
    <row r="78" customFormat="false" ht="13.8" hidden="false" customHeight="false" outlineLevel="0" collapsed="false">
      <c r="A78" s="313"/>
      <c r="B78" s="301" t="s">
        <v>18</v>
      </c>
      <c r="C78" s="301" t="s">
        <v>756</v>
      </c>
      <c r="E78" s="301" t="s">
        <v>757</v>
      </c>
      <c r="F78" s="301" t="s">
        <v>758</v>
      </c>
      <c r="H78" s="301" t="s">
        <v>757</v>
      </c>
      <c r="I78" s="301" t="s">
        <v>758</v>
      </c>
      <c r="K78" s="301" t="s">
        <v>757</v>
      </c>
      <c r="L78" s="301" t="s">
        <v>758</v>
      </c>
      <c r="U78" s="301" t="s">
        <v>759</v>
      </c>
      <c r="W78" s="301" t="n">
        <f aca="false">VLOOKUP(75,R79:S109,2,0)</f>
        <v>501.187233627272</v>
      </c>
    </row>
    <row r="79" customFormat="false" ht="13.8" hidden="false" customHeight="false" outlineLevel="0" collapsed="false">
      <c r="A79" s="315" t="n">
        <v>1</v>
      </c>
      <c r="B79" s="301" t="n">
        <f aca="false">10^A79</f>
        <v>10</v>
      </c>
      <c r="C79" s="301" t="n">
        <f aca="false">2*PI()*B79</f>
        <v>62.8318530717959</v>
      </c>
      <c r="D79" s="301" t="str">
        <f aca="false">IMDIV(((CTRmin/100)*0.1),COMPLEX(1,'LOOKUP TABLES AND DROPDOWN LIST'!C79*((Copto*nF)+(Cext*uF))*((R_fb4*kOhms*Requ*kOhms)/((R_fb4*kOhms)+(Requ*kOhms)))))</f>
        <v>0.0499984344141658-0.000279779986152392i</v>
      </c>
      <c r="E79" s="301" t="n">
        <f aca="false">20*LOG(IMABS(D79))</f>
        <v>-26.0207359004664</v>
      </c>
      <c r="F79" s="301" t="n">
        <f aca="false">180/PI()*IMARGUMENT(D79)</f>
        <v>-0.320610940588768</v>
      </c>
      <c r="G79" s="301" t="str">
        <f aca="false">IMDIV((Vout_cv/(2*Iocc)),COMPLEX(1,'LOOKUP TABLES AND DROPDOWN LIST'!C79*(Cout*uF)*(Vout_cv/(2*Iocc))))</f>
        <v>29.3192499403517-15.1045362314805i</v>
      </c>
      <c r="H79" s="301" t="n">
        <f aca="false">20*LOG(IMABS(G79))</f>
        <v>30.3653525322639</v>
      </c>
      <c r="I79" s="301" t="n">
        <f aca="false">180/PI()*IMARGUMENT(G79)</f>
        <v>-27.2563788409122</v>
      </c>
      <c r="J79" s="301" t="str">
        <f aca="false">IMPRODUCT((1/(R_tl*kOhms)),G_fb1,(G_fb2*kOhms),(K_fm4*kHz),(G_p4*uC),'LOOKUP TABLES AND DROPDOWN LIST'!D79,'LOOKUP TABLES AND DROPDOWN LIST'!G79)</f>
        <v>-7.22314652491054+3.77247685743978i</v>
      </c>
      <c r="K79" s="301" t="n">
        <f aca="false">20*LOG(IMABS(J79))</f>
        <v>18.2220357599875</v>
      </c>
      <c r="L79" s="301" t="n">
        <f aca="false">180/PI()*IMARGUMENT(J79)</f>
        <v>152.423010218499</v>
      </c>
      <c r="R79" s="301" t="n">
        <f aca="false">MROUND(L109,5)</f>
        <v>10</v>
      </c>
      <c r="S79" s="301" t="n">
        <f aca="false">B109</f>
        <v>10000</v>
      </c>
    </row>
    <row r="80" customFormat="false" ht="13.8" hidden="false" customHeight="false" outlineLevel="0" collapsed="false">
      <c r="A80" s="315" t="n">
        <v>1.1</v>
      </c>
      <c r="B80" s="301" t="n">
        <f aca="false">10^A80</f>
        <v>12.5892541179417</v>
      </c>
      <c r="C80" s="301" t="n">
        <f aca="false">2*PI()*B80</f>
        <v>79.1006165022012</v>
      </c>
      <c r="D80" s="301" t="str">
        <f aca="false">IMDIV(((CTRmin/100)*0.1),COMPLEX(1,'LOOKUP TABLES AND DROPDOWN LIST'!C80*((Copto*nF)+(Cext*uF))*((R_fb4*kOhms*Requ*kOhms)/((R_fb4*kOhms)+(Requ*kOhms)))))</f>
        <v>0.0499975187591106-0.000352215683797134i</v>
      </c>
      <c r="E80" s="301" t="n">
        <f aca="false">20*LOG(IMABS(D80))</f>
        <v>-26.0208154364726</v>
      </c>
      <c r="F80" s="301" t="n">
        <f aca="false">180/PI()*IMARGUMENT(D80)</f>
        <v>-0.403622796424721</v>
      </c>
      <c r="G80" s="301" t="str">
        <f aca="false">IMDIV((Vout_cv/(2*Iocc)),COMPLEX(1,'LOOKUP TABLES AND DROPDOWN LIST'!C80*(Cout*uF)*(Vout_cv/(2*Iocc))))</f>
        <v>26.1155273476483-16.937657217455i</v>
      </c>
      <c r="H80" s="301" t="n">
        <f aca="false">20*LOG(IMABS(G80))</f>
        <v>29.8628119736972</v>
      </c>
      <c r="I80" s="301" t="n">
        <f aca="false">180/PI()*IMARGUMENT(G80)</f>
        <v>-32.9660925115546</v>
      </c>
      <c r="J80" s="301" t="str">
        <f aca="false">IMPRODUCT((1/(R_tl*kOhms)),G_fb1,(G_fb2*kOhms),(K_fm4*kHz),(G_p4*uC),'LOOKUP TABLES AND DROPDOWN LIST'!D80,'LOOKUP TABLES AND DROPDOWN LIST'!G80)</f>
        <v>-6.42287395258579+4.23023578516317i</v>
      </c>
      <c r="K80" s="301" t="n">
        <f aca="false">20*LOG(IMABS(J80))</f>
        <v>17.7194156654146</v>
      </c>
      <c r="L80" s="301" t="n">
        <f aca="false">180/PI()*IMARGUMENT(J80)</f>
        <v>146.630284692021</v>
      </c>
      <c r="R80" s="301" t="n">
        <f aca="false">MROUND(L108,5)</f>
        <v>15</v>
      </c>
      <c r="S80" s="301" t="n">
        <f aca="false">B108</f>
        <v>7943.28234724281</v>
      </c>
    </row>
    <row r="81" customFormat="false" ht="13.8" hidden="false" customHeight="false" outlineLevel="0" collapsed="false">
      <c r="A81" s="315" t="n">
        <v>1.2</v>
      </c>
      <c r="B81" s="301" t="n">
        <f aca="false">10^A81</f>
        <v>15.8489319246111</v>
      </c>
      <c r="C81" s="301" t="n">
        <f aca="false">2*PI()*B81</f>
        <v>99.5817762032062</v>
      </c>
      <c r="D81" s="301" t="str">
        <f aca="false">IMDIV(((CTRmin/100)*0.1),COMPLEX(1,'LOOKUP TABLES AND DROPDOWN LIST'!C81*((Copto*nF)+(Cext*uF))*((R_fb4*kOhms*Requ*kOhms)/((R_fb4*kOhms)+(Requ*kOhms)))))</f>
        <v>0.049996067612344-0.000443400404971212i</v>
      </c>
      <c r="E81" s="301" t="n">
        <f aca="false">20*LOG(IMABS(D81))</f>
        <v>-26.0209414895638</v>
      </c>
      <c r="F81" s="301" t="n">
        <f aca="false">180/PI()*IMARGUMENT(D81)</f>
        <v>-0.50812607904714</v>
      </c>
      <c r="G81" s="301" t="str">
        <f aca="false">IMDIV((Vout_cv/(2*Iocc)),COMPLEX(1,'LOOKUP TABLES AND DROPDOWN LIST'!C81*(Cout*uF)*(Vout_cv/(2*Iocc))))</f>
        <v>22.2604281221304-18.1755705254905i</v>
      </c>
      <c r="H81" s="301" t="n">
        <f aca="false">20*LOG(IMABS(G81))</f>
        <v>29.1691591007016</v>
      </c>
      <c r="I81" s="301" t="n">
        <f aca="false">180/PI()*IMARGUMENT(G81)</f>
        <v>-39.2315314078534</v>
      </c>
      <c r="J81" s="301" t="str">
        <f aca="false">IMPRODUCT((1/(R_tl*kOhms)),G_fb1,(G_fb2*kOhms),(K_fm4*kHz),(G_p4*uC),'LOOKUP TABLES AND DROPDOWN LIST'!D81,'LOOKUP TABLES AND DROPDOWN LIST'!G81)</f>
        <v>-5.45989172444711+4.53927696551603i</v>
      </c>
      <c r="K81" s="301" t="n">
        <f aca="false">20*LOG(IMABS(J81))</f>
        <v>17.0256367393278</v>
      </c>
      <c r="L81" s="301" t="n">
        <f aca="false">180/PI()*IMARGUMENT(J81)</f>
        <v>140.260342513099</v>
      </c>
      <c r="R81" s="301" t="n">
        <f aca="false">MROUND(L107,5)</f>
        <v>15</v>
      </c>
      <c r="S81" s="301" t="n">
        <f aca="false">B107</f>
        <v>6309.57344480193</v>
      </c>
      <c r="W81" s="301" t="n">
        <f aca="false">(1/((2*PI()*'LOOKUP TABLES AND DROPDOWN LIST'!W78*R_fb1*kOhms)))/pF</f>
        <v>423.396523015754</v>
      </c>
      <c r="X81" s="301" t="s">
        <v>82</v>
      </c>
    </row>
    <row r="82" customFormat="false" ht="13.8" hidden="false" customHeight="false" outlineLevel="0" collapsed="false">
      <c r="A82" s="315" t="n">
        <v>1.3</v>
      </c>
      <c r="B82" s="301" t="n">
        <f aca="false">10^A82</f>
        <v>19.9526231496888</v>
      </c>
      <c r="C82" s="301" t="n">
        <f aca="false">2*PI()*B82</f>
        <v>125.366028613816</v>
      </c>
      <c r="D82" s="301" t="str">
        <f aca="false">IMDIV(((CTRmin/100)*0.1),COMPLEX(1,'LOOKUP TABLES AND DROPDOWN LIST'!C82*((Copto*nF)+(Cext*uF))*((R_fb4*kOhms*Requ*kOhms)/((R_fb4*kOhms)+(Requ*kOhms)))))</f>
        <v>0.0499937678722551-0.000558182360730637i</v>
      </c>
      <c r="E82" s="301" t="n">
        <f aca="false">20*LOG(IMABS(D82))</f>
        <v>-26.0211412627559</v>
      </c>
      <c r="F82" s="301" t="n">
        <f aca="false">180/PI()*IMARGUMENT(D82)</f>
        <v>-0.639683024738021</v>
      </c>
      <c r="G82" s="301" t="str">
        <f aca="false">IMDIV((Vout_cv/(2*Iocc)),COMPLEX(1,'LOOKUP TABLES AND DROPDOWN LIST'!C82*(Cout*uF)*(Vout_cv/(2*Iocc))))</f>
        <v>18.0398678027182-18.5433369607213i</v>
      </c>
      <c r="H82" s="301" t="n">
        <f aca="false">20*LOG(IMABS(G82))</f>
        <v>28.2561574813324</v>
      </c>
      <c r="I82" s="301" t="n">
        <f aca="false">180/PI()*IMARGUMENT(G82)</f>
        <v>-45.7884721162851</v>
      </c>
      <c r="J82" s="301" t="str">
        <f aca="false">IMPRODUCT((1/(R_tl*kOhms)),G_fb1,(G_fb2*kOhms),(K_fm4*kHz),(G_p4*uC),'LOOKUP TABLES AND DROPDOWN LIST'!D82,'LOOKUP TABLES AND DROPDOWN LIST'!G82)</f>
        <v>-4.40562079026319+4.63091215600924i</v>
      </c>
      <c r="K82" s="301" t="n">
        <f aca="false">20*LOG(IMABS(J82))</f>
        <v>16.1124353467665</v>
      </c>
      <c r="L82" s="301" t="n">
        <f aca="false">180/PI()*IMARGUMENT(J82)</f>
        <v>133.571844858977</v>
      </c>
      <c r="R82" s="301" t="n">
        <f aca="false">MROUND(L106,5)</f>
        <v>20</v>
      </c>
      <c r="S82" s="301" t="n">
        <f aca="false">B106</f>
        <v>5011.87233627272</v>
      </c>
      <c r="W82" s="301" t="n">
        <f aca="false">(IF(W81&lt;10000,W83*10^INT(LOG(W81)),W84*10^INT(LOG(W81))))</f>
        <v>390</v>
      </c>
      <c r="X82" s="301" t="s">
        <v>82</v>
      </c>
    </row>
    <row r="83" customFormat="false" ht="13.8" hidden="false" customHeight="false" outlineLevel="0" collapsed="false">
      <c r="A83" s="315" t="n">
        <v>1.4</v>
      </c>
      <c r="B83" s="301" t="n">
        <f aca="false">10^A83</f>
        <v>25.1188643150958</v>
      </c>
      <c r="C83" s="301" t="n">
        <f aca="false">2*PI()*B83</f>
        <v>157.826479197648</v>
      </c>
      <c r="D83" s="301" t="str">
        <f aca="false">IMDIV(((CTRmin/100)*0.1),COMPLEX(1,'LOOKUP TABLES AND DROPDOWN LIST'!C83*((Copto*nF)+(Cext*uF))*((R_fb4*kOhms*Requ*kOhms)/((R_fb4*kOhms)+(Requ*kOhms)))))</f>
        <v>0.0499901234631875-0.000702658732703287i</v>
      </c>
      <c r="E83" s="301" t="n">
        <f aca="false">20*LOG(IMABS(D83))</f>
        <v>-26.0214578631057</v>
      </c>
      <c r="F83" s="301" t="n">
        <f aca="false">180/PI()*IMARGUMENT(D83)</f>
        <v>-0.805293646062553</v>
      </c>
      <c r="G83" s="301" t="str">
        <f aca="false">IMDIV((Vout_cv/(2*Iocc)),COMPLEX(1,'LOOKUP TABLES AND DROPDOWN LIST'!C83*(Cout*uF)*(Vout_cv/(2*Iocc))))</f>
        <v>13.871544337244-17.950615886551i</v>
      </c>
      <c r="H83" s="301" t="n">
        <f aca="false">20*LOG(IMABS(G83))</f>
        <v>27.1150721179267</v>
      </c>
      <c r="I83" s="301" t="n">
        <f aca="false">180/PI()*IMARGUMENT(G83)</f>
        <v>-52.3045327014135</v>
      </c>
      <c r="J83" s="301" t="str">
        <f aca="false">IMPRODUCT((1/(R_tl*kOhms)),G_fb1,(G_fb2*kOhms),(K_fm4*kHz),(G_p4*uC),'LOOKUP TABLES AND DROPDOWN LIST'!D83,'LOOKUP TABLES AND DROPDOWN LIST'!G83)</f>
        <v>-3.36440107684481+4.48256242708233i</v>
      </c>
      <c r="K83" s="301" t="n">
        <f aca="false">20*LOG(IMABS(J83))</f>
        <v>14.971033383011</v>
      </c>
      <c r="L83" s="301" t="n">
        <f aca="false">180/PI()*IMARGUMENT(J83)</f>
        <v>126.890173652524</v>
      </c>
      <c r="R83" s="301" t="n">
        <f aca="false">MROUND(L105,5)</f>
        <v>25</v>
      </c>
      <c r="S83" s="301" t="n">
        <v>3981.07170553498</v>
      </c>
      <c r="W83" s="301" t="n">
        <f aca="false">IF((10^(LOG(W81)-INT(LOG(W81))))-VLOOKUP((10^(LOG(W81)-INT(LOG(W81)))),C_s1:C_f1,1)&lt;VLOOKUP((10^(LOG(W81)-INT(LOG(W81)))),C_s1:C_f1,2)-(10^(LOG(W81)-INT(LOG(W81)))),VLOOKUP((10^(LOG(W81)-INT(LOG(W81)))),C_s1:C_f1,1),VLOOKUP((10^(LOG(W81)-INT(LOG(W81)))),C_s1:C_f1,2))</f>
        <v>3.9</v>
      </c>
    </row>
    <row r="84" customFormat="false" ht="13.8" hidden="false" customHeight="false" outlineLevel="0" collapsed="false">
      <c r="A84" s="315" t="n">
        <v>1.5</v>
      </c>
      <c r="B84" s="301" t="n">
        <f aca="false">10^A84</f>
        <v>31.6227766016838</v>
      </c>
      <c r="C84" s="301" t="n">
        <f aca="false">2*PI()*B84</f>
        <v>198.691765315922</v>
      </c>
      <c r="D84" s="301" t="str">
        <f aca="false">IMDIV(((CTRmin/100)*0.1),COMPLEX(1,'LOOKUP TABLES AND DROPDOWN LIST'!C84*((Copto*nF)+(Cext*uF))*((R_fb4*kOhms*Requ*kOhms)/((R_fb4*kOhms)+(Requ*kOhms)))))</f>
        <v>0.0499843485523212-0.000884492745095732i</v>
      </c>
      <c r="E84" s="301" t="n">
        <f aca="false">20*LOG(IMABS(D84))</f>
        <v>-26.0219595935725</v>
      </c>
      <c r="F84" s="301" t="n">
        <f aca="false">180/PI()*IMARGUMENT(D84)</f>
        <v>-1.01376559356497</v>
      </c>
      <c r="G84" s="301" t="str">
        <f aca="false">IMDIV((Vout_cv/(2*Iocc)),COMPLEX(1,'LOOKUP TABLES AND DROPDOWN LIST'!C84*(Cout*uF)*(Vout_cv/(2*Iocc))))</f>
        <v>10.1533165700356-16.5410268553159i</v>
      </c>
      <c r="H84" s="301" t="n">
        <f aca="false">20*LOG(IMABS(G84))</f>
        <v>25.7599032470624</v>
      </c>
      <c r="I84" s="301" t="n">
        <f aca="false">180/PI()*IMARGUMENT(G84)</f>
        <v>-58.4573049590929</v>
      </c>
      <c r="J84" s="301" t="str">
        <f aca="false">IMPRODUCT((1/(R_tl*kOhms)),G_fb1,(G_fb2*kOhms),(K_fm4*kHz),(G_p4*uC),'LOOKUP TABLES AND DROPDOWN LIST'!D84,'LOOKUP TABLES AND DROPDOWN LIST'!G84)</f>
        <v>-2.43561738221577+4.13008782046084i</v>
      </c>
      <c r="K84" s="301" t="n">
        <f aca="false">20*LOG(IMABS(J84))</f>
        <v>13.6153627816799</v>
      </c>
      <c r="L84" s="301" t="n">
        <f aca="false">180/PI()*IMARGUMENT(J84)</f>
        <v>120.528929447342</v>
      </c>
      <c r="R84" s="301" t="n">
        <f aca="false">MROUND(L104,5)</f>
        <v>30</v>
      </c>
      <c r="S84" s="301" t="n">
        <f aca="false">B104</f>
        <v>3162.27766016838</v>
      </c>
      <c r="W84" s="301" t="n">
        <f aca="false">IF((10^(LOG(W81)-INT(LOG(W81))))-VLOOKUP((10^(LOG(W81)-INT(LOG(W81)))),C_s2:C_f2,1)&lt;VLOOKUP((10^(LOG(W81)-INT(LOG(W81)))),C_s2:C_f2,2)-(10^(LOG(W81)-INT(LOG(W81)))),VLOOKUP((10^(LOG(W81)-INT(LOG(W81)))),C_s2:C_f2,1),VLOOKUP((10^(LOG(W81)-INT(LOG(W81)))),C_s2:C_f2,2))</f>
        <v>4.7</v>
      </c>
    </row>
    <row r="85" customFormat="false" ht="13.8" hidden="false" customHeight="false" outlineLevel="0" collapsed="false">
      <c r="A85" s="315" t="n">
        <v>1.6</v>
      </c>
      <c r="B85" s="301" t="n">
        <f aca="false">10^A85</f>
        <v>39.8107170553497</v>
      </c>
      <c r="C85" s="301" t="n">
        <f aca="false">2*PI()*B85</f>
        <v>250.138112470457</v>
      </c>
      <c r="D85" s="301" t="str">
        <f aca="false">IMDIV(((CTRmin/100)*0.1),COMPLEX(1,'LOOKUP TABLES AND DROPDOWN LIST'!C85*((Copto*nF)+(Cext*uF))*((R_fb4*kOhms*Requ*kOhms)/((R_fb4*kOhms)+(Requ*kOhms)))))</f>
        <v>0.0499751986679604-0.0011133065597161i</v>
      </c>
      <c r="E85" s="301" t="n">
        <f aca="false">20*LOG(IMABS(D85))</f>
        <v>-26.0227546640604</v>
      </c>
      <c r="F85" s="301" t="n">
        <f aca="false">180/PI()*IMARGUMENT(D85)</f>
        <v>-1.27617738342351</v>
      </c>
      <c r="G85" s="301" t="str">
        <f aca="false">IMDIV((Vout_cv/(2*Iocc)),COMPLEX(1,'LOOKUP TABLES AND DROPDOWN LIST'!C85*(Cout*uF)*(Vout_cv/(2*Iocc))))</f>
        <v>7.12600413173503-14.6150602251334i</v>
      </c>
      <c r="H85" s="301" t="n">
        <f aca="false">20*LOG(IMABS(G85))</f>
        <v>24.2222846727659</v>
      </c>
      <c r="I85" s="301" t="n">
        <f aca="false">180/PI()*IMARGUMENT(G85)</f>
        <v>-64.007084989547</v>
      </c>
      <c r="J85" s="301" t="str">
        <f aca="false">IMPRODUCT((1/(R_tl*kOhms)),G_fb1,(G_fb2*kOhms),(K_fm4*kHz),(G_p4*uC),'LOOKUP TABLES AND DROPDOWN LIST'!D85,'LOOKUP TABLES AND DROPDOWN LIST'!G85)</f>
        <v>-1.67942779136552+3.64853000291699i</v>
      </c>
      <c r="K85" s="301" t="n">
        <f aca="false">20*LOG(IMABS(J85))</f>
        <v>12.0769491368955</v>
      </c>
      <c r="L85" s="301" t="n">
        <f aca="false">180/PI()*IMARGUMENT(J85)</f>
        <v>114.71673762703</v>
      </c>
      <c r="R85" s="301" t="n">
        <f aca="false">MROUND(L103,5)</f>
        <v>35</v>
      </c>
      <c r="S85" s="301" t="n">
        <f aca="false">B103</f>
        <v>2511.88643150958</v>
      </c>
    </row>
    <row r="86" customFormat="false" ht="13.8" hidden="false" customHeight="false" outlineLevel="0" collapsed="false">
      <c r="A86" s="315" t="n">
        <v>1.7</v>
      </c>
      <c r="B86" s="301" t="n">
        <f aca="false">10^A86</f>
        <v>50.1187233627273</v>
      </c>
      <c r="C86" s="301" t="n">
        <f aca="false">2*PI()*B86</f>
        <v>314.905226247286</v>
      </c>
      <c r="D86" s="301" t="str">
        <f aca="false">IMDIV(((CTRmin/100)*0.1),COMPLEX(1,'LOOKUP TABLES AND DROPDOWN LIST'!C86*((Copto*nF)+(Cext*uF))*((R_fb4*kOhms*Requ*kOhms)/((R_fb4*kOhms)+(Requ*kOhms)))))</f>
        <v>0.0499607039383623-0.00140116340996454i</v>
      </c>
      <c r="E86" s="301" t="n">
        <f aca="false">20*LOG(IMABS(D86))</f>
        <v>-26.0240144677868</v>
      </c>
      <c r="F86" s="301" t="n">
        <f aca="false">180/PI()*IMARGUMENT(D86)</f>
        <v>-1.60645678321388</v>
      </c>
      <c r="G86" s="301" t="str">
        <f aca="false">IMDIV((Vout_cv/(2*Iocc)),COMPLEX(1,'LOOKUP TABLES AND DROPDOWN LIST'!C86*(Cout*uF)*(Vout_cv/(2*Iocc))))</f>
        <v>4.83922173606574-12.4948216578076i</v>
      </c>
      <c r="H86" s="301" t="n">
        <f aca="false">20*LOG(IMABS(G86))</f>
        <v>22.5415791965311</v>
      </c>
      <c r="I86" s="301" t="n">
        <f aca="false">180/PI()*IMARGUMENT(G86)</f>
        <v>-68.8287047837966</v>
      </c>
      <c r="J86" s="301" t="str">
        <f aca="false">IMPRODUCT((1/(R_tl*kOhms)),G_fb1,(G_fb2*kOhms),(K_fm4*kHz),(G_p4*uC),'LOOKUP TABLES AND DROPDOWN LIST'!D86,'LOOKUP TABLES AND DROPDOWN LIST'!G86)</f>
        <v>-1.10822978581261+3.11832512505102i</v>
      </c>
      <c r="K86" s="301" t="n">
        <f aca="false">20*LOG(IMABS(J86))</f>
        <v>10.3949838569343</v>
      </c>
      <c r="L86" s="301" t="n">
        <f aca="false">180/PI()*IMARGUMENT(J86)</f>
        <v>109.56483843299</v>
      </c>
      <c r="R86" s="301" t="n">
        <f aca="false">MROUND(L102,5)</f>
        <v>40</v>
      </c>
      <c r="S86" s="301" t="n">
        <f aca="false">B102</f>
        <v>1995.26231496888</v>
      </c>
    </row>
    <row r="87" customFormat="false" ht="13.8" hidden="false" customHeight="false" outlineLevel="0" collapsed="false">
      <c r="A87" s="315" t="n">
        <v>1.8</v>
      </c>
      <c r="B87" s="301" t="n">
        <f aca="false">10^A87</f>
        <v>63.0957344480193</v>
      </c>
      <c r="C87" s="301" t="n">
        <f aca="false">2*PI()*B87</f>
        <v>396.4421916295</v>
      </c>
      <c r="D87" s="301" t="str">
        <f aca="false">IMDIV(((CTRmin/100)*0.1),COMPLEX(1,'LOOKUP TABLES AND DROPDOWN LIST'!C87*((Copto*nF)+(Cext*uF))*((R_fb4*kOhms*Requ*kOhms)/((R_fb4*kOhms)+(Requ*kOhms)))))</f>
        <v>0.0499377485551628-0.00176314973824614i</v>
      </c>
      <c r="E87" s="301" t="n">
        <f aca="false">20*LOG(IMABS(D87))</f>
        <v>-26.0260103738655</v>
      </c>
      <c r="F87" s="301" t="n">
        <f aca="false">180/PI()*IMARGUMENT(D87)</f>
        <v>-2.0220994332895</v>
      </c>
      <c r="G87" s="301" t="str">
        <f aca="false">IMDIV((Vout_cv/(2*Iocc)),COMPLEX(1,'LOOKUP TABLES AND DROPDOWN LIST'!C87*(Cout*uF)*(Vout_cv/(2*Iocc))))</f>
        <v>3.20775067316648-10.4268984600333i</v>
      </c>
      <c r="H87" s="301" t="n">
        <f aca="false">20*LOG(IMABS(G87))</f>
        <v>20.7558300224076</v>
      </c>
      <c r="I87" s="301" t="n">
        <f aca="false">180/PI()*IMARGUMENT(G87)</f>
        <v>-72.8999103350887</v>
      </c>
      <c r="J87" s="301" t="str">
        <f aca="false">IMPRODUCT((1/(R_tl*kOhms)),G_fb1,(G_fb2*kOhms),(K_fm4*kHz),(G_p4*uC),'LOOKUP TABLES AND DROPDOWN LIST'!D87,'LOOKUP TABLES AND DROPDOWN LIST'!G87)</f>
        <v>-0.700742416774484+2.60103913090056i</v>
      </c>
      <c r="K87" s="301" t="n">
        <f aca="false">20*LOG(IMABS(J87))</f>
        <v>8.60723877673216</v>
      </c>
      <c r="L87" s="301" t="n">
        <f aca="false">180/PI()*IMARGUMENT(J87)</f>
        <v>105.077990231622</v>
      </c>
      <c r="R87" s="301" t="n">
        <f aca="false">MROUND(L101,5)</f>
        <v>50</v>
      </c>
      <c r="S87" s="301" t="n">
        <f aca="false">B101</f>
        <v>1584.89319246111</v>
      </c>
    </row>
    <row r="88" customFormat="false" ht="13.8" hidden="false" customHeight="false" outlineLevel="0" collapsed="false">
      <c r="A88" s="315" t="n">
        <v>1.9</v>
      </c>
      <c r="B88" s="301" t="n">
        <f aca="false">10^A88</f>
        <v>79.4328234724281</v>
      </c>
      <c r="C88" s="301" t="n">
        <f aca="false">2*PI()*B88</f>
        <v>499.09114934975</v>
      </c>
      <c r="D88" s="301" t="str">
        <f aca="false">IMDIV(((CTRmin/100)*0.1),COMPLEX(1,'LOOKUP TABLES AND DROPDOWN LIST'!C88*((Copto*nF)+(Cext*uF))*((R_fb4*kOhms*Requ*kOhms)/((R_fb4*kOhms)+(Requ*kOhms)))))</f>
        <v>0.0499014099030452-0.00221805880005943i</v>
      </c>
      <c r="E88" s="301" t="n">
        <f aca="false">20*LOG(IMABS(D88))</f>
        <v>-26.0291717941008</v>
      </c>
      <c r="F88" s="301" t="n">
        <f aca="false">180/PI()*IMARGUMENT(D88)</f>
        <v>-2.54505460190303</v>
      </c>
      <c r="G88" s="301" t="str">
        <f aca="false">IMDIV((Vout_cv/(2*Iocc)),COMPLEX(1,'LOOKUP TABLES AND DROPDOWN LIST'!C88*(Cout*uF)*(Vout_cv/(2*Iocc))))</f>
        <v>2.09066194924197-8.55536129251377i</v>
      </c>
      <c r="H88" s="301" t="n">
        <f aca="false">20*LOG(IMABS(G88))</f>
        <v>18.8966621245715</v>
      </c>
      <c r="I88" s="301" t="n">
        <f aca="false">180/PI()*IMARGUMENT(G88)</f>
        <v>-76.2678304942323</v>
      </c>
      <c r="J88" s="301" t="str">
        <f aca="false">IMPRODUCT((1/(R_tl*kOhms)),G_fb1,(G_fb2*kOhms),(K_fm4*kHz),(G_p4*uC),'LOOKUP TABLES AND DROPDOWN LIST'!D88,'LOOKUP TABLES AND DROPDOWN LIST'!G88)</f>
        <v>-0.421772213455202+2.13262233911714i</v>
      </c>
      <c r="K88" s="301" t="n">
        <f aca="false">20*LOG(IMABS(J88))</f>
        <v>6.74490945866067</v>
      </c>
      <c r="L88" s="301" t="n">
        <f aca="false">180/PI()*IMARGUMENT(J88)</f>
        <v>101.187114903865</v>
      </c>
      <c r="R88" s="301" t="n">
        <f aca="false">MROUND(L100,5)</f>
        <v>55</v>
      </c>
      <c r="S88" s="301" t="n">
        <f aca="false">B100</f>
        <v>1258.92541179417</v>
      </c>
    </row>
    <row r="89" customFormat="false" ht="13.8" hidden="false" customHeight="false" outlineLevel="0" collapsed="false">
      <c r="A89" s="315" t="n">
        <v>2</v>
      </c>
      <c r="B89" s="301" t="n">
        <f aca="false">10^A89</f>
        <v>100</v>
      </c>
      <c r="C89" s="301" t="n">
        <f aca="false">2*PI()*B89</f>
        <v>628.318530717959</v>
      </c>
      <c r="D89" s="301" t="str">
        <f aca="false">IMDIV(((CTRmin/100)*0.1),COMPLEX(1,'LOOKUP TABLES AND DROPDOWN LIST'!C89*((Copto*nF)+(Cext*uF))*((R_fb4*kOhms*Requ*kOhms)/((R_fb4*kOhms)+(Requ*kOhms)))))</f>
        <v>0.0498439252265189-0.00278915387512719i</v>
      </c>
      <c r="E89" s="301" t="n">
        <f aca="false">20*LOG(IMABS(D89))</f>
        <v>-26.0341775982401</v>
      </c>
      <c r="F89" s="301" t="n">
        <f aca="false">180/PI()*IMARGUMENT(D89)</f>
        <v>-3.20280271002304</v>
      </c>
      <c r="G89" s="301" t="str">
        <f aca="false">IMDIV((Vout_cv/(2*Iocc)),COMPLEX(1,'LOOKUP TABLES AND DROPDOWN LIST'!C89*(Cout*uF)*(Vout_cv/(2*Iocc))))</f>
        <v>1.34713337976962-6.94009054964353i</v>
      </c>
      <c r="H89" s="301" t="n">
        <f aca="false">20*LOG(IMABS(G89))</f>
        <v>16.9879299483151</v>
      </c>
      <c r="I89" s="301" t="n">
        <f aca="false">180/PI()*IMARGUMENT(G89)</f>
        <v>-79.0149848956655</v>
      </c>
      <c r="J89" s="301" t="str">
        <f aca="false">IMPRODUCT((1/(R_tl*kOhms)),G_fb1,(G_fb2*kOhms),(K_fm4*kHz),(G_p4*uC),'LOOKUP TABLES AND DROPDOWN LIST'!D89,'LOOKUP TABLES AND DROPDOWN LIST'!G89)</f>
        <v>-0.23615810346909+1.72798574746471i</v>
      </c>
      <c r="K89" s="301" t="n">
        <f aca="false">20*LOG(IMABS(J89))</f>
        <v>4.83117147826503</v>
      </c>
      <c r="L89" s="301" t="n">
        <f aca="false">180/PI()*IMARGUMENT(J89)</f>
        <v>97.7822123943115</v>
      </c>
      <c r="R89" s="301" t="n">
        <f aca="false">MROUND(L99,5)</f>
        <v>60</v>
      </c>
      <c r="S89" s="301" t="n">
        <f aca="false">B99</f>
        <v>1000</v>
      </c>
    </row>
    <row r="90" customFormat="false" ht="13.8" hidden="false" customHeight="false" outlineLevel="0" collapsed="false">
      <c r="A90" s="315" t="n">
        <v>2.1</v>
      </c>
      <c r="B90" s="301" t="n">
        <f aca="false">10^A90</f>
        <v>125.892541179417</v>
      </c>
      <c r="C90" s="301" t="n">
        <f aca="false">2*PI()*B90</f>
        <v>791.006165022012</v>
      </c>
      <c r="D90" s="301" t="str">
        <f aca="false">IMDIV(((CTRmin/100)*0.1),COMPLEX(1,'LOOKUP TABLES AND DROPDOWN LIST'!C90*((Copto*nF)+(Cext*uF))*((R_fb4*kOhms*Requ*kOhms)/((R_fb4*kOhms)+(Requ*kOhms)))))</f>
        <v>0.049753088949734-0.00350493758097885i</v>
      </c>
      <c r="E90" s="301" t="n">
        <f aca="false">20*LOG(IMABS(D90))</f>
        <v>-26.0420994631733</v>
      </c>
      <c r="F90" s="301" t="n">
        <f aca="false">180/PI()*IMARGUMENT(D90)</f>
        <v>-4.02963753284357</v>
      </c>
      <c r="G90" s="301" t="str">
        <f aca="false">IMDIV((Vout_cv/(2*Iocc)),COMPLEX(1,'LOOKUP TABLES AND DROPDOWN LIST'!C90*(Cout*uF)*(Vout_cv/(2*Iocc))))</f>
        <v>0.861528176682969-5.58758348839132i</v>
      </c>
      <c r="H90" s="301" t="n">
        <f aca="false">20*LOG(IMABS(G90))</f>
        <v>15.0465188327382</v>
      </c>
      <c r="I90" s="301" t="n">
        <f aca="false">180/PI()*IMARGUMENT(G90)</f>
        <v>-81.2348068673093</v>
      </c>
      <c r="J90" s="301" t="str">
        <f aca="false">IMPRODUCT((1/(R_tl*kOhms)),G_fb1,(G_fb2*kOhms),(K_fm4*kHz),(G_p4*uC),'LOOKUP TABLES AND DROPDOWN LIST'!D90,'LOOKUP TABLES AND DROPDOWN LIST'!G90)</f>
        <v>-0.115039149309542+1.38869495584619i</v>
      </c>
      <c r="K90" s="301" t="n">
        <f aca="false">20*LOG(IMABS(J90))</f>
        <v>2.88183849775488</v>
      </c>
      <c r="L90" s="301" t="n">
        <f aca="false">180/PI()*IMARGUMENT(J90)</f>
        <v>94.7355555998471</v>
      </c>
      <c r="R90" s="301" t="n">
        <f aca="false">MROUND(L98,5)</f>
        <v>65</v>
      </c>
      <c r="S90" s="301" t="n">
        <f aca="false">B98</f>
        <v>794.328234724281</v>
      </c>
    </row>
    <row r="91" customFormat="false" ht="13.8" hidden="false" customHeight="false" outlineLevel="0" collapsed="false">
      <c r="A91" s="315" t="n">
        <v>2.2</v>
      </c>
      <c r="B91" s="301" t="n">
        <f aca="false">10^A91</f>
        <v>158.489319246111</v>
      </c>
      <c r="C91" s="301" t="n">
        <f aca="false">2*PI()*B91</f>
        <v>995.817762032062</v>
      </c>
      <c r="D91" s="301" t="str">
        <f aca="false">IMDIV(((CTRmin/100)*0.1),COMPLEX(1,'LOOKUP TABLES AND DROPDOWN LIST'!C91*((Copto*nF)+(Cext*uF))*((R_fb4*kOhms*Requ*kOhms)/((R_fb4*kOhms)+(Requ*kOhms)))))</f>
        <v>0.0496097993861504-0.00439974705789233i</v>
      </c>
      <c r="E91" s="301" t="n">
        <f aca="false">20*LOG(IMABS(D91))</f>
        <v>-26.0546252483953</v>
      </c>
      <c r="F91" s="301" t="n">
        <f aca="false">180/PI()*IMARGUMENT(D91)</f>
        <v>-5.068134140005</v>
      </c>
      <c r="G91" s="301" t="str">
        <f aca="false">IMDIV((Vout_cv/(2*Iocc)),COMPLEX(1,'LOOKUP TABLES AND DROPDOWN LIST'!C91*(Cout*uF)*(Vout_cv/(2*Iocc))))</f>
        <v>0.54828615718981-4.47673946946527i</v>
      </c>
      <c r="H91" s="301" t="n">
        <f aca="false">20*LOG(IMABS(G91))</f>
        <v>13.083896786601</v>
      </c>
      <c r="I91" s="301" t="n">
        <f aca="false">180/PI()*IMARGUMENT(G91)</f>
        <v>-83.0175054027855</v>
      </c>
      <c r="J91" s="301" t="str">
        <f aca="false">IMPRODUCT((1/(R_tl*kOhms)),G_fb1,(G_fb2*kOhms),(K_fm4*kHz),(G_p4*uC),'LOOKUP TABLES AND DROPDOWN LIST'!D91,'LOOKUP TABLES AND DROPDOWN LIST'!G91)</f>
        <v>-0.0370812878029888+1.10940999662385i</v>
      </c>
      <c r="K91" s="301" t="n">
        <f aca="false">20*LOG(IMABS(J91))</f>
        <v>0.90669066639574</v>
      </c>
      <c r="L91" s="301" t="n">
        <f aca="false">180/PI()*IMARGUMENT(J91)</f>
        <v>91.9143604572096</v>
      </c>
      <c r="R91" s="301" t="n">
        <f aca="false">MROUND(L97,5)</f>
        <v>70</v>
      </c>
      <c r="S91" s="301" t="n">
        <f aca="false">B97</f>
        <v>630.957344480193</v>
      </c>
    </row>
    <row r="92" customFormat="false" ht="13.8" hidden="false" customHeight="false" outlineLevel="0" collapsed="false">
      <c r="A92" s="315" t="n">
        <v>2.3</v>
      </c>
      <c r="B92" s="301" t="n">
        <f aca="false">10^A92</f>
        <v>199.526231496888</v>
      </c>
      <c r="C92" s="301" t="n">
        <f aca="false">2*PI()*B92</f>
        <v>1253.66028613816</v>
      </c>
      <c r="D92" s="301" t="str">
        <f aca="false">IMDIV(((CTRmin/100)*0.1),COMPLEX(1,'LOOKUP TABLES AND DROPDOWN LIST'!C92*((Copto*nF)+(Cext*uF))*((R_fb4*kOhms*Requ*kOhms)/((R_fb4*kOhms)+(Requ*kOhms)))))</f>
        <v>0.0493843836924574-0.00551378562686439i</v>
      </c>
      <c r="E92" s="301" t="n">
        <f aca="false">20*LOG(IMABS(D92))</f>
        <v>-26.0744035743655</v>
      </c>
      <c r="F92" s="301" t="n">
        <f aca="false">180/PI()*IMARGUMENT(D92)</f>
        <v>-6.37071144822931</v>
      </c>
      <c r="G92" s="301" t="str">
        <f aca="false">IMDIV((Vout_cv/(2*Iocc)),COMPLEX(1,'LOOKUP TABLES AND DROPDOWN LIST'!C92*(Cout*uF)*(Vout_cv/(2*Iocc))))</f>
        <v>0.347842249613702-3.57550072666846i</v>
      </c>
      <c r="H92" s="301" t="n">
        <f aca="false">20*LOG(IMABS(G92))</f>
        <v>11.107647285977</v>
      </c>
      <c r="I92" s="301" t="n">
        <f aca="false">180/PI()*IMARGUMENT(G92)</f>
        <v>-84.4434711416667</v>
      </c>
      <c r="J92" s="301" t="str">
        <f aca="false">IMPRODUCT((1/(R_tl*kOhms)),G_fb1,(G_fb2*kOhms),(K_fm4*kHz),(G_p4*uC),'LOOKUP TABLES AND DROPDOWN LIST'!D92,'LOOKUP TABLES AND DROPDOWN LIST'!G92)</f>
        <v>0.0125348085388534+0.882042054621101i</v>
      </c>
      <c r="K92" s="301" t="n">
        <f aca="false">20*LOG(IMABS(J92))</f>
        <v>-1.08933716019845</v>
      </c>
      <c r="L92" s="301" t="n">
        <f aca="false">180/PI()*IMARGUMENT(J92)</f>
        <v>89.185817410104</v>
      </c>
      <c r="R92" s="301" t="n">
        <f aca="false">MROUND(L96,5)</f>
        <v>75</v>
      </c>
      <c r="S92" s="301" t="n">
        <f aca="false">B96</f>
        <v>501.187233627272</v>
      </c>
    </row>
    <row r="93" customFormat="false" ht="13.8" hidden="false" customHeight="false" outlineLevel="0" collapsed="false">
      <c r="A93" s="315" t="n">
        <v>2.4</v>
      </c>
      <c r="B93" s="301" t="n">
        <f aca="false">10^A93</f>
        <v>251.188643150958</v>
      </c>
      <c r="C93" s="301" t="n">
        <f aca="false">2*PI()*B93</f>
        <v>1578.26479197648</v>
      </c>
      <c r="D93" s="301" t="str">
        <f aca="false">IMDIV(((CTRmin/100)*0.1),COMPLEX(1,'LOOKUP TABLES AND DROPDOWN LIST'!C93*((Copto*nF)+(Cext*uF))*((R_fb4*kOhms*Requ*kOhms)/((R_fb4*kOhms)+(Requ*kOhms)))))</f>
        <v>0.0490312899693048-0.00689181415965287i</v>
      </c>
      <c r="E93" s="301" t="n">
        <f aca="false">20*LOG(IMABS(D93))</f>
        <v>-26.1055667636883</v>
      </c>
      <c r="F93" s="301" t="n">
        <f aca="false">180/PI()*IMARGUMENT(D93)</f>
        <v>-8.0010493643971</v>
      </c>
      <c r="G93" s="301" t="str">
        <f aca="false">IMDIV((Vout_cv/(2*Iocc)),COMPLEX(1,'LOOKUP TABLES AND DROPDOWN LIST'!C93*(Cout*uF)*(Vout_cv/(2*Iocc))))</f>
        <v>0.220235638126782-2.84998212774972i</v>
      </c>
      <c r="H93" s="301" t="n">
        <f aca="false">20*LOG(IMABS(G93))</f>
        <v>9.12269994511245</v>
      </c>
      <c r="I93" s="301" t="n">
        <f aca="false">180/PI()*IMARGUMENT(G93)</f>
        <v>-85.5811847546217</v>
      </c>
      <c r="J93" s="301" t="str">
        <f aca="false">IMPRODUCT((1/(R_tl*kOhms)),G_fb1,(G_fb2*kOhms),(K_fm4*kHz),(G_p4*uC),'LOOKUP TABLES AND DROPDOWN LIST'!D93,'LOOKUP TABLES AND DROPDOWN LIST'!G93)</f>
        <v>0.0436994500323893+0.698036671872829i</v>
      </c>
      <c r="K93" s="301" t="n">
        <f aca="false">20*LOG(IMABS(J93))</f>
        <v>-3.10544769038578</v>
      </c>
      <c r="L93" s="301" t="n">
        <f aca="false">180/PI()*IMARGUMENT(J93)</f>
        <v>86.4177658809813</v>
      </c>
      <c r="R93" s="301" t="n">
        <f aca="false">MROUND(L95,5)</f>
        <v>80</v>
      </c>
      <c r="S93" s="301" t="n">
        <f aca="false">B95</f>
        <v>398.107170553497</v>
      </c>
    </row>
    <row r="94" customFormat="false" ht="13.8" hidden="false" customHeight="false" outlineLevel="0" collapsed="false">
      <c r="A94" s="315" t="n">
        <v>2.5</v>
      </c>
      <c r="B94" s="301" t="n">
        <f aca="false">10^A94</f>
        <v>316.227766016838</v>
      </c>
      <c r="C94" s="301" t="n">
        <f aca="false">2*PI()*B94</f>
        <v>1986.91765315922</v>
      </c>
      <c r="D94" s="301" t="str">
        <f aca="false">IMDIV(((CTRmin/100)*0.1),COMPLEX(1,'LOOKUP TABLES AND DROPDOWN LIST'!C94*((Copto*nF)+(Cext*uF))*((R_fb4*kOhms*Requ*kOhms)/((R_fb4*kOhms)+(Requ*kOhms)))))</f>
        <v>0.0484819009198007-0.0085790634216483i</v>
      </c>
      <c r="E94" s="301" t="n">
        <f aca="false">20*LOG(IMABS(D94))</f>
        <v>-26.1545035598275</v>
      </c>
      <c r="F94" s="301" t="n">
        <f aca="false">180/PI()*IMARGUMENT(D94)</f>
        <v>-10.0348352379754</v>
      </c>
      <c r="G94" s="301" t="str">
        <f aca="false">IMDIV((Vout_cv/(2*Iocc)),COMPLEX(1,'LOOKUP TABLES AND DROPDOWN LIST'!C94*(Cout*uF)*(Vout_cv/(2*Iocc))))</f>
        <v>0.139264379065369-2.26879150100319i</v>
      </c>
      <c r="H94" s="301" t="n">
        <f aca="false">20*LOG(IMABS(G94))</f>
        <v>7.13222444575786</v>
      </c>
      <c r="I94" s="301" t="n">
        <f aca="false">180/PI()*IMARGUMENT(G94)</f>
        <v>-86.4874417693005</v>
      </c>
      <c r="J94" s="301" t="str">
        <f aca="false">IMPRODUCT((1/(R_tl*kOhms)),G_fb1,(G_fb2*kOhms),(K_fm4*kHz),(G_p4*uC),'LOOKUP TABLES AND DROPDOWN LIST'!D94,'LOOKUP TABLES AND DROPDOWN LIST'!G94)</f>
        <v>0.0628196103588829+0.549461173883333i</v>
      </c>
      <c r="K94" s="301" t="n">
        <f aca="false">20*LOG(IMABS(J94))</f>
        <v>-5.1448599858796</v>
      </c>
      <c r="L94" s="301" t="n">
        <f aca="false">180/PI()*IMARGUMENT(J94)</f>
        <v>83.4777229927241</v>
      </c>
      <c r="R94" s="301" t="n">
        <f aca="false">MROUND(L94,5)</f>
        <v>85</v>
      </c>
      <c r="S94" s="301" t="n">
        <f aca="false">B94</f>
        <v>316.227766016838</v>
      </c>
    </row>
    <row r="95" customFormat="false" ht="13.8" hidden="false" customHeight="false" outlineLevel="0" collapsed="false">
      <c r="A95" s="315" t="n">
        <v>2.6</v>
      </c>
      <c r="B95" s="301" t="n">
        <f aca="false">10^A95</f>
        <v>398.107170553497</v>
      </c>
      <c r="C95" s="301" t="n">
        <f aca="false">2*PI()*B95</f>
        <v>2501.38112470457</v>
      </c>
      <c r="D95" s="301" t="str">
        <f aca="false">IMDIV(((CTRmin/100)*0.1),COMPLEX(1,'LOOKUP TABLES AND DROPDOWN LIST'!C95*((Copto*nF)+(Cext*uF))*((R_fb4*kOhms*Requ*kOhms)/((R_fb4*kOhms)+(Requ*kOhms)))))</f>
        <v>0.0476359569986026-0.0106119484901415i</v>
      </c>
      <c r="E95" s="301" t="n">
        <f aca="false">20*LOG(IMABS(D95))</f>
        <v>-26.2309510111746</v>
      </c>
      <c r="F95" s="301" t="n">
        <f aca="false">180/PI()*IMARGUMENT(D95)</f>
        <v>-12.5588115837184</v>
      </c>
      <c r="G95" s="301" t="str">
        <f aca="false">IMDIV((Vout_cv/(2*Iocc)),COMPLEX(1,'LOOKUP TABLES AND DROPDOWN LIST'!C95*(Cout*uF)*(Vout_cv/(2*Iocc))))</f>
        <v>0.0879917751023608-1.80466509514117i</v>
      </c>
      <c r="H95" s="301" t="n">
        <f aca="false">20*LOG(IMABS(G95))</f>
        <v>5.13824476482563</v>
      </c>
      <c r="I95" s="301" t="n">
        <f aca="false">180/PI()*IMARGUMENT(G95)</f>
        <v>-87.2085857448037</v>
      </c>
      <c r="J95" s="301" t="str">
        <f aca="false">IMPRODUCT((1/(R_tl*kOhms)),G_fb1,(G_fb2*kOhms),(K_fm4*kHz),(G_p4*uC),'LOOKUP TABLES AND DROPDOWN LIST'!D95,'LOOKUP TABLES AND DROPDOWN LIST'!G95)</f>
        <v>0.0739241450519252+0.429431893983648i</v>
      </c>
      <c r="K95" s="301" t="n">
        <f aca="false">20*LOG(IMABS(J95))</f>
        <v>-7.2152871181589</v>
      </c>
      <c r="L95" s="301" t="n">
        <f aca="false">180/PI()*IMARGUMENT(J95)</f>
        <v>80.2326026714779</v>
      </c>
      <c r="R95" s="301" t="n">
        <f aca="false">MROUND(L93,5)</f>
        <v>85</v>
      </c>
      <c r="S95" s="301" t="n">
        <f aca="false">B93</f>
        <v>251.188643150958</v>
      </c>
    </row>
    <row r="96" customFormat="false" ht="13.8" hidden="false" customHeight="false" outlineLevel="0" collapsed="false">
      <c r="A96" s="315" t="n">
        <v>2.7</v>
      </c>
      <c r="B96" s="301" t="n">
        <f aca="false">10^A96</f>
        <v>501.187233627272</v>
      </c>
      <c r="C96" s="301" t="n">
        <f aca="false">2*PI()*B96</f>
        <v>3149.05226247286</v>
      </c>
      <c r="D96" s="301" t="str">
        <f aca="false">IMDIV(((CTRmin/100)*0.1),COMPLEX(1,'LOOKUP TABLES AND DROPDOWN LIST'!C96*((Copto*nF)+(Cext*uF))*((R_fb4*kOhms*Requ*kOhms)/((R_fb4*kOhms)+(Requ*kOhms)))))</f>
        <v>0.0463540698167071-0.0130001423939586i</v>
      </c>
      <c r="E96" s="301" t="n">
        <f aca="false">20*LOG(IMABS(D96))</f>
        <v>-26.3494212511563</v>
      </c>
      <c r="F96" s="301" t="n">
        <f aca="false">180/PI()*IMARGUMENT(D96)</f>
        <v>-15.6663167792744</v>
      </c>
      <c r="G96" s="301" t="str">
        <f aca="false">IMDIV((Vout_cv/(2*Iocc)),COMPLEX(1,'LOOKUP TABLES AND DROPDOWN LIST'!C96*(Cout*uF)*(Vout_cv/(2*Iocc))))</f>
        <v>0.0555676928402195-1.43475221810944i</v>
      </c>
      <c r="H96" s="301" t="n">
        <f aca="false">20*LOG(IMABS(G96))</f>
        <v>3.14204762790263</v>
      </c>
      <c r="I96" s="301" t="n">
        <f aca="false">180/PI()*IMARGUMENT(G96)</f>
        <v>-87.7820533942163</v>
      </c>
      <c r="J96" s="301" t="str">
        <f aca="false">IMPRODUCT((1/(R_tl*kOhms)),G_fb1,(G_fb2*kOhms),(K_fm4*kHz),(G_p4*uC),'LOOKUP TABLES AND DROPDOWN LIST'!D96,'LOOKUP TABLES AND DROPDOWN LIST'!G96)</f>
        <v>0.0794427384548889+0.332221365343349i</v>
      </c>
      <c r="K96" s="301" t="n">
        <f aca="false">20*LOG(IMABS(J96))</f>
        <v>-9.32995449506365</v>
      </c>
      <c r="L96" s="301" t="n">
        <f aca="false">180/PI()*IMARGUMENT(J96)</f>
        <v>76.5516298265093</v>
      </c>
      <c r="R96" s="301" t="n">
        <f aca="false">MROUND(L92,5)</f>
        <v>90</v>
      </c>
      <c r="S96" s="301" t="n">
        <f aca="false">B92</f>
        <v>199.526231496888</v>
      </c>
    </row>
    <row r="97" customFormat="false" ht="13.8" hidden="false" customHeight="false" outlineLevel="0" collapsed="false">
      <c r="A97" s="315" t="n">
        <v>2.8</v>
      </c>
      <c r="B97" s="301" t="n">
        <f aca="false">10^A97</f>
        <v>630.957344480193</v>
      </c>
      <c r="C97" s="301" t="n">
        <f aca="false">2*PI()*B97</f>
        <v>3964.421916295</v>
      </c>
      <c r="D97" s="301" t="str">
        <f aca="false">IMDIV(((CTRmin/100)*0.1),COMPLEX(1,'LOOKUP TABLES AND DROPDOWN LIST'!C97*((Copto*nF)+(Cext*uF))*((R_fb4*kOhms*Requ*kOhms)/((R_fb4*kOhms)+(Requ*kOhms)))))</f>
        <v>0.0444579560036078-0.0156967496049871i</v>
      </c>
      <c r="E97" s="301" t="n">
        <f aca="false">20*LOG(IMABS(D97))</f>
        <v>-26.5308050393979</v>
      </c>
      <c r="F97" s="301" t="n">
        <f aca="false">180/PI()*IMARGUMENT(D97)</f>
        <v>-19.446574040771</v>
      </c>
      <c r="G97" s="301" t="str">
        <f aca="false">IMDIV((Vout_cv/(2*Iocc)),COMPLEX(1,'LOOKUP TABLES AND DROPDOWN LIST'!C97*(Cout*uF)*(Vout_cv/(2*Iocc))))</f>
        <v>0.0350802339672316-1.1402944767196i</v>
      </c>
      <c r="H97" s="301" t="n">
        <f aca="false">20*LOG(IMABS(G97))</f>
        <v>1.14444878678724</v>
      </c>
      <c r="I97" s="301" t="n">
        <f aca="false">180/PI()*IMARGUMENT(G97)</f>
        <v>-88.2378976169292</v>
      </c>
      <c r="J97" s="301" t="str">
        <f aca="false">IMPRODUCT((1/(R_tl*kOhms)),G_fb1,(G_fb2*kOhms),(K_fm4*kHz),(G_p4*uC),'LOOKUP TABLES AND DROPDOWN LIST'!D97,'LOOKUP TABLES AND DROPDOWN LIST'!G97)</f>
        <v>0.0807430167081343+0.253238245409837i</v>
      </c>
      <c r="K97" s="301" t="n">
        <f aca="false">20*LOG(IMABS(J97))</f>
        <v>-11.5089371244206</v>
      </c>
      <c r="L97" s="301" t="n">
        <f aca="false">180/PI()*IMARGUMENT(J97)</f>
        <v>72.3155283422998</v>
      </c>
      <c r="R97" s="301" t="n">
        <f aca="false">MROUND(L91,5)</f>
        <v>90</v>
      </c>
      <c r="S97" s="301" t="n">
        <f aca="false">B91</f>
        <v>158.489319246111</v>
      </c>
    </row>
    <row r="98" customFormat="false" ht="13.8" hidden="false" customHeight="false" outlineLevel="0" collapsed="false">
      <c r="A98" s="315" t="n">
        <v>2.9</v>
      </c>
      <c r="B98" s="301" t="n">
        <f aca="false">10^A98</f>
        <v>794.328234724281</v>
      </c>
      <c r="C98" s="301" t="n">
        <f aca="false">2*PI()*B98</f>
        <v>4990.9114934975</v>
      </c>
      <c r="D98" s="301" t="str">
        <f aca="false">IMDIV(((CTRmin/100)*0.1),COMPLEX(1,'LOOKUP TABLES AND DROPDOWN LIST'!C98*((Copto*nF)+(Cext*uF))*((R_fb4*kOhms*Requ*kOhms)/((R_fb4*kOhms)+(Requ*kOhms)))))</f>
        <v>0.0417512211579911-0.0185579252535425i</v>
      </c>
      <c r="E98" s="301" t="n">
        <f aca="false">20*LOG(IMABS(D98))</f>
        <v>-26.8036081322349</v>
      </c>
      <c r="F98" s="301" t="n">
        <f aca="false">180/PI()*IMARGUMENT(D98)</f>
        <v>-23.9645825517892</v>
      </c>
      <c r="G98" s="301" t="str">
        <f aca="false">IMDIV((Vout_cv/(2*Iocc)),COMPLEX(1,'LOOKUP TABLES AND DROPDOWN LIST'!C98*(Cout*uF)*(Vout_cv/(2*Iocc))))</f>
        <v>0.0221418575523334-0.906084272095118i</v>
      </c>
      <c r="H98" s="301" t="n">
        <f aca="false">20*LOG(IMABS(G98))</f>
        <v>-0.854035501016666</v>
      </c>
      <c r="I98" s="301" t="n">
        <f aca="false">180/PI()*IMARGUMENT(G98)</f>
        <v>-88.6001494654686</v>
      </c>
      <c r="J98" s="301" t="str">
        <f aca="false">IMPRODUCT((1/(R_tl*kOhms)),G_fb1,(G_fb2*kOhms),(K_fm4*kHz),(G_p4*uC),'LOOKUP TABLES AND DROPDOWN LIST'!D98,'LOOKUP TABLES AND DROPDOWN LIST'!G98)</f>
        <v>0.0785255712785911+0.188973348129447i</v>
      </c>
      <c r="K98" s="301" t="n">
        <f aca="false">20*LOG(IMABS(J98))</f>
        <v>-13.7802245050616</v>
      </c>
      <c r="L98" s="301" t="n">
        <f aca="false">180/PI()*IMARGUMENT(J98)</f>
        <v>67.4352679827422</v>
      </c>
      <c r="R98" s="301" t="n">
        <f aca="false">MROUND(L90,5)</f>
        <v>95</v>
      </c>
      <c r="S98" s="301" t="n">
        <f aca="false">B90</f>
        <v>125.892541179417</v>
      </c>
    </row>
    <row r="99" customFormat="false" ht="13.8" hidden="false" customHeight="false" outlineLevel="0" collapsed="false">
      <c r="A99" s="315" t="n">
        <v>3</v>
      </c>
      <c r="B99" s="301" t="n">
        <f aca="false">10^A99</f>
        <v>1000</v>
      </c>
      <c r="C99" s="301" t="n">
        <f aca="false">2*PI()*B99</f>
        <v>6283.18530717959</v>
      </c>
      <c r="D99" s="301" t="str">
        <f aca="false">IMDIV(((CTRmin/100)*0.1),COMPLEX(1,'LOOKUP TABLES AND DROPDOWN LIST'!C99*((Copto*nF)+(Cext*uF))*((R_fb4*kOhms*Requ*kOhms)/((R_fb4*kOhms)+(Requ*kOhms)))))</f>
        <v>0.038077048975144-0.021307059630594i</v>
      </c>
      <c r="E99" s="301" t="n">
        <f aca="false">20*LOG(IMABS(D99))</f>
        <v>-27.2036671308056</v>
      </c>
      <c r="F99" s="301" t="n">
        <f aca="false">180/PI()*IMARGUMENT(D99)</f>
        <v>-29.2303944001434</v>
      </c>
      <c r="G99" s="301" t="str">
        <f aca="false">IMDIV((Vout_cv/(2*Iocc)),COMPLEX(1,'LOOKUP TABLES AND DROPDOWN LIST'!C99*(Cout*uF)*(Vout_cv/(2*Iocc))))</f>
        <v>0.0139736452839184-0.719886872638976i</v>
      </c>
      <c r="H99" s="301" t="n">
        <f aca="false">20*LOG(IMABS(G99))</f>
        <v>-2.85307887901931</v>
      </c>
      <c r="I99" s="301" t="n">
        <f aca="false">180/PI()*IMARGUMENT(G99)</f>
        <v>-88.8879775451986</v>
      </c>
      <c r="J99" s="301" t="str">
        <f aca="false">IMPRODUCT((1/(R_tl*kOhms)),G_fb1,(G_fb2*kOhms),(K_fm4*kHz),(G_p4*uC),'LOOKUP TABLES AND DROPDOWN LIST'!D99,'LOOKUP TABLES AND DROPDOWN LIST'!G99)</f>
        <v>0.0731688488922436+0.136927386852374i</v>
      </c>
      <c r="K99" s="301" t="n">
        <f aca="false">20*LOG(IMABS(J99))</f>
        <v>-16.1793268816349</v>
      </c>
      <c r="L99" s="301" t="n">
        <f aca="false">180/PI()*IMARGUMENT(J99)</f>
        <v>61.881628054658</v>
      </c>
      <c r="R99" s="301" t="n">
        <f aca="false">MROUND(L89,5)</f>
        <v>100</v>
      </c>
      <c r="S99" s="301" t="n">
        <f aca="false">B89</f>
        <v>100</v>
      </c>
    </row>
    <row r="100" customFormat="false" ht="13.8" hidden="false" customHeight="false" outlineLevel="0" collapsed="false">
      <c r="A100" s="315" t="n">
        <v>3.1</v>
      </c>
      <c r="B100" s="301" t="n">
        <f aca="false">10^A100</f>
        <v>1258.92541179417</v>
      </c>
      <c r="C100" s="301" t="n">
        <f aca="false">2*PI()*B100</f>
        <v>7910.06165022012</v>
      </c>
      <c r="D100" s="301" t="str">
        <f aca="false">IMDIV(((CTRmin/100)*0.1),COMPLEX(1,'LOOKUP TABLES AND DROPDOWN LIST'!C100*((Copto*nF)+(Cext*uF))*((R_fb4*kOhms*Requ*kOhms)/((R_fb4*kOhms)+(Requ*kOhms)))))</f>
        <v>0.0334163662014722-0.0235407047465176i</v>
      </c>
      <c r="E100" s="301" t="n">
        <f aca="false">20*LOG(IMABS(D100))</f>
        <v>-27.7707077405789</v>
      </c>
      <c r="F100" s="301" t="n">
        <f aca="false">180/PI()*IMARGUMENT(D100)</f>
        <v>-35.1634061551593</v>
      </c>
      <c r="G100" s="301" t="str">
        <f aca="false">IMDIV((Vout_cv/(2*Iocc)),COMPLEX(1,'LOOKUP TABLES AND DROPDOWN LIST'!C100*(Cout*uF)*(Vout_cv/(2*Iocc))))</f>
        <v>0.00881799979221167-0.57190596167502i</v>
      </c>
      <c r="H100" s="301" t="n">
        <f aca="false">20*LOG(IMABS(G100))</f>
        <v>-4.85247518290628</v>
      </c>
      <c r="I100" s="301" t="n">
        <f aca="false">180/PI()*IMARGUMENT(G100)</f>
        <v>-89.116648235328</v>
      </c>
      <c r="J100" s="301" t="str">
        <f aca="false">IMPRODUCT((1/(R_tl*kOhms)),G_fb1,(G_fb2*kOhms),(K_fm4*kHz),(G_p4*uC),'LOOKUP TABLES AND DROPDOWN LIST'!D100,'LOOKUP TABLES AND DROPDOWN LIST'!G100)</f>
        <v>0.0650734892571958+0.095465538951522i</v>
      </c>
      <c r="K100" s="301" t="n">
        <f aca="false">20*LOG(IMABS(J100))</f>
        <v>-18.7457637952951</v>
      </c>
      <c r="L100" s="301" t="n">
        <f aca="false">180/PI()*IMARGUMENT(J100)</f>
        <v>55.7199456095127</v>
      </c>
      <c r="R100" s="301" t="n">
        <f aca="false">MROUND(L88,5)</f>
        <v>100</v>
      </c>
      <c r="S100" s="301" t="n">
        <f aca="false">B88</f>
        <v>79.4328234724281</v>
      </c>
    </row>
    <row r="101" customFormat="false" ht="13.8" hidden="false" customHeight="false" outlineLevel="0" collapsed="false">
      <c r="A101" s="315" t="n">
        <v>3.2</v>
      </c>
      <c r="B101" s="301" t="n">
        <f aca="false">10^A101</f>
        <v>1584.89319246111</v>
      </c>
      <c r="C101" s="301" t="n">
        <f aca="false">2*PI()*B101</f>
        <v>9958.17762032062</v>
      </c>
      <c r="D101" s="301" t="str">
        <f aca="false">IMDIV(((CTRmin/100)*0.1),COMPLEX(1,'LOOKUP TABLES AND DROPDOWN LIST'!C101*((Copto*nF)+(Cext*uF))*((R_fb4*kOhms*Requ*kOhms)/((R_fb4*kOhms)+(Requ*kOhms)))))</f>
        <v>0.0279870683280596-0.0248209069698008i</v>
      </c>
      <c r="E101" s="301" t="n">
        <f aca="false">20*LOG(IMABS(D101))</f>
        <v>-28.5407258757399</v>
      </c>
      <c r="F101" s="301" t="n">
        <f aca="false">180/PI()*IMARGUMENT(D101)</f>
        <v>-41.5688747057411</v>
      </c>
      <c r="G101" s="301" t="str">
        <f aca="false">IMDIV((Vout_cv/(2*Iocc)),COMPLEX(1,'LOOKUP TABLES AND DROPDOWN LIST'!C101*(Cout*uF)*(Vout_cv/(2*Iocc))))</f>
        <v>0.00556426979164096-0.454320902841413i</v>
      </c>
      <c r="H101" s="301" t="n">
        <f aca="false">20*LOG(IMABS(G101))</f>
        <v>-6.85209423322714</v>
      </c>
      <c r="I101" s="301" t="n">
        <f aca="false">180/PI()*IMARGUMENT(G101)</f>
        <v>-89.2983082351538</v>
      </c>
      <c r="J101" s="301" t="str">
        <f aca="false">IMPRODUCT((1/(R_tl*kOhms)),G_fb1,(G_fb2*kOhms),(K_fm4*kHz),(G_p4*uC),'LOOKUP TABLES AND DROPDOWN LIST'!D101,'LOOKUP TABLES AND DROPDOWN LIST'!G101)</f>
        <v>0.0549556102510333+0.0635159663807527i</v>
      </c>
      <c r="K101" s="301" t="n">
        <f aca="false">20*LOG(IMABS(J101))</f>
        <v>-21.515400980777</v>
      </c>
      <c r="L101" s="301" t="n">
        <f aca="false">180/PI()*IMARGUMENT(J101)</f>
        <v>49.1328170591051</v>
      </c>
      <c r="R101" s="301" t="n">
        <f aca="false">MROUND(L87,5)</f>
        <v>105</v>
      </c>
      <c r="S101" s="301" t="n">
        <f aca="false">B87</f>
        <v>63.0957344480193</v>
      </c>
    </row>
    <row r="102" customFormat="false" ht="13.8" hidden="false" customHeight="false" outlineLevel="0" collapsed="false">
      <c r="A102" s="315" t="n">
        <v>3.3</v>
      </c>
      <c r="B102" s="301" t="n">
        <f aca="false">10^A102</f>
        <v>1995.26231496888</v>
      </c>
      <c r="C102" s="301" t="n">
        <f aca="false">2*PI()*B102</f>
        <v>12536.6028613816</v>
      </c>
      <c r="D102" s="301" t="str">
        <f aca="false">IMDIV(((CTRmin/100)*0.1),COMPLEX(1,'LOOKUP TABLES AND DROPDOWN LIST'!C102*((Copto*nF)+(Cext*uF))*((R_fb4*kOhms*Requ*kOhms)/((R_fb4*kOhms)+(Requ*kOhms)))))</f>
        <v>0.0222560422466441-0.0248489576410722i</v>
      </c>
      <c r="E102" s="301" t="n">
        <f aca="false">20*LOG(IMABS(D102))</f>
        <v>-29.5358205863306</v>
      </c>
      <c r="F102" s="301" t="n">
        <f aca="false">180/PI()*IMARGUMENT(D102)</f>
        <v>-48.1506917000676</v>
      </c>
      <c r="G102" s="301" t="str">
        <f aca="false">IMDIV((Vout_cv/(2*Iocc)),COMPLEX(1,'LOOKUP TABLES AND DROPDOWN LIST'!C102*(Cout*uF)*(Vout_cv/(2*Iocc))))</f>
        <v>0.00351101121934031-0.360899895858938i</v>
      </c>
      <c r="H102" s="301" t="n">
        <f aca="false">20*LOG(IMABS(G102))</f>
        <v>-8.85185385303462</v>
      </c>
      <c r="I102" s="301" t="n">
        <f aca="false">180/PI()*IMARGUMENT(G102)</f>
        <v>-89.4426161353812</v>
      </c>
      <c r="J102" s="301" t="str">
        <f aca="false">IMPRODUCT((1/(R_tl*kOhms)),G_fb1,(G_fb2*kOhms),(K_fm4*kHz),(G_p4*uC),'LOOKUP TABLES AND DROPDOWN LIST'!D102,'LOOKUP TABLES AND DROPDOWN LIST'!G102)</f>
        <v>0.0439303987972499+0.0401233768771901i</v>
      </c>
      <c r="K102" s="301" t="n">
        <f aca="false">20*LOG(IMABS(J102))</f>
        <v>-24.5102553111752</v>
      </c>
      <c r="L102" s="301" t="n">
        <f aca="false">180/PI()*IMARGUMENT(J102)</f>
        <v>42.4066921645513</v>
      </c>
      <c r="R102" s="301" t="n">
        <f aca="false">MROUND(L86,5)</f>
        <v>110</v>
      </c>
      <c r="S102" s="301" t="n">
        <f aca="false">B86</f>
        <v>50.1187233627273</v>
      </c>
    </row>
    <row r="103" customFormat="false" ht="13.8" hidden="false" customHeight="false" outlineLevel="0" collapsed="false">
      <c r="A103" s="315" t="n">
        <v>3.4</v>
      </c>
      <c r="B103" s="301" t="n">
        <f aca="false">10^A103</f>
        <v>2511.88643150958</v>
      </c>
      <c r="C103" s="301" t="n">
        <f aca="false">2*PI()*B103</f>
        <v>15782.6479197648</v>
      </c>
      <c r="D103" s="301" t="str">
        <f aca="false">IMDIV(((CTRmin/100)*0.1),COMPLEX(1,'LOOKUP TABLES AND DROPDOWN LIST'!C103*((Copto*nF)+(Cext*uF))*((R_fb4*kOhms*Requ*kOhms)/((R_fb4*kOhms)+(Requ*kOhms)))))</f>
        <v>0.0168027825156444-0.0236179089996167i</v>
      </c>
      <c r="E103" s="301" t="n">
        <f aca="false">20*LOG(IMABS(D103))</f>
        <v>-30.7564878946625</v>
      </c>
      <c r="F103" s="301" t="n">
        <f aca="false">180/PI()*IMARGUMENT(D103)</f>
        <v>-54.5703390677113</v>
      </c>
      <c r="G103" s="301" t="str">
        <f aca="false">IMDIV((Vout_cv/(2*Iocc)),COMPLEX(1,'LOOKUP TABLES AND DROPDOWN LIST'!C103*(Cout*uF)*(Vout_cv/(2*Iocc))))</f>
        <v>0.00221537568560437-0.286682989362017i</v>
      </c>
      <c r="H103" s="301" t="n">
        <f aca="false">20*LOG(IMABS(G103))</f>
        <v>-10.8517021765405</v>
      </c>
      <c r="I103" s="301" t="n">
        <f aca="false">180/PI()*IMARGUMENT(G103)</f>
        <v>-89.5572491044012</v>
      </c>
      <c r="J103" s="301" t="str">
        <f aca="false">IMPRODUCT((1/(R_tl*kOhms)),G_fb1,(G_fb2*kOhms),(K_fm4*kHz),(G_p4*uC),'LOOKUP TABLES AND DROPDOWN LIST'!D103,'LOOKUP TABLES AND DROPDOWN LIST'!G103)</f>
        <v>0.033275155559296+0.0240627862891991i</v>
      </c>
      <c r="K103" s="301" t="n">
        <f aca="false">20*LOG(IMABS(J103))</f>
        <v>-27.730770943013</v>
      </c>
      <c r="L103" s="301" t="n">
        <f aca="false">180/PI()*IMARGUMENT(J103)</f>
        <v>35.8724118278876</v>
      </c>
      <c r="R103" s="301" t="n">
        <f aca="false">MROUND(L85,5)</f>
        <v>115</v>
      </c>
      <c r="S103" s="301" t="n">
        <f aca="false">B85</f>
        <v>39.8107170553497</v>
      </c>
    </row>
    <row r="104" customFormat="false" ht="13.8" hidden="false" customHeight="false" outlineLevel="0" collapsed="false">
      <c r="A104" s="315" t="n">
        <v>3.5</v>
      </c>
      <c r="B104" s="301" t="n">
        <f aca="false">10^A104</f>
        <v>3162.27766016838</v>
      </c>
      <c r="C104" s="301" t="n">
        <f aca="false">2*PI()*B104</f>
        <v>19869.1765315922</v>
      </c>
      <c r="D104" s="301" t="str">
        <f aca="false">IMDIV(((CTRmin/100)*0.1),COMPLEX(1,'LOOKUP TABLES AND DROPDOWN LIST'!C104*((Copto*nF)+(Cext*uF))*((R_fb4*kOhms*Requ*kOhms)/((R_fb4*kOhms)+(Requ*kOhms)))))</f>
        <v>0.0121028166794352-0.0214164110531094i</v>
      </c>
      <c r="E104" s="301" t="n">
        <f aca="false">20*LOG(IMABS(D104))</f>
        <v>-32.1814354055581</v>
      </c>
      <c r="F104" s="301" t="n">
        <f aca="false">180/PI()*IMARGUMENT(D104)</f>
        <v>-60.5283920037445</v>
      </c>
      <c r="G104" s="301" t="str">
        <f aca="false">IMDIV((Vout_cv/(2*Iocc)),COMPLEX(1,'LOOKUP TABLES AND DROPDOWN LIST'!C104*(Cout*uF)*(Vout_cv/(2*Iocc))))</f>
        <v>0.00139783836300456-0.227725411124142i</v>
      </c>
      <c r="H104" s="301" t="n">
        <f aca="false">20*LOG(IMABS(G104))</f>
        <v>-12.851606472417</v>
      </c>
      <c r="I104" s="301" t="n">
        <f aca="false">180/PI()*IMARGUMENT(G104)</f>
        <v>-89.6483078792925</v>
      </c>
      <c r="J104" s="301" t="str">
        <f aca="false">IMPRODUCT((1/(R_tl*kOhms)),G_fb1,(G_fb2*kOhms),(K_fm4*kHz),(G_p4*uC),'LOOKUP TABLES AND DROPDOWN LIST'!D104,'LOOKUP TABLES AND DROPDOWN LIST'!G104)</f>
        <v>0.0240170700460664+0.0137676790510314i</v>
      </c>
      <c r="K104" s="301" t="n">
        <f aca="false">20*LOG(IMABS(J104))</f>
        <v>-31.155622749785</v>
      </c>
      <c r="L104" s="301" t="n">
        <f aca="false">180/PI()*IMARGUMENT(J104)</f>
        <v>29.823300116963</v>
      </c>
      <c r="R104" s="301" t="n">
        <f aca="false">MROUND(L84,5)</f>
        <v>120</v>
      </c>
      <c r="S104" s="301" t="n">
        <f aca="false">B84</f>
        <v>31.6227766016838</v>
      </c>
    </row>
    <row r="105" customFormat="false" ht="13.8" hidden="false" customHeight="false" outlineLevel="0" collapsed="false">
      <c r="A105" s="315" t="n">
        <v>3.6</v>
      </c>
      <c r="B105" s="301" t="n">
        <f aca="false">10^A105</f>
        <v>3981.07170553497</v>
      </c>
      <c r="C105" s="301" t="n">
        <f aca="false">2*PI()*B105</f>
        <v>25013.8112470457</v>
      </c>
      <c r="D105" s="301" t="str">
        <f aca="false">IMDIV(((CTRmin/100)*0.1),COMPLEX(1,'LOOKUP TABLES AND DROPDOWN LIST'!C105*((Copto*nF)+(Cext*uF))*((R_fb4*kOhms*Requ*kOhms)/((R_fb4*kOhms)+(Requ*kOhms)))))</f>
        <v>0.00838542350977395-0.0186803599550551i</v>
      </c>
      <c r="E105" s="301" t="n">
        <f aca="false">20*LOG(IMABS(D105))</f>
        <v>-33.7750499392008</v>
      </c>
      <c r="F105" s="301" t="n">
        <f aca="false">180/PI()*IMARGUMENT(D105)</f>
        <v>-65.8251734057564</v>
      </c>
      <c r="G105" s="301" t="str">
        <f aca="false">IMDIV((Vout_cv/(2*Iocc)),COMPLEX(1,'LOOKUP TABLES AND DROPDOWN LIST'!C105*(Cout*uF)*(Vout_cv/(2*Iocc))))</f>
        <v>0.000881988645024952-0.180891238997709i</v>
      </c>
      <c r="H105" s="301" t="n">
        <f aca="false">20*LOG(IMABS(G105))</f>
        <v>-14.8515460861121</v>
      </c>
      <c r="I105" s="301" t="n">
        <f aca="false">180/PI()*IMARGUMENT(G105)</f>
        <v>-89.720639723805</v>
      </c>
      <c r="J105" s="301" t="str">
        <f aca="false">IMPRODUCT((1/(R_tl*kOhms)),G_fb1,(G_fb2*kOhms),(K_fm4*kHz),(G_p4*uC),'LOOKUP TABLES AND DROPDOWN LIST'!D105,'LOOKUP TABLES AND DROPDOWN LIST'!G105)</f>
        <v>0.016661808952678+0.00757714012054674i</v>
      </c>
      <c r="K105" s="301" t="n">
        <f aca="false">20*LOG(IMABS(J105))</f>
        <v>-34.7491768971228</v>
      </c>
      <c r="L105" s="301" t="n">
        <f aca="false">180/PI()*IMARGUMENT(J105)</f>
        <v>24.4541868704385</v>
      </c>
      <c r="R105" s="301" t="n">
        <f aca="false">MROUND(L83,5)</f>
        <v>125</v>
      </c>
      <c r="S105" s="301" t="n">
        <f aca="false">B83</f>
        <v>25.1188643150958</v>
      </c>
    </row>
    <row r="106" customFormat="false" ht="13.8" hidden="false" customHeight="false" outlineLevel="0" collapsed="false">
      <c r="A106" s="315" t="n">
        <v>3.7</v>
      </c>
      <c r="B106" s="301" t="n">
        <f aca="false">10^A106</f>
        <v>5011.87233627272</v>
      </c>
      <c r="C106" s="301" t="n">
        <f aca="false">2*PI()*B106</f>
        <v>31490.5226247286</v>
      </c>
      <c r="D106" s="301" t="str">
        <f aca="false">IMDIV(((CTRmin/100)*0.1),COMPLEX(1,'LOOKUP TABLES AND DROPDOWN LIST'!C106*((Copto*nF)+(Cext*uF))*((R_fb4*kOhms*Requ*kOhms)/((R_fb4*kOhms)+(Requ*kOhms)))))</f>
        <v>0.0056399073206523-0.0158172946943233i</v>
      </c>
      <c r="E106" s="301" t="n">
        <f aca="false">20*LOG(IMABS(D106))</f>
        <v>-35.4975802828702</v>
      </c>
      <c r="F106" s="301" t="n">
        <f aca="false">180/PI()*IMARGUMENT(D106)</f>
        <v>-70.3755009245366</v>
      </c>
      <c r="G106" s="301" t="str">
        <f aca="false">IMDIV((Vout_cv/(2*Iocc)),COMPLEX(1,'LOOKUP TABLES AND DROPDOWN LIST'!C106*(Cout*uF)*(Vout_cv/(2*Iocc))))</f>
        <v>0.000556502095621067-0.143688279153633i</v>
      </c>
      <c r="H106" s="301" t="n">
        <f aca="false">20*LOG(IMABS(G106))</f>
        <v>-16.8515079844975</v>
      </c>
      <c r="I106" s="301" t="n">
        <f aca="false">180/PI()*IMARGUMENT(G106)</f>
        <v>-89.7780955960184</v>
      </c>
      <c r="J106" s="301" t="str">
        <f aca="false">IMPRODUCT((1/(R_tl*kOhms)),G_fb1,(G_fb2*kOhms),(K_fm4*kHz),(G_p4*uC),'LOOKUP TABLES AND DROPDOWN LIST'!D106,'LOOKUP TABLES AND DROPDOWN LIST'!G106)</f>
        <v>0.0112156472763775+0.00404814531948403i</v>
      </c>
      <c r="K106" s="301" t="n">
        <f aca="false">20*LOG(IMABS(J106))</f>
        <v>-38.4716691391777</v>
      </c>
      <c r="L106" s="301" t="n">
        <f aca="false">180/PI()*IMARGUMENT(J106)</f>
        <v>19.846403479445</v>
      </c>
      <c r="R106" s="301" t="n">
        <f aca="false">MROUND(L82,5)</f>
        <v>135</v>
      </c>
      <c r="S106" s="301" t="n">
        <f aca="false">B82</f>
        <v>19.9526231496888</v>
      </c>
    </row>
    <row r="107" customFormat="false" ht="13.8" hidden="false" customHeight="false" outlineLevel="0" collapsed="false">
      <c r="A107" s="315" t="n">
        <v>3.8</v>
      </c>
      <c r="B107" s="301" t="n">
        <f aca="false">10^A107</f>
        <v>6309.57344480193</v>
      </c>
      <c r="C107" s="301" t="n">
        <f aca="false">2*PI()*B107</f>
        <v>39644.21916295</v>
      </c>
      <c r="D107" s="301" t="str">
        <f aca="false">IMDIV(((CTRmin/100)*0.1),COMPLEX(1,'LOOKUP TABLES AND DROPDOWN LIST'!C107*((Copto*nF)+(Cext*uF))*((R_fb4*kOhms*Requ*kOhms)/((R_fb4*kOhms)+(Requ*kOhms)))))</f>
        <v>0.00371310769622972-0.0131098518697843i</v>
      </c>
      <c r="E107" s="301" t="n">
        <f aca="false">20*LOG(IMABS(D107))</f>
        <v>-37.312924498313</v>
      </c>
      <c r="F107" s="301" t="n">
        <f aca="false">180/PI()*IMARGUMENT(D107)</f>
        <v>-74.1862691907704</v>
      </c>
      <c r="G107" s="301" t="str">
        <f aca="false">IMDIV((Vout_cv/(2*Iocc)),COMPLEX(1,'LOOKUP TABLES AND DROPDOWN LIST'!C107*(Cout*uF)*(Vout_cv/(2*Iocc))))</f>
        <v>0.000351131028154969-0.114136288938094i</v>
      </c>
      <c r="H107" s="301" t="n">
        <f aca="false">20*LOG(IMABS(G107))</f>
        <v>-18.8514839438319</v>
      </c>
      <c r="I107" s="301" t="n">
        <f aca="false">180/PI()*IMARGUMENT(G107)</f>
        <v>-89.8237347412648</v>
      </c>
      <c r="J107" s="301" t="str">
        <f aca="false">IMPRODUCT((1/(R_tl*kOhms)),G_fb1,(G_fb2*kOhms),(K_fm4*kHz),(G_p4*uC),'LOOKUP TABLES AND DROPDOWN LIST'!D107,'LOOKUP TABLES AND DROPDOWN LIST'!G107)</f>
        <v>0.00738777920873154+0.002117015690469i</v>
      </c>
      <c r="K107" s="301" t="n">
        <f aca="false">20*LOG(IMABS(J107))</f>
        <v>-42.286989313955</v>
      </c>
      <c r="L107" s="301" t="n">
        <f aca="false">180/PI()*IMARGUMENT(J107)</f>
        <v>15.9899960679648</v>
      </c>
      <c r="R107" s="301" t="n">
        <f aca="false">MROUND(L81,5)</f>
        <v>140</v>
      </c>
      <c r="S107" s="301" t="n">
        <f aca="false">B81</f>
        <v>15.8489319246111</v>
      </c>
    </row>
    <row r="108" customFormat="false" ht="13.8" hidden="false" customHeight="false" outlineLevel="0" collapsed="false">
      <c r="A108" s="315" t="n">
        <v>3.9</v>
      </c>
      <c r="B108" s="301" t="n">
        <f aca="false">10^A108</f>
        <v>7943.28234724281</v>
      </c>
      <c r="C108" s="301" t="n">
        <f aca="false">2*PI()*B108</f>
        <v>49909.114934975</v>
      </c>
      <c r="D108" s="301" t="str">
        <f aca="false">IMDIV(((CTRmin/100)*0.1),COMPLEX(1,'LOOKUP TABLES AND DROPDOWN LIST'!C108*((Copto*nF)+(Cext*uF))*((R_fb4*kOhms*Requ*kOhms)/((R_fb4*kOhms)+(Requ*kOhms)))))</f>
        <v>0.0024088286961411-0.0107069593778861i</v>
      </c>
      <c r="E108" s="301" t="n">
        <f aca="false">20*LOG(IMABS(D108))</f>
        <v>-39.1922407942069</v>
      </c>
      <c r="F108" s="301" t="n">
        <f aca="false">180/PI()*IMARGUMENT(D108)</f>
        <v>-77.320824487111</v>
      </c>
      <c r="G108" s="301" t="str">
        <f aca="false">IMDIV((Vout_cv/(2*Iocc)),COMPLEX(1,'LOOKUP TABLES AND DROPDOWN LIST'!C108*(Cout*uF)*(Vout_cv/(2*Iocc))))</f>
        <v>0.00022154947489884-0.0906619935668476i</v>
      </c>
      <c r="H108" s="301" t="n">
        <f aca="false">20*LOG(IMABS(G108))</f>
        <v>-20.851468775129</v>
      </c>
      <c r="I108" s="301" t="n">
        <f aca="false">180/PI()*IMARGUMENT(G108)</f>
        <v>-89.8599873651771</v>
      </c>
      <c r="J108" s="301" t="str">
        <f aca="false">IMPRODUCT((1/(R_tl*kOhms)),G_fb1,(G_fb2*kOhms),(K_fm4*kHz),(G_p4*uC),'LOOKUP TABLES AND DROPDOWN LIST'!D108,'LOOKUP TABLES AND DROPDOWN LIST'!G108)</f>
        <v>0.00479428167095282+0.00109092266344883i</v>
      </c>
      <c r="K108" s="301" t="n">
        <f aca="false">20*LOG(IMABS(J108))</f>
        <v>-46.1662904411459</v>
      </c>
      <c r="L108" s="301" t="n">
        <f aca="false">180/PI()*IMARGUMENT(J108)</f>
        <v>12.8191881477118</v>
      </c>
      <c r="R108" s="301" t="n">
        <f aca="false">MROUND(L80,5)</f>
        <v>145</v>
      </c>
      <c r="S108" s="301" t="n">
        <f aca="false">B80</f>
        <v>12.5892541179417</v>
      </c>
    </row>
    <row r="109" customFormat="false" ht="13.8" hidden="false" customHeight="false" outlineLevel="0" collapsed="false">
      <c r="A109" s="315" t="n">
        <v>4</v>
      </c>
      <c r="B109" s="301" t="n">
        <f aca="false">10^A109</f>
        <v>10000</v>
      </c>
      <c r="C109" s="301" t="n">
        <f aca="false">2*PI()*B109</f>
        <v>62831.8530717959</v>
      </c>
      <c r="D109" s="301" t="str">
        <f aca="false">IMDIV(((CTRmin/100)*0.1),COMPLEX(1,'LOOKUP TABLES AND DROPDOWN LIST'!C109*((Copto*nF)+(Cext*uF))*((R_fb4*kOhms*Requ*kOhms)/((R_fb4*kOhms)+(Requ*kOhms)))))</f>
        <v>0.00154737934087411-0.00865878653271587i</v>
      </c>
      <c r="E109" s="301" t="n">
        <f aca="false">20*LOG(IMABS(D109))</f>
        <v>-41.1143320138737</v>
      </c>
      <c r="F109" s="301" t="n">
        <f aca="false">180/PI()*IMARGUMENT(D109)</f>
        <v>-79.8678420825324</v>
      </c>
      <c r="G109" s="301" t="str">
        <f aca="false">IMDIV((Vout_cv/(2*Iocc)),COMPLEX(1,'LOOKUP TABLES AND DROPDOWN LIST'!C109*(Cout*uF)*(Vout_cv/(2*Iocc))))</f>
        <v>0.00013978857641405-0.0720155400117232i</v>
      </c>
      <c r="H109" s="301" t="n">
        <f aca="false">20*LOG(IMABS(G109))</f>
        <v>-22.8514592042972</v>
      </c>
      <c r="I109" s="301" t="n">
        <f aca="false">180/PI()*IMARGUMENT(G109)</f>
        <v>-89.888783929244</v>
      </c>
      <c r="J109" s="301" t="str">
        <f aca="false">IMPRODUCT((1/(R_tl*kOhms)),G_fb1,(G_fb2*kOhms),(K_fm4*kHz),(G_p4*uC),'LOOKUP TABLES AND DROPDOWN LIST'!D109,'LOOKUP TABLES AND DROPDOWN LIST'!G109)</f>
        <v>0.00308037460781854+0.00055665459611244i</v>
      </c>
      <c r="K109" s="301" t="n">
        <f aca="false">20*LOG(IMABS(J109))</f>
        <v>-50.0883720899809</v>
      </c>
      <c r="L109" s="301" t="n">
        <f aca="false">180/PI()*IMARGUMENT(J109)</f>
        <v>10.2433739882237</v>
      </c>
      <c r="R109" s="301" t="n">
        <f aca="false">MROUND(L79,5)</f>
        <v>150</v>
      </c>
      <c r="S109" s="301" t="n">
        <f aca="false">B79</f>
        <v>10</v>
      </c>
    </row>
    <row r="110" customFormat="false" ht="13.8" hidden="false" customHeight="false" outlineLevel="0" collapsed="false">
      <c r="A110" s="315"/>
    </row>
    <row r="111" customFormat="false" ht="13.8" hidden="false" customHeight="false" outlineLevel="0" collapsed="false">
      <c r="A111" s="315"/>
    </row>
    <row r="112" customFormat="false" ht="13.8" hidden="false" customHeight="false" outlineLevel="0" collapsed="false">
      <c r="A112" s="315"/>
    </row>
    <row r="113" customFormat="false" ht="13.8" hidden="false" customHeight="false" outlineLevel="0" collapsed="false">
      <c r="A113" s="315"/>
    </row>
    <row r="114" customFormat="false" ht="13.8" hidden="false" customHeight="false" outlineLevel="0" collapsed="false">
      <c r="A114" s="315"/>
    </row>
    <row r="115" customFormat="false" ht="13.8" hidden="false" customHeight="false" outlineLevel="0" collapsed="false">
      <c r="A115" s="315"/>
    </row>
    <row r="116" customFormat="false" ht="13.8" hidden="false" customHeight="false" outlineLevel="0" collapsed="false">
      <c r="A116" s="315"/>
    </row>
    <row r="117" customFormat="false" ht="13.8" hidden="false" customHeight="false" outlineLevel="0" collapsed="false">
      <c r="A117" s="315"/>
    </row>
    <row r="118" customFormat="false" ht="13.8" hidden="false" customHeight="false" outlineLevel="0" collapsed="false">
      <c r="A118" s="315"/>
    </row>
    <row r="119" customFormat="false" ht="13.8" hidden="false" customHeight="false" outlineLevel="0" collapsed="false">
      <c r="A119" s="315"/>
    </row>
    <row r="120" customFormat="false" ht="13.8" hidden="false" customHeight="false" outlineLevel="0" collapsed="false">
      <c r="A120" s="315"/>
    </row>
    <row r="121" customFormat="false" ht="13.8" hidden="false" customHeight="false" outlineLevel="0" collapsed="false">
      <c r="A121" s="315"/>
    </row>
    <row r="122" customFormat="false" ht="13.8" hidden="false" customHeight="false" outlineLevel="0" collapsed="false">
      <c r="A122" s="315"/>
    </row>
    <row r="123" customFormat="false" ht="13.8" hidden="false" customHeight="false" outlineLevel="0" collapsed="false">
      <c r="A123" s="315"/>
    </row>
    <row r="124" customFormat="false" ht="13.8" hidden="false" customHeight="false" outlineLevel="0" collapsed="false">
      <c r="A124" s="315"/>
    </row>
    <row r="125" customFormat="false" ht="13.8" hidden="false" customHeight="false" outlineLevel="0" collapsed="false">
      <c r="A125" s="315"/>
    </row>
    <row r="126" customFormat="false" ht="13.8" hidden="false" customHeight="false" outlineLevel="0" collapsed="false">
      <c r="A126" s="315"/>
    </row>
    <row r="127" customFormat="false" ht="13.8" hidden="false" customHeight="false" outlineLevel="0" collapsed="false">
      <c r="A127" s="315"/>
    </row>
    <row r="128" customFormat="false" ht="13.8" hidden="false" customHeight="false" outlineLevel="0" collapsed="false">
      <c r="A128" s="315"/>
    </row>
    <row r="129" customFormat="false" ht="13.8" hidden="false" customHeight="false" outlineLevel="0" collapsed="false">
      <c r="A129" s="315"/>
    </row>
  </sheetData>
  <sheetProtection sheet="true" objects="true" scenarios="true"/>
  <mergeCells count="13">
    <mergeCell ref="A1:A2"/>
    <mergeCell ref="P21:Q21"/>
    <mergeCell ref="S21:T21"/>
    <mergeCell ref="V21:Y21"/>
    <mergeCell ref="A22:C22"/>
    <mergeCell ref="E22:G22"/>
    <mergeCell ref="E23:G23"/>
    <mergeCell ref="I27:K27"/>
    <mergeCell ref="I28:K28"/>
    <mergeCell ref="I34:K34"/>
    <mergeCell ref="E36:G36"/>
    <mergeCell ref="D76:F76"/>
    <mergeCell ref="A77:A7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1.6875" defaultRowHeight="13.8" zeroHeight="false" outlineLevelRow="0" outlineLevelCol="0"/>
  <cols>
    <col collapsed="false" customWidth="true" hidden="false" outlineLevel="0" max="64" min="1" style="0" width="8.56"/>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2117</TotalTime>
  <Application>LibreOffice/6.3.4.2$Windows_X86_64 LibreOffice_project/60da17e045e08f1793c57c00ba83cdfce946d0aa</Application>
  <Company>Texas Instruments Incorporated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2013-07-09T14:24:03Z</dcterms:created>
  <dc:creator>a0799100</dc:creator>
  <dc:description/>
  <dc:language>en-IN</dc:language>
  <cp:lastModifiedBy/>
  <dcterms:modified xsi:type="dcterms:W3CDTF">2021-07-24T19:22:20Z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Texas Instruments Incorporated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